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C:\Users\ALIF\Downloads\PT Pos\"/>
    </mc:Choice>
  </mc:AlternateContent>
  <xr:revisionPtr revIDLastSave="0" documentId="8_{D707B1FD-7D2F-4673-8E83-FB956BA106E4}" xr6:coauthVersionLast="47" xr6:coauthVersionMax="47" xr10:uidLastSave="{00000000-0000-0000-0000-000000000000}"/>
  <bookViews>
    <workbookView xWindow="-110" yWindow="-110" windowWidth="19420" windowHeight="10420"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workbook>
</file>

<file path=xl/calcChain.xml><?xml version="1.0" encoding="utf-8"?>
<calcChain xmlns="http://schemas.openxmlformats.org/spreadsheetml/2006/main">
  <c r="AY3" i="3" l="1"/>
  <c r="AY4" i="3"/>
  <c r="AY5" i="3"/>
  <c r="AY6" i="3"/>
  <c r="AY7" i="3"/>
  <c r="AY8" i="3"/>
  <c r="AY9" i="3"/>
  <c r="AY10" i="3"/>
  <c r="AY11" i="3"/>
  <c r="AY12" i="3"/>
  <c r="AY13" i="3"/>
  <c r="AY14" i="3"/>
  <c r="AY15" i="3"/>
  <c r="AY16" i="3"/>
  <c r="AY17" i="3"/>
  <c r="AY18" i="3"/>
  <c r="AY19" i="3"/>
  <c r="AY20" i="3"/>
  <c r="AY21" i="3"/>
  <c r="AY22" i="3"/>
  <c r="AY23" i="3"/>
  <c r="AY24" i="3"/>
  <c r="AY25" i="3"/>
  <c r="AY26" i="3"/>
  <c r="AY27" i="3"/>
  <c r="AY28" i="3"/>
  <c r="AY29" i="3"/>
  <c r="AY30" i="3"/>
  <c r="AY31" i="3"/>
  <c r="AY32" i="3"/>
  <c r="AY33" i="3"/>
  <c r="AY34" i="3"/>
  <c r="AY35" i="3"/>
  <c r="AY36" i="3"/>
  <c r="AY37" i="3"/>
  <c r="AY38" i="3"/>
  <c r="AY39" i="3"/>
  <c r="AY40" i="3"/>
  <c r="AY41" i="3"/>
  <c r="AY42" i="3"/>
  <c r="AY43" i="3"/>
  <c r="AY44" i="3"/>
  <c r="AY45" i="3"/>
  <c r="AY46" i="3"/>
  <c r="AY47" i="3"/>
  <c r="AY48" i="3"/>
  <c r="AY49" i="3"/>
  <c r="AY50" i="3"/>
  <c r="AY51" i="3"/>
  <c r="AY52" i="3"/>
  <c r="AY53" i="3"/>
  <c r="AY54" i="3"/>
  <c r="AY55" i="3"/>
  <c r="AY56" i="3"/>
  <c r="AY57" i="3"/>
  <c r="AY58" i="3"/>
  <c r="AY59" i="3"/>
  <c r="AY60" i="3"/>
  <c r="AY61" i="3"/>
  <c r="AY62" i="3"/>
  <c r="AY63" i="3"/>
  <c r="AY64" i="3"/>
  <c r="AY65" i="3"/>
  <c r="AY66" i="3"/>
  <c r="AY67" i="3"/>
  <c r="AY68" i="3"/>
  <c r="AY69" i="3"/>
  <c r="AY70" i="3"/>
  <c r="AY71" i="3"/>
  <c r="AY72" i="3"/>
  <c r="AY73" i="3"/>
  <c r="AY74" i="3"/>
  <c r="AY75" i="3"/>
  <c r="AY76" i="3"/>
  <c r="AY77" i="3"/>
  <c r="AY78" i="3"/>
  <c r="AY79" i="3"/>
  <c r="AY80" i="3"/>
  <c r="AY81" i="3"/>
  <c r="AY82" i="3"/>
  <c r="AY83" i="3"/>
  <c r="AY84" i="3"/>
  <c r="AY85" i="3"/>
  <c r="AY86" i="3"/>
  <c r="AY87" i="3"/>
  <c r="AY88" i="3"/>
  <c r="AY89" i="3"/>
  <c r="AY90" i="3"/>
  <c r="AY91" i="3"/>
  <c r="AY92" i="3"/>
  <c r="AY93" i="3"/>
  <c r="AY94" i="3"/>
  <c r="AY95" i="3"/>
  <c r="AY96" i="3"/>
  <c r="AY97" i="3"/>
  <c r="AY98" i="3"/>
  <c r="AY99" i="3"/>
  <c r="AY100" i="3"/>
  <c r="AY101" i="3"/>
  <c r="AY102" i="3"/>
  <c r="AY103" i="3"/>
  <c r="AY104" i="3"/>
  <c r="AY105" i="3"/>
  <c r="AY106" i="3"/>
  <c r="AY107" i="3"/>
  <c r="AY108" i="3"/>
  <c r="AY109" i="3"/>
  <c r="AY110" i="3"/>
  <c r="AY111" i="3"/>
  <c r="AY112" i="3"/>
  <c r="AY113" i="3"/>
  <c r="AY114" i="3"/>
  <c r="AY115" i="3"/>
  <c r="AY116" i="3"/>
  <c r="AY117" i="3"/>
  <c r="AY118" i="3"/>
  <c r="AY119" i="3"/>
  <c r="AY120" i="3"/>
  <c r="AY121" i="3"/>
  <c r="AY122" i="3"/>
  <c r="AY123" i="3"/>
  <c r="AY124" i="3"/>
  <c r="AY125" i="3"/>
  <c r="AY126" i="3"/>
  <c r="AY127" i="3"/>
  <c r="AY128" i="3"/>
  <c r="AY129" i="3"/>
  <c r="AY130" i="3"/>
  <c r="AY131" i="3"/>
  <c r="AY132" i="3"/>
  <c r="AY133" i="3"/>
  <c r="AY134" i="3"/>
  <c r="AY135" i="3"/>
  <c r="AY136" i="3"/>
  <c r="AY137" i="3"/>
  <c r="AY138" i="3"/>
  <c r="AY139" i="3"/>
  <c r="AY140" i="3"/>
  <c r="AY141" i="3"/>
  <c r="AY142" i="3"/>
  <c r="AY143" i="3"/>
  <c r="AY144" i="3"/>
  <c r="AY145" i="3"/>
  <c r="AY146" i="3"/>
  <c r="AY147" i="3"/>
  <c r="AY148" i="3"/>
  <c r="AY149" i="3"/>
  <c r="AY150" i="3"/>
  <c r="AY151" i="3"/>
  <c r="AY152" i="3"/>
  <c r="AY153" i="3"/>
  <c r="AY154" i="3"/>
  <c r="AY155" i="3"/>
  <c r="AY156" i="3"/>
  <c r="AY157" i="3"/>
  <c r="AY158" i="3"/>
  <c r="AY159" i="3"/>
  <c r="AY160" i="3"/>
  <c r="AY161" i="3"/>
  <c r="AY162" i="3"/>
  <c r="AY163" i="3"/>
  <c r="AY164" i="3"/>
  <c r="AY165" i="3"/>
  <c r="AY166" i="3"/>
  <c r="AY167" i="3"/>
  <c r="AY168" i="3"/>
  <c r="AY169" i="3"/>
  <c r="AY170" i="3"/>
  <c r="AY171" i="3"/>
  <c r="AY172" i="3"/>
  <c r="AY173" i="3"/>
  <c r="AY174" i="3"/>
  <c r="AY175" i="3"/>
  <c r="AY176" i="3"/>
  <c r="AY177" i="3"/>
  <c r="AY178" i="3"/>
  <c r="AY179" i="3"/>
  <c r="AY180" i="3"/>
  <c r="AY181" i="3"/>
  <c r="AY182" i="3"/>
  <c r="AY183" i="3"/>
  <c r="AY184" i="3"/>
  <c r="AY185" i="3"/>
  <c r="AY186" i="3"/>
  <c r="AY187" i="3"/>
  <c r="AY188" i="3"/>
  <c r="AY189" i="3"/>
  <c r="AY190" i="3"/>
  <c r="AY191" i="3"/>
  <c r="AY192" i="3"/>
  <c r="AY193" i="3"/>
  <c r="AY194" i="3"/>
  <c r="AY195" i="3"/>
  <c r="AY196" i="3"/>
  <c r="AY197" i="3"/>
  <c r="AY198" i="3"/>
  <c r="AY199" i="3"/>
  <c r="AY200" i="3"/>
  <c r="AY201" i="3"/>
  <c r="AY202" i="3"/>
  <c r="AY203" i="3"/>
  <c r="AY204" i="3"/>
  <c r="AY205" i="3"/>
  <c r="AY206" i="3"/>
  <c r="AY207" i="3"/>
  <c r="AY208" i="3"/>
  <c r="AY209" i="3"/>
  <c r="AY210" i="3"/>
  <c r="AY211" i="3"/>
  <c r="AY212" i="3"/>
  <c r="AY213" i="3"/>
  <c r="AY214" i="3"/>
  <c r="AY215" i="3"/>
  <c r="AY216" i="3"/>
  <c r="AY217" i="3"/>
  <c r="AY218" i="3"/>
  <c r="AY219" i="3"/>
  <c r="AY220" i="3"/>
  <c r="AY221" i="3"/>
  <c r="AY222" i="3"/>
  <c r="AY223" i="3"/>
  <c r="AY224" i="3"/>
  <c r="AY225" i="3"/>
  <c r="AY226" i="3"/>
  <c r="AY227" i="3"/>
  <c r="AY228" i="3"/>
  <c r="AY229" i="3"/>
  <c r="AY230" i="3"/>
  <c r="AY231" i="3"/>
  <c r="AY232" i="3"/>
  <c r="AY233" i="3"/>
  <c r="AY234" i="3"/>
  <c r="AY235" i="3"/>
  <c r="AY236" i="3"/>
  <c r="AY237" i="3"/>
  <c r="AY238" i="3"/>
  <c r="AY239" i="3"/>
  <c r="AY240" i="3"/>
  <c r="AY241" i="3"/>
  <c r="AY242" i="3"/>
  <c r="AY243" i="3"/>
  <c r="AY244" i="3"/>
  <c r="AY245" i="3"/>
  <c r="AY246" i="3"/>
  <c r="AY247" i="3"/>
  <c r="AY248" i="3"/>
  <c r="AY249" i="3"/>
  <c r="AY250" i="3"/>
  <c r="AY251" i="3"/>
  <c r="AY252" i="3"/>
  <c r="AY253" i="3"/>
  <c r="AY254" i="3"/>
  <c r="AY255" i="3"/>
  <c r="AY256" i="3"/>
  <c r="AY257" i="3"/>
  <c r="AY258" i="3"/>
  <c r="AY259" i="3"/>
  <c r="AY260" i="3"/>
  <c r="AY261" i="3"/>
  <c r="AY262" i="3"/>
  <c r="AY263" i="3"/>
  <c r="AY264" i="3"/>
  <c r="AY265" i="3"/>
  <c r="AY266" i="3"/>
  <c r="AY267" i="3"/>
  <c r="AY268" i="3"/>
  <c r="AY269" i="3"/>
  <c r="AY270" i="3"/>
  <c r="AY271" i="3"/>
  <c r="AY272" i="3"/>
  <c r="AY273" i="3"/>
  <c r="AY274" i="3"/>
  <c r="AY275" i="3"/>
  <c r="AY276" i="3"/>
  <c r="AY277" i="3"/>
  <c r="AY278" i="3"/>
  <c r="AY279" i="3"/>
  <c r="AY280" i="3"/>
  <c r="AY281" i="3"/>
  <c r="AY282" i="3"/>
  <c r="AY283" i="3"/>
  <c r="AY284" i="3"/>
  <c r="AY285" i="3"/>
  <c r="AY286" i="3"/>
  <c r="AY287" i="3"/>
  <c r="AY288" i="3"/>
  <c r="AY289" i="3"/>
  <c r="AY290" i="3"/>
  <c r="AY291" i="3"/>
  <c r="AY292" i="3"/>
  <c r="AY293" i="3"/>
  <c r="AY294" i="3"/>
  <c r="AY295" i="3"/>
  <c r="AY296" i="3"/>
  <c r="AY297" i="3"/>
  <c r="AY298" i="3"/>
  <c r="AY299" i="3"/>
  <c r="AY300" i="3"/>
  <c r="AY301" i="3"/>
  <c r="AY302" i="3"/>
  <c r="AY303" i="3"/>
  <c r="AY304" i="3"/>
  <c r="AY305" i="3"/>
  <c r="AY306" i="3"/>
  <c r="AY307" i="3"/>
  <c r="AY308" i="3"/>
  <c r="AY309" i="3"/>
  <c r="AY310" i="3"/>
  <c r="AY311" i="3"/>
  <c r="AY312" i="3"/>
  <c r="AY313" i="3"/>
  <c r="AY314" i="3"/>
  <c r="AY315" i="3"/>
  <c r="AY316" i="3"/>
  <c r="AY317" i="3"/>
  <c r="AY318" i="3"/>
  <c r="AY319" i="3"/>
  <c r="AY320" i="3"/>
  <c r="AY321" i="3"/>
  <c r="AY322" i="3"/>
  <c r="AY323" i="3"/>
  <c r="AY324" i="3"/>
  <c r="AY325" i="3"/>
  <c r="AY326" i="3"/>
  <c r="AY327" i="3"/>
  <c r="AY328" i="3"/>
  <c r="AY329" i="3"/>
  <c r="AY330" i="3"/>
  <c r="AY331" i="3"/>
  <c r="AY332" i="3"/>
  <c r="AY333" i="3"/>
  <c r="AY334" i="3"/>
  <c r="AY335" i="3"/>
  <c r="AY336" i="3"/>
  <c r="AY337" i="3"/>
  <c r="AY338" i="3"/>
  <c r="AY339" i="3"/>
  <c r="AY340" i="3"/>
  <c r="AY341" i="3"/>
  <c r="AY342" i="3"/>
  <c r="AY343" i="3"/>
  <c r="AY344" i="3"/>
  <c r="AY345" i="3"/>
  <c r="AY346" i="3"/>
  <c r="AY347" i="3"/>
  <c r="AY348" i="3"/>
  <c r="AY349" i="3"/>
  <c r="AY350" i="3"/>
  <c r="AY351" i="3"/>
  <c r="AY352" i="3"/>
  <c r="AY353" i="3"/>
  <c r="AY354" i="3"/>
  <c r="AY355" i="3"/>
  <c r="AY356" i="3"/>
  <c r="AY357" i="3"/>
  <c r="AY358" i="3"/>
  <c r="AY359" i="3"/>
  <c r="AY360" i="3"/>
  <c r="AY361" i="3"/>
  <c r="AY362" i="3"/>
  <c r="AY363" i="3"/>
  <c r="AY364" i="3"/>
  <c r="AY365" i="3"/>
  <c r="AY366" i="3"/>
  <c r="AY367" i="3"/>
  <c r="AY368" i="3"/>
  <c r="AY369" i="3"/>
  <c r="AY370" i="3"/>
  <c r="AY371" i="3"/>
  <c r="AY372" i="3"/>
  <c r="AY373" i="3"/>
  <c r="AY374" i="3"/>
  <c r="AY375" i="3"/>
  <c r="AY376" i="3"/>
  <c r="AY377" i="3"/>
  <c r="AY378" i="3"/>
  <c r="AY379" i="3"/>
  <c r="AY380" i="3"/>
  <c r="AY381" i="3"/>
  <c r="AY382" i="3"/>
  <c r="AY383" i="3"/>
  <c r="AY384" i="3"/>
  <c r="AY385" i="3"/>
  <c r="AY386" i="3"/>
  <c r="AY387" i="3"/>
  <c r="AY388" i="3"/>
  <c r="AY389" i="3"/>
  <c r="AY390" i="3"/>
  <c r="AY391" i="3"/>
  <c r="AY392" i="3"/>
  <c r="AY393" i="3"/>
  <c r="AY394" i="3"/>
  <c r="AY395" i="3"/>
  <c r="AY396" i="3"/>
  <c r="AY397" i="3"/>
  <c r="AY398" i="3"/>
  <c r="AY399" i="3"/>
  <c r="AY400" i="3"/>
  <c r="AY401" i="3"/>
  <c r="AY402" i="3"/>
  <c r="AY403" i="3"/>
  <c r="AY404" i="3"/>
  <c r="AY405" i="3"/>
  <c r="AY406" i="3"/>
  <c r="AY407" i="3"/>
  <c r="AY408" i="3"/>
  <c r="AY409" i="3"/>
  <c r="AY410" i="3"/>
  <c r="AY411" i="3"/>
  <c r="AY412" i="3"/>
  <c r="AY413" i="3"/>
  <c r="AY414" i="3"/>
  <c r="AY415" i="3"/>
  <c r="AY416" i="3"/>
  <c r="AY417" i="3"/>
  <c r="AY418" i="3"/>
  <c r="AY419" i="3"/>
  <c r="AY420" i="3"/>
  <c r="AY421" i="3"/>
  <c r="AY422" i="3"/>
  <c r="AY423" i="3"/>
  <c r="AY424" i="3"/>
  <c r="AY425" i="3"/>
  <c r="AY426" i="3"/>
  <c r="AY427" i="3"/>
  <c r="AY428" i="3"/>
  <c r="AY429" i="3"/>
  <c r="AY430" i="3"/>
  <c r="AY431" i="3"/>
  <c r="AY432" i="3"/>
  <c r="AY433" i="3"/>
  <c r="AY434" i="3"/>
  <c r="AY435" i="3"/>
  <c r="AY436" i="3"/>
  <c r="AY437" i="3"/>
  <c r="AY438" i="3"/>
  <c r="AY439" i="3"/>
  <c r="AY440" i="3"/>
  <c r="AY441" i="3"/>
  <c r="AY442" i="3"/>
  <c r="AY443" i="3"/>
  <c r="AY444" i="3"/>
  <c r="AY445" i="3"/>
  <c r="AY446" i="3"/>
  <c r="AY447" i="3"/>
  <c r="AY448" i="3"/>
  <c r="AY449" i="3"/>
  <c r="AY450" i="3"/>
  <c r="AY451" i="3"/>
  <c r="AY452" i="3"/>
  <c r="AY453" i="3"/>
  <c r="AY454" i="3"/>
  <c r="AY455" i="3"/>
  <c r="AY456" i="3"/>
  <c r="AY457" i="3"/>
  <c r="AY458" i="3"/>
  <c r="AY459" i="3"/>
  <c r="AY460" i="3"/>
  <c r="AY461" i="3"/>
  <c r="AY462" i="3"/>
  <c r="AY463" i="3"/>
  <c r="AY464" i="3"/>
  <c r="AY465" i="3"/>
  <c r="AY466" i="3"/>
  <c r="AY467" i="3"/>
  <c r="AY468" i="3"/>
  <c r="AY469" i="3"/>
  <c r="AY470" i="3"/>
  <c r="AY471" i="3"/>
  <c r="AY472" i="3"/>
  <c r="AY473" i="3"/>
  <c r="AY474" i="3"/>
  <c r="AY475" i="3"/>
  <c r="AY476" i="3"/>
  <c r="AY477" i="3"/>
  <c r="AY478" i="3"/>
  <c r="AY479" i="3"/>
  <c r="AY480" i="3"/>
  <c r="AY481" i="3"/>
  <c r="AY482" i="3"/>
  <c r="AY483" i="3"/>
  <c r="AY484" i="3"/>
  <c r="AY485" i="3"/>
  <c r="AY486" i="3"/>
  <c r="AY487" i="3"/>
  <c r="AY488" i="3"/>
  <c r="AY489" i="3"/>
  <c r="AY490" i="3"/>
  <c r="AY491" i="3"/>
  <c r="AY492" i="3"/>
  <c r="AY493" i="3"/>
  <c r="AY494" i="3"/>
  <c r="AY495" i="3"/>
  <c r="AY496" i="3"/>
  <c r="AY497" i="3"/>
  <c r="AY498" i="3"/>
  <c r="AY499" i="3"/>
  <c r="AY500" i="3"/>
  <c r="AY501" i="3"/>
  <c r="AY502" i="3"/>
  <c r="AY503" i="3"/>
  <c r="AY504" i="3"/>
  <c r="AY505" i="3"/>
  <c r="AY506" i="3"/>
  <c r="AY507" i="3"/>
  <c r="AY508" i="3"/>
  <c r="AY509" i="3"/>
  <c r="AY510" i="3"/>
  <c r="AY511" i="3"/>
  <c r="AY512" i="3"/>
  <c r="AY513" i="3"/>
  <c r="AY514" i="3"/>
  <c r="AY515" i="3"/>
  <c r="AY516" i="3"/>
  <c r="AY517" i="3"/>
  <c r="AY518" i="3"/>
  <c r="AY519" i="3"/>
  <c r="AY520" i="3"/>
  <c r="AY521" i="3"/>
  <c r="AY522" i="3"/>
  <c r="AY523" i="3"/>
  <c r="AY524" i="3"/>
  <c r="AY525" i="3"/>
  <c r="AY526" i="3"/>
  <c r="AY527" i="3"/>
  <c r="AY528" i="3"/>
  <c r="AY529" i="3"/>
  <c r="AY530" i="3"/>
  <c r="AY531" i="3"/>
  <c r="AY532" i="3"/>
  <c r="AY533" i="3"/>
  <c r="AY534" i="3"/>
  <c r="AY535" i="3"/>
  <c r="AY536" i="3"/>
  <c r="AY537" i="3"/>
  <c r="AY538" i="3"/>
  <c r="AY539" i="3"/>
  <c r="AY540" i="3"/>
  <c r="AY541" i="3"/>
  <c r="AY542" i="3"/>
  <c r="AY543" i="3"/>
  <c r="AY544" i="3"/>
  <c r="AY545" i="3"/>
  <c r="AY546" i="3"/>
  <c r="AY547" i="3"/>
  <c r="AY548" i="3"/>
  <c r="AY549" i="3"/>
  <c r="AY550" i="3"/>
  <c r="AY551" i="3"/>
  <c r="AY552" i="3"/>
  <c r="AY553" i="3"/>
  <c r="AY554" i="3"/>
  <c r="AY555" i="3"/>
  <c r="AY556" i="3"/>
  <c r="AY557" i="3"/>
  <c r="AY558" i="3"/>
  <c r="AY559" i="3"/>
  <c r="AY560" i="3"/>
  <c r="AY561" i="3"/>
  <c r="AY562" i="3"/>
  <c r="AY563" i="3"/>
  <c r="AY564" i="3"/>
  <c r="AY565" i="3"/>
  <c r="AY566" i="3"/>
  <c r="AY567" i="3"/>
  <c r="AY568" i="3"/>
  <c r="AY569" i="3"/>
  <c r="AY570" i="3"/>
  <c r="AY571" i="3"/>
  <c r="AY572" i="3"/>
  <c r="AY573" i="3"/>
  <c r="AY574" i="3"/>
  <c r="AY575" i="3"/>
  <c r="AY576" i="3"/>
  <c r="AY577" i="3"/>
  <c r="AY578" i="3"/>
  <c r="AY579" i="3"/>
  <c r="AY580" i="3"/>
  <c r="AY581" i="3"/>
  <c r="AY582" i="3"/>
  <c r="AY583" i="3"/>
  <c r="AY584" i="3"/>
  <c r="AY585" i="3"/>
  <c r="AY586" i="3"/>
  <c r="AY587" i="3"/>
  <c r="AY588" i="3"/>
  <c r="AY589" i="3"/>
  <c r="AY590" i="3"/>
  <c r="AY591" i="3"/>
  <c r="AY592" i="3"/>
  <c r="AY593" i="3"/>
  <c r="AY594" i="3"/>
  <c r="AY595" i="3"/>
  <c r="AY596" i="3"/>
  <c r="AY597" i="3"/>
  <c r="AY598" i="3"/>
  <c r="AY599" i="3"/>
  <c r="AY600" i="3"/>
  <c r="AY601" i="3"/>
  <c r="AY602" i="3"/>
  <c r="AY603" i="3"/>
  <c r="AY604" i="3"/>
  <c r="AY605" i="3"/>
  <c r="AY606" i="3"/>
  <c r="AY607" i="3"/>
  <c r="AY608" i="3"/>
  <c r="AY609" i="3"/>
  <c r="AY610" i="3"/>
  <c r="AY611" i="3"/>
  <c r="AY612" i="3"/>
  <c r="AY613" i="3"/>
  <c r="AY614" i="3"/>
  <c r="AY615" i="3"/>
  <c r="AY616" i="3"/>
  <c r="AY617" i="3"/>
  <c r="AY618" i="3"/>
  <c r="AY619" i="3"/>
  <c r="AY620" i="3"/>
  <c r="AY621" i="3"/>
  <c r="AY622" i="3"/>
  <c r="AY623" i="3"/>
  <c r="AY624" i="3"/>
  <c r="AY625" i="3"/>
  <c r="AY626" i="3"/>
  <c r="AY627" i="3"/>
  <c r="AY628" i="3"/>
  <c r="AY629" i="3"/>
  <c r="AY630" i="3"/>
  <c r="AY631" i="3"/>
  <c r="AY632" i="3"/>
  <c r="AY633" i="3"/>
  <c r="AY634" i="3"/>
  <c r="AY635" i="3"/>
  <c r="AY636" i="3"/>
  <c r="AY637" i="3"/>
  <c r="AY638" i="3"/>
  <c r="AY639" i="3"/>
  <c r="AY640" i="3"/>
  <c r="AY641" i="3"/>
  <c r="AY642" i="3"/>
  <c r="AY643" i="3"/>
  <c r="AY644" i="3"/>
  <c r="AY645" i="3"/>
  <c r="AY646" i="3"/>
  <c r="AY647" i="3"/>
  <c r="AY648" i="3"/>
  <c r="AY649" i="3"/>
  <c r="AY650" i="3"/>
  <c r="AY651" i="3"/>
  <c r="AY652" i="3"/>
  <c r="AY653" i="3"/>
  <c r="AY654" i="3"/>
  <c r="AY655" i="3"/>
  <c r="AY656" i="3"/>
  <c r="AY657" i="3"/>
  <c r="AY658" i="3"/>
  <c r="AY659" i="3"/>
  <c r="AY660" i="3"/>
  <c r="AY661" i="3"/>
  <c r="AY662" i="3"/>
  <c r="AY663" i="3"/>
  <c r="AY664" i="3"/>
  <c r="AY665" i="3"/>
  <c r="AY666" i="3"/>
  <c r="AY667" i="3"/>
  <c r="AY668" i="3"/>
  <c r="AY669" i="3"/>
  <c r="AY670" i="3"/>
  <c r="AY671" i="3"/>
  <c r="AY672" i="3"/>
  <c r="AY673" i="3"/>
  <c r="AY674" i="3"/>
  <c r="AY675" i="3"/>
  <c r="AY676" i="3"/>
  <c r="AY677" i="3"/>
  <c r="AY678" i="3"/>
  <c r="AY679" i="3"/>
  <c r="AY680" i="3"/>
  <c r="AY681" i="3"/>
  <c r="AY682" i="3"/>
  <c r="AY683" i="3"/>
  <c r="AY684" i="3"/>
  <c r="AY685" i="3"/>
  <c r="AY686" i="3"/>
  <c r="AY687" i="3"/>
  <c r="AY688" i="3"/>
  <c r="AY689" i="3"/>
  <c r="AY690" i="3"/>
  <c r="AY691" i="3"/>
  <c r="AY692" i="3"/>
  <c r="AY693" i="3"/>
  <c r="AY694" i="3"/>
  <c r="AY695" i="3"/>
  <c r="AY696" i="3"/>
  <c r="AY697" i="3"/>
  <c r="AY698" i="3"/>
  <c r="AY699" i="3"/>
  <c r="AY700" i="3"/>
  <c r="AY701" i="3"/>
  <c r="AY702" i="3"/>
  <c r="AY703" i="3"/>
  <c r="AY704" i="3"/>
  <c r="AY705" i="3"/>
  <c r="AY706" i="3"/>
  <c r="AY707" i="3"/>
  <c r="AY708" i="3"/>
  <c r="AY709" i="3"/>
  <c r="AY710" i="3"/>
  <c r="AY711" i="3"/>
  <c r="AY712" i="3"/>
  <c r="AY713" i="3"/>
  <c r="AY714" i="3"/>
  <c r="AY715" i="3"/>
  <c r="AY716" i="3"/>
  <c r="AY717" i="3"/>
  <c r="AY718" i="3"/>
  <c r="AY719" i="3"/>
  <c r="AY720" i="3"/>
  <c r="AY721" i="3"/>
  <c r="AY722" i="3"/>
  <c r="AY723" i="3"/>
  <c r="AY724" i="3"/>
  <c r="AY725" i="3"/>
  <c r="AY726" i="3"/>
  <c r="AY727" i="3"/>
  <c r="AY728" i="3"/>
  <c r="AY729" i="3"/>
  <c r="AY730" i="3"/>
  <c r="AY731" i="3"/>
  <c r="AY732" i="3"/>
  <c r="AY733" i="3"/>
  <c r="AY734" i="3"/>
  <c r="AY735" i="3"/>
  <c r="AY736" i="3"/>
  <c r="AY737" i="3"/>
  <c r="AY738" i="3"/>
  <c r="AY739" i="3"/>
  <c r="AY740" i="3"/>
  <c r="AY741" i="3"/>
  <c r="AY742" i="3"/>
  <c r="AY743" i="3"/>
  <c r="AY744" i="3"/>
  <c r="AY745" i="3"/>
  <c r="AY746" i="3"/>
  <c r="AY747" i="3"/>
  <c r="AY748" i="3"/>
  <c r="AY749" i="3"/>
  <c r="AY750" i="3"/>
  <c r="AY751" i="3"/>
  <c r="AY752" i="3"/>
  <c r="AY753" i="3"/>
  <c r="AY754" i="3"/>
  <c r="AY755" i="3"/>
  <c r="AY756" i="3"/>
  <c r="AY757" i="3"/>
  <c r="AY758" i="3"/>
  <c r="AY759" i="3"/>
  <c r="AY760" i="3"/>
  <c r="AY761" i="3"/>
  <c r="AY762" i="3"/>
  <c r="AY763" i="3"/>
  <c r="AY764" i="3"/>
  <c r="AY765" i="3"/>
  <c r="AY766" i="3"/>
  <c r="AY767" i="3"/>
  <c r="AY768" i="3"/>
  <c r="AY769" i="3"/>
  <c r="AY770" i="3"/>
  <c r="AY771" i="3"/>
  <c r="AY772" i="3"/>
  <c r="AY773" i="3"/>
  <c r="AY774" i="3"/>
  <c r="AY775" i="3"/>
  <c r="AY776" i="3"/>
  <c r="AY777" i="3"/>
  <c r="AY778" i="3"/>
  <c r="AY779" i="3"/>
  <c r="AY780" i="3"/>
  <c r="AY781" i="3"/>
  <c r="AY782" i="3"/>
  <c r="AY783" i="3"/>
  <c r="AY784" i="3"/>
  <c r="AY785" i="3"/>
  <c r="AY786" i="3"/>
  <c r="AY787" i="3"/>
  <c r="AY788" i="3"/>
  <c r="AY789" i="3"/>
  <c r="AY790" i="3"/>
  <c r="AY791" i="3"/>
  <c r="AY792" i="3"/>
  <c r="AY793" i="3"/>
  <c r="AY794" i="3"/>
  <c r="AY795" i="3"/>
  <c r="AY796" i="3"/>
  <c r="AY797" i="3"/>
  <c r="AY798" i="3"/>
  <c r="AY799" i="3"/>
  <c r="AY800" i="3"/>
  <c r="AY801" i="3"/>
  <c r="AY802" i="3"/>
  <c r="AY803" i="3"/>
  <c r="AY804" i="3"/>
  <c r="AY805" i="3"/>
  <c r="AY806" i="3"/>
  <c r="AY807" i="3"/>
  <c r="AY808" i="3"/>
  <c r="AY809" i="3"/>
  <c r="AY810" i="3"/>
  <c r="AY811" i="3"/>
  <c r="AY812" i="3"/>
  <c r="AY813" i="3"/>
  <c r="AY814" i="3"/>
  <c r="AY815" i="3"/>
  <c r="AY816" i="3"/>
  <c r="AY817" i="3"/>
  <c r="AY818" i="3"/>
  <c r="AY819" i="3"/>
  <c r="AY820" i="3"/>
  <c r="AY821" i="3"/>
  <c r="AY822" i="3"/>
  <c r="AY823" i="3"/>
  <c r="AY824" i="3"/>
  <c r="AY825" i="3"/>
  <c r="AY826" i="3"/>
  <c r="AY827" i="3"/>
  <c r="AY828" i="3"/>
  <c r="AY829" i="3"/>
  <c r="AY830" i="3"/>
  <c r="AY831" i="3"/>
  <c r="AY832" i="3"/>
  <c r="AY833" i="3"/>
  <c r="AY834" i="3"/>
  <c r="AY835" i="3"/>
  <c r="AY836" i="3"/>
  <c r="AY837" i="3"/>
  <c r="AY838" i="3"/>
  <c r="AY839" i="3"/>
  <c r="AY840" i="3"/>
  <c r="AY841" i="3"/>
  <c r="AY842" i="3"/>
  <c r="AY843" i="3"/>
  <c r="AY844" i="3"/>
  <c r="AY845" i="3"/>
  <c r="AY846" i="3"/>
  <c r="AY847" i="3"/>
  <c r="AY848" i="3"/>
  <c r="AY849" i="3"/>
  <c r="AY850" i="3"/>
  <c r="AY851" i="3"/>
  <c r="AY852" i="3"/>
  <c r="AY853" i="3"/>
  <c r="AY854" i="3"/>
  <c r="AY855" i="3"/>
  <c r="AY856" i="3"/>
  <c r="AY857" i="3"/>
  <c r="AY858" i="3"/>
  <c r="AY859" i="3"/>
  <c r="AY860" i="3"/>
  <c r="AY861" i="3"/>
  <c r="AY862" i="3"/>
  <c r="AY863" i="3"/>
  <c r="AY864" i="3"/>
  <c r="AY865" i="3"/>
  <c r="AY866" i="3"/>
  <c r="AY867" i="3"/>
  <c r="AY868" i="3"/>
  <c r="AY869" i="3"/>
  <c r="AY870" i="3"/>
  <c r="AY871" i="3"/>
  <c r="AY872" i="3"/>
  <c r="AY873" i="3"/>
  <c r="AY874" i="3"/>
  <c r="AY875" i="3"/>
  <c r="AY876" i="3"/>
  <c r="AY877" i="3"/>
  <c r="AY878" i="3"/>
  <c r="AY879" i="3"/>
  <c r="AY880" i="3"/>
  <c r="AY881" i="3"/>
  <c r="AY882" i="3"/>
  <c r="AY883" i="3"/>
  <c r="AY884" i="3"/>
  <c r="AY885" i="3"/>
  <c r="AY886" i="3"/>
  <c r="AY887" i="3"/>
  <c r="AY888" i="3"/>
  <c r="AY889" i="3"/>
  <c r="AY890" i="3"/>
  <c r="AY891" i="3"/>
  <c r="AY892" i="3"/>
  <c r="AY893" i="3"/>
  <c r="AY894" i="3"/>
  <c r="AY895" i="3"/>
  <c r="AY896" i="3"/>
  <c r="AY897" i="3"/>
  <c r="AY898" i="3"/>
  <c r="AY899" i="3"/>
  <c r="AY900" i="3"/>
  <c r="AY901" i="3"/>
  <c r="AY902" i="3"/>
  <c r="AY903" i="3"/>
  <c r="AY904" i="3"/>
  <c r="AY905" i="3"/>
  <c r="AY906" i="3"/>
  <c r="AY907" i="3"/>
  <c r="AY908" i="3"/>
  <c r="AY909" i="3"/>
  <c r="AY910" i="3"/>
  <c r="AY911" i="3"/>
  <c r="AY912" i="3"/>
  <c r="AY913" i="3"/>
  <c r="AY914" i="3"/>
  <c r="AY915" i="3"/>
  <c r="AY916" i="3"/>
  <c r="AY917" i="3"/>
  <c r="AY918" i="3"/>
  <c r="AY919" i="3"/>
  <c r="AY920" i="3"/>
  <c r="AY921" i="3"/>
  <c r="AY922" i="3"/>
  <c r="AY923" i="3"/>
  <c r="AY924" i="3"/>
  <c r="AY925" i="3"/>
  <c r="AY926" i="3"/>
  <c r="AY927" i="3"/>
  <c r="AY928" i="3"/>
  <c r="AY929" i="3"/>
  <c r="AY930" i="3"/>
  <c r="AY931" i="3"/>
  <c r="AY932" i="3"/>
  <c r="AY933" i="3"/>
  <c r="AY934" i="3"/>
  <c r="AY935" i="3"/>
  <c r="AY936" i="3"/>
  <c r="AY937" i="3"/>
  <c r="AY938" i="3"/>
  <c r="AY939" i="3"/>
  <c r="AY940" i="3"/>
  <c r="AY941" i="3"/>
  <c r="AY942" i="3"/>
  <c r="AY943" i="3"/>
  <c r="AY944" i="3"/>
  <c r="AY945" i="3"/>
  <c r="AY946" i="3"/>
  <c r="AY947" i="3"/>
  <c r="AY948" i="3"/>
  <c r="AY949" i="3"/>
  <c r="AY950" i="3"/>
  <c r="AY951" i="3"/>
  <c r="AY952" i="3"/>
  <c r="AY953" i="3"/>
  <c r="AY954" i="3"/>
  <c r="AY955" i="3"/>
  <c r="AY956" i="3"/>
  <c r="AY957" i="3"/>
  <c r="AY958" i="3"/>
  <c r="AY959" i="3"/>
  <c r="AY960" i="3"/>
  <c r="AY961" i="3"/>
  <c r="AY962" i="3"/>
  <c r="AY963" i="3"/>
  <c r="AY964" i="3"/>
  <c r="AY965" i="3"/>
  <c r="AY966" i="3"/>
  <c r="AY967" i="3"/>
  <c r="AY968" i="3"/>
  <c r="AY969" i="3"/>
  <c r="AY970" i="3"/>
  <c r="AY971" i="3"/>
  <c r="AY972" i="3"/>
  <c r="AY973" i="3"/>
  <c r="AY974" i="3"/>
  <c r="AY975" i="3"/>
  <c r="AY976" i="3"/>
  <c r="AY977" i="3"/>
  <c r="AY978" i="3"/>
  <c r="AY979" i="3"/>
  <c r="AY980" i="3"/>
  <c r="AY981" i="3"/>
  <c r="AY982" i="3"/>
  <c r="AY983" i="3"/>
  <c r="AY984" i="3"/>
  <c r="AY985" i="3"/>
  <c r="AY986" i="3"/>
  <c r="AY987" i="3"/>
  <c r="AY988" i="3"/>
  <c r="AY989" i="3"/>
  <c r="AY990"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AV3" i="3"/>
  <c r="AV4" i="3"/>
  <c r="AV5" i="3"/>
  <c r="AV6" i="3"/>
  <c r="AV8" i="3"/>
  <c r="AV9" i="3"/>
  <c r="AV10" i="3"/>
  <c r="AV11" i="3"/>
  <c r="AV12" i="3"/>
  <c r="AV13" i="3"/>
  <c r="AV14" i="3"/>
  <c r="AV16" i="3"/>
  <c r="AV20" i="3"/>
  <c r="AV21" i="3"/>
  <c r="AV22" i="3"/>
  <c r="AV23" i="3"/>
  <c r="AV26" i="3"/>
  <c r="AV27" i="3"/>
  <c r="AV28" i="3"/>
  <c r="AV29" i="3"/>
  <c r="AV30" i="3"/>
  <c r="AV34" i="3"/>
  <c r="AV35" i="3"/>
  <c r="AV36" i="3"/>
  <c r="AV38" i="3"/>
  <c r="AV39" i="3"/>
  <c r="AV40" i="3"/>
  <c r="AV41" i="3"/>
  <c r="AV42" i="3"/>
  <c r="AV43" i="3"/>
  <c r="AV44" i="3"/>
  <c r="AV45" i="3"/>
  <c r="AV46" i="3"/>
  <c r="AV47" i="3"/>
  <c r="AV52" i="3"/>
  <c r="AV54" i="3"/>
  <c r="AV55" i="3"/>
  <c r="AV56" i="3"/>
  <c r="AV58" i="3"/>
  <c r="AV61" i="3"/>
  <c r="AV62" i="3"/>
  <c r="AV63" i="3"/>
  <c r="AV65" i="3"/>
  <c r="AV68" i="3"/>
  <c r="AV72" i="3"/>
  <c r="AV74" i="3"/>
  <c r="AV75" i="3"/>
  <c r="AV76" i="3"/>
  <c r="AV79" i="3"/>
  <c r="AV82" i="3"/>
  <c r="AV84" i="3"/>
  <c r="AV85" i="3"/>
  <c r="AV87" i="3"/>
  <c r="AV88" i="3"/>
  <c r="AV94" i="3"/>
  <c r="AV96" i="3"/>
  <c r="AV97" i="3"/>
  <c r="AV99" i="3"/>
  <c r="AV100" i="3"/>
  <c r="AV101" i="3"/>
  <c r="AV102" i="3"/>
  <c r="AV107" i="3"/>
  <c r="AV120" i="3"/>
  <c r="AV122" i="3"/>
  <c r="AV123" i="3"/>
  <c r="AV125" i="3"/>
  <c r="AV128" i="3"/>
  <c r="AV131" i="3"/>
  <c r="AV135" i="3"/>
  <c r="AV136" i="3"/>
  <c r="AV137" i="3"/>
  <c r="AV148" i="3"/>
  <c r="AV149" i="3"/>
  <c r="AV150" i="3"/>
  <c r="AV151" i="3"/>
  <c r="AV153" i="3"/>
  <c r="AV155" i="3"/>
  <c r="AV158" i="3"/>
  <c r="AV159" i="3"/>
  <c r="AV160" i="3"/>
  <c r="AV162" i="3"/>
  <c r="AV163" i="3"/>
  <c r="AV171" i="3"/>
  <c r="AV172" i="3"/>
  <c r="AV173" i="3"/>
  <c r="AV174" i="3"/>
  <c r="AV183" i="3"/>
  <c r="AV184" i="3"/>
  <c r="AV185" i="3"/>
  <c r="AV186" i="3"/>
  <c r="AV188" i="3"/>
  <c r="AV189" i="3"/>
  <c r="AV190" i="3"/>
  <c r="AV192" i="3"/>
  <c r="AV193" i="3"/>
  <c r="AV194" i="3"/>
  <c r="AV204" i="3"/>
  <c r="AV210" i="3"/>
  <c r="AV212" i="3"/>
  <c r="AV216" i="3"/>
  <c r="AV220" i="3"/>
  <c r="AV221" i="3"/>
  <c r="AV222" i="3"/>
  <c r="AV223" i="3"/>
  <c r="AV224" i="3"/>
  <c r="AV229" i="3"/>
  <c r="AV231" i="3"/>
  <c r="AV232" i="3"/>
  <c r="AV234" i="3"/>
  <c r="AV235" i="3"/>
  <c r="AV237" i="3"/>
  <c r="AV238" i="3"/>
  <c r="AV243" i="3"/>
  <c r="AV244" i="3"/>
  <c r="AV249" i="3"/>
  <c r="AV250" i="3"/>
  <c r="AV251" i="3"/>
  <c r="AV253" i="3"/>
  <c r="AV255" i="3"/>
  <c r="AV256" i="3"/>
  <c r="AV257" i="3"/>
  <c r="AV261" i="3"/>
  <c r="AV264" i="3"/>
  <c r="AV265" i="3"/>
  <c r="AV266" i="3"/>
  <c r="AV268" i="3"/>
  <c r="AV269" i="3"/>
  <c r="AV275" i="3"/>
  <c r="AV276" i="3"/>
  <c r="AV279" i="3"/>
  <c r="AV287" i="3"/>
  <c r="AV289" i="3"/>
  <c r="AV291" i="3"/>
  <c r="AV292" i="3"/>
  <c r="AV293" i="3"/>
  <c r="AV296" i="3"/>
  <c r="AV297" i="3"/>
  <c r="AV300" i="3"/>
  <c r="AV302" i="3"/>
  <c r="AV303" i="3"/>
  <c r="AV308" i="3"/>
  <c r="AV310" i="3"/>
  <c r="AV312" i="3"/>
  <c r="AV313" i="3"/>
  <c r="AV314" i="3"/>
  <c r="AV315" i="3"/>
  <c r="AV316" i="3"/>
  <c r="AV323" i="3"/>
  <c r="AV326" i="3"/>
  <c r="AV327" i="3"/>
  <c r="AV328" i="3"/>
  <c r="AV329" i="3"/>
  <c r="AV332" i="3"/>
  <c r="AV335" i="3"/>
  <c r="AV336" i="3"/>
  <c r="AV337" i="3"/>
  <c r="AV339" i="3"/>
  <c r="AV340" i="3"/>
  <c r="AV341" i="3"/>
  <c r="AV347" i="3"/>
  <c r="AV348" i="3"/>
  <c r="AV349" i="3"/>
  <c r="AV350" i="3"/>
  <c r="AV351" i="3"/>
  <c r="AV355" i="3"/>
  <c r="AV357" i="3"/>
  <c r="AV358" i="3"/>
  <c r="AV359" i="3"/>
  <c r="AV362" i="3"/>
  <c r="AV363" i="3"/>
  <c r="AV364" i="3"/>
  <c r="AV365" i="3"/>
  <c r="AV369" i="3"/>
  <c r="AV373" i="3"/>
  <c r="AV375" i="3"/>
  <c r="AV377" i="3"/>
  <c r="AV380" i="3"/>
  <c r="AV383" i="3"/>
  <c r="AV386" i="3"/>
  <c r="AV388" i="3"/>
  <c r="AV390" i="3"/>
  <c r="AV391" i="3"/>
  <c r="AV392" i="3"/>
  <c r="AV397" i="3"/>
  <c r="AV399" i="3"/>
  <c r="AV405" i="3"/>
  <c r="AV406" i="3"/>
  <c r="AV408" i="3"/>
  <c r="AV409" i="3"/>
  <c r="AV414" i="3"/>
  <c r="AV415" i="3"/>
  <c r="AV423" i="3"/>
  <c r="AV424" i="3"/>
  <c r="AV425" i="3"/>
  <c r="AV428" i="3"/>
  <c r="AV429" i="3"/>
  <c r="AV431" i="3"/>
  <c r="AV434" i="3"/>
  <c r="AV435" i="3"/>
  <c r="AV439" i="3"/>
  <c r="AV440" i="3"/>
  <c r="AV442" i="3"/>
  <c r="AV451" i="3"/>
  <c r="AV452" i="3"/>
  <c r="AV453" i="3"/>
  <c r="AV454" i="3"/>
  <c r="AV456" i="3"/>
  <c r="AV457" i="3"/>
  <c r="AV461" i="3"/>
  <c r="AV462" i="3"/>
  <c r="AV468" i="3"/>
  <c r="AV470" i="3"/>
  <c r="AV471" i="3"/>
  <c r="AV473" i="3"/>
  <c r="AV474" i="3"/>
  <c r="AV475" i="3"/>
  <c r="AV478" i="3"/>
  <c r="AV479" i="3"/>
  <c r="AV480" i="3"/>
  <c r="AV481" i="3"/>
  <c r="AV483" i="3"/>
  <c r="AV485" i="3"/>
  <c r="AV488" i="3"/>
  <c r="AV489" i="3"/>
  <c r="AV491" i="3"/>
  <c r="AV492" i="3"/>
  <c r="AV493" i="3"/>
  <c r="AV494" i="3"/>
  <c r="AV495" i="3"/>
  <c r="AV496" i="3"/>
  <c r="AV502" i="3"/>
  <c r="AV504" i="3"/>
  <c r="AV507" i="3"/>
  <c r="AV512" i="3"/>
  <c r="AV515" i="3"/>
  <c r="AV518" i="3"/>
  <c r="AV519" i="3"/>
  <c r="AV520" i="3"/>
  <c r="AV522" i="3"/>
  <c r="AV524" i="3"/>
  <c r="AV526" i="3"/>
  <c r="AV527" i="3"/>
  <c r="AV528" i="3"/>
  <c r="AV531" i="3"/>
  <c r="AV534" i="3"/>
  <c r="AV535" i="3"/>
  <c r="AV537" i="3"/>
  <c r="AV538" i="3"/>
  <c r="AV540" i="3"/>
  <c r="AV542" i="3"/>
  <c r="AV543" i="3"/>
  <c r="AV544" i="3"/>
  <c r="AV546" i="3"/>
  <c r="AV547" i="3"/>
  <c r="AV549" i="3"/>
  <c r="AV551" i="3"/>
  <c r="AV557" i="3"/>
  <c r="AV558" i="3"/>
  <c r="AV559" i="3"/>
  <c r="AV560" i="3"/>
  <c r="AV564" i="3"/>
  <c r="AV565" i="3"/>
  <c r="AV568" i="3"/>
  <c r="AV569" i="3"/>
  <c r="AV570" i="3"/>
  <c r="AV571" i="3"/>
  <c r="AV572" i="3"/>
  <c r="AV574" i="3"/>
  <c r="AV575" i="3"/>
  <c r="AV576" i="3"/>
  <c r="AV578" i="3"/>
  <c r="AV580" i="3"/>
  <c r="AV582" i="3"/>
  <c r="AV584" i="3"/>
  <c r="AV585" i="3"/>
  <c r="AV586" i="3"/>
  <c r="AV587" i="3"/>
  <c r="AV588" i="3"/>
  <c r="AV589" i="3"/>
  <c r="AV590" i="3"/>
  <c r="AV593" i="3"/>
  <c r="AV596" i="3"/>
  <c r="AV600" i="3"/>
  <c r="AV603" i="3"/>
  <c r="AV606" i="3"/>
  <c r="AV609" i="3"/>
  <c r="AV610" i="3"/>
  <c r="AV611" i="3"/>
  <c r="AV612" i="3"/>
  <c r="AV613" i="3"/>
  <c r="AV616" i="3"/>
  <c r="AV617" i="3"/>
  <c r="AV620" i="3"/>
  <c r="AV627" i="3"/>
  <c r="AV628" i="3"/>
  <c r="AV629" i="3"/>
  <c r="AV632" i="3"/>
  <c r="AV634" i="3"/>
  <c r="AV636" i="3"/>
  <c r="AV639" i="3"/>
  <c r="AV640" i="3"/>
  <c r="AV642" i="3"/>
  <c r="AV643" i="3"/>
  <c r="AV646" i="3"/>
  <c r="AV648" i="3"/>
  <c r="AV649" i="3"/>
  <c r="AV651" i="3"/>
  <c r="AV653" i="3"/>
  <c r="AV654" i="3"/>
  <c r="AV655" i="3"/>
  <c r="AV656" i="3"/>
  <c r="AV660" i="3"/>
  <c r="AV664" i="3"/>
  <c r="AV667" i="3"/>
  <c r="AV668" i="3"/>
  <c r="AV671" i="3"/>
  <c r="AV675" i="3"/>
  <c r="AV676" i="3"/>
  <c r="AV678" i="3"/>
  <c r="AV679" i="3"/>
  <c r="AV681" i="3"/>
  <c r="AV686" i="3"/>
  <c r="AV687" i="3"/>
  <c r="AV692" i="3"/>
  <c r="AV695" i="3"/>
  <c r="AV696" i="3"/>
  <c r="AV697" i="3"/>
  <c r="AV698" i="3"/>
  <c r="AV699" i="3"/>
  <c r="AV704" i="3"/>
  <c r="AV705" i="3"/>
  <c r="AV706" i="3"/>
  <c r="AV707" i="3"/>
  <c r="AV709" i="3"/>
  <c r="AV710" i="3"/>
  <c r="AV713" i="3"/>
  <c r="AV715" i="3"/>
  <c r="AV716" i="3"/>
  <c r="AV717" i="3"/>
  <c r="AV718" i="3"/>
  <c r="AV719" i="3"/>
  <c r="AV720" i="3"/>
  <c r="AV723" i="3"/>
  <c r="AV732" i="3"/>
  <c r="AV734" i="3"/>
  <c r="AV736" i="3"/>
  <c r="AV738" i="3"/>
  <c r="AV741" i="3"/>
  <c r="AV743" i="3"/>
  <c r="AV744" i="3"/>
  <c r="AV745" i="3"/>
  <c r="AV752" i="3"/>
  <c r="AV753" i="3"/>
  <c r="AV754" i="3"/>
  <c r="AV756" i="3"/>
  <c r="AV757" i="3"/>
  <c r="AV760" i="3"/>
  <c r="AV767" i="3"/>
  <c r="AV768" i="3"/>
  <c r="AV773" i="3"/>
  <c r="AV777" i="3"/>
  <c r="AV778" i="3"/>
  <c r="AV779" i="3"/>
  <c r="AV781" i="3"/>
  <c r="AV784" i="3"/>
  <c r="AV785" i="3"/>
  <c r="AV791" i="3"/>
  <c r="AV792" i="3"/>
  <c r="AV793" i="3"/>
  <c r="AV794" i="3"/>
  <c r="AV795" i="3"/>
  <c r="AV803" i="3"/>
  <c r="AV805" i="3"/>
  <c r="AV806" i="3"/>
  <c r="AV809" i="3"/>
  <c r="AV812" i="3"/>
  <c r="AV813" i="3"/>
  <c r="AV817" i="3"/>
  <c r="AV818" i="3"/>
  <c r="AV819" i="3"/>
  <c r="AV822" i="3"/>
  <c r="AV823" i="3"/>
  <c r="AV826" i="3"/>
  <c r="AV829" i="3"/>
  <c r="AV830" i="3"/>
  <c r="AV831" i="3"/>
  <c r="AV832" i="3"/>
  <c r="AV833" i="3"/>
  <c r="AV836" i="3"/>
  <c r="AV841" i="3"/>
  <c r="AV844" i="3"/>
  <c r="AV846" i="3"/>
  <c r="AV847" i="3"/>
  <c r="AV849" i="3"/>
  <c r="AV850" i="3"/>
  <c r="AV851" i="3"/>
  <c r="AV852" i="3"/>
  <c r="AV856" i="3"/>
  <c r="AV857" i="3"/>
  <c r="AV860" i="3"/>
  <c r="AV863" i="3"/>
  <c r="AV864" i="3"/>
  <c r="AV865" i="3"/>
  <c r="AV868" i="3"/>
  <c r="AV872" i="3"/>
  <c r="AV876" i="3"/>
  <c r="AV877" i="3"/>
  <c r="AV878" i="3"/>
  <c r="AV879" i="3"/>
  <c r="AV880" i="3"/>
  <c r="AV883" i="3"/>
  <c r="AV884" i="3"/>
  <c r="AV887" i="3"/>
  <c r="AV888" i="3"/>
  <c r="AV889" i="3"/>
  <c r="AV890" i="3"/>
  <c r="AV895" i="3"/>
  <c r="AV899" i="3"/>
  <c r="AV900" i="3"/>
  <c r="AV902" i="3"/>
  <c r="AV904" i="3"/>
  <c r="AV906" i="3"/>
  <c r="AV907" i="3"/>
  <c r="AV912" i="3"/>
  <c r="AV917" i="3"/>
  <c r="AV920" i="3"/>
  <c r="AV921" i="3"/>
  <c r="AV926" i="3"/>
  <c r="AV927" i="3"/>
  <c r="AV928" i="3"/>
  <c r="AV931" i="3"/>
  <c r="AV936" i="3"/>
  <c r="AV937" i="3"/>
  <c r="AV938" i="3"/>
  <c r="AV939" i="3"/>
  <c r="AV942" i="3"/>
  <c r="AV949" i="3"/>
  <c r="AV952" i="3"/>
  <c r="AV953" i="3"/>
  <c r="AV954" i="3"/>
  <c r="AV955" i="3"/>
  <c r="AV958" i="3"/>
  <c r="AV961" i="3"/>
  <c r="AV962" i="3"/>
  <c r="AV964" i="3"/>
  <c r="AV966" i="3"/>
  <c r="AV967" i="3"/>
  <c r="AV974" i="3"/>
  <c r="AV976" i="3"/>
  <c r="AV978" i="3"/>
  <c r="AV981" i="3"/>
  <c r="AV985" i="3"/>
  <c r="AV986" i="3"/>
  <c r="AV987" i="3"/>
  <c r="AV988" i="3"/>
  <c r="AP3" i="3"/>
  <c r="AP4" i="3"/>
  <c r="AP5" i="3"/>
  <c r="AP6" i="3"/>
  <c r="AP7" i="3"/>
  <c r="AP8" i="3"/>
  <c r="AP9" i="3"/>
  <c r="AP10" i="3"/>
  <c r="AP11" i="3"/>
  <c r="AP12" i="3"/>
  <c r="AP13" i="3"/>
  <c r="AP14" i="3"/>
  <c r="AP15" i="3"/>
  <c r="AP16" i="3"/>
  <c r="AP17" i="3"/>
  <c r="AP18" i="3"/>
  <c r="AP20" i="3"/>
  <c r="AP21" i="3"/>
  <c r="AP22" i="3"/>
  <c r="AP23" i="3"/>
  <c r="AP24" i="3"/>
  <c r="AP25" i="3"/>
  <c r="AP26" i="3"/>
  <c r="AP27" i="3"/>
  <c r="AP28" i="3"/>
  <c r="AP29" i="3"/>
  <c r="AP30" i="3"/>
  <c r="AP31" i="3"/>
  <c r="AP32" i="3"/>
  <c r="AP33" i="3"/>
  <c r="AP34" i="3"/>
  <c r="AP35" i="3"/>
  <c r="AP36" i="3"/>
  <c r="AP37" i="3"/>
  <c r="AP38" i="3"/>
  <c r="AP40" i="3"/>
  <c r="AP41" i="3"/>
  <c r="AP42" i="3"/>
  <c r="AP43" i="3"/>
  <c r="AP44" i="3"/>
  <c r="AP45" i="3"/>
  <c r="AP46" i="3"/>
  <c r="AP47" i="3"/>
  <c r="AP49" i="3"/>
  <c r="AP50" i="3"/>
  <c r="AP51" i="3"/>
  <c r="AP52" i="3"/>
  <c r="AP54" i="3"/>
  <c r="AP55" i="3"/>
  <c r="AP56" i="3"/>
  <c r="AP57" i="3"/>
  <c r="AP58" i="3"/>
  <c r="AP59" i="3"/>
  <c r="AP60" i="3"/>
  <c r="AP61" i="3"/>
  <c r="AP62" i="3"/>
  <c r="AP63" i="3"/>
  <c r="AP64" i="3"/>
  <c r="AP65" i="3"/>
  <c r="AP66" i="3"/>
  <c r="AP67" i="3"/>
  <c r="AP68" i="3"/>
  <c r="AP69" i="3"/>
  <c r="AP70" i="3"/>
  <c r="AP71" i="3"/>
  <c r="AP72" i="3"/>
  <c r="AP73" i="3"/>
  <c r="AP74" i="3"/>
  <c r="AP75" i="3"/>
  <c r="AP76" i="3"/>
  <c r="AP78" i="3"/>
  <c r="AP79" i="3"/>
  <c r="AP80" i="3"/>
  <c r="AP81" i="3"/>
  <c r="AP82" i="3"/>
  <c r="AP83" i="3"/>
  <c r="AP84" i="3"/>
  <c r="AP85" i="3"/>
  <c r="AP86" i="3"/>
  <c r="AP87" i="3"/>
  <c r="AP88" i="3"/>
  <c r="AP90" i="3"/>
  <c r="AP91" i="3"/>
  <c r="AP93" i="3"/>
  <c r="AP94" i="3"/>
  <c r="AP96" i="3"/>
  <c r="AP97" i="3"/>
  <c r="AP98" i="3"/>
  <c r="AP99" i="3"/>
  <c r="AP100" i="3"/>
  <c r="AP102" i="3"/>
  <c r="AP103" i="3"/>
  <c r="AP104" i="3"/>
  <c r="AP105" i="3"/>
  <c r="AP106" i="3"/>
  <c r="AP107" i="3"/>
  <c r="AP108" i="3"/>
  <c r="AP109" i="3"/>
  <c r="AP110" i="3"/>
  <c r="AP111" i="3"/>
  <c r="AP112" i="3"/>
  <c r="AP113" i="3"/>
  <c r="AP114" i="3"/>
  <c r="AP115" i="3"/>
  <c r="AP117" i="3"/>
  <c r="AP118" i="3"/>
  <c r="AP119" i="3"/>
  <c r="AP120" i="3"/>
  <c r="AP122" i="3"/>
  <c r="AP123" i="3"/>
  <c r="AP124" i="3"/>
  <c r="AP125" i="3"/>
  <c r="AP126" i="3"/>
  <c r="AP127" i="3"/>
  <c r="AP128" i="3"/>
  <c r="AP129" i="3"/>
  <c r="AP131" i="3"/>
  <c r="AP132" i="3"/>
  <c r="AP133" i="3"/>
  <c r="AP134" i="3"/>
  <c r="AP135" i="3"/>
  <c r="AP136" i="3"/>
  <c r="AP137" i="3"/>
  <c r="AP138" i="3"/>
  <c r="AP139" i="3"/>
  <c r="AP140" i="3"/>
  <c r="AP141" i="3"/>
  <c r="AP142" i="3"/>
  <c r="AP144" i="3"/>
  <c r="AP145" i="3"/>
  <c r="AP146" i="3"/>
  <c r="AP147" i="3"/>
  <c r="AP148" i="3"/>
  <c r="AP149" i="3"/>
  <c r="AP150" i="3"/>
  <c r="AP151" i="3"/>
  <c r="AP152" i="3"/>
  <c r="AP153" i="3"/>
  <c r="AP154" i="3"/>
  <c r="AP156" i="3"/>
  <c r="AP157" i="3"/>
  <c r="AP158" i="3"/>
  <c r="AP159" i="3"/>
  <c r="AP160" i="3"/>
  <c r="AP161" i="3"/>
  <c r="AP162" i="3"/>
  <c r="AP163" i="3"/>
  <c r="AP164" i="3"/>
  <c r="AP165" i="3"/>
  <c r="AP166" i="3"/>
  <c r="AP167" i="3"/>
  <c r="AP169" i="3"/>
  <c r="AP170" i="3"/>
  <c r="AP171" i="3"/>
  <c r="AP172" i="3"/>
  <c r="AP173" i="3"/>
  <c r="AP174" i="3"/>
  <c r="AP175" i="3"/>
  <c r="AP176" i="3"/>
  <c r="AP177" i="3"/>
  <c r="AP179" i="3"/>
  <c r="AP180" i="3"/>
  <c r="AP181" i="3"/>
  <c r="AP182" i="3"/>
  <c r="AP183" i="3"/>
  <c r="AP184" i="3"/>
  <c r="AP185" i="3"/>
  <c r="AP186" i="3"/>
  <c r="AP187" i="3"/>
  <c r="AP188" i="3"/>
  <c r="AP189" i="3"/>
  <c r="AP190" i="3"/>
  <c r="AP191" i="3"/>
  <c r="AP193" i="3"/>
  <c r="AP194" i="3"/>
  <c r="AP196" i="3"/>
  <c r="AP197" i="3"/>
  <c r="AP198" i="3"/>
  <c r="AP199" i="3"/>
  <c r="AP200" i="3"/>
  <c r="AP201" i="3"/>
  <c r="AP202" i="3"/>
  <c r="AP203" i="3"/>
  <c r="AP204" i="3"/>
  <c r="AP205" i="3"/>
  <c r="AP206" i="3"/>
  <c r="AP207" i="3"/>
  <c r="AP208" i="3"/>
  <c r="AP210" i="3"/>
  <c r="AP214" i="3"/>
  <c r="AP217" i="3"/>
  <c r="AP219" i="3"/>
  <c r="AP220" i="3"/>
  <c r="AP221" i="3"/>
  <c r="AP222" i="3"/>
  <c r="AP223" i="3"/>
  <c r="AP224" i="3"/>
  <c r="AP225" i="3"/>
  <c r="AP226" i="3"/>
  <c r="AP227" i="3"/>
  <c r="AP228" i="3"/>
  <c r="AP229" i="3"/>
  <c r="AP230" i="3"/>
  <c r="AP232" i="3"/>
  <c r="AP235" i="3"/>
  <c r="AP236" i="3"/>
  <c r="AP238" i="3"/>
  <c r="AP240" i="3"/>
  <c r="AP241" i="3"/>
  <c r="AP242" i="3"/>
  <c r="AP243" i="3"/>
  <c r="AP244" i="3"/>
  <c r="AP246" i="3"/>
  <c r="AP250" i="3"/>
  <c r="AP251" i="3"/>
  <c r="AP252" i="3"/>
  <c r="AP253" i="3"/>
  <c r="AP255" i="3"/>
  <c r="AP256" i="3"/>
  <c r="AP257" i="3"/>
  <c r="AP258" i="3"/>
  <c r="AP260" i="3"/>
  <c r="AP261" i="3"/>
  <c r="AP264" i="3"/>
  <c r="AP265" i="3"/>
  <c r="AP266" i="3"/>
  <c r="AP267" i="3"/>
  <c r="AP269" i="3"/>
  <c r="AP271" i="3"/>
  <c r="AP272" i="3"/>
  <c r="AP274" i="3"/>
  <c r="AP275" i="3"/>
  <c r="AP277" i="3"/>
  <c r="AP278" i="3"/>
  <c r="AP279" i="3"/>
  <c r="AP282" i="3"/>
  <c r="AP283" i="3"/>
  <c r="AP284" i="3"/>
  <c r="AP285" i="3"/>
  <c r="AP287" i="3"/>
  <c r="AP288" i="3"/>
  <c r="AP289" i="3"/>
  <c r="AP290" i="3"/>
  <c r="AP291" i="3"/>
  <c r="AP292" i="3"/>
  <c r="AP293" i="3"/>
  <c r="AP295" i="3"/>
  <c r="AP296" i="3"/>
  <c r="AP297" i="3"/>
  <c r="AP298" i="3"/>
  <c r="AP299" i="3"/>
  <c r="AP300" i="3"/>
  <c r="AP301" i="3"/>
  <c r="AP302" i="3"/>
  <c r="AP303" i="3"/>
  <c r="AP304" i="3"/>
  <c r="AP306" i="3"/>
  <c r="AP307" i="3"/>
  <c r="AP308" i="3"/>
  <c r="AP309" i="3"/>
  <c r="AP310" i="3"/>
  <c r="AP311" i="3"/>
  <c r="AP312" i="3"/>
  <c r="AP313" i="3"/>
  <c r="AP314" i="3"/>
  <c r="AP315" i="3"/>
  <c r="AP316" i="3"/>
  <c r="AP317" i="3"/>
  <c r="AP318" i="3"/>
  <c r="AP319" i="3"/>
  <c r="AP320" i="3"/>
  <c r="AP321" i="3"/>
  <c r="AP322" i="3"/>
  <c r="AP323" i="3"/>
  <c r="AP325" i="3"/>
  <c r="AP326" i="3"/>
  <c r="AP327" i="3"/>
  <c r="AP328" i="3"/>
  <c r="AP329" i="3"/>
  <c r="AP330" i="3"/>
  <c r="AP331" i="3"/>
  <c r="AP332" i="3"/>
  <c r="AP333" i="3"/>
  <c r="AP335" i="3"/>
  <c r="AP336" i="3"/>
  <c r="AP338" i="3"/>
  <c r="AP340" i="3"/>
  <c r="AP341" i="3"/>
  <c r="AP342" i="3"/>
  <c r="AP344" i="3"/>
  <c r="AP347" i="3"/>
  <c r="AP348" i="3"/>
  <c r="AP349" i="3"/>
  <c r="AP351" i="3"/>
  <c r="AP352" i="3"/>
  <c r="AP353" i="3"/>
  <c r="AP354" i="3"/>
  <c r="AP357" i="3"/>
  <c r="AP358" i="3"/>
  <c r="AP360" i="3"/>
  <c r="AP361" i="3"/>
  <c r="AP362" i="3"/>
  <c r="AP363" i="3"/>
  <c r="AP364" i="3"/>
  <c r="AP365" i="3"/>
  <c r="AP366" i="3"/>
  <c r="AP368" i="3"/>
  <c r="AP370" i="3"/>
  <c r="AP371" i="3"/>
  <c r="AP373" i="3"/>
  <c r="AP374" i="3"/>
  <c r="AP375" i="3"/>
  <c r="AP377" i="3"/>
  <c r="AP378" i="3"/>
  <c r="AP380" i="3"/>
  <c r="AP381" i="3"/>
  <c r="AP382" i="3"/>
  <c r="AP385" i="3"/>
  <c r="AP386" i="3"/>
  <c r="AP388" i="3"/>
  <c r="AP389" i="3"/>
  <c r="AP391" i="3"/>
  <c r="AP392" i="3"/>
  <c r="AP393" i="3"/>
  <c r="AP396" i="3"/>
  <c r="AP397" i="3"/>
  <c r="AP398" i="3"/>
  <c r="AP400" i="3"/>
  <c r="AP401" i="3"/>
  <c r="AP402" i="3"/>
  <c r="AP403" i="3"/>
  <c r="AP404" i="3"/>
  <c r="AP406" i="3"/>
  <c r="AP407" i="3"/>
  <c r="AP408" i="3"/>
  <c r="AP409" i="3"/>
  <c r="AP411" i="3"/>
  <c r="AP412" i="3"/>
  <c r="AP414" i="3"/>
  <c r="AP415" i="3"/>
  <c r="AP416" i="3"/>
  <c r="AP418" i="3"/>
  <c r="AP419" i="3"/>
  <c r="AP420" i="3"/>
  <c r="AP422" i="3"/>
  <c r="AP423" i="3"/>
  <c r="AP424" i="3"/>
  <c r="AP425" i="3"/>
  <c r="AP427" i="3"/>
  <c r="AP429" i="3"/>
  <c r="AP433" i="3"/>
  <c r="AP434" i="3"/>
  <c r="AP435" i="3"/>
  <c r="AP436" i="3"/>
  <c r="AP438" i="3"/>
  <c r="AP439" i="3"/>
  <c r="AP440" i="3"/>
  <c r="AP441" i="3"/>
  <c r="AP442" i="3"/>
  <c r="AP443" i="3"/>
  <c r="AP444" i="3"/>
  <c r="AP445" i="3"/>
  <c r="AP446" i="3"/>
  <c r="AP447" i="3"/>
  <c r="AP448" i="3"/>
  <c r="AP449" i="3"/>
  <c r="AP450" i="3"/>
  <c r="AP451" i="3"/>
  <c r="AP452" i="3"/>
  <c r="AP453" i="3"/>
  <c r="AP454" i="3"/>
  <c r="AP455" i="3"/>
  <c r="AP456" i="3"/>
  <c r="AP457" i="3"/>
  <c r="AP458" i="3"/>
  <c r="AP459" i="3"/>
  <c r="AP460" i="3"/>
  <c r="AP461" i="3"/>
  <c r="AP462" i="3"/>
  <c r="AP464" i="3"/>
  <c r="AP466" i="3"/>
  <c r="AP467" i="3"/>
  <c r="AP468" i="3"/>
  <c r="AP469" i="3"/>
  <c r="AP471" i="3"/>
  <c r="AP472" i="3"/>
  <c r="AP473" i="3"/>
  <c r="AP474" i="3"/>
  <c r="AP476" i="3"/>
  <c r="AP477" i="3"/>
  <c r="AP478" i="3"/>
  <c r="AP479" i="3"/>
  <c r="AP480" i="3"/>
  <c r="AP481" i="3"/>
  <c r="AP483" i="3"/>
  <c r="AP484" i="3"/>
  <c r="AP486" i="3"/>
  <c r="AP489" i="3"/>
  <c r="AP490" i="3"/>
  <c r="AP491" i="3"/>
  <c r="AP492" i="3"/>
  <c r="AP493" i="3"/>
  <c r="AP494" i="3"/>
  <c r="AP495" i="3"/>
  <c r="AP496" i="3"/>
  <c r="AP497" i="3"/>
  <c r="AP498" i="3"/>
  <c r="AP499" i="3"/>
  <c r="AP500" i="3"/>
  <c r="AP502" i="3"/>
  <c r="AP503" i="3"/>
  <c r="AP504" i="3"/>
  <c r="AP507" i="3"/>
  <c r="AP509" i="3"/>
  <c r="AP510" i="3"/>
  <c r="AP512" i="3"/>
  <c r="AP513" i="3"/>
  <c r="AP514" i="3"/>
  <c r="AP515" i="3"/>
  <c r="AP517" i="3"/>
  <c r="AP519" i="3"/>
  <c r="AP520" i="3"/>
  <c r="AP521" i="3"/>
  <c r="AP522" i="3"/>
  <c r="AP528" i="3"/>
  <c r="AP531" i="3"/>
  <c r="AP532" i="3"/>
  <c r="AP533" i="3"/>
  <c r="AP534" i="3"/>
  <c r="AP535" i="3"/>
  <c r="AP536" i="3"/>
  <c r="AP540" i="3"/>
  <c r="AP541" i="3"/>
  <c r="AP542" i="3"/>
  <c r="AP544" i="3"/>
  <c r="AP545" i="3"/>
  <c r="AP546" i="3"/>
  <c r="AP547" i="3"/>
  <c r="AP548" i="3"/>
  <c r="AP549" i="3"/>
  <c r="AP551" i="3"/>
  <c r="AP554" i="3"/>
  <c r="AP556" i="3"/>
  <c r="AP557" i="3"/>
  <c r="AP558" i="3"/>
  <c r="AP559" i="3"/>
  <c r="AP560" i="3"/>
  <c r="AP561" i="3"/>
  <c r="AP562" i="3"/>
  <c r="AP563" i="3"/>
  <c r="AP564" i="3"/>
  <c r="AP565" i="3"/>
  <c r="AP566" i="3"/>
  <c r="AP567" i="3"/>
  <c r="AP568" i="3"/>
  <c r="AP569" i="3"/>
  <c r="AP570" i="3"/>
  <c r="AP572" i="3"/>
  <c r="AP573" i="3"/>
  <c r="AP574" i="3"/>
  <c r="AP575" i="3"/>
  <c r="AP577" i="3"/>
  <c r="AP578" i="3"/>
  <c r="AP579" i="3"/>
  <c r="AP581" i="3"/>
  <c r="AP582" i="3"/>
  <c r="AP583" i="3"/>
  <c r="AP584" i="3"/>
  <c r="AP585" i="3"/>
  <c r="AP587" i="3"/>
  <c r="AP588" i="3"/>
  <c r="AP589" i="3"/>
  <c r="AP591" i="3"/>
  <c r="AP592" i="3"/>
  <c r="AP593" i="3"/>
  <c r="AP594" i="3"/>
  <c r="AP595" i="3"/>
  <c r="AP596" i="3"/>
  <c r="AP597" i="3"/>
  <c r="AP599" i="3"/>
  <c r="AP600" i="3"/>
  <c r="AP601" i="3"/>
  <c r="AP602" i="3"/>
  <c r="AP603" i="3"/>
  <c r="AP604" i="3"/>
  <c r="AP605" i="3"/>
  <c r="AP606" i="3"/>
  <c r="AP607" i="3"/>
  <c r="AP608" i="3"/>
  <c r="AP609" i="3"/>
  <c r="AP610" i="3"/>
  <c r="AP611" i="3"/>
  <c r="AP612" i="3"/>
  <c r="AP613" i="3"/>
  <c r="AP615" i="3"/>
  <c r="AP616" i="3"/>
  <c r="AP617" i="3"/>
  <c r="AP618" i="3"/>
  <c r="AP619" i="3"/>
  <c r="AP620" i="3"/>
  <c r="AP621" i="3"/>
  <c r="AP622" i="3"/>
  <c r="AP623" i="3"/>
  <c r="AP624" i="3"/>
  <c r="AP627" i="3"/>
  <c r="AP628" i="3"/>
  <c r="AP629" i="3"/>
  <c r="AP630" i="3"/>
  <c r="AP631" i="3"/>
  <c r="AP632" i="3"/>
  <c r="AP633" i="3"/>
  <c r="AP634" i="3"/>
  <c r="AP635" i="3"/>
  <c r="AP636" i="3"/>
  <c r="AP637" i="3"/>
  <c r="AP638" i="3"/>
  <c r="AP639" i="3"/>
  <c r="AP640" i="3"/>
  <c r="AP641" i="3"/>
  <c r="AP642" i="3"/>
  <c r="AP643" i="3"/>
  <c r="AP644" i="3"/>
  <c r="AP645" i="3"/>
  <c r="AP646" i="3"/>
  <c r="AP647" i="3"/>
  <c r="AP648" i="3"/>
  <c r="AP649" i="3"/>
  <c r="AP651" i="3"/>
  <c r="AP653" i="3"/>
  <c r="AP654" i="3"/>
  <c r="AP655" i="3"/>
  <c r="AP657" i="3"/>
  <c r="AP658" i="3"/>
  <c r="AP659" i="3"/>
  <c r="AP660" i="3"/>
  <c r="AP661" i="3"/>
  <c r="AP662" i="3"/>
  <c r="AP663" i="3"/>
  <c r="AP664" i="3"/>
  <c r="AP665" i="3"/>
  <c r="AP666" i="3"/>
  <c r="AP667" i="3"/>
  <c r="AP668" i="3"/>
  <c r="AP669" i="3"/>
  <c r="AP671" i="3"/>
  <c r="AP672" i="3"/>
  <c r="AP673" i="3"/>
  <c r="AP674" i="3"/>
  <c r="AP675" i="3"/>
  <c r="AP676" i="3"/>
  <c r="AP677" i="3"/>
  <c r="AP678" i="3"/>
  <c r="AP679" i="3"/>
  <c r="AP680" i="3"/>
  <c r="AP681" i="3"/>
  <c r="AP682" i="3"/>
  <c r="AP683" i="3"/>
  <c r="AP684" i="3"/>
  <c r="AP685" i="3"/>
  <c r="AP686" i="3"/>
  <c r="AP687" i="3"/>
  <c r="AP688" i="3"/>
  <c r="AP689" i="3"/>
  <c r="AP690" i="3"/>
  <c r="AP691" i="3"/>
  <c r="AP692" i="3"/>
  <c r="AP693" i="3"/>
  <c r="AP694" i="3"/>
  <c r="AP695" i="3"/>
  <c r="AP696" i="3"/>
  <c r="AP697" i="3"/>
  <c r="AP698" i="3"/>
  <c r="AP699" i="3"/>
  <c r="AP701" i="3"/>
  <c r="AP704" i="3"/>
  <c r="AP705" i="3"/>
  <c r="AP706" i="3"/>
  <c r="AP707" i="3"/>
  <c r="AP708" i="3"/>
  <c r="AP709" i="3"/>
  <c r="AP710" i="3"/>
  <c r="AP711" i="3"/>
  <c r="AP713" i="3"/>
  <c r="AP714" i="3"/>
  <c r="AP715" i="3"/>
  <c r="AP716" i="3"/>
  <c r="AP717" i="3"/>
  <c r="AP718" i="3"/>
  <c r="AP719" i="3"/>
  <c r="AP720" i="3"/>
  <c r="AP722" i="3"/>
  <c r="AP723" i="3"/>
  <c r="AP724" i="3"/>
  <c r="AP725" i="3"/>
  <c r="AP727" i="3"/>
  <c r="AP728" i="3"/>
  <c r="AP729" i="3"/>
  <c r="AP730" i="3"/>
  <c r="AP731" i="3"/>
  <c r="AP732" i="3"/>
  <c r="AP733" i="3"/>
  <c r="AP734" i="3"/>
  <c r="AP735" i="3"/>
  <c r="AP736" i="3"/>
  <c r="AP738" i="3"/>
  <c r="AP739" i="3"/>
  <c r="AP740" i="3"/>
  <c r="AP741" i="3"/>
  <c r="AP742" i="3"/>
  <c r="AP743" i="3"/>
  <c r="AP744" i="3"/>
  <c r="AP745" i="3"/>
  <c r="AP746" i="3"/>
  <c r="AP747" i="3"/>
  <c r="AP748" i="3"/>
  <c r="AP749" i="3"/>
  <c r="AP751" i="3"/>
  <c r="AP753" i="3"/>
  <c r="AP754" i="3"/>
  <c r="AP756" i="3"/>
  <c r="AP757" i="3"/>
  <c r="AP758" i="3"/>
  <c r="AP759" i="3"/>
  <c r="AP760" i="3"/>
  <c r="AP761" i="3"/>
  <c r="AP762" i="3"/>
  <c r="AP763" i="3"/>
  <c r="AP764" i="3"/>
  <c r="AP765" i="3"/>
  <c r="AP766" i="3"/>
  <c r="AP767" i="3"/>
  <c r="AP768" i="3"/>
  <c r="AP769" i="3"/>
  <c r="AP770" i="3"/>
  <c r="AP771" i="3"/>
  <c r="AP772" i="3"/>
  <c r="AP773" i="3"/>
  <c r="AP774" i="3"/>
  <c r="AP775" i="3"/>
  <c r="AP776" i="3"/>
  <c r="AP777" i="3"/>
  <c r="AP778" i="3"/>
  <c r="AP779" i="3"/>
  <c r="AP781" i="3"/>
  <c r="AP782" i="3"/>
  <c r="AP783" i="3"/>
  <c r="AP784" i="3"/>
  <c r="AP785" i="3"/>
  <c r="AP786" i="3"/>
  <c r="AP788" i="3"/>
  <c r="AP789" i="3"/>
  <c r="AP790" i="3"/>
  <c r="AP791" i="3"/>
  <c r="AP792" i="3"/>
  <c r="AP793" i="3"/>
  <c r="AP794" i="3"/>
  <c r="AP795" i="3"/>
  <c r="AP796" i="3"/>
  <c r="AP798" i="3"/>
  <c r="AP799" i="3"/>
  <c r="AP800" i="3"/>
  <c r="AP801" i="3"/>
  <c r="AP803" i="3"/>
  <c r="AP804" i="3"/>
  <c r="AP805" i="3"/>
  <c r="AP806" i="3"/>
  <c r="AP807" i="3"/>
  <c r="AP808" i="3"/>
  <c r="AP809" i="3"/>
  <c r="AP810" i="3"/>
  <c r="AP811" i="3"/>
  <c r="AP812" i="3"/>
  <c r="AP813" i="3"/>
  <c r="AP815" i="3"/>
  <c r="AP816" i="3"/>
  <c r="AP817" i="3"/>
  <c r="AP818" i="3"/>
  <c r="AP819" i="3"/>
  <c r="AP820" i="3"/>
  <c r="AP821" i="3"/>
  <c r="AP822" i="3"/>
  <c r="AP824" i="3"/>
  <c r="AP825" i="3"/>
  <c r="AP826" i="3"/>
  <c r="AP828" i="3"/>
  <c r="AP829" i="3"/>
  <c r="AP830" i="3"/>
  <c r="AP831" i="3"/>
  <c r="AP832" i="3"/>
  <c r="AP833" i="3"/>
  <c r="AP834" i="3"/>
  <c r="AP835" i="3"/>
  <c r="AP836" i="3"/>
  <c r="AP837" i="3"/>
  <c r="AP838" i="3"/>
  <c r="AP839" i="3"/>
  <c r="AP840" i="3"/>
  <c r="AP841" i="3"/>
  <c r="AP842" i="3"/>
  <c r="AP843" i="3"/>
  <c r="AP844" i="3"/>
  <c r="AP845" i="3"/>
  <c r="AP846" i="3"/>
  <c r="AP847" i="3"/>
  <c r="AP848" i="3"/>
  <c r="AP849" i="3"/>
  <c r="AP850" i="3"/>
  <c r="AP851" i="3"/>
  <c r="AP852" i="3"/>
  <c r="AP853" i="3"/>
  <c r="AP854" i="3"/>
  <c r="AP855" i="3"/>
  <c r="AP857" i="3"/>
  <c r="AP858" i="3"/>
  <c r="AP859" i="3"/>
  <c r="AP860" i="3"/>
  <c r="AP861" i="3"/>
  <c r="AP862" i="3"/>
  <c r="AP864" i="3"/>
  <c r="AP865" i="3"/>
  <c r="AP866" i="3"/>
  <c r="AP867" i="3"/>
  <c r="AP868" i="3"/>
  <c r="AP869" i="3"/>
  <c r="AP870" i="3"/>
  <c r="AP871" i="3"/>
  <c r="AP872" i="3"/>
  <c r="AP873" i="3"/>
  <c r="AP875" i="3"/>
  <c r="AP876" i="3"/>
  <c r="AP877" i="3"/>
  <c r="AP878" i="3"/>
  <c r="AP879" i="3"/>
  <c r="AP880" i="3"/>
  <c r="AP882" i="3"/>
  <c r="AP884" i="3"/>
  <c r="AP885" i="3"/>
  <c r="AP886" i="3"/>
  <c r="AP887" i="3"/>
  <c r="AP888" i="3"/>
  <c r="AP889" i="3"/>
  <c r="AP890" i="3"/>
  <c r="AP891" i="3"/>
  <c r="AP892" i="3"/>
  <c r="AP893" i="3"/>
  <c r="AP894" i="3"/>
  <c r="AP895" i="3"/>
  <c r="AP896" i="3"/>
  <c r="AP897" i="3"/>
  <c r="AP898" i="3"/>
  <c r="AP899" i="3"/>
  <c r="AP900" i="3"/>
  <c r="AP901" i="3"/>
  <c r="AP902" i="3"/>
  <c r="AP903" i="3"/>
  <c r="AP904" i="3"/>
  <c r="AP905" i="3"/>
  <c r="AP906" i="3"/>
  <c r="AP907" i="3"/>
  <c r="AP908" i="3"/>
  <c r="AP909" i="3"/>
  <c r="AP910" i="3"/>
  <c r="AP911" i="3"/>
  <c r="AP912" i="3"/>
  <c r="AP913" i="3"/>
  <c r="AP914" i="3"/>
  <c r="AP915" i="3"/>
  <c r="AP917" i="3"/>
  <c r="AP918" i="3"/>
  <c r="AP919" i="3"/>
  <c r="AP920" i="3"/>
  <c r="AP921" i="3"/>
  <c r="AP922" i="3"/>
  <c r="AP923" i="3"/>
  <c r="AP924" i="3"/>
  <c r="AP925" i="3"/>
  <c r="AP926" i="3"/>
  <c r="AP927" i="3"/>
  <c r="AP928" i="3"/>
  <c r="AP929" i="3"/>
  <c r="AP930" i="3"/>
  <c r="AP932" i="3"/>
  <c r="AP933" i="3"/>
  <c r="AP934" i="3"/>
  <c r="AP935" i="3"/>
  <c r="AP936" i="3"/>
  <c r="AP937" i="3"/>
  <c r="AP938" i="3"/>
  <c r="AP939" i="3"/>
  <c r="AP940" i="3"/>
  <c r="AP941" i="3"/>
  <c r="AP942" i="3"/>
  <c r="AP943" i="3"/>
  <c r="AP944" i="3"/>
  <c r="AP945" i="3"/>
  <c r="AP946" i="3"/>
  <c r="AP947" i="3"/>
  <c r="AP948" i="3"/>
  <c r="AP949" i="3"/>
  <c r="AP950" i="3"/>
  <c r="AP952" i="3"/>
  <c r="AP953" i="3"/>
  <c r="AP954" i="3"/>
  <c r="AP955" i="3"/>
  <c r="AP956" i="3"/>
  <c r="AP957" i="3"/>
  <c r="AP958" i="3"/>
  <c r="AP959" i="3"/>
  <c r="AP961" i="3"/>
  <c r="AP963" i="3"/>
  <c r="AP964" i="3"/>
  <c r="AP965" i="3"/>
  <c r="AP967" i="3"/>
  <c r="AP968" i="3"/>
  <c r="AP969" i="3"/>
  <c r="AP970" i="3"/>
  <c r="AP971" i="3"/>
  <c r="AP972" i="3"/>
  <c r="AP973" i="3"/>
  <c r="AP974" i="3"/>
  <c r="AP975" i="3"/>
  <c r="AP976" i="3"/>
  <c r="AP977" i="3"/>
  <c r="AP979" i="3"/>
  <c r="AP980" i="3"/>
  <c r="AP981" i="3"/>
  <c r="AP982" i="3"/>
  <c r="AP984" i="3"/>
  <c r="AP985" i="3"/>
  <c r="AP986" i="3"/>
  <c r="AP987" i="3"/>
  <c r="AP990" i="3"/>
  <c r="AM3" i="3"/>
  <c r="AM5" i="3"/>
  <c r="AM6" i="3"/>
  <c r="AM10" i="3"/>
  <c r="AM11" i="3"/>
  <c r="AM12" i="3"/>
  <c r="AM14" i="3"/>
  <c r="AM15" i="3"/>
  <c r="AM18" i="3"/>
  <c r="AM21" i="3"/>
  <c r="AM23" i="3"/>
  <c r="AM25" i="3"/>
  <c r="AM29" i="3"/>
  <c r="AM32" i="3"/>
  <c r="AM33" i="3"/>
  <c r="AM35" i="3"/>
  <c r="AM36" i="3"/>
  <c r="AM37" i="3"/>
  <c r="AM38" i="3"/>
  <c r="AM41" i="3"/>
  <c r="AM46" i="3"/>
  <c r="AM50" i="3"/>
  <c r="AM51" i="3"/>
  <c r="AM52" i="3"/>
  <c r="AM55" i="3"/>
  <c r="AM57" i="3"/>
  <c r="AM58" i="3"/>
  <c r="AM59" i="3"/>
  <c r="AM61" i="3"/>
  <c r="AM67" i="3"/>
  <c r="AM68" i="3"/>
  <c r="AM69" i="3"/>
  <c r="AM70" i="3"/>
  <c r="AM81" i="3"/>
  <c r="AM82" i="3"/>
  <c r="AM83" i="3"/>
  <c r="AM88" i="3"/>
  <c r="AM93" i="3"/>
  <c r="AM96" i="3"/>
  <c r="AM98" i="3"/>
  <c r="AM105" i="3"/>
  <c r="AM106" i="3"/>
  <c r="AM108" i="3"/>
  <c r="AM109" i="3"/>
  <c r="AM117" i="3"/>
  <c r="AM118" i="3"/>
  <c r="AM119" i="3"/>
  <c r="AM120" i="3"/>
  <c r="AM122" i="3"/>
  <c r="AM123" i="3"/>
  <c r="AM124" i="3"/>
  <c r="AM127" i="3"/>
  <c r="AM128" i="3"/>
  <c r="AM129" i="3"/>
  <c r="AM131" i="3"/>
  <c r="AM135" i="3"/>
  <c r="AM137" i="3"/>
  <c r="AM139" i="3"/>
  <c r="AM140" i="3"/>
  <c r="AM141" i="3"/>
  <c r="AM145" i="3"/>
  <c r="AM150" i="3"/>
  <c r="AM151" i="3"/>
  <c r="AM156" i="3"/>
  <c r="AM157" i="3"/>
  <c r="AM158" i="3"/>
  <c r="AM159" i="3"/>
  <c r="AM160" i="3"/>
  <c r="AM162" i="3"/>
  <c r="AM165" i="3"/>
  <c r="AM167" i="3"/>
  <c r="AM169" i="3"/>
  <c r="AM172" i="3"/>
  <c r="AM173" i="3"/>
  <c r="AM175" i="3"/>
  <c r="AM176" i="3"/>
  <c r="AM190" i="3"/>
  <c r="AM192" i="3"/>
  <c r="AM193" i="3"/>
  <c r="AM194" i="3"/>
  <c r="AM224" i="3"/>
  <c r="AM225" i="3"/>
  <c r="AM226" i="3"/>
  <c r="AM251" i="3"/>
  <c r="AM253" i="3"/>
  <c r="AM256" i="3"/>
  <c r="AM264" i="3"/>
  <c r="AM266" i="3"/>
  <c r="AM269" i="3"/>
  <c r="AM277" i="3"/>
  <c r="AM279" i="3"/>
  <c r="AM287" i="3"/>
  <c r="AM289" i="3"/>
  <c r="AM291" i="3"/>
  <c r="AM299" i="3"/>
  <c r="AM300" i="3"/>
  <c r="AM319" i="3"/>
  <c r="AM326" i="3"/>
  <c r="AM360" i="3"/>
  <c r="AM361" i="3"/>
  <c r="AM365" i="3"/>
  <c r="AM373" i="3"/>
  <c r="AM397" i="3"/>
  <c r="AM400" i="3"/>
  <c r="AM406" i="3"/>
  <c r="AM407" i="3"/>
  <c r="AM412" i="3"/>
  <c r="AM434" i="3"/>
  <c r="AM444" i="3"/>
  <c r="AM451" i="3"/>
  <c r="AM455" i="3"/>
  <c r="AM457" i="3"/>
  <c r="AM458" i="3"/>
  <c r="AM461" i="3"/>
  <c r="AM497" i="3"/>
  <c r="AM499" i="3"/>
  <c r="AM515" i="3"/>
  <c r="AM541" i="3"/>
  <c r="AM542" i="3"/>
  <c r="AM545" i="3"/>
  <c r="AM546" i="3"/>
  <c r="AM548" i="3"/>
  <c r="AM556" i="3"/>
  <c r="AM558" i="3"/>
  <c r="AM561" i="3"/>
  <c r="AM566" i="3"/>
  <c r="AM568" i="3"/>
  <c r="AM569" i="3"/>
  <c r="AM570" i="3"/>
  <c r="AM574" i="3"/>
  <c r="AM575" i="3"/>
  <c r="AM582" i="3"/>
  <c r="AM598" i="3"/>
  <c r="AM601" i="3"/>
  <c r="AM602" i="3"/>
  <c r="AM605" i="3"/>
  <c r="AM606" i="3"/>
  <c r="AM607" i="3"/>
  <c r="AM608" i="3"/>
  <c r="AM614" i="3"/>
  <c r="AM619" i="3"/>
  <c r="AM622" i="3"/>
  <c r="AM623" i="3"/>
  <c r="AM624" i="3"/>
  <c r="AM625" i="3"/>
  <c r="AM629" i="3"/>
  <c r="AM631" i="3"/>
  <c r="AM632" i="3"/>
  <c r="AM634" i="3"/>
  <c r="AM639" i="3"/>
  <c r="AM642" i="3"/>
  <c r="AM647" i="3"/>
  <c r="AM648" i="3"/>
  <c r="AM649" i="3"/>
  <c r="AM651" i="3"/>
  <c r="AM658" i="3"/>
  <c r="AM659" i="3"/>
  <c r="AM660" i="3"/>
  <c r="AM662" i="3"/>
  <c r="AM667" i="3"/>
  <c r="AM668" i="3"/>
  <c r="AM669" i="3"/>
  <c r="AM671" i="3"/>
  <c r="AM672" i="3"/>
  <c r="AM673" i="3"/>
  <c r="AM674" i="3"/>
  <c r="AM675" i="3"/>
  <c r="AM683" i="3"/>
  <c r="AM684" i="3"/>
  <c r="AM692" i="3"/>
  <c r="AM696" i="3"/>
  <c r="AM697" i="3"/>
  <c r="AM704" i="3"/>
  <c r="AM707" i="3"/>
  <c r="AM713" i="3"/>
  <c r="AM715" i="3"/>
  <c r="AM716" i="3"/>
  <c r="AM717" i="3"/>
  <c r="AM718" i="3"/>
  <c r="AM719" i="3"/>
  <c r="AM720" i="3"/>
  <c r="AM723" i="3"/>
  <c r="AM730" i="3"/>
  <c r="AM732" i="3"/>
  <c r="AM733" i="3"/>
  <c r="AM738" i="3"/>
  <c r="AM742" i="3"/>
  <c r="AM744" i="3"/>
  <c r="AM749" i="3"/>
  <c r="AM751" i="3"/>
  <c r="AM756" i="3"/>
  <c r="AM763" i="3"/>
  <c r="AM766" i="3"/>
  <c r="AM773" i="3"/>
  <c r="AM774" i="3"/>
  <c r="AM777" i="3"/>
  <c r="AM778" i="3"/>
  <c r="AM779" i="3"/>
  <c r="AM780" i="3"/>
  <c r="AM781" i="3"/>
  <c r="AM783" i="3"/>
  <c r="AM784" i="3"/>
  <c r="AM785" i="3"/>
  <c r="AM788" i="3"/>
  <c r="AM789" i="3"/>
  <c r="AM791" i="3"/>
  <c r="AM792" i="3"/>
  <c r="AM796" i="3"/>
  <c r="AM799" i="3"/>
  <c r="AM806" i="3"/>
  <c r="AM807" i="3"/>
  <c r="AM808" i="3"/>
  <c r="AM810" i="3"/>
  <c r="AM813" i="3"/>
  <c r="AM815" i="3"/>
  <c r="AM816" i="3"/>
  <c r="AM817" i="3"/>
  <c r="AM818" i="3"/>
  <c r="AM821" i="3"/>
  <c r="AM823" i="3"/>
  <c r="AM824" i="3"/>
  <c r="AM829" i="3"/>
  <c r="AM830" i="3"/>
  <c r="AM832" i="3"/>
  <c r="AM839" i="3"/>
  <c r="AM841" i="3"/>
  <c r="AM846" i="3"/>
  <c r="AM847" i="3"/>
  <c r="AM849" i="3"/>
  <c r="AM850" i="3"/>
  <c r="AM852" i="3"/>
  <c r="AM855" i="3"/>
  <c r="AM858" i="3"/>
  <c r="AM859" i="3"/>
  <c r="AM860" i="3"/>
  <c r="AM862" i="3"/>
  <c r="AM863" i="3"/>
  <c r="AM867" i="3"/>
  <c r="AM868" i="3"/>
  <c r="AM869" i="3"/>
  <c r="AM876" i="3"/>
  <c r="AM879" i="3"/>
  <c r="AM884" i="3"/>
  <c r="AM886" i="3"/>
  <c r="AM887" i="3"/>
  <c r="AM888" i="3"/>
  <c r="AM891" i="3"/>
  <c r="AM892" i="3"/>
  <c r="AM894" i="3"/>
  <c r="AM895" i="3"/>
  <c r="AM897" i="3"/>
  <c r="AM898" i="3"/>
  <c r="AM903" i="3"/>
  <c r="AM906" i="3"/>
  <c r="AM907" i="3"/>
  <c r="AM909" i="3"/>
  <c r="AM914" i="3"/>
  <c r="AM918" i="3"/>
  <c r="AM919" i="3"/>
  <c r="AM921" i="3"/>
  <c r="AM928" i="3"/>
  <c r="AM933" i="3"/>
  <c r="AM934" i="3"/>
  <c r="AM936" i="3"/>
  <c r="AM941" i="3"/>
  <c r="AM945" i="3"/>
  <c r="AM946" i="3"/>
  <c r="AM949" i="3"/>
  <c r="AM954" i="3"/>
  <c r="AM955" i="3"/>
  <c r="AM956" i="3"/>
  <c r="AM957" i="3"/>
  <c r="AM958" i="3"/>
  <c r="AM960" i="3"/>
  <c r="AM965" i="3"/>
  <c r="AM967" i="3"/>
  <c r="AM968" i="3"/>
  <c r="AM969" i="3"/>
  <c r="AM971" i="3"/>
  <c r="AM972" i="3"/>
  <c r="AM973" i="3"/>
  <c r="AM974" i="3"/>
  <c r="AM978" i="3"/>
  <c r="AM979" i="3"/>
  <c r="AM980" i="3"/>
  <c r="AM982" i="3"/>
  <c r="AM984" i="3"/>
  <c r="AM988" i="3"/>
  <c r="AM990" i="3"/>
  <c r="AK73" i="3"/>
  <c r="AK358" i="3"/>
  <c r="AK411" i="3"/>
  <c r="AK775" i="3"/>
  <c r="BB104" i="1"/>
  <c r="BB309" i="1"/>
  <c r="BB310" i="1"/>
  <c r="BB913" i="1"/>
  <c r="BB966" i="1"/>
  <c r="BB1160"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Z1171" i="1"/>
  <c r="Z1172" i="1"/>
  <c r="Z1173" i="1"/>
  <c r="Z1174" i="1"/>
  <c r="Z1175" i="1"/>
  <c r="Z1176" i="1"/>
  <c r="Z1177" i="1"/>
  <c r="Z1178" i="1"/>
  <c r="Z1179" i="1"/>
  <c r="Z1180" i="1"/>
  <c r="Z1181" i="1"/>
  <c r="Z1182" i="1"/>
  <c r="Z1183" i="1"/>
  <c r="Z1184" i="1"/>
  <c r="Z1185" i="1"/>
  <c r="Z1186" i="1"/>
  <c r="Z1187" i="1"/>
  <c r="Z1188" i="1"/>
  <c r="Z1189" i="1"/>
  <c r="Z1190" i="1"/>
  <c r="Z1191" i="1"/>
  <c r="Z1192" i="1"/>
  <c r="Z1193" i="1"/>
  <c r="Z1194" i="1"/>
  <c r="Z1195" i="1"/>
  <c r="Z1196" i="1"/>
  <c r="Z1197" i="1"/>
  <c r="Z1198" i="1"/>
  <c r="Z1199" i="1"/>
  <c r="Z1200" i="1"/>
  <c r="Z1201" i="1"/>
  <c r="Z1202" i="1"/>
  <c r="Z1203" i="1"/>
  <c r="Z1204" i="1"/>
  <c r="Z1205" i="1"/>
  <c r="Z1206" i="1"/>
  <c r="Z1207" i="1"/>
  <c r="Z1208" i="1"/>
  <c r="Z1209" i="1"/>
  <c r="Z1210" i="1"/>
  <c r="Z1211" i="1"/>
  <c r="Z1212" i="1"/>
  <c r="Z1213" i="1"/>
  <c r="Z1214" i="1"/>
  <c r="Z1215" i="1"/>
  <c r="Z1216" i="1"/>
  <c r="Z1217" i="1"/>
  <c r="Z1218" i="1"/>
  <c r="Z1219" i="1"/>
  <c r="Z1220" i="1"/>
  <c r="Z1221" i="1"/>
  <c r="Z1222" i="1"/>
  <c r="Z1223" i="1"/>
  <c r="Z1224" i="1"/>
  <c r="Z1225" i="1"/>
  <c r="Z1226" i="1"/>
  <c r="Z1227" i="1"/>
  <c r="Z1228" i="1"/>
  <c r="Z1229" i="1"/>
  <c r="Z1230" i="1"/>
  <c r="Z1231" i="1"/>
  <c r="Z1232" i="1"/>
  <c r="Z1233" i="1"/>
  <c r="Z1234" i="1"/>
  <c r="Z1235" i="1"/>
  <c r="Z1236" i="1"/>
  <c r="Z1237" i="1"/>
  <c r="Z1238" i="1"/>
  <c r="Z1239" i="1"/>
  <c r="Z1240" i="1"/>
  <c r="Z1241" i="1"/>
  <c r="Z1242" i="1"/>
  <c r="Z1243" i="1"/>
  <c r="Z1244" i="1"/>
  <c r="Z1245" i="1"/>
  <c r="Z1246" i="1"/>
  <c r="Z1247" i="1"/>
  <c r="Z1248" i="1"/>
  <c r="Z1249" i="1"/>
  <c r="Z1250" i="1"/>
  <c r="Z1251" i="1"/>
  <c r="Z1252" i="1"/>
  <c r="Z1253" i="1"/>
  <c r="Z1254" i="1"/>
  <c r="Z1255" i="1"/>
  <c r="Z1256" i="1"/>
  <c r="Z1257" i="1"/>
  <c r="Z1258" i="1"/>
  <c r="Z1259" i="1"/>
  <c r="Z1260" i="1"/>
  <c r="Z1261" i="1"/>
  <c r="Z1262" i="1"/>
  <c r="Z1263" i="1"/>
  <c r="Z1264" i="1"/>
  <c r="Z1265" i="1"/>
  <c r="Z1266" i="1"/>
  <c r="Z1267" i="1"/>
  <c r="Z1268" i="1"/>
  <c r="Z1269" i="1"/>
  <c r="Z1270" i="1"/>
  <c r="Z1271" i="1"/>
  <c r="Z1272" i="1"/>
  <c r="Z1273" i="1"/>
  <c r="Z1274" i="1"/>
  <c r="Z1275" i="1"/>
  <c r="Z1276" i="1"/>
  <c r="Z1277" i="1"/>
  <c r="Z1278" i="1"/>
  <c r="Z1279" i="1"/>
  <c r="Z1280" i="1"/>
  <c r="Z1281" i="1"/>
  <c r="Z1282" i="1"/>
  <c r="Z1283" i="1"/>
  <c r="Z1284" i="1"/>
  <c r="Z1285" i="1"/>
  <c r="Z1286" i="1"/>
  <c r="Z1287" i="1"/>
  <c r="Z1288" i="1"/>
  <c r="Z1289" i="1"/>
  <c r="Z1290" i="1"/>
  <c r="Z1291" i="1"/>
  <c r="Z1292" i="1"/>
  <c r="Z1293" i="1"/>
  <c r="Z1294" i="1"/>
  <c r="Z1295" i="1"/>
  <c r="Z1296" i="1"/>
  <c r="Z1297" i="1"/>
  <c r="Z1298" i="1"/>
  <c r="Z1299" i="1"/>
  <c r="Z1300" i="1"/>
  <c r="Z1301" i="1"/>
  <c r="Z1302" i="1"/>
  <c r="Z1303" i="1"/>
  <c r="Z1304" i="1"/>
  <c r="Z1305" i="1"/>
  <c r="Z1306" i="1"/>
  <c r="Z1307" i="1"/>
  <c r="Z1308" i="1"/>
  <c r="Z1309" i="1"/>
  <c r="Z1310" i="1"/>
  <c r="Z1311" i="1"/>
  <c r="Z1312" i="1"/>
  <c r="Z1313" i="1"/>
  <c r="Z1314" i="1"/>
  <c r="Z1315" i="1"/>
  <c r="Z1316" i="1"/>
  <c r="Z1317" i="1"/>
  <c r="Z1318" i="1"/>
  <c r="Z1319" i="1"/>
  <c r="Z1320"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U4" i="1"/>
  <c r="U8" i="1"/>
  <c r="U9" i="1"/>
  <c r="U14" i="1"/>
  <c r="U15" i="1"/>
  <c r="U28" i="1"/>
  <c r="U29" i="1"/>
  <c r="U30" i="1"/>
  <c r="U31" i="1"/>
  <c r="U78" i="1"/>
  <c r="U92" i="1"/>
  <c r="U97" i="1"/>
  <c r="U104" i="1"/>
  <c r="U123" i="1"/>
  <c r="U143" i="1"/>
  <c r="U144" i="1"/>
  <c r="U145" i="1"/>
  <c r="U147" i="1"/>
  <c r="U154" i="1"/>
  <c r="U165" i="1"/>
  <c r="U166" i="1"/>
  <c r="U167" i="1"/>
  <c r="U168"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40" i="1"/>
  <c r="U241" i="1"/>
  <c r="U242" i="1"/>
  <c r="U243" i="1"/>
  <c r="U244" i="1"/>
  <c r="U245" i="1"/>
  <c r="U246" i="1"/>
  <c r="U247" i="1"/>
  <c r="U248" i="1"/>
  <c r="U249" i="1"/>
  <c r="U253" i="1"/>
  <c r="U254" i="1"/>
  <c r="U255" i="1"/>
  <c r="U256" i="1"/>
  <c r="U257" i="1"/>
  <c r="U258" i="1"/>
  <c r="U259" i="1"/>
  <c r="U260" i="1"/>
  <c r="U261" i="1"/>
  <c r="U262" i="1"/>
  <c r="U263" i="1"/>
  <c r="U264" i="1"/>
  <c r="U265" i="1"/>
  <c r="U266" i="1"/>
  <c r="U267" i="1"/>
  <c r="U268" i="1"/>
  <c r="U269" i="1"/>
  <c r="U271" i="1"/>
  <c r="U272" i="1"/>
  <c r="U273" i="1"/>
  <c r="U274" i="1"/>
  <c r="U275" i="1"/>
  <c r="U276" i="1"/>
  <c r="U277" i="1"/>
  <c r="U278" i="1"/>
  <c r="U279" i="1"/>
  <c r="U280" i="1"/>
  <c r="U281" i="1"/>
  <c r="U282" i="1"/>
  <c r="U283" i="1"/>
  <c r="U284" i="1"/>
  <c r="U288" i="1"/>
  <c r="U289" i="1"/>
  <c r="U290" i="1"/>
  <c r="U291" i="1"/>
  <c r="U292" i="1"/>
  <c r="U293" i="1"/>
  <c r="U294" i="1"/>
  <c r="U295" i="1"/>
  <c r="U296" i="1"/>
  <c r="U297" i="1"/>
  <c r="U298" i="1"/>
  <c r="U299" i="1"/>
  <c r="U300" i="1"/>
  <c r="U301" i="1"/>
  <c r="U302" i="1"/>
  <c r="U303" i="1"/>
  <c r="U304" i="1"/>
  <c r="U305"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71" i="1"/>
  <c r="U372"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3" i="1"/>
  <c r="U414" i="1"/>
  <c r="U415" i="1"/>
  <c r="U416" i="1"/>
  <c r="U417" i="1"/>
  <c r="U418" i="1"/>
  <c r="U419" i="1"/>
  <c r="U420" i="1"/>
  <c r="U421" i="1"/>
  <c r="U422"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6" i="1"/>
  <c r="U467" i="1"/>
  <c r="U469" i="1"/>
  <c r="U470" i="1"/>
  <c r="U471" i="1"/>
  <c r="U472" i="1"/>
  <c r="U473" i="1"/>
  <c r="U474" i="1"/>
  <c r="U475" i="1"/>
  <c r="U476" i="1"/>
  <c r="U477" i="1"/>
  <c r="U478" i="1"/>
  <c r="U479" i="1"/>
  <c r="U480" i="1"/>
  <c r="U481" i="1"/>
  <c r="U482" i="1"/>
  <c r="U486" i="1"/>
  <c r="U487" i="1"/>
  <c r="U488"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60" i="1"/>
  <c r="U561" i="1"/>
  <c r="U563" i="1"/>
  <c r="U564" i="1"/>
  <c r="U565" i="1"/>
  <c r="U566" i="1"/>
  <c r="U567" i="1"/>
  <c r="U568" i="1"/>
  <c r="U569" i="1"/>
  <c r="U570" i="1"/>
  <c r="U571" i="1"/>
  <c r="U572" i="1"/>
  <c r="U573" i="1"/>
  <c r="U574" i="1"/>
  <c r="U575" i="1"/>
  <c r="U576" i="1"/>
  <c r="U577" i="1"/>
  <c r="U578" i="1"/>
  <c r="U579" i="1"/>
  <c r="U580" i="1"/>
  <c r="U581" i="1"/>
  <c r="U582"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7" i="1"/>
  <c r="U628" i="1"/>
  <c r="U629" i="1"/>
  <c r="U630" i="1"/>
  <c r="U631" i="1"/>
  <c r="U632" i="1"/>
  <c r="U633" i="1"/>
  <c r="U634" i="1"/>
  <c r="U635" i="1"/>
  <c r="U636" i="1"/>
  <c r="U637" i="1"/>
  <c r="U638" i="1"/>
  <c r="U639" i="1"/>
  <c r="U640" i="1"/>
  <c r="U651" i="1"/>
  <c r="U652" i="1"/>
  <c r="U653" i="1"/>
  <c r="U654" i="1"/>
  <c r="U655" i="1"/>
  <c r="U656" i="1"/>
  <c r="U657" i="1"/>
  <c r="U658" i="1"/>
  <c r="U659" i="1"/>
  <c r="U660" i="1"/>
  <c r="U661" i="1"/>
  <c r="U662" i="1"/>
  <c r="U663" i="1"/>
  <c r="U664" i="1"/>
  <c r="U665" i="1"/>
  <c r="U666" i="1"/>
  <c r="U667" i="1"/>
  <c r="U668" i="1"/>
  <c r="U671" i="1"/>
  <c r="U672" i="1"/>
  <c r="U673" i="1"/>
  <c r="U674" i="1"/>
  <c r="U675" i="1"/>
  <c r="U676" i="1"/>
  <c r="U677" i="1"/>
  <c r="U679" i="1"/>
  <c r="U680" i="1"/>
  <c r="U685" i="1"/>
  <c r="U686" i="1"/>
  <c r="U687" i="1"/>
  <c r="U688" i="1"/>
  <c r="U689" i="1"/>
  <c r="U690" i="1"/>
  <c r="U691" i="1"/>
  <c r="U692" i="1"/>
  <c r="U693" i="1"/>
  <c r="U694" i="1"/>
  <c r="U695" i="1"/>
  <c r="U696" i="1"/>
  <c r="U697" i="1"/>
  <c r="U698" i="1"/>
  <c r="U700" i="1"/>
  <c r="U701" i="1"/>
  <c r="U702" i="1"/>
  <c r="U703" i="1"/>
  <c r="U704" i="1"/>
  <c r="U705" i="1"/>
  <c r="U706" i="1"/>
  <c r="U707" i="1"/>
  <c r="U708" i="1"/>
  <c r="U709" i="1"/>
  <c r="U710" i="1"/>
  <c r="U712" i="1"/>
  <c r="U713" i="1"/>
  <c r="U714" i="1"/>
  <c r="U715" i="1"/>
  <c r="U716" i="1"/>
  <c r="U717" i="1"/>
  <c r="U718" i="1"/>
  <c r="U719" i="1"/>
  <c r="U720" i="1"/>
  <c r="U721" i="1"/>
  <c r="U722" i="1"/>
  <c r="U724" i="1"/>
  <c r="U725" i="1"/>
  <c r="U726" i="1"/>
  <c r="U727" i="1"/>
  <c r="U728" i="1"/>
  <c r="U729" i="1"/>
  <c r="U730" i="1"/>
  <c r="U731" i="1"/>
  <c r="U732" i="1"/>
  <c r="U733" i="1"/>
  <c r="U735" i="1"/>
  <c r="U736" i="1"/>
  <c r="U737" i="1"/>
  <c r="U738" i="1"/>
  <c r="U739" i="1"/>
  <c r="U740" i="1"/>
  <c r="U742" i="1"/>
  <c r="U743" i="1"/>
  <c r="U744" i="1"/>
  <c r="U745" i="1"/>
  <c r="U746" i="1"/>
  <c r="U747" i="1"/>
  <c r="U748" i="1"/>
  <c r="U749" i="1"/>
  <c r="U750" i="1"/>
  <c r="U751" i="1"/>
  <c r="U752" i="1"/>
  <c r="U753" i="1"/>
  <c r="U754" i="1"/>
  <c r="U755" i="1"/>
  <c r="U756" i="1"/>
  <c r="U757" i="1"/>
  <c r="U758" i="1"/>
  <c r="U759"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3" i="1"/>
  <c r="U794" i="1"/>
  <c r="U798" i="1"/>
  <c r="U799" i="1"/>
  <c r="U800" i="1"/>
  <c r="U801" i="1"/>
  <c r="U802" i="1"/>
  <c r="U803" i="1"/>
  <c r="U804" i="1"/>
  <c r="U805" i="1"/>
  <c r="U806" i="1"/>
  <c r="U807" i="1"/>
  <c r="U808" i="1"/>
  <c r="U811" i="1"/>
  <c r="U812" i="1"/>
  <c r="U815" i="1"/>
  <c r="U816" i="1"/>
  <c r="U827" i="1"/>
  <c r="U828" i="1"/>
  <c r="U830" i="1"/>
  <c r="U831" i="1"/>
  <c r="U832" i="1"/>
  <c r="U833" i="1"/>
  <c r="U834" i="1"/>
  <c r="U835" i="1"/>
  <c r="U837" i="1"/>
  <c r="U838" i="1"/>
  <c r="U839" i="1"/>
  <c r="U840" i="1"/>
  <c r="U848" i="1"/>
  <c r="U849" i="1"/>
  <c r="U850" i="1"/>
  <c r="U851" i="1"/>
  <c r="U852" i="1"/>
  <c r="U853" i="1"/>
  <c r="U854" i="1"/>
  <c r="U855" i="1"/>
  <c r="U857" i="1"/>
  <c r="U858" i="1"/>
  <c r="U864" i="1"/>
  <c r="U865" i="1"/>
  <c r="U866" i="1"/>
  <c r="U867" i="1"/>
  <c r="U869" i="1"/>
  <c r="U870" i="1"/>
  <c r="U874" i="1"/>
  <c r="U875" i="1"/>
  <c r="U877" i="1"/>
  <c r="U878" i="1"/>
  <c r="U879" i="1"/>
  <c r="U880" i="1"/>
  <c r="U883" i="1"/>
  <c r="U884" i="1"/>
  <c r="U885" i="1"/>
  <c r="U887" i="1"/>
  <c r="U888" i="1"/>
  <c r="U912" i="1"/>
  <c r="U926" i="1"/>
  <c r="U929" i="1"/>
  <c r="U933" i="1"/>
  <c r="U947" i="1"/>
  <c r="U948" i="1"/>
  <c r="U953" i="1"/>
  <c r="U964" i="1"/>
  <c r="U965" i="1"/>
  <c r="U966" i="1"/>
  <c r="U968" i="1"/>
  <c r="U970" i="1"/>
  <c r="U975" i="1"/>
  <c r="U977" i="1"/>
  <c r="U978" i="1"/>
  <c r="U988" i="1"/>
  <c r="U989" i="1"/>
  <c r="U990" i="1"/>
  <c r="U991" i="1"/>
  <c r="U992" i="1"/>
  <c r="U993" i="1"/>
  <c r="U994" i="1"/>
  <c r="U999" i="1"/>
  <c r="U1000" i="1"/>
  <c r="U1001" i="1"/>
  <c r="U1002" i="1"/>
  <c r="U1003" i="1"/>
  <c r="U1018" i="1"/>
  <c r="U1019" i="1"/>
  <c r="U1022" i="1"/>
  <c r="U1027" i="1"/>
  <c r="U1032" i="1"/>
  <c r="U1035" i="1"/>
  <c r="U1044" i="1"/>
  <c r="U1045" i="1"/>
  <c r="U1046" i="1"/>
  <c r="U1047" i="1"/>
  <c r="U1048" i="1"/>
  <c r="U1049" i="1"/>
  <c r="U1053" i="1"/>
  <c r="U1054" i="1"/>
  <c r="U1059" i="1"/>
  <c r="U1065" i="1"/>
  <c r="U1066" i="1"/>
  <c r="U1068" i="1"/>
  <c r="U1072" i="1"/>
  <c r="U1073" i="1"/>
  <c r="U1076" i="1"/>
  <c r="U1087" i="1"/>
  <c r="U1101" i="1"/>
  <c r="U1102" i="1"/>
  <c r="U1104" i="1"/>
  <c r="U1105" i="1"/>
  <c r="U1108" i="1"/>
  <c r="U1109" i="1"/>
  <c r="U1112" i="1"/>
  <c r="U1135" i="1"/>
  <c r="U1136" i="1"/>
  <c r="U1138" i="1"/>
  <c r="U1139" i="1"/>
  <c r="U1141" i="1"/>
  <c r="U1144" i="1"/>
  <c r="U1150" i="1"/>
  <c r="U1155" i="1"/>
  <c r="U1173" i="1"/>
  <c r="U1174" i="1"/>
  <c r="U1177" i="1"/>
  <c r="U1180" i="1"/>
  <c r="U1181" i="1"/>
  <c r="U1183" i="1"/>
  <c r="U1184" i="1"/>
  <c r="U1185" i="1"/>
  <c r="U1186" i="1"/>
  <c r="U1189" i="1"/>
  <c r="U1192" i="1"/>
  <c r="U1194" i="1"/>
  <c r="U1195" i="1"/>
  <c r="U1208" i="1"/>
  <c r="U1212" i="1"/>
  <c r="U1213" i="1"/>
  <c r="U1214" i="1"/>
  <c r="U1215" i="1"/>
  <c r="U1216" i="1"/>
  <c r="U1218" i="1"/>
  <c r="U1219" i="1"/>
  <c r="U1220" i="1"/>
  <c r="U1221" i="1"/>
  <c r="U1222" i="1"/>
  <c r="U1223" i="1"/>
  <c r="U1224" i="1"/>
  <c r="U1225" i="1"/>
  <c r="U1226" i="1"/>
  <c r="U1227" i="1"/>
  <c r="U1229" i="1"/>
  <c r="U1230" i="1"/>
  <c r="U1231" i="1"/>
  <c r="U1232" i="1"/>
  <c r="U1233" i="1"/>
  <c r="U1235" i="1"/>
  <c r="U1236" i="1"/>
  <c r="U1237" i="1"/>
  <c r="U1238" i="1"/>
  <c r="U1239" i="1"/>
  <c r="U1240" i="1"/>
  <c r="U1241" i="1"/>
  <c r="U1242" i="1"/>
  <c r="U1290" i="1"/>
  <c r="U1291" i="1"/>
  <c r="U1292" i="1"/>
  <c r="U1293" i="1"/>
  <c r="U1300" i="1"/>
  <c r="U1301" i="1"/>
  <c r="U1302" i="1"/>
  <c r="U1303" i="1"/>
  <c r="U1304" i="1"/>
  <c r="U1305" i="1"/>
  <c r="U1306" i="1"/>
  <c r="U1307" i="1"/>
  <c r="U1308" i="1"/>
  <c r="U1309" i="1"/>
  <c r="U1310" i="1"/>
  <c r="U1311" i="1"/>
  <c r="U1314" i="1"/>
  <c r="U1315" i="1"/>
  <c r="U1319" i="1"/>
  <c r="R3" i="1"/>
  <c r="R16" i="1"/>
  <c r="R25" i="1"/>
  <c r="R26" i="1"/>
  <c r="R28" i="1"/>
  <c r="R29" i="1"/>
  <c r="R30" i="1"/>
  <c r="R31" i="1"/>
  <c r="R38" i="1"/>
  <c r="R44" i="1"/>
  <c r="R54" i="1"/>
  <c r="R55" i="1"/>
  <c r="R59" i="1"/>
  <c r="R60" i="1"/>
  <c r="R61" i="1"/>
  <c r="R62" i="1"/>
  <c r="R63" i="1"/>
  <c r="R64" i="1"/>
  <c r="R65" i="1"/>
  <c r="R66" i="1"/>
  <c r="R67" i="1"/>
  <c r="R68" i="1"/>
  <c r="R69" i="1"/>
  <c r="R70" i="1"/>
  <c r="R71" i="1"/>
  <c r="R72" i="1"/>
  <c r="R73" i="1"/>
  <c r="R75" i="1"/>
  <c r="R76" i="1"/>
  <c r="R86" i="1"/>
  <c r="R87" i="1"/>
  <c r="R88" i="1"/>
  <c r="R102" i="1"/>
  <c r="R107" i="1"/>
  <c r="R108" i="1"/>
  <c r="R109" i="1"/>
  <c r="R138" i="1"/>
  <c r="R139" i="1"/>
  <c r="R140" i="1"/>
  <c r="R171" i="1"/>
  <c r="R250" i="1"/>
  <c r="R251" i="1"/>
  <c r="R252" i="1"/>
  <c r="R287" i="1"/>
  <c r="R488" i="1"/>
  <c r="R641" i="1"/>
  <c r="R642" i="1"/>
  <c r="R643" i="1"/>
  <c r="R644" i="1"/>
  <c r="R645" i="1"/>
  <c r="R646" i="1"/>
  <c r="R647" i="1"/>
  <c r="R648" i="1"/>
  <c r="R649" i="1"/>
  <c r="R650" i="1"/>
  <c r="R673" i="1"/>
  <c r="R711" i="1"/>
  <c r="R809" i="1"/>
  <c r="R810" i="1"/>
  <c r="R818" i="1"/>
  <c r="R819" i="1"/>
  <c r="R822" i="1"/>
  <c r="R824" i="1"/>
  <c r="R825" i="1"/>
  <c r="R829" i="1"/>
  <c r="R842" i="1"/>
  <c r="R843" i="1"/>
  <c r="R844" i="1"/>
  <c r="R845" i="1"/>
  <c r="R846" i="1"/>
  <c r="R881" i="1"/>
  <c r="R890" i="1"/>
  <c r="R896" i="1"/>
  <c r="R904" i="1"/>
  <c r="R927" i="1"/>
  <c r="R928" i="1"/>
  <c r="R929" i="1"/>
  <c r="R971" i="1"/>
  <c r="R972" i="1"/>
  <c r="R973" i="1"/>
  <c r="R980" i="1"/>
  <c r="R998" i="1"/>
  <c r="R1008" i="1"/>
  <c r="R1010" i="1"/>
  <c r="R1011" i="1"/>
  <c r="R1037" i="1"/>
  <c r="R1039" i="1"/>
  <c r="R1043" i="1"/>
  <c r="R1063" i="1"/>
  <c r="R1064" i="1"/>
  <c r="R1074" i="1"/>
  <c r="R1081" i="1"/>
  <c r="R1098" i="1"/>
  <c r="R1099" i="1"/>
  <c r="R1102" i="1"/>
  <c r="R1110" i="1"/>
  <c r="R1113" i="1"/>
  <c r="R1114" i="1"/>
  <c r="R1115" i="1"/>
  <c r="R1116" i="1"/>
  <c r="R1117" i="1"/>
  <c r="R1118" i="1"/>
  <c r="R1119" i="1"/>
  <c r="R1120" i="1"/>
  <c r="R1121" i="1"/>
  <c r="R1122" i="1"/>
  <c r="R1123" i="1"/>
  <c r="R1133" i="1"/>
  <c r="R1134" i="1"/>
  <c r="R1197" i="1"/>
  <c r="R1243" i="1"/>
  <c r="R1244" i="1"/>
  <c r="R1245" i="1"/>
  <c r="R1246" i="1"/>
  <c r="R1247" i="1"/>
  <c r="R1248" i="1"/>
  <c r="R1249" i="1"/>
  <c r="R1250" i="1"/>
  <c r="R1283" i="1"/>
  <c r="R1290" i="1"/>
  <c r="R1293" i="1"/>
  <c r="R1316" i="1"/>
  <c r="B152" i="7" l="1"/>
  <c r="B151" i="7"/>
  <c r="B154" i="7"/>
  <c r="B153" i="7"/>
  <c r="P36" i="7"/>
  <c r="Q36" i="7" s="1"/>
  <c r="P2" i="7"/>
  <c r="B166" i="7"/>
  <c r="B165" i="7"/>
  <c r="B168" i="7"/>
  <c r="B167" i="7"/>
  <c r="R36" i="7"/>
  <c r="S36" i="7" s="1"/>
  <c r="R2" i="7"/>
  <c r="B138" i="7"/>
  <c r="B137" i="7"/>
  <c r="B140" i="7"/>
  <c r="B139" i="7"/>
  <c r="N36" i="7"/>
  <c r="O36" i="7" s="1"/>
  <c r="N2" i="7"/>
  <c r="B124" i="7"/>
  <c r="B123" i="7"/>
  <c r="B110" i="7"/>
  <c r="B109" i="7"/>
  <c r="B126" i="7"/>
  <c r="B125" i="7"/>
  <c r="L36" i="7"/>
  <c r="M36" i="7" s="1"/>
  <c r="L2" i="7"/>
  <c r="B96" i="7"/>
  <c r="B95" i="7"/>
  <c r="B82" i="7"/>
  <c r="B81" i="7"/>
  <c r="B112" i="7"/>
  <c r="B111" i="7"/>
  <c r="J36" i="7"/>
  <c r="K36" i="7" s="1"/>
  <c r="J2" i="7"/>
  <c r="B98" i="7"/>
  <c r="B97" i="7"/>
  <c r="H36" i="7"/>
  <c r="I36" i="7" s="1"/>
  <c r="H2" i="7"/>
  <c r="B84" i="7"/>
  <c r="B83" i="7"/>
  <c r="F36" i="7"/>
  <c r="G36" i="7" s="1"/>
  <c r="F2" i="7"/>
  <c r="B68" i="7"/>
  <c r="B67" i="7"/>
  <c r="B70" i="7"/>
  <c r="B69" i="7"/>
  <c r="T2" i="7"/>
  <c r="T36"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D36" i="7"/>
  <c r="E36" i="7" s="1"/>
  <c r="D2" i="7"/>
  <c r="U36" i="7"/>
  <c r="P28" i="7" l="1"/>
  <c r="Q3" i="7"/>
  <c r="Q2" i="7"/>
  <c r="R3" i="7"/>
  <c r="R4" i="7" s="1"/>
  <c r="S3" i="7" s="1"/>
  <c r="T3" i="7"/>
  <c r="L3" i="7"/>
  <c r="M2" i="7" s="1"/>
  <c r="N3" i="7"/>
  <c r="H3" i="7"/>
  <c r="J3" i="7"/>
  <c r="D3" i="7"/>
  <c r="D4" i="7" s="1"/>
  <c r="E3" i="7" s="1"/>
  <c r="F3" i="7"/>
  <c r="U2" i="7"/>
  <c r="P29" i="7" l="1"/>
  <c r="P30" i="7" s="1"/>
  <c r="P31" i="7" s="1"/>
  <c r="P32" i="7" s="1"/>
  <c r="P33" i="7" s="1"/>
  <c r="P34" i="7" s="1"/>
  <c r="P35" i="7" s="1"/>
  <c r="Q35" i="7" s="1"/>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I2" i="7"/>
  <c r="J4" i="7"/>
  <c r="K2" i="7"/>
  <c r="H4" i="7"/>
  <c r="H5" i="7" s="1"/>
  <c r="E2" i="7"/>
  <c r="F4" i="7"/>
  <c r="G2" i="7"/>
  <c r="D5" i="7"/>
  <c r="E4" i="7" s="1"/>
  <c r="U3" i="7"/>
  <c r="L28" i="7" l="1"/>
  <c r="Q6" i="7"/>
  <c r="T5" i="7"/>
  <c r="M3" i="7"/>
  <c r="R6" i="7"/>
  <c r="S5" i="7" s="1"/>
  <c r="I3" i="7"/>
  <c r="N5" i="7"/>
  <c r="O3" i="7"/>
  <c r="M4" i="7"/>
  <c r="M5" i="7"/>
  <c r="M6" i="7"/>
  <c r="J5" i="7"/>
  <c r="K3" i="7"/>
  <c r="H6" i="7"/>
  <c r="I5" i="7" s="1"/>
  <c r="I4" i="7"/>
  <c r="F5" i="7"/>
  <c r="G3" i="7"/>
  <c r="D6" i="7"/>
  <c r="E5" i="7" s="1"/>
  <c r="U4" i="7"/>
  <c r="L29" i="7" l="1"/>
  <c r="L30" i="7" s="1"/>
  <c r="L31" i="7" s="1"/>
  <c r="L32" i="7" s="1"/>
  <c r="L33" i="7" s="1"/>
  <c r="L34" i="7" s="1"/>
  <c r="L35" i="7" s="1"/>
  <c r="M35" i="7" s="1"/>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N26" i="7"/>
  <c r="O25" i="7" s="1"/>
  <c r="M27" i="7"/>
  <c r="J26" i="7"/>
  <c r="K25" i="7" s="1"/>
  <c r="H27" i="7"/>
  <c r="F26" i="7"/>
  <c r="G25" i="7" s="1"/>
  <c r="D27" i="7"/>
  <c r="U25" i="7"/>
  <c r="I26" i="7" l="1"/>
  <c r="S26" i="7"/>
  <c r="E26" i="7"/>
  <c r="Q27" i="7"/>
  <c r="T27" i="7"/>
  <c r="R28" i="7"/>
  <c r="N27" i="7"/>
  <c r="M28" i="7"/>
  <c r="J27" i="7"/>
  <c r="H28" i="7"/>
  <c r="F27" i="7"/>
  <c r="D28" i="7"/>
  <c r="I27" i="7" l="1"/>
  <c r="E27" i="7"/>
  <c r="S27" i="7"/>
  <c r="K26" i="7"/>
  <c r="G26" i="7"/>
  <c r="O26" i="7"/>
  <c r="Q28" i="7"/>
  <c r="T28" i="7"/>
  <c r="R29" i="7"/>
  <c r="S28" i="7" s="1"/>
  <c r="N28" i="7"/>
  <c r="M29" i="7"/>
  <c r="J28" i="7"/>
  <c r="H29" i="7"/>
  <c r="I28" i="7" s="1"/>
  <c r="F28" i="7"/>
  <c r="D29" i="7"/>
  <c r="E28" i="7" s="1"/>
  <c r="U26" i="7"/>
  <c r="K27" i="7" l="1"/>
  <c r="G27" i="7"/>
  <c r="O27" i="7"/>
  <c r="Q29" i="7"/>
  <c r="T29" i="7"/>
  <c r="R30" i="7"/>
  <c r="N29" i="7"/>
  <c r="O28" i="7" s="1"/>
  <c r="M30" i="7"/>
  <c r="J29" i="7"/>
  <c r="K28" i="7" s="1"/>
  <c r="H30" i="7"/>
  <c r="I29" i="7" s="1"/>
  <c r="F29" i="7"/>
  <c r="G28" i="7" s="1"/>
  <c r="D30" i="7"/>
  <c r="E29" i="7" s="1"/>
  <c r="U27" i="7"/>
  <c r="Q30" i="7" l="1"/>
  <c r="T30" i="7"/>
  <c r="R31" i="7"/>
  <c r="S30" i="7" s="1"/>
  <c r="S29" i="7"/>
  <c r="N30" i="7"/>
  <c r="O29" i="7" s="1"/>
  <c r="M31" i="7"/>
  <c r="J30" i="7"/>
  <c r="K29" i="7" s="1"/>
  <c r="H31" i="7"/>
  <c r="I30" i="7" s="1"/>
  <c r="F30" i="7"/>
  <c r="G29" i="7" s="1"/>
  <c r="D31" i="7"/>
  <c r="E30" i="7" s="1"/>
  <c r="U28" i="7"/>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N34" i="7"/>
  <c r="O33" i="7" s="1"/>
  <c r="J34" i="7"/>
  <c r="K33" i="7" s="1"/>
  <c r="H35" i="7"/>
  <c r="F34" i="7"/>
  <c r="G33" i="7" s="1"/>
  <c r="D35" i="7"/>
  <c r="U33" i="7"/>
  <c r="E34" i="7" l="1"/>
  <c r="E35" i="7"/>
  <c r="I34" i="7"/>
  <c r="I35" i="7"/>
  <c r="S34" i="7"/>
  <c r="S35" i="7"/>
  <c r="T35" i="7"/>
  <c r="N35" i="7"/>
  <c r="J35" i="7"/>
  <c r="F35" i="7"/>
  <c r="U34" i="7"/>
  <c r="O34" i="7" l="1"/>
  <c r="O35" i="7"/>
  <c r="G34" i="7"/>
  <c r="G35" i="7"/>
  <c r="K34" i="7"/>
  <c r="K35" i="7"/>
  <c r="U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<sst xmlns="http://schemas.openxmlformats.org/spreadsheetml/2006/main" count="25436" uniqueCount="8165">
  <si>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</si>
  <si>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</si>
  <si>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</si>
  <si>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</si>
  <si>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</si>
  <si>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</si>
  <si>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</si>
  <si>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</si>
  <si>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</si>
  <si>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</si>
  <si>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</si>
  <si>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</si>
  <si>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</si>
  <si>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</si>
  <si>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</si>
  <si>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</si>
  <si>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</si>
  <si>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</si>
  <si>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</si>
  <si>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</si>
  <si>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</si>
  <si>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</si>
  <si>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</si>
  <si>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</si>
  <si>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</si>
  <si>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</si>
  <si>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</si>
  <si>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</si>
  <si>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</si>
  <si>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</si>
  <si>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</si>
  <si>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</si>
  <si>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</si>
  <si>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</si>
  <si>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</si>
  <si>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</si>
  <si>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</si>
  <si>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</si>
  <si>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</si>
  <si>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</si>
  <si>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</si>
  <si>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</si>
  <si>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</si>
  <si>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</si>
  <si>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</si>
  <si>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</si>
  <si>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</si>
  <si>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</si>
  <si>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</si>
  <si>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</si>
  <si>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</si>
  <si>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</si>
  <si>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</si>
  <si>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</si>
  <si>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</si>
  <si>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</si>
  <si>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</si>
  <si>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</si>
  <si>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</si>
  <si>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</si>
  <si>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</si>
  <si>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</si>
  <si>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</si>
  <si>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</si>
  <si>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</si>
  <si>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</si>
  <si>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</si>
  <si>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</si>
  <si>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</si>
  <si>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</si>
  <si>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</si>
  <si>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</si>
  <si>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</si>
  <si>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</si>
  <si>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</si>
  <si>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</si>
  <si>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</si>
  <si>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</si>
  <si>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</si>
  <si>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</si>
  <si>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</si>
  <si>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</si>
  <si>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</si>
  <si>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</si>
  <si>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</si>
  <si>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</si>
  <si>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</si>
  <si>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</si>
  <si>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</si>
  <si>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</si>
  <si>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</si>
  <si>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</si>
  <si>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</si>
  <si>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</si>
  <si>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</si>
  <si>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</si>
  <si>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</si>
  <si>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</si>
  <si>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</si>
  <si>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</si>
  <si>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</si>
  <si>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</si>
  <si>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</si>
  <si>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</si>
  <si>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</si>
  <si>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</si>
  <si>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</si>
  <si>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</si>
  <si>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</si>
  <si>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</si>
  <si>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</si>
  <si>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</si>
  <si>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</si>
  <si>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</si>
  <si>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</si>
  <si>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</si>
  <si>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</si>
  <si>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</si>
  <si>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</si>
  <si>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</si>
  <si>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</si>
  <si>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</si>
  <si>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</si>
  <si>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</si>
  <si>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</si>
  <si>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</si>
  <si>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</si>
  <si>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</si>
  <si>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</si>
  <si>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</si>
  <si>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</si>
  <si>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</si>
  <si>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</si>
  <si>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</si>
  <si>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</si>
  <si>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</si>
  <si>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</si>
  <si>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</si>
  <si>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</si>
  <si>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</si>
  <si>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</si>
  <si>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</si>
  <si>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</si>
  <si>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</si>
  <si>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</si>
  <si>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</si>
  <si>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</si>
  <si>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</si>
  <si>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</si>
  <si>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</si>
  <si>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</si>
  <si>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</si>
  <si>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</si>
  <si>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</si>
  <si>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</si>
  <si>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</si>
  <si>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</si>
  <si>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</si>
  <si>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</si>
  <si>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</si>
  <si>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</si>
  <si>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</si>
  <si>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</si>
  <si>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</si>
  <si>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</si>
  <si>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</si>
  <si>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</si>
  <si>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</si>
  <si>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</si>
  <si>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</si>
  <si>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</si>
  <si>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</si>
  <si>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</si>
  <si>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</si>
  <si>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</si>
  <si>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</si>
  <si>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</si>
  <si>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</si>
  <si>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</si>
  <si>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</si>
  <si>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</si>
  <si>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</si>
  <si>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</si>
  <si>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Media in Tweet</t>
  </si>
  <si>
    <t>Tweet Image File</t>
  </si>
  <si>
    <t>Tweet Date (UTC)</t>
  </si>
  <si>
    <t>Date</t>
  </si>
  <si>
    <t>Time</t>
  </si>
  <si>
    <t>Twitter Page for Tweet</t>
  </si>
  <si>
    <t>Latitude</t>
  </si>
  <si>
    <t>Longitude</t>
  </si>
  <si>
    <t>Imported ID</t>
  </si>
  <si>
    <t>In-Reply-To Tweet ID</t>
  </si>
  <si>
    <t>Favorited</t>
  </si>
  <si>
    <t>Favorite Count</t>
  </si>
  <si>
    <t>In-Reply-To User ID</t>
  </si>
  <si>
    <t>Is Quote Status</t>
  </si>
  <si>
    <t>Language</t>
  </si>
  <si>
    <t>Possibly Sensitive</t>
  </si>
  <si>
    <t>Quoted Status ID</t>
  </si>
  <si>
    <t>Retweeted</t>
  </si>
  <si>
    <t>Retweet Count</t>
  </si>
  <si>
    <t>Retweet ID</t>
  </si>
  <si>
    <t>Source</t>
  </si>
  <si>
    <t>Truncated</t>
  </si>
  <si>
    <t>Unified Twitter ID</t>
  </si>
  <si>
    <t>Imported Tweet Type</t>
  </si>
  <si>
    <t>Added By Extended Analysis</t>
  </si>
  <si>
    <t>Corrected By Extended Analysis</t>
  </si>
  <si>
    <t>Place Bounding Box</t>
  </si>
  <si>
    <t>Place Country</t>
  </si>
  <si>
    <t>Place Country Code</t>
  </si>
  <si>
    <t>Place Full Name</t>
  </si>
  <si>
    <t>Place ID</t>
  </si>
  <si>
    <t>Place Name</t>
  </si>
  <si>
    <t>Place Type</t>
  </si>
  <si>
    <t>Place URL</t>
  </si>
  <si>
    <t>tigre12capitale</t>
  </si>
  <si>
    <t>naila0125</t>
  </si>
  <si>
    <t>aliahali79</t>
  </si>
  <si>
    <t>saya_icul</t>
  </si>
  <si>
    <t>berd_die</t>
  </si>
  <si>
    <t>kenndaru</t>
  </si>
  <si>
    <t>netijencupu</t>
  </si>
  <si>
    <t>redvelvetice14</t>
  </si>
  <si>
    <t>asubangetyaa</t>
  </si>
  <si>
    <t>mamiaaja</t>
  </si>
  <si>
    <t>galaxydeah</t>
  </si>
  <si>
    <t>bemaiae</t>
  </si>
  <si>
    <t>zixmatrix</t>
  </si>
  <si>
    <t>agdesayang</t>
  </si>
  <si>
    <t>manusiastress</t>
  </si>
  <si>
    <t>benjolbarotho</t>
  </si>
  <si>
    <t>edwardus4</t>
  </si>
  <si>
    <t>metalgarislucu</t>
  </si>
  <si>
    <t>srynbla</t>
  </si>
  <si>
    <t>keitsukidate</t>
  </si>
  <si>
    <t>ibnu_dumadi</t>
  </si>
  <si>
    <t>sumselterkini</t>
  </si>
  <si>
    <t>dinibaik_aamiin</t>
  </si>
  <si>
    <t>kha_ekha16</t>
  </si>
  <si>
    <t>nadyatamara2</t>
  </si>
  <si>
    <t>rezakrisna28</t>
  </si>
  <si>
    <t>arekndeso79</t>
  </si>
  <si>
    <t>asj0203</t>
  </si>
  <si>
    <t>tempodotco</t>
  </si>
  <si>
    <t>e100ss</t>
  </si>
  <si>
    <t>reizapramudana1</t>
  </si>
  <si>
    <t>joohawuf</t>
  </si>
  <si>
    <t>ciruruka</t>
  </si>
  <si>
    <t>unnesmenfess</t>
  </si>
  <si>
    <t>msnindonesia</t>
  </si>
  <si>
    <t>djokomale</t>
  </si>
  <si>
    <t>baccood</t>
  </si>
  <si>
    <t>kejaksaanri</t>
  </si>
  <si>
    <t>kn_sungaipenuh</t>
  </si>
  <si>
    <t>fusyigur0</t>
  </si>
  <si>
    <t>inisialtg</t>
  </si>
  <si>
    <t>semupetualang</t>
  </si>
  <si>
    <t>pieshugx</t>
  </si>
  <si>
    <t>yeoldorado14</t>
  </si>
  <si>
    <t>amiwhama</t>
  </si>
  <si>
    <t>__wantankri</t>
  </si>
  <si>
    <t>_antaresh29</t>
  </si>
  <si>
    <t>reshtua</t>
  </si>
  <si>
    <t>paulus_willy</t>
  </si>
  <si>
    <t>pradanadika29</t>
  </si>
  <si>
    <t>ariefskie</t>
  </si>
  <si>
    <t>anaklolina2</t>
  </si>
  <si>
    <t>xnact</t>
  </si>
  <si>
    <t>nmblntsky</t>
  </si>
  <si>
    <t>dowoonscymbal</t>
  </si>
  <si>
    <t>greatofkratos</t>
  </si>
  <si>
    <t>chimimaki1</t>
  </si>
  <si>
    <t>imyuours</t>
  </si>
  <si>
    <t>ceritaeva</t>
  </si>
  <si>
    <t>ageng_awe</t>
  </si>
  <si>
    <t>kbrindns</t>
  </si>
  <si>
    <t>manoharasekar</t>
  </si>
  <si>
    <t>mata_hati19</t>
  </si>
  <si>
    <t>lawangsewusmg</t>
  </si>
  <si>
    <t>bukik_kapujan</t>
  </si>
  <si>
    <t>zeaawo</t>
  </si>
  <si>
    <t>a_nggasetiawan</t>
  </si>
  <si>
    <t>deblenk29</t>
  </si>
  <si>
    <t>gnfi</t>
  </si>
  <si>
    <t>avien_</t>
  </si>
  <si>
    <t>renpiess</t>
  </si>
  <si>
    <t>1085350_nel</t>
  </si>
  <si>
    <t>wooniversa</t>
  </si>
  <si>
    <t>huans2huans</t>
  </si>
  <si>
    <t>baileysjimin</t>
  </si>
  <si>
    <t>jeiyaaddict</t>
  </si>
  <si>
    <t>gyujinteppan</t>
  </si>
  <si>
    <t>ranisor</t>
  </si>
  <si>
    <t>ichsaaannnnn</t>
  </si>
  <si>
    <t>crispyddalgiice</t>
  </si>
  <si>
    <t>rico_cicarixo</t>
  </si>
  <si>
    <t>edi45529961</t>
  </si>
  <si>
    <t>riyadizein</t>
  </si>
  <si>
    <t>nanisentyaa</t>
  </si>
  <si>
    <t>yanahaudy</t>
  </si>
  <si>
    <t>nayutaishere</t>
  </si>
  <si>
    <t>maulittyy</t>
  </si>
  <si>
    <t>detoooool</t>
  </si>
  <si>
    <t>eonni_wh</t>
  </si>
  <si>
    <t>_danraja</t>
  </si>
  <si>
    <t>chocolateyyni</t>
  </si>
  <si>
    <t>hoelstfup</t>
  </si>
  <si>
    <t>koranbumn</t>
  </si>
  <si>
    <t>crimmminal</t>
  </si>
  <si>
    <t>ronimputra</t>
  </si>
  <si>
    <t>flagamedia</t>
  </si>
  <si>
    <t>seotips_vanprob</t>
  </si>
  <si>
    <t>daionysus203</t>
  </si>
  <si>
    <t>pajakkaltimtara</t>
  </si>
  <si>
    <t>novitaaak</t>
  </si>
  <si>
    <t>ann13nn</t>
  </si>
  <si>
    <t>odhsbnsjhgg</t>
  </si>
  <si>
    <t>outak_udang</t>
  </si>
  <si>
    <t>karantinapdg</t>
  </si>
  <si>
    <t>udinbikul</t>
  </si>
  <si>
    <t>dkardiwanto</t>
  </si>
  <si>
    <t>kaakikkaki</t>
  </si>
  <si>
    <t>peachhpeachy_</t>
  </si>
  <si>
    <t>worksfess</t>
  </si>
  <si>
    <t>jensom_</t>
  </si>
  <si>
    <t>milahyt09</t>
  </si>
  <si>
    <t>haeyerichan</t>
  </si>
  <si>
    <t>reyochi</t>
  </si>
  <si>
    <t>rennhyvck</t>
  </si>
  <si>
    <t>retaesung</t>
  </si>
  <si>
    <t>sanahmaswi</t>
  </si>
  <si>
    <t>agakemosi</t>
  </si>
  <si>
    <t>rifkansaf</t>
  </si>
  <si>
    <t>memangakugendut</t>
  </si>
  <si>
    <t>jcawu</t>
  </si>
  <si>
    <t>eljohnfmpku</t>
  </si>
  <si>
    <t>sagita81774027</t>
  </si>
  <si>
    <t>jho_junior911</t>
  </si>
  <si>
    <t>imadesuarsa7</t>
  </si>
  <si>
    <t>listy9021</t>
  </si>
  <si>
    <t>lembuso36194672</t>
  </si>
  <si>
    <t>gjxx41</t>
  </si>
  <si>
    <t>lampahingurip</t>
  </si>
  <si>
    <t>boytanj95264248</t>
  </si>
  <si>
    <t>lewan_p</t>
  </si>
  <si>
    <t>wonk_jawi</t>
  </si>
  <si>
    <t>kuasaangin02</t>
  </si>
  <si>
    <t>fs_fms</t>
  </si>
  <si>
    <t>atha879</t>
  </si>
  <si>
    <t>syanazmanis</t>
  </si>
  <si>
    <t>mark_zepper</t>
  </si>
  <si>
    <t>telorfadar</t>
  </si>
  <si>
    <t>umbetik</t>
  </si>
  <si>
    <t>toddylauw1</t>
  </si>
  <si>
    <t>fahayabi</t>
  </si>
  <si>
    <t>boncusho</t>
  </si>
  <si>
    <t>hdayak1</t>
  </si>
  <si>
    <t>reemeora1</t>
  </si>
  <si>
    <t>nurcahy02969790</t>
  </si>
  <si>
    <t>reddytanubrata</t>
  </si>
  <si>
    <t>saukur1heureuy2</t>
  </si>
  <si>
    <t>anakmel53043582</t>
  </si>
  <si>
    <t>achzam_prabu</t>
  </si>
  <si>
    <t>debley11</t>
  </si>
  <si>
    <t>indrazustisi</t>
  </si>
  <si>
    <t>aw_astono</t>
  </si>
  <si>
    <t>dave_otek</t>
  </si>
  <si>
    <t>diptanotes</t>
  </si>
  <si>
    <t>pekaklonto67</t>
  </si>
  <si>
    <t>toni_chelsky88</t>
  </si>
  <si>
    <t>emastok</t>
  </si>
  <si>
    <t>ewinwinarti</t>
  </si>
  <si>
    <t>wisnukombot</t>
  </si>
  <si>
    <t>kardosony</t>
  </si>
  <si>
    <t>moekartho</t>
  </si>
  <si>
    <t>kartasaputra7</t>
  </si>
  <si>
    <t>lennasjam</t>
  </si>
  <si>
    <t>agoessoesanto2</t>
  </si>
  <si>
    <t>bengkeltanah201</t>
  </si>
  <si>
    <t>fery_hyaken</t>
  </si>
  <si>
    <t>noni_nitha</t>
  </si>
  <si>
    <t>lilysatriah</t>
  </si>
  <si>
    <t>yan_to999</t>
  </si>
  <si>
    <t>deepfriedamer</t>
  </si>
  <si>
    <t>bud1_f1</t>
  </si>
  <si>
    <t>lilianl92090469</t>
  </si>
  <si>
    <t>wisaksonowisak1</t>
  </si>
  <si>
    <t>osoekaryo</t>
  </si>
  <si>
    <t>trihart</t>
  </si>
  <si>
    <t>pekikmenoreh</t>
  </si>
  <si>
    <t>fransiscakwee</t>
  </si>
  <si>
    <t>subakgrl</t>
  </si>
  <si>
    <t>bangbara_pos</t>
  </si>
  <si>
    <t>promildred</t>
  </si>
  <si>
    <t>laingenlisa</t>
  </si>
  <si>
    <t>dedimahardi</t>
  </si>
  <si>
    <t>ipram2010</t>
  </si>
  <si>
    <t>kangkuli171</t>
  </si>
  <si>
    <t>danimas19</t>
  </si>
  <si>
    <t>ernizanw</t>
  </si>
  <si>
    <t>suyitno6872</t>
  </si>
  <si>
    <t>taftxen</t>
  </si>
  <si>
    <t>a88ytjhan88</t>
  </si>
  <si>
    <t>joy_rantau</t>
  </si>
  <si>
    <t>karantinamrauke</t>
  </si>
  <si>
    <t>sahabatsaber</t>
  </si>
  <si>
    <t>e2rdgunawan</t>
  </si>
  <si>
    <t>addiems</t>
  </si>
  <si>
    <t>jhilyz91</t>
  </si>
  <si>
    <t>leo12seventy</t>
  </si>
  <si>
    <t>yukemesh</t>
  </si>
  <si>
    <t>resharopro</t>
  </si>
  <si>
    <t>indopropeople</t>
  </si>
  <si>
    <t>amanalu02</t>
  </si>
  <si>
    <t>3ko_8udi_5</t>
  </si>
  <si>
    <t>kutang_bolong</t>
  </si>
  <si>
    <t>yourauroraaaaa</t>
  </si>
  <si>
    <t>feryy12343</t>
  </si>
  <si>
    <t>penggiatumkm</t>
  </si>
  <si>
    <t>lelucky99</t>
  </si>
  <si>
    <t>brunowicaksono</t>
  </si>
  <si>
    <t>tree_ofjuly</t>
  </si>
  <si>
    <t>0no_niha</t>
  </si>
  <si>
    <t>moedjiyanto2</t>
  </si>
  <si>
    <t>j3ffry_</t>
  </si>
  <si>
    <t>capenk4</t>
  </si>
  <si>
    <t>alatasindonesia</t>
  </si>
  <si>
    <t>cc_hanjaya</t>
  </si>
  <si>
    <t>evalaksmi</t>
  </si>
  <si>
    <t>akbarrudy1</t>
  </si>
  <si>
    <t>antoniuscdn</t>
  </si>
  <si>
    <t>dyanaawt</t>
  </si>
  <si>
    <t>fadjarpm</t>
  </si>
  <si>
    <t>ideapool_</t>
  </si>
  <si>
    <t>ryo_wayan2</t>
  </si>
  <si>
    <t>babylyricist</t>
  </si>
  <si>
    <t>anti_qadrun</t>
  </si>
  <si>
    <t>savana_jiwa</t>
  </si>
  <si>
    <t>lonassis</t>
  </si>
  <si>
    <t>ignmrg</t>
  </si>
  <si>
    <t>jayengrono31</t>
  </si>
  <si>
    <t>kuntuldowo</t>
  </si>
  <si>
    <t>tiwah22</t>
  </si>
  <si>
    <t>cangkir_plastik</t>
  </si>
  <si>
    <t>andiris1die</t>
  </si>
  <si>
    <t>nenebuas</t>
  </si>
  <si>
    <t>hanstali</t>
  </si>
  <si>
    <t>kotamati1999</t>
  </si>
  <si>
    <t>jengsri_ss</t>
  </si>
  <si>
    <t>el_subiyanto</t>
  </si>
  <si>
    <t>linaandria</t>
  </si>
  <si>
    <t>mimelva_su</t>
  </si>
  <si>
    <t>rang_hoki</t>
  </si>
  <si>
    <t>iisinyo</t>
  </si>
  <si>
    <t>van_karonese</t>
  </si>
  <si>
    <t>gochimobsi</t>
  </si>
  <si>
    <t>solhot_beken</t>
  </si>
  <si>
    <t>puanmerdeka2</t>
  </si>
  <si>
    <t>miss_win69</t>
  </si>
  <si>
    <t>dijei_mc</t>
  </si>
  <si>
    <t>riaukalit</t>
  </si>
  <si>
    <t>aritononang</t>
  </si>
  <si>
    <t>swgkhofu</t>
  </si>
  <si>
    <t>agusprehadi</t>
  </si>
  <si>
    <t>dbrawzl</t>
  </si>
  <si>
    <t>cheese_02</t>
  </si>
  <si>
    <t>cangcingiss</t>
  </si>
  <si>
    <t>konconkri</t>
  </si>
  <si>
    <t>andreasnuryan2</t>
  </si>
  <si>
    <t>fauziah_sifa28</t>
  </si>
  <si>
    <t>ariefanarya</t>
  </si>
  <si>
    <t>sgrdamai</t>
  </si>
  <si>
    <t>kakekharam</t>
  </si>
  <si>
    <t>abbasciputabbas</t>
  </si>
  <si>
    <t>iichigoryota</t>
  </si>
  <si>
    <t>herusugiri</t>
  </si>
  <si>
    <t>tlbfrmnsyh</t>
  </si>
  <si>
    <t>djtytyd</t>
  </si>
  <si>
    <t>thomass90392754</t>
  </si>
  <si>
    <t>ariestuck26</t>
  </si>
  <si>
    <t>evadarma42</t>
  </si>
  <si>
    <t>arie_mdana</t>
  </si>
  <si>
    <t>festifiki</t>
  </si>
  <si>
    <t>laxyyta</t>
  </si>
  <si>
    <t>lovelostlustyou</t>
  </si>
  <si>
    <t>fandearb1</t>
  </si>
  <si>
    <t>hermandokang</t>
  </si>
  <si>
    <t>rodabambu</t>
  </si>
  <si>
    <t>boeluxs1</t>
  </si>
  <si>
    <t>putra_esbeye</t>
  </si>
  <si>
    <t>_seknas_ri</t>
  </si>
  <si>
    <t>kulinerbocah</t>
  </si>
  <si>
    <t>santz_lee</t>
  </si>
  <si>
    <t>mybigbozz</t>
  </si>
  <si>
    <t>adoreliu</t>
  </si>
  <si>
    <t>dinisatashya</t>
  </si>
  <si>
    <t>hirasnapitupulu</t>
  </si>
  <si>
    <t>abdoeh_abbiati</t>
  </si>
  <si>
    <t>grace_saa</t>
  </si>
  <si>
    <t>cahngarit14</t>
  </si>
  <si>
    <t>rudy30059411</t>
  </si>
  <si>
    <t>ewink_tie</t>
  </si>
  <si>
    <t>bennydjuwanda</t>
  </si>
  <si>
    <t>gathot57987929</t>
  </si>
  <si>
    <t>yoshyosh12</t>
  </si>
  <si>
    <t>hope4thebest6</t>
  </si>
  <si>
    <t>hendfry_gerard</t>
  </si>
  <si>
    <t>pakde_gatot</t>
  </si>
  <si>
    <t>ardieithink</t>
  </si>
  <si>
    <t>teguh19699297</t>
  </si>
  <si>
    <t>jhoe80</t>
  </si>
  <si>
    <t>d3v1s4_r3y4l</t>
  </si>
  <si>
    <t>nugroho99036078</t>
  </si>
  <si>
    <t>rbslgn</t>
  </si>
  <si>
    <t>bangben26616216</t>
  </si>
  <si>
    <t>meng_1234567</t>
  </si>
  <si>
    <t>qutu_qupret</t>
  </si>
  <si>
    <t>bendoll02708591</t>
  </si>
  <si>
    <t>tobatsaat</t>
  </si>
  <si>
    <t>ujkomar</t>
  </si>
  <si>
    <t>edyss05</t>
  </si>
  <si>
    <t>benny_moewi</t>
  </si>
  <si>
    <t>hadisang70</t>
  </si>
  <si>
    <t>fajarfirhadi</t>
  </si>
  <si>
    <t>to_w3lly</t>
  </si>
  <si>
    <t>didy_40</t>
  </si>
  <si>
    <t>rohmansyahsuja1</t>
  </si>
  <si>
    <t>aliusma83109423</t>
  </si>
  <si>
    <t>halopolsekraman</t>
  </si>
  <si>
    <t>budiatnogr</t>
  </si>
  <si>
    <t>lokerbumncpns</t>
  </si>
  <si>
    <t>ndaru_wardani</t>
  </si>
  <si>
    <t>_____sasa</t>
  </si>
  <si>
    <t>tehmanispanas4</t>
  </si>
  <si>
    <t>budipra87870630</t>
  </si>
  <si>
    <t>daodibn</t>
  </si>
  <si>
    <t>sumaryo80184182</t>
  </si>
  <si>
    <t>rich146754</t>
  </si>
  <si>
    <t>gusary</t>
  </si>
  <si>
    <t>kevinfhyl_</t>
  </si>
  <si>
    <t>februuuzz</t>
  </si>
  <si>
    <t>meispm</t>
  </si>
  <si>
    <t>ciput84725571</t>
  </si>
  <si>
    <t>cinuuuul</t>
  </si>
  <si>
    <t>cassarekayasa</t>
  </si>
  <si>
    <t>arif_fcr</t>
  </si>
  <si>
    <t>affanusman</t>
  </si>
  <si>
    <t>tumim_urim</t>
  </si>
  <si>
    <t>terpojoks</t>
  </si>
  <si>
    <t>lrahmadsyahj2p</t>
  </si>
  <si>
    <t>vonbron_ajah</t>
  </si>
  <si>
    <t>eandalusy</t>
  </si>
  <si>
    <t>detitik1</t>
  </si>
  <si>
    <t>masyarakatradio</t>
  </si>
  <si>
    <t>ariztkadju</t>
  </si>
  <si>
    <t>maximus_syukur</t>
  </si>
  <si>
    <t>ba_wcksn</t>
  </si>
  <si>
    <t>appellowj</t>
  </si>
  <si>
    <t>em2munawar</t>
  </si>
  <si>
    <t>mnqincognito</t>
  </si>
  <si>
    <t>clown_mui</t>
  </si>
  <si>
    <t>gunadi84380182</t>
  </si>
  <si>
    <t>dirmanrdl</t>
  </si>
  <si>
    <t>amiipoerwa</t>
  </si>
  <si>
    <t>ervan_jtm</t>
  </si>
  <si>
    <t>yussandrifikri</t>
  </si>
  <si>
    <t>justin_899</t>
  </si>
  <si>
    <t>lizaariani5</t>
  </si>
  <si>
    <t>widiatis279</t>
  </si>
  <si>
    <t>nathanaelnugro1</t>
  </si>
  <si>
    <t>erosyad</t>
  </si>
  <si>
    <t>nogososroasli</t>
  </si>
  <si>
    <t>diana_harianti</t>
  </si>
  <si>
    <t>kahfihouse</t>
  </si>
  <si>
    <t>abisabarudin2</t>
  </si>
  <si>
    <t>surauid</t>
  </si>
  <si>
    <t>kangcafebubar</t>
  </si>
  <si>
    <t>ashabym</t>
  </si>
  <si>
    <t>ftr1114</t>
  </si>
  <si>
    <t>hendryxdwi</t>
  </si>
  <si>
    <t>yasariqbal9</t>
  </si>
  <si>
    <t>danz51</t>
  </si>
  <si>
    <t>widassatyo</t>
  </si>
  <si>
    <t>renjunions</t>
  </si>
  <si>
    <t>dehanoer</t>
  </si>
  <si>
    <t>eboondcah</t>
  </si>
  <si>
    <t>lunatical9</t>
  </si>
  <si>
    <t>omezh5</t>
  </si>
  <si>
    <t>putr4sj</t>
  </si>
  <si>
    <t>angkringanxyz</t>
  </si>
  <si>
    <t>lusi79039701</t>
  </si>
  <si>
    <t>menfesssambat</t>
  </si>
  <si>
    <t>senyumbahagia6</t>
  </si>
  <si>
    <t>nmoewn</t>
  </si>
  <si>
    <t>teajuize</t>
  </si>
  <si>
    <t>ika_varizki</t>
  </si>
  <si>
    <t>nahdaalfi</t>
  </si>
  <si>
    <t>purwantisetia</t>
  </si>
  <si>
    <t>aliam36</t>
  </si>
  <si>
    <t>amadea312</t>
  </si>
  <si>
    <t>ahir9</t>
  </si>
  <si>
    <t>lordkrasak</t>
  </si>
  <si>
    <t>gdwi164</t>
  </si>
  <si>
    <t>ichwananto1</t>
  </si>
  <si>
    <t>mcflurryoreyou</t>
  </si>
  <si>
    <t>bambangmoelyadi</t>
  </si>
  <si>
    <t>sibeseck</t>
  </si>
  <si>
    <t>laludatu</t>
  </si>
  <si>
    <t>telorayamjantan</t>
  </si>
  <si>
    <t>godjila526</t>
  </si>
  <si>
    <t>kranjilatif</t>
  </si>
  <si>
    <t>shantymacika</t>
  </si>
  <si>
    <t>addarul1</t>
  </si>
  <si>
    <t>vian69633078</t>
  </si>
  <si>
    <t>zefry1974</t>
  </si>
  <si>
    <t>andianwar75</t>
  </si>
  <si>
    <t>katrnaaa14</t>
  </si>
  <si>
    <t>yswandi</t>
  </si>
  <si>
    <t>karyndwiyanita</t>
  </si>
  <si>
    <t>heru_pu2111</t>
  </si>
  <si>
    <t>soim_maskur</t>
  </si>
  <si>
    <t>damendra78</t>
  </si>
  <si>
    <t>its_jakobus</t>
  </si>
  <si>
    <t>effhariadi</t>
  </si>
  <si>
    <t>julyas43</t>
  </si>
  <si>
    <t>yaniarsim</t>
  </si>
  <si>
    <t>dewa13127757</t>
  </si>
  <si>
    <t>bambam30424539</t>
  </si>
  <si>
    <t>jakartastar</t>
  </si>
  <si>
    <t>sujono_prawiro</t>
  </si>
  <si>
    <t>luluk1683</t>
  </si>
  <si>
    <t>hutamarizky20</t>
  </si>
  <si>
    <t>omkodoq</t>
  </si>
  <si>
    <t>eoh_axela</t>
  </si>
  <si>
    <t>hanjenifd</t>
  </si>
  <si>
    <t>mohsyfri</t>
  </si>
  <si>
    <t>jayun72997066</t>
  </si>
  <si>
    <t>herwatoe</t>
  </si>
  <si>
    <t>juvestalker</t>
  </si>
  <si>
    <t>renjunsbun</t>
  </si>
  <si>
    <t>prihandono72</t>
  </si>
  <si>
    <t>anjaypisan</t>
  </si>
  <si>
    <t>hank_jkt</t>
  </si>
  <si>
    <t>aswa_13</t>
  </si>
  <si>
    <t>anthony888889</t>
  </si>
  <si>
    <t>naibahopahotan</t>
  </si>
  <si>
    <t>lia_yash</t>
  </si>
  <si>
    <t>jamescastello8</t>
  </si>
  <si>
    <t>kenarok10193945</t>
  </si>
  <si>
    <t>herui18740920</t>
  </si>
  <si>
    <t>dietzno</t>
  </si>
  <si>
    <t>iyat_jabbari</t>
  </si>
  <si>
    <t>ikhanovitsari</t>
  </si>
  <si>
    <t>lans2610</t>
  </si>
  <si>
    <t>galang01587086</t>
  </si>
  <si>
    <t>zonevenomwar</t>
  </si>
  <si>
    <t>mibalbuceo</t>
  </si>
  <si>
    <t>hgberry</t>
  </si>
  <si>
    <t>sigitwaluyo02</t>
  </si>
  <si>
    <t>darmalik3</t>
  </si>
  <si>
    <t>kangawi1</t>
  </si>
  <si>
    <t>rudy_setyo</t>
  </si>
  <si>
    <t>cambah_dele</t>
  </si>
  <si>
    <t>bahronialmansur</t>
  </si>
  <si>
    <t>pajakblampung1</t>
  </si>
  <si>
    <t>dzeko_dimas</t>
  </si>
  <si>
    <t>bcbanjarmasin_</t>
  </si>
  <si>
    <t>wwahyudi_</t>
  </si>
  <si>
    <t>kangazzev</t>
  </si>
  <si>
    <t>kring_pajak</t>
  </si>
  <si>
    <t>sundafess_</t>
  </si>
  <si>
    <t>ryanzoey_</t>
  </si>
  <si>
    <t>kendari_pos</t>
  </si>
  <si>
    <t>mbrputra_art</t>
  </si>
  <si>
    <t>fukusimax</t>
  </si>
  <si>
    <t>viraieo</t>
  </si>
  <si>
    <t>0606cokr</t>
  </si>
  <si>
    <t>wuriihannd</t>
  </si>
  <si>
    <t>ferrywf</t>
  </si>
  <si>
    <t>snuwoon</t>
  </si>
  <si>
    <t>tintahijaucom</t>
  </si>
  <si>
    <t>zonasubang</t>
  </si>
  <si>
    <t>jabar24jam</t>
  </si>
  <si>
    <t>subanghits</t>
  </si>
  <si>
    <t>panturaterkini</t>
  </si>
  <si>
    <t>mawardiah8</t>
  </si>
  <si>
    <t>_rizaldi_m_</t>
  </si>
  <si>
    <t>handersonchania</t>
  </si>
  <si>
    <t>ahmadjun889</t>
  </si>
  <si>
    <t>taufiqtpi</t>
  </si>
  <si>
    <t>yaelaaahlu</t>
  </si>
  <si>
    <t>aditya_psi</t>
  </si>
  <si>
    <t>kenanganmaniiss</t>
  </si>
  <si>
    <t>bbdoobe</t>
  </si>
  <si>
    <t>dheea09</t>
  </si>
  <si>
    <t>cakdim</t>
  </si>
  <si>
    <t>dreamitb2uty</t>
  </si>
  <si>
    <t>karantinapriok</t>
  </si>
  <si>
    <t>isworo63</t>
  </si>
  <si>
    <t>marimaasss</t>
  </si>
  <si>
    <t>soe_dody</t>
  </si>
  <si>
    <t>wulandarip17</t>
  </si>
  <si>
    <t>saudarisaki</t>
  </si>
  <si>
    <t>heri_aja</t>
  </si>
  <si>
    <t>pbantarsari</t>
  </si>
  <si>
    <t>panggilajaboboy</t>
  </si>
  <si>
    <t>kanglex_</t>
  </si>
  <si>
    <t>siakbarrrrr</t>
  </si>
  <si>
    <t>mgpolsek</t>
  </si>
  <si>
    <t>cecepfm</t>
  </si>
  <si>
    <t>hantiww</t>
  </si>
  <si>
    <t>marlinbenyal</t>
  </si>
  <si>
    <t>wistereina</t>
  </si>
  <si>
    <t>republikaonline</t>
  </si>
  <si>
    <t>ug94jinyoung</t>
  </si>
  <si>
    <t>iceeteaaaaa</t>
  </si>
  <si>
    <t>lokernesiaid</t>
  </si>
  <si>
    <t>tedtood</t>
  </si>
  <si>
    <t>joohoneyw_</t>
  </si>
  <si>
    <t>haeppyharuenjen</t>
  </si>
  <si>
    <t>abdurrafialwan</t>
  </si>
  <si>
    <t>lheezseung</t>
  </si>
  <si>
    <t>lokersumatera1</t>
  </si>
  <si>
    <t>ateezmart</t>
  </si>
  <si>
    <t>widodo_harjono</t>
  </si>
  <si>
    <t>seoulutionid</t>
  </si>
  <si>
    <t>fallinstaar</t>
  </si>
  <si>
    <t>thetarasu</t>
  </si>
  <si>
    <t>dahcapekya</t>
  </si>
  <si>
    <t>beritappat</t>
  </si>
  <si>
    <t>minosyahmadi</t>
  </si>
  <si>
    <t>lianajust4you</t>
  </si>
  <si>
    <t>czwolo</t>
  </si>
  <si>
    <t>cikanovika</t>
  </si>
  <si>
    <t>p4ndemin</t>
  </si>
  <si>
    <t>jjherlambang</t>
  </si>
  <si>
    <t>bustanulis</t>
  </si>
  <si>
    <t>rzk_bunga</t>
  </si>
  <si>
    <t>imattuadniw</t>
  </si>
  <si>
    <t>ko2w</t>
  </si>
  <si>
    <t>saiahunk</t>
  </si>
  <si>
    <t>res_okus</t>
  </si>
  <si>
    <t>oecsik</t>
  </si>
  <si>
    <t>portalkalbar1</t>
  </si>
  <si>
    <t>bapas_makassar</t>
  </si>
  <si>
    <t>wafaarhmn</t>
  </si>
  <si>
    <t>rain_bow80</t>
  </si>
  <si>
    <t>dounsedap</t>
  </si>
  <si>
    <t>dwoonyyy</t>
  </si>
  <si>
    <t>ayayyawae</t>
  </si>
  <si>
    <t>insecuretard</t>
  </si>
  <si>
    <t>hottieboobies</t>
  </si>
  <si>
    <t>banjarbase</t>
  </si>
  <si>
    <t>fcks_</t>
  </si>
  <si>
    <t>solitaire_evil</t>
  </si>
  <si>
    <t>atanalerectida</t>
  </si>
  <si>
    <t>tys1004</t>
  </si>
  <si>
    <t>berkepribadian</t>
  </si>
  <si>
    <t>azherbaizane</t>
  </si>
  <si>
    <t>karanavany</t>
  </si>
  <si>
    <t>kominfo_srg</t>
  </si>
  <si>
    <t>kurniawanricho</t>
  </si>
  <si>
    <t>dianonno</t>
  </si>
  <si>
    <t>hatteeuu</t>
  </si>
  <si>
    <t>imandangodaan</t>
  </si>
  <si>
    <t>rapangkatdua</t>
  </si>
  <si>
    <t>clcyoojiin</t>
  </si>
  <si>
    <t>vacantspice</t>
  </si>
  <si>
    <t>donita_xena</t>
  </si>
  <si>
    <t>savaalesha</t>
  </si>
  <si>
    <t>unsfess_</t>
  </si>
  <si>
    <t>ardhiantopan</t>
  </si>
  <si>
    <t>zalorjal</t>
  </si>
  <si>
    <t>spwidii</t>
  </si>
  <si>
    <t>ftsprm</t>
  </si>
  <si>
    <t>ariemega</t>
  </si>
  <si>
    <t>karinaartie</t>
  </si>
  <si>
    <t>mavieestnoire</t>
  </si>
  <si>
    <t>polsektinggi</t>
  </si>
  <si>
    <t>dochil97</t>
  </si>
  <si>
    <t>humas_sipirok</t>
  </si>
  <si>
    <t>lutfimove</t>
  </si>
  <si>
    <t>dickquake</t>
  </si>
  <si>
    <t>pajaklahat309</t>
  </si>
  <si>
    <t>jajan2311</t>
  </si>
  <si>
    <t>sherlock_ed97</t>
  </si>
  <si>
    <t>bon_amicf</t>
  </si>
  <si>
    <t>httpjeyu</t>
  </si>
  <si>
    <t>polantastaput</t>
  </si>
  <si>
    <t>przesdir</t>
  </si>
  <si>
    <t>faiznaputri</t>
  </si>
  <si>
    <t>ichihoony</t>
  </si>
  <si>
    <t>_pln_id</t>
  </si>
  <si>
    <t>bennyhutabarat_</t>
  </si>
  <si>
    <t>sellysellycat</t>
  </si>
  <si>
    <t>innieino</t>
  </si>
  <si>
    <t>lilboyhongjoong</t>
  </si>
  <si>
    <t>bpkp_bengkulu</t>
  </si>
  <si>
    <t>distanbunjateng</t>
  </si>
  <si>
    <t>hafizsp2</t>
  </si>
  <si>
    <t>akukula3</t>
  </si>
  <si>
    <t>rizwiky</t>
  </si>
  <si>
    <t>insarinwetrust</t>
  </si>
  <si>
    <t>a_wuri</t>
  </si>
  <si>
    <t>yesbutwhyyy</t>
  </si>
  <si>
    <t>bpptkg</t>
  </si>
  <si>
    <t>felixsandian</t>
  </si>
  <si>
    <t>maswah_</t>
  </si>
  <si>
    <t>greyzone9</t>
  </si>
  <si>
    <t>chancethegrain</t>
  </si>
  <si>
    <t>nius77</t>
  </si>
  <si>
    <t>petarung_0404</t>
  </si>
  <si>
    <t>ajussideul_exe</t>
  </si>
  <si>
    <t>ayramyoui</t>
  </si>
  <si>
    <t>mantulbarang</t>
  </si>
  <si>
    <t>yutas_yosa</t>
  </si>
  <si>
    <t>broari6</t>
  </si>
  <si>
    <t>gandrick50</t>
  </si>
  <si>
    <t>mopoek</t>
  </si>
  <si>
    <t>dagangkr</t>
  </si>
  <si>
    <t>bubblegumroyals</t>
  </si>
  <si>
    <t>chocosve</t>
  </si>
  <si>
    <t>eisiou</t>
  </si>
  <si>
    <t>mahdia_89</t>
  </si>
  <si>
    <t>datatempo</t>
  </si>
  <si>
    <t>roobiatul</t>
  </si>
  <si>
    <t>doiecemong</t>
  </si>
  <si>
    <t>cottoncollects</t>
  </si>
  <si>
    <t>jawapos</t>
  </si>
  <si>
    <t>pmuaragembong</t>
  </si>
  <si>
    <t>binanguncilacap</t>
  </si>
  <si>
    <t>sentraloker</t>
  </si>
  <si>
    <t>jenoogotjam</t>
  </si>
  <si>
    <t>kedirifess</t>
  </si>
  <si>
    <t>parefess</t>
  </si>
  <si>
    <t>karantinamks</t>
  </si>
  <si>
    <t>barantan_ri</t>
  </si>
  <si>
    <t>cepetwaras</t>
  </si>
  <si>
    <t>_bananaorange</t>
  </si>
  <si>
    <t>kochengcoklat</t>
  </si>
  <si>
    <t>p3psodent</t>
  </si>
  <si>
    <t>smgmenfess2</t>
  </si>
  <si>
    <t>dianaafff</t>
  </si>
  <si>
    <t>rvnff</t>
  </si>
  <si>
    <t>polsekadipala2</t>
  </si>
  <si>
    <t>wa_one1904</t>
  </si>
  <si>
    <t>perindubangtan</t>
  </si>
  <si>
    <t>polrestatanger1</t>
  </si>
  <si>
    <t>ajijavajava</t>
  </si>
  <si>
    <t>kbigwinsoon</t>
  </si>
  <si>
    <t>zumeww</t>
  </si>
  <si>
    <t>polsekkdrkota2</t>
  </si>
  <si>
    <t>kumparan</t>
  </si>
  <si>
    <t>913verse</t>
  </si>
  <si>
    <t>jegermeyeer</t>
  </si>
  <si>
    <t>adiadaadi</t>
  </si>
  <si>
    <t>minbunaa</t>
  </si>
  <si>
    <t>skyprisoner1</t>
  </si>
  <si>
    <t>stationxca</t>
  </si>
  <si>
    <t>ermaamalia</t>
  </si>
  <si>
    <t>daisycantikkk</t>
  </si>
  <si>
    <t>putrisoesilo</t>
  </si>
  <si>
    <t>patipatigulipat</t>
  </si>
  <si>
    <t>nindysm</t>
  </si>
  <si>
    <t>almqst</t>
  </si>
  <si>
    <t>darthvader7007</t>
  </si>
  <si>
    <t>mooncerries</t>
  </si>
  <si>
    <t>dinbaww</t>
  </si>
  <si>
    <t>hazzelnutcoklat</t>
  </si>
  <si>
    <t>robertoromario6</t>
  </si>
  <si>
    <t>daqwatulhaq</t>
  </si>
  <si>
    <t>nexrtar</t>
  </si>
  <si>
    <t>dinie_ys</t>
  </si>
  <si>
    <t>daramudaaa</t>
  </si>
  <si>
    <t>komprosdimedjo</t>
  </si>
  <si>
    <t>bensradio1062fm</t>
  </si>
  <si>
    <t>syahmoedra_ren</t>
  </si>
  <si>
    <t>infomjkt</t>
  </si>
  <si>
    <t>masdoddd</t>
  </si>
  <si>
    <t>theo73plori</t>
  </si>
  <si>
    <t>everwqnny</t>
  </si>
  <si>
    <t>bawaslutator</t>
  </si>
  <si>
    <t>polresjembrana</t>
  </si>
  <si>
    <t>setiant_d</t>
  </si>
  <si>
    <t>trisnadody</t>
  </si>
  <si>
    <t>mkomeliya</t>
  </si>
  <si>
    <t>rumahkipkunsil</t>
  </si>
  <si>
    <t>himafifmipaunri</t>
  </si>
  <si>
    <t>nandaceka</t>
  </si>
  <si>
    <t>lowongankerjalu</t>
  </si>
  <si>
    <t>henrysubiakto</t>
  </si>
  <si>
    <t>sonimsi07</t>
  </si>
  <si>
    <t>samsat_pbg</t>
  </si>
  <si>
    <t>mo0nstarrr</t>
  </si>
  <si>
    <t>imigrasibaubau</t>
  </si>
  <si>
    <t>grahatoyota</t>
  </si>
  <si>
    <t>bawaslu_tanbe</t>
  </si>
  <si>
    <t>rino52650304</t>
  </si>
  <si>
    <t>busbypkp</t>
  </si>
  <si>
    <t>kpuberau</t>
  </si>
  <si>
    <t>gatauuserius</t>
  </si>
  <si>
    <t>pln_123</t>
  </si>
  <si>
    <t>achmad_zaenizen</t>
  </si>
  <si>
    <t>polsekkuala2</t>
  </si>
  <si>
    <t>heynona94</t>
  </si>
  <si>
    <t>meiirandimeii</t>
  </si>
  <si>
    <t>humaspemkotbkl</t>
  </si>
  <si>
    <t>godfortunaa</t>
  </si>
  <si>
    <t>ib_ost</t>
  </si>
  <si>
    <t>harrynuriman</t>
  </si>
  <si>
    <t>himapentikaunri</t>
  </si>
  <si>
    <t>prakasitams</t>
  </si>
  <si>
    <t>humas_jogja</t>
  </si>
  <si>
    <t>muwiosigu</t>
  </si>
  <si>
    <t>windykurniawa16</t>
  </si>
  <si>
    <t>stwnhendra_</t>
  </si>
  <si>
    <t>dinomilosauruss</t>
  </si>
  <si>
    <t>moonkevicn</t>
  </si>
  <si>
    <t>bonie_cool</t>
  </si>
  <si>
    <t>anakbulela</t>
  </si>
  <si>
    <t>dhe_nasihin</t>
  </si>
  <si>
    <t>hafizatria</t>
  </si>
  <si>
    <t>deepperx</t>
  </si>
  <si>
    <t>himakompolban</t>
  </si>
  <si>
    <t>denpasarkota</t>
  </si>
  <si>
    <t>jejengjet_</t>
  </si>
  <si>
    <t>fattireyz</t>
  </si>
  <si>
    <t>squishyteddy12</t>
  </si>
  <si>
    <t>chittaprrrna</t>
  </si>
  <si>
    <t>rifqi_frido</t>
  </si>
  <si>
    <t>ide2nesia</t>
  </si>
  <si>
    <t>ayobogor</t>
  </si>
  <si>
    <t>bawasluppu</t>
  </si>
  <si>
    <t>ipm_smpalqolam</t>
  </si>
  <si>
    <t>gojekmilitan</t>
  </si>
  <si>
    <t>notyours_k</t>
  </si>
  <si>
    <t>tiniebubss</t>
  </si>
  <si>
    <t>negarakecil</t>
  </si>
  <si>
    <t>dwinoerk</t>
  </si>
  <si>
    <t>acengnurhid</t>
  </si>
  <si>
    <t>rmdharmasetia</t>
  </si>
  <si>
    <t>wicaksono_pe</t>
  </si>
  <si>
    <t>minanggermanic</t>
  </si>
  <si>
    <t>kwangjoobi</t>
  </si>
  <si>
    <t>ardanisbergas</t>
  </si>
  <si>
    <t>msucn_</t>
  </si>
  <si>
    <t>avwwt</t>
  </si>
  <si>
    <t>94jinyoungfey</t>
  </si>
  <si>
    <t>mantovanintens</t>
  </si>
  <si>
    <t>3andalas</t>
  </si>
  <si>
    <t>hmmribet</t>
  </si>
  <si>
    <t>merthurslove</t>
  </si>
  <si>
    <t>alkecilsaja</t>
  </si>
  <si>
    <t>yanguning2</t>
  </si>
  <si>
    <t>danicdanic</t>
  </si>
  <si>
    <t>zomet13</t>
  </si>
  <si>
    <t>camelaila1</t>
  </si>
  <si>
    <t>punyanyongrote</t>
  </si>
  <si>
    <t>deddyhariadi</t>
  </si>
  <si>
    <t>helmybobo</t>
  </si>
  <si>
    <t>radioelshinta</t>
  </si>
  <si>
    <t>sonorafm92</t>
  </si>
  <si>
    <t>satpasmetrojaya</t>
  </si>
  <si>
    <t>ntmc_info</t>
  </si>
  <si>
    <t>openkerja</t>
  </si>
  <si>
    <t>peninggidosa</t>
  </si>
  <si>
    <t>sange_bo</t>
  </si>
  <si>
    <t>candyyupiii</t>
  </si>
  <si>
    <t>yeppeomikki</t>
  </si>
  <si>
    <t>ekiiiiw</t>
  </si>
  <si>
    <t>bravobeacukai</t>
  </si>
  <si>
    <t>for__dy</t>
  </si>
  <si>
    <t>penggariskala</t>
  </si>
  <si>
    <t>rroxsky</t>
  </si>
  <si>
    <t>karangpos</t>
  </si>
  <si>
    <t>_sarcomere</t>
  </si>
  <si>
    <t>printsu_k</t>
  </si>
  <si>
    <t>chscproject</t>
  </si>
  <si>
    <t>xuxilion_</t>
  </si>
  <si>
    <t>tmcpoldametro</t>
  </si>
  <si>
    <t>laskarnasbung</t>
  </si>
  <si>
    <t>atcs_samarinda</t>
  </si>
  <si>
    <t>athreksa</t>
  </si>
  <si>
    <t>ckurnia_k</t>
  </si>
  <si>
    <t>almashumorg</t>
  </si>
  <si>
    <t>natcha_jong</t>
  </si>
  <si>
    <t>dzunotnewacc</t>
  </si>
  <si>
    <t>mathildanita</t>
  </si>
  <si>
    <t>caaankk</t>
  </si>
  <si>
    <t>pendimbm</t>
  </si>
  <si>
    <t>sgrskless</t>
  </si>
  <si>
    <t>mamavanenbas</t>
  </si>
  <si>
    <t>kokokdirgantoro</t>
  </si>
  <si>
    <t>sellbuytrad3</t>
  </si>
  <si>
    <t>unmanfaat</t>
  </si>
  <si>
    <t>gaungromantis</t>
  </si>
  <si>
    <t>n0n4m3_90</t>
  </si>
  <si>
    <t>ovo_id</t>
  </si>
  <si>
    <t>cherysimilikiti</t>
  </si>
  <si>
    <t>detikcom</t>
  </si>
  <si>
    <t>jek___</t>
  </si>
  <si>
    <t>enakmurahbanyaq</t>
  </si>
  <si>
    <t>emerson_yuntho</t>
  </si>
  <si>
    <t>telkomsel</t>
  </si>
  <si>
    <t>ghiffariyusuf</t>
  </si>
  <si>
    <t>indihome</t>
  </si>
  <si>
    <t>wafaplayground</t>
  </si>
  <si>
    <t>anonblobfish</t>
  </si>
  <si>
    <t>jokowi</t>
  </si>
  <si>
    <t>hopearlve</t>
  </si>
  <si>
    <t>nungoip</t>
  </si>
  <si>
    <t>eliserizu</t>
  </si>
  <si>
    <t>muly86054800</t>
  </si>
  <si>
    <t>krmtroysuryo2</t>
  </si>
  <si>
    <t>skz_lino</t>
  </si>
  <si>
    <t>ahendsss</t>
  </si>
  <si>
    <t>citizenstores</t>
  </si>
  <si>
    <t>jajanbighit</t>
  </si>
  <si>
    <t>gelorabanten</t>
  </si>
  <si>
    <t>gelorakalsel</t>
  </si>
  <si>
    <t>gelorasumbar</t>
  </si>
  <si>
    <t>gelorakotajambi</t>
  </si>
  <si>
    <t>geloracirebon</t>
  </si>
  <si>
    <t>gelorajkt</t>
  </si>
  <si>
    <t>endykurniawan</t>
  </si>
  <si>
    <t>mahfuzsidik_</t>
  </si>
  <si>
    <t>fahrihamzah</t>
  </si>
  <si>
    <t>anismatta</t>
  </si>
  <si>
    <t>partaigeloraid</t>
  </si>
  <si>
    <t>hendri_mantis</t>
  </si>
  <si>
    <t>bertanyarl</t>
  </si>
  <si>
    <t>indihomecare</t>
  </si>
  <si>
    <t>posindonesia</t>
  </si>
  <si>
    <t>king__vaduka</t>
  </si>
  <si>
    <t>ryofahri</t>
  </si>
  <si>
    <t>andikabp__</t>
  </si>
  <si>
    <t>jnsuhflower</t>
  </si>
  <si>
    <t>00uchtea</t>
  </si>
  <si>
    <t>sudarmintoarif</t>
  </si>
  <si>
    <t>dagangkorea</t>
  </si>
  <si>
    <t>kemkominfo</t>
  </si>
  <si>
    <t>kemenbumn</t>
  </si>
  <si>
    <t>andriandefri</t>
  </si>
  <si>
    <t>sbyfess</t>
  </si>
  <si>
    <t>ditjenpajakri</t>
  </si>
  <si>
    <t>hyukssii</t>
  </si>
  <si>
    <t>sygfess</t>
  </si>
  <si>
    <t>sakmadik_</t>
  </si>
  <si>
    <t>disss83186478</t>
  </si>
  <si>
    <t>telkomindonesia</t>
  </si>
  <si>
    <t>itsroccoce</t>
  </si>
  <si>
    <t>jimintberry</t>
  </si>
  <si>
    <t>chubbified</t>
  </si>
  <si>
    <t>posindo</t>
  </si>
  <si>
    <t>thenameofjake</t>
  </si>
  <si>
    <t>rowoion</t>
  </si>
  <si>
    <t>pupuyeol</t>
  </si>
  <si>
    <t>ffoodfess</t>
  </si>
  <si>
    <t>klikcrackers</t>
  </si>
  <si>
    <t>kantorposjkb</t>
  </si>
  <si>
    <t>jogmfs</t>
  </si>
  <si>
    <t>aespafess_</t>
  </si>
  <si>
    <t>komnasham</t>
  </si>
  <si>
    <t>rizmaya__</t>
  </si>
  <si>
    <t>anteraja_id</t>
  </si>
  <si>
    <t>literarybase</t>
  </si>
  <si>
    <t>chaxcha____</t>
  </si>
  <si>
    <t>bobbygr__</t>
  </si>
  <si>
    <t>undipmenfess</t>
  </si>
  <si>
    <t>kemensosri</t>
  </si>
  <si>
    <t>sienervt</t>
  </si>
  <si>
    <t>stanmenfess</t>
  </si>
  <si>
    <t>halimiskandarnu</t>
  </si>
  <si>
    <t>sellkpopfess</t>
  </si>
  <si>
    <t>bubblygram</t>
  </si>
  <si>
    <t>peniti</t>
  </si>
  <si>
    <t>ucieadinda</t>
  </si>
  <si>
    <t>caktainkomari</t>
  </si>
  <si>
    <t>nadyadaniar</t>
  </si>
  <si>
    <t>enabling11</t>
  </si>
  <si>
    <t>aelzaheera</t>
  </si>
  <si>
    <t>secop_io</t>
  </si>
  <si>
    <t>sy74388394</t>
  </si>
  <si>
    <t>milsuna</t>
  </si>
  <si>
    <t>revoiruna</t>
  </si>
  <si>
    <t>najiberror1</t>
  </si>
  <si>
    <t>lampungbase</t>
  </si>
  <si>
    <t>_angky</t>
  </si>
  <si>
    <t>nasikemarennn</t>
  </si>
  <si>
    <t>sukabumiifess</t>
  </si>
  <si>
    <t>animefess_</t>
  </si>
  <si>
    <t>marktauan</t>
  </si>
  <si>
    <t>queenssambit</t>
  </si>
  <si>
    <t>marthawidya4</t>
  </si>
  <si>
    <t>afebriannaaaaa</t>
  </si>
  <si>
    <t>ohmyjhones</t>
  </si>
  <si>
    <t>bogorfess_</t>
  </si>
  <si>
    <t>ggsell_fess</t>
  </si>
  <si>
    <t>noblesinparis</t>
  </si>
  <si>
    <t>mohmahfudmd</t>
  </si>
  <si>
    <t>xxsalsakyl</t>
  </si>
  <si>
    <t>collegemenfess</t>
  </si>
  <si>
    <t>dishub_mlgkota</t>
  </si>
  <si>
    <t>yusufgunawan</t>
  </si>
  <si>
    <t>snvleur</t>
  </si>
  <si>
    <t>cunggit_</t>
  </si>
  <si>
    <t>zaloraidn</t>
  </si>
  <si>
    <t>daenerystgrnn</t>
  </si>
  <si>
    <t>rizkicgmlr</t>
  </si>
  <si>
    <t>chiki666_</t>
  </si>
  <si>
    <t>pmoch88</t>
  </si>
  <si>
    <t>clipan_finance</t>
  </si>
  <si>
    <t>ctbzale</t>
  </si>
  <si>
    <t>sunnycunnyy</t>
  </si>
  <si>
    <t>noisette_douce</t>
  </si>
  <si>
    <t>okyonline</t>
  </si>
  <si>
    <t>jiwon00fc</t>
  </si>
  <si>
    <t>pospay_official</t>
  </si>
  <si>
    <t>bdngfess</t>
  </si>
  <si>
    <t>mglfess</t>
  </si>
  <si>
    <t>miund</t>
  </si>
  <si>
    <t>ms_atiek</t>
  </si>
  <si>
    <t>vchristyano</t>
  </si>
  <si>
    <t>daydaydonat</t>
  </si>
  <si>
    <t>whitefwine</t>
  </si>
  <si>
    <t>bcpasarbaru</t>
  </si>
  <si>
    <t>bright_plnbatam</t>
  </si>
  <si>
    <t>tokopedia</t>
  </si>
  <si>
    <t>luvmyxjm</t>
  </si>
  <si>
    <t>pipelpotatotae</t>
  </si>
  <si>
    <t>kim073008</t>
  </si>
  <si>
    <t>tajyasinmz</t>
  </si>
  <si>
    <t>ganjarpranowo</t>
  </si>
  <si>
    <t>provjateng</t>
  </si>
  <si>
    <t>elhajjmunir</t>
  </si>
  <si>
    <t>tsuroiya</t>
  </si>
  <si>
    <t>divhumas_polri</t>
  </si>
  <si>
    <t>mei2namaku</t>
  </si>
  <si>
    <t>akunbermanfaat</t>
  </si>
  <si>
    <t>niuwvbs</t>
  </si>
  <si>
    <t>naaangggg</t>
  </si>
  <si>
    <t>fo108x</t>
  </si>
  <si>
    <t>areajulid</t>
  </si>
  <si>
    <t>soerja</t>
  </si>
  <si>
    <t>augtocab</t>
  </si>
  <si>
    <t>alvchrist</t>
  </si>
  <si>
    <t>stevaniehuangg</t>
  </si>
  <si>
    <t>basalemax</t>
  </si>
  <si>
    <t>minerose_id</t>
  </si>
  <si>
    <t>ggggggilang</t>
  </si>
  <si>
    <t>godsdraken</t>
  </si>
  <si>
    <t>deatjehers</t>
  </si>
  <si>
    <t>cahyowibb</t>
  </si>
  <si>
    <t>prfmnews</t>
  </si>
  <si>
    <t>linkaja</t>
  </si>
  <si>
    <t>jaedoenthu</t>
  </si>
  <si>
    <t>gyupiter406_</t>
  </si>
  <si>
    <t>bukanfahiraa</t>
  </si>
  <si>
    <t>msaid_didu</t>
  </si>
  <si>
    <t>2020_stmj</t>
  </si>
  <si>
    <t>convomfs</t>
  </si>
  <si>
    <t>a100888</t>
  </si>
  <si>
    <t>kantorpostsm</t>
  </si>
  <si>
    <t>notendrases</t>
  </si>
  <si>
    <t>convomf</t>
  </si>
  <si>
    <t>jalusatria_</t>
  </si>
  <si>
    <t>eajj92</t>
  </si>
  <si>
    <t>fiaqrta</t>
  </si>
  <si>
    <t>sarahdracad</t>
  </si>
  <si>
    <t>garenghallu</t>
  </si>
  <si>
    <t>jazzy867</t>
  </si>
  <si>
    <t>diemwoi</t>
  </si>
  <si>
    <t>winonafritziee</t>
  </si>
  <si>
    <t>memefess</t>
  </si>
  <si>
    <t>yagora628</t>
  </si>
  <si>
    <t>anissaherdian</t>
  </si>
  <si>
    <t>husaiiin</t>
  </si>
  <si>
    <t>adiputradana</t>
  </si>
  <si>
    <t>tanyakanrl</t>
  </si>
  <si>
    <t>qonitawn</t>
  </si>
  <si>
    <t>fiersabesari</t>
  </si>
  <si>
    <t>dubideobidump</t>
  </si>
  <si>
    <t>karawangfess</t>
  </si>
  <si>
    <t>friskas__</t>
  </si>
  <si>
    <t>ntakisback</t>
  </si>
  <si>
    <t>ibitedonghan</t>
  </si>
  <si>
    <t>ipmsragen</t>
  </si>
  <si>
    <t>ipmjateng</t>
  </si>
  <si>
    <t>erickthohir</t>
  </si>
  <si>
    <t>mnahiarn</t>
  </si>
  <si>
    <t>hiiyulhee</t>
  </si>
  <si>
    <t>namakubayangan</t>
  </si>
  <si>
    <t>merapi_uncover</t>
  </si>
  <si>
    <t>96jenniefey</t>
  </si>
  <si>
    <t>tfsurabaya</t>
  </si>
  <si>
    <t>rizkiadrian</t>
  </si>
  <si>
    <t>wahyuacum</t>
  </si>
  <si>
    <t>devioudessa</t>
  </si>
  <si>
    <t>a_fionyjkt48</t>
  </si>
  <si>
    <t>hanxuei</t>
  </si>
  <si>
    <t>kiwsah</t>
  </si>
  <si>
    <t>fearnaughtb</t>
  </si>
  <si>
    <t>thyy_94</t>
  </si>
  <si>
    <t>Retweet</t>
  </si>
  <si>
    <t>Mentions</t>
  </si>
  <si>
    <t>MentionsInRetweet</t>
  </si>
  <si>
    <t>Replies to</t>
  </si>
  <si>
    <t>1) Kantor Pos Cikini
Kantor Pos ini dibangun pada 1920 dan saat ini menjadi ikon utama Kawasan Cikini. Selain itu, Kantor Pos Cikini merupakan kantor pos pertama yang menerapkan pelayanan 24 jam.
📷: Dok Pribadi https://t.co/DM4oBmIkJk</t>
  </si>
  <si>
    <t>"Kantor pos ini, termaksud bangunan eksrentik atau menarik pada zamannya dengan desain Art deco. Bangunannya kini masih asli, cuma mungkin ada beberapa perubahan.</t>
  </si>
  <si>
    <t>Gue lupa berapa hari setelah bonyok pulang gitu. Gue tetep stay di Surabaya. Akhirnya gue kejarlah buat daftar tes di kampus di Bandung. Gue inget banget itu hari pendaftaran terakhir. Buru2 nyiapin berkas, pergi ke kantor pos buat dikirim. Girigiri safe kalo kata orang Jepang.</t>
  </si>
  <si>
    <t>semalam adalah kali kesekian gue tidur di kantor. dan selalu, kalo malam dan paginya gue coba2 keliling kantor termasuk gudang dan taman belakang sampe ke pos satpam di depan juga. dan selalu, satpam yang jaga tidur lebih dulu dari gue tapi bangun lebih lama daripada gue.</t>
  </si>
  <si>
    <t>Lowongan Rekrutmen Kerja Kantor Pos Karawang....Info lengkap... https://t.co/EWiSimTms9</t>
  </si>
  <si>
    <t>@Netijencupu @kokokdirgantoro Kiriman uang melalui pos. Dari bahasa Belanda, wiselle. Pengirim menyetor sejumlah uang ke kantor pos, lalu kamu dikirimi kupon (semacam kartu pos gitu) yg bs ditukarkan dgn jumlah uang yg sama di kantor pos.</t>
  </si>
  <si>
    <t>Oiya, nama aplikasinya SLOWLY. Ini aplikasi yang mirip banget kaya dulu korespondensi tuh melalui Kantor Pos, nah ini versi onlinenya. Durasi pengiriman suratnya mirip kaya kita ngirim suratnya melalui Kantor Pos, bahagia banget ketemu aplikasi ini😍
Selamat mencoba… https://t.co/fUMtHojV7p</t>
  </si>
  <si>
    <t>di setiap kota yg dibangun Belanda, sll ada kantor pos, bank, gereja. itu nandain betapa urgennya ke3 hal tsb. 
yg msh jaga komunikasi ma temennya, cung.... https://t.co/wVh9yOCPbF</t>
  </si>
  <si>
    <t>guys kantor pos hri minggu gini tutup apa.buka sih ??????</t>
  </si>
  <si>
    <t>@sellbuytrad3 Akuu bisa nder dom indramayu jabar, deket sama berbagai ekspedisi jne,jnt,sicept,anteraja,kantor pos tinggal mgesot fee miring butuh kerjaan gabut banget😭😭</t>
  </si>
  <si>
    <t>@saveurte @hibooran @unmanfaat iya pasti sih, pernah sekali urus tombak n keris.
kirim beda pulau, lewat kantor pos gitu.
sore2 ke kntr pos, sm petugas pos nya lngsng di packing bubble warp trus masuk deh ke truck yg mau brngkt ga pake antri2 lg
saya blng ke petugasnya, “jgn dibanting ntar marah isinya”</t>
  </si>
  <si>
    <t>@banjarbase Bjm, dm lawan dihiga kantor pos</t>
  </si>
  <si>
    <t>@gaungromantis kantor pos</t>
  </si>
  <si>
    <t>@N0N4m3_90 polisi mmng arogan2, kmrn sy cr surat keterangan kehilangan, sy g tahu kantor nya mau tny di pos penjagaan dibentak2, emang g ada aklak , gue doain tuh polisi yg bentak sy ntar di adzab Allah.</t>
  </si>
  <si>
    <t>@ovo_id aku pake apk twecha twitter lite gak bisa DM, ya kalau ke alfa gak bisa lagi ya susah juga mau top up pake apalagi, bisa gak ya top up via kantor pos.</t>
  </si>
  <si>
    <t>@cherysimilikiti Mau ketemu di sency apa Kantor pos?
U choose</t>
  </si>
  <si>
    <t>Utk Banjarbaru dan sekitarnya, nasi goreng depan kantor pos adalah yg paling enak. No debat. https://t.co/jEN1fjR9rw</t>
  </si>
  <si>
    <t>nasgor lek di di depan gang sari baru. kalo udh malem pasti nongkrong di deket jembatan, rasanya enak pol. kalo mau jam 12 ke atas nasgornya ranto keliling dri depan rumah sampe kantor pos kayanya. ENAK SMUA https://t.co/29XEb5Oy8q</t>
  </si>
  <si>
    <t>@detikcom kerjasama aja dengan unit2 kantor pos buat perbanyak lokasi perpanjang sim sekalian jg utk bayar pajak, paling gak lebih bermanfaat karena utk fungsi pengiriman barang sendiri PT. Pos uda kalah bersaing sm swasta</t>
  </si>
  <si>
    <t>Perkuat Layanan Platform Digital Courier PosAja!, Pos Indonesia Kenalkan O-Ranger Mawar &amp;amp; Kurir  Wanita - https://t.co/gAEpl5POfj https://t.co/zKq5suPOuc</t>
  </si>
  <si>
    <t>Perkuat Layanan Platform Digital Courier PosAja!, Pos Indonesia Kenalkan O-Ranger Mawar &amp;amp; Kurir  Wanita - https://t.co/gAEpl5POfj https://t.co/xAMoeGle4V</t>
  </si>
  <si>
    <t>Perkuat Layanan Platform Digital Courier PosAja!, Pos Indonesia Kenalkan O-Ranger Mawar &amp;amp; Kurir  Wanita - https://t.co/gAEpl5POfj https://t.co/eafidlzrny</t>
  </si>
  <si>
    <t>Perkuat Layanan Platform Digital Courier PosAja!, Pos Indonesia Kenalkan O-Ranger Mawar &amp;amp; Kurir  Wanita - https://t.co/gAEpl5POfj https://t.co/dkpbE92VCA</t>
  </si>
  <si>
    <t>@jek___ mau ketemu di synce apa kantor pos? u choose</t>
  </si>
  <si>
    <t>ada yg tau gk yah tmp jual perangko kuno bekas pakai selain di kantor pos??</t>
  </si>
  <si>
    <t>.Kantor pos tegal sampe interview, admin dan ujian tertulis lolos
. Poltek ujian tertulis lolos sampe interview
. Belum perusahaan2 yg kecil, ribuan bahkan ratusan 🥱
Masi dibilang usahanya blm seberapa? Apalagi pengangguran duit terbatas hrs jual kertas, ikutan lombas nulis dll</t>
  </si>
  <si>
    <t>@enakmurahbanyaq Ywd lewat kantor pos indonesia aja deh sekalian kwkwkw</t>
  </si>
  <si>
    <t>@emerson_yuntho kl SAMSAT didaerah saya sdh bagus bs bayar di Indomart kantor pos dan bank. kl SIM masih perlu dibenahi.</t>
  </si>
  <si>
    <t>17.04: Info awal #kebakaran ilalang di Jalan Ketintang, dekat kantor Telkom Ketintang. Aprilia dari Command Center Surabaya mengatakan, petugas dari Pos Jambangan sudah menuju ke lokasi. (hm)</t>
  </si>
  <si>
    <t>Menengok Sejarah di Kawasan Cikini, Dari Kantor Pos Sampai Pabrik Roti Tertua https://t.co/frQa2lE327 #TempoTravel</t>
  </si>
  <si>
    <t>@ciruruka Samaa kak udah empat bulan lebih belum ada yang nyampe sama sekalii😭 aku sampe nyamperin ke kantor pos tapi gabisaa</t>
  </si>
  <si>
    <t>@joohawuf huhuhu samaan, udah 4 bulan lebih 😭
aku udah 2x ke kantor pos, tapi masih aja nihil. sampai pak pos daerah ku nawarin kalau misal ada paketnya ntar langsung dikabari, tapi nggak juga 😭
bikin kepikiran, baru kali ini kejadian kayak gini :"(</t>
  </si>
  <si>
    <t>-ness bayar indihome selain di telkom &amp;amp; kantor pos dimana ya?</t>
  </si>
  <si>
    <t>Menengok Sejarah di Kawasan Cikini, Dari Kantor Pos Sampai Pabrik Roti Tertua https://t.co/K5X4xKWQJO</t>
  </si>
  <si>
    <t>@glossyrush_ Dibawah bni pusat seberang kantor pos besar pas</t>
  </si>
  <si>
    <t>@GhiffariYusuf @IndiHome @Telkomsel yaudah gausah internetan. ntar kalo mau kirim chat lewat kantor pos aja 🤣🤌</t>
  </si>
  <si>
    <t>2. Tersangka lainnya dengan inisial  S selaku Direktur PT. Pos Finansial Indonesia. Hal ini diduga berpotensi merugikan keuangan negara sebesar kurang lebih Rp. 52.612.200.000,- dalam pengelolaan layanan Pospay yang dilaksanakan oleh PT. Pos Finansial Indonesia.
#kejaksaanri</t>
  </si>
  <si>
    <t>Anyway, paket batch Agustus udah sampe di kantor pos kotaku ya. Tinggal tunggu ntar cepetan mereka kirim ke alamatku atau aku yg ambil ke sana waktu day off Kamis nanti wkwk
Isinya ada shikishi SNK, onemutan JJK vol 2 sama Chokorin JJK 🤗</t>
  </si>
  <si>
    <t>@wafaplayground @anonblobfish Nasgor Gogon depan kantor pos Purwoyoso</t>
  </si>
  <si>
    <t>PT Pos Indonesia memperkuat layanan platform digital PosAja! dengan memperkenalkan kurir khusus perempuan O-Ranger Mawar serta menggandeng penyedia transportasi online Nusantara Ojek.
Kick off O-Ranger Mawar dilakukan di Batu Malang, (17/9). 
@jokowi
https://t.co/tSeKxjBoIe</t>
  </si>
  <si>
    <t>@anonblobfish buat yang dilampung, cobain nasgor samping kantor pos antasari ya tolong apalagi mi rebusnya 😭✋👍</t>
  </si>
  <si>
    <t>mana besok mau ke kantor pos. Dahlah</t>
  </si>
  <si>
    <t>@hopearlve dikirim@bsk lewat kantor pos</t>
  </si>
  <si>
    <t>PT Pos Indonesia (Persero) memperkuat layananan platform digital PosAja! dengan memperkenalkan kurir khusus perempuan O-Ranger Mawar serta menggandeng penyedia transportasi online Nusantara Ojek (Nujek). 
@jokowi 
https://t.co/EGX1U59lv6</t>
  </si>
  <si>
    <t>PT Pos Indonesia memperkuat layanan platform digital PosAja! dengan memperkenalkan kurir khusus perempuan O-Ranger Mawar serta menggandeng penyedia transportasi online Nusantara Ojek (Nujek).
https://t.co/x3DlH4nxQE</t>
  </si>
  <si>
    <t>PT Pos Indonesia memperkuat layanan platform digital PosAja! dengan memperkenalkan kurir khusus perempuan O-Ranger Mawar serta menggandeng penyedia transportasi online Nusantara Ojek (Nujek).
https://t.co/cxSDC2eA0U</t>
  </si>
  <si>
    <t>clinic-nya kayak kantor pos. https://t.co/NTRb2mgcqd</t>
  </si>
  <si>
    <t>@nungoip Kirim surat lewat kantor pos^^</t>
  </si>
  <si>
    <t>@eliserizu Terakhir gue kayaknya sebelum PPKM deh, soalnya bisa nitip ke temen gue yang rumahnya sebelahan sama kantor pos.
Tapi terus gue ga dibales dong sama yang gue kirimin :( sad</t>
  </si>
  <si>
    <t>Postcard, perangko, dan kantor pos buatku mungkin bukan sekadar alat komunikasi "klasik", tapi bagian dari menjaga kenangan.
Waktu "LDR" aku sering kirim2an postcard sama kakekku. Waktu kakekku meninggal, aku tetep suka pakai pos karena berasa ada kakekku. https://t.co/IGlVdcOipe</t>
  </si>
  <si>
    <t>Sampe akhirnya pas hari ke 6 sakit, maksain masuk sekolah karena badan udah engga panak. Tapi ya itu gatel-gatelnya masih, makanya pake jaket terus kan dikelas.
Temen ku yang 4 itu ngajakin naro lamaran di kantor pos kan dan aku bilang "kalian dulu bisa ga? Badan ku gatel +</t>
  </si>
  <si>
    <t>Engga enak badan, badan ku juga anget lagi." Tadinya temen engga percaya badan ku anget, tapi pas dipegang mereka percaya tapi tetep aja maksa ngikut sampe akhirnya aku bilang "Kalian berempat dulu ya? nanti abis dari kantor pos +</t>
  </si>
  <si>
    <t>Udah seminggu dari itu, disekolah temen ku bilang "Pi, sebenernya pas kita ngasih lamaran pkl di kantor pos waktu itu besoknya kita di telpon dan diterima pkl disana, cuma kata mereka cuma nerima 4 orang aja." 
Ya aku karena merasa seharusnya cewek yang harus dapet +</t>
  </si>
  <si>
    <t>( Waktu mereka ke kantor pos, si cowok engga ikut kesana. Tapi pas tau ada makan-makan dirumah ku dia dateng, karena rumah ku sama si cowok itu deket.)</t>
  </si>
  <si>
    <t>Dan ternyata alesan mereka bilang gitu karena pkl mereka di kantor pos gagal. Mereka di telpon kalo kantor pos engga nerima pkl wkwkwkwkwk.</t>
  </si>
  <si>
    <t>Selain nama2 yang kusebut tadi, Roni terkadang pinjam KTP temannya untuk diTF melalui kantor Pos, pernah a.n Herman Doni, ktp Dharmasraya, Sumbar, sebab bukan tidak mungkin dia pinjam ktp tetangga atau temannya yg lain ... waspada ya teman temin ..🙏🏻</t>
  </si>
  <si>
    <t>@UNSfess_ alun alun, nder... ng cedak per4an sg sebelah e kantor pos...</t>
  </si>
  <si>
    <t>PT Pos Indonesia (Persero) memperkuat layanan platform digital PosAja! dengan memperkenalkan kurir khusus perempuan O-Ranger Mawar
https://t.co/GcXB4P7rw9
@jokowi</t>
  </si>
  <si>
    <t>@KRMTRoySuryo2 @Muly86054800 Jangan kasih kendor, klo mereka minta materei bilang aja stok di kantor pos habis</t>
  </si>
  <si>
    <t>#lawangsewu yang terletak di depan Jalan Raya Pos Daendels ini digunakan sebagai kantor pusat NIS dan tempat tinggal pegawai Belanda.</t>
  </si>
  <si>
    <t>LOKASI PELAYANAN #SIMKELILING Senin, 20 September 2021 Pukul 08.00 s/d 14.00 Wib :
Jaktim : Mall Grand Cakung.
Jaksel  : Kampus Trilogi Kalibata &amp;amp;
Jln M.Saidi Raya Petukangan Jaksel.
Jakbar : LTC Glodok.
Jakpus : Kantor Pos Lapangan Banteng https://t.co/pG2wig4x1k</t>
  </si>
  <si>
    <t>@skz_lino sebenernya untracked kantor pos terima terima aja wkkwkw udahlah untracked sj</t>
  </si>
  <si>
    <t>@ahendsss Ke kantor pos bisa</t>
  </si>
  <si>
    <t>@IndiHome kenapa mau bayar tagihan aja susah.. dari kmrin gak bisa sudah dicoba beberapa metode tidak bisa juga... ATM, Kantor Pos, Alfa, DANA, OVO.. semuanya gagal...</t>
  </si>
  <si>
    <t>Berdasarkan penelusuran GNFI di sekitar kawasan Cikini, masih terdapat beberapa tempat legendaris, seperti Gedung Kantor Pos, tempat kumpul seperti kedai kopi Bakoel Koffie, rumah Ida Kurani Soedibjo alias Ibu Dibyo (pusat penjualan tiket konser), sampai roti Tan Ek Tjoan.</t>
  </si>
  <si>
    <t>Mode kantor pos mbalesie sedino pisan</t>
  </si>
  <si>
    <t>Kantor pos, jne, jnt deket banget dari rumah. Shopee udah bisa freeong juga. Admin rekap juga bisa. Untuk fee nanti kita deal dealannya di dm yaa, let's goo 💖
Oh iya aku Belum megang GO manapun sama sekali dan gak sibuk juga (kecuali pagi jam 8-9).</t>
  </si>
  <si>
    <t>Kantor pos, jne, jnt deket banget dari rumah. 🍊 ku udah bisa freeong juga. Adm rekap juga bisa. Untuk fee nanti kita deal dealannya di dm yaa, Oh iya aku Belum megang GO manapun sama sekali dan gak sibuk juga (kecuali pagi jam 8-9). aku dom indramayu kota.</t>
  </si>
  <si>
    <t>Ini twit meresahkan ..
😭😭😭
Btw yang tanya kirim pc keluar negeri.  
For first aku gak tinggal di indonesia .
Kalau ketentuan disini
Pack nya pake amplop top loader trs tulis alamat sama kaya selkor kasih kantor pos bayar selesai 🙏🙏 https://t.co/Rf8v43XPqC</t>
  </si>
  <si>
    <t>@citizenstores pake semi registered kantor pos 1800 won</t>
  </si>
  <si>
    <t>Nah, di minggu yang lalu sy bareng teman2 media ikut acara "Media Heritage Walk" di Cikini. Acaranya short walking tour di jalan Cikini raya. Mulai dari kantor pos Cikini sampai Taman Ismail Marzuki. 
#jakarta_tourism #walkingtourjakarta https://t.co/0b13Ep7QFQ</t>
  </si>
  <si>
    <t>@jajanbighit Iyaa ke kantor pos</t>
  </si>
  <si>
    <t>@jajanbighit Iya nder ke kantor pos, tinggal bilang aja mau kirim paket ke ln</t>
  </si>
  <si>
    <t>Just posted a photo @ Kantor POS Jakarta https://t.co/dTrRAKfCyN</t>
  </si>
  <si>
    <t>@Hendri_Mantis @partaigeloraid @anismatta @Fahrihamzah @Mahfuzsidik_ @endykurniawan @GeloraJkt @geloracirebon @gelorakotajambi @GeloraSumbar @GeloraKalsel @gelorabanten Ah katepe mah bukan barang umum, di rt rw kelurahan juga banyak, bahkan klo mau nebus sembako murah pakenya KTP Berwarna, difoto mukanya.
Ambil bansos dari kantor pos, pegang duit pegang ktp difoto close up</t>
  </si>
  <si>
    <t>@bertanyarl Kamu ga mau coba pake kantor pos?</t>
  </si>
  <si>
    <t>Halo @IndiHomeCare  saya tadi mau bayar Indi home saya sudah ke Indomaret, Alfamart, kantor pos sampai ke Plasa Telkom. Tapi semuanya bilang lagi gangguan terus sekarang kan tanggal 20 otomatis hari terakhir pembayaran . 
Terus saya harus bagaimana https://t.co/bg3DPzkmyQ</t>
  </si>
  <si>
    <t>@PosIndonesia maaaf admin mau tanya kiriman paket di kantor pos pandeglang</t>
  </si>
  <si>
    <t>@ryofahri @KING__VADUKA nih alamat gw pos 8 pel tj priok tanya aje tkg kopi zein ! gw kgk bisa kamane mane nih lg dipatok jagain kantor bos kecil. Klo kgk ada yg datang ntar gantian ye</t>
  </si>
  <si>
    <t>@andikabp__ Sency aja apa kantor pos mas</t>
  </si>
  <si>
    <t>Me: "Kamar kita keren jg ya dicat oranye."
Hubby: "Iye tapi kyk ada nyang aneh ye."
Me: "Masa sih, kagak ade, ah."
Hubby: "Oranye gini kok kyk kantor pos ye."
🤣🤣🤣🤣🤣</t>
  </si>
  <si>
    <t>@jnsuhflower Kantor pos nya luas bgt kayak bandara :')
Aku pikir bandara :'</t>
  </si>
  <si>
    <t>@00uchtea Kupang pak misari, marlung marsus sidokare, bakso kantor pos, bebek simayakho, sego sambel mb siti, rawon gajah mada, angkringan sebelah X2, kopisyop</t>
  </si>
  <si>
    <t>@SudarmintoArif @IndiHomeCare Aku td bayar lewat mbanking gabisa, terus ke kantor pos deh</t>
  </si>
  <si>
    <t>@dagangkorea Ke kantor pos nder</t>
  </si>
  <si>
    <t>Masuk kantor pos langsung pada ngeliatin kaya ngeliat artis</t>
  </si>
  <si>
    <t>@SudarmintoArif @IndiHomeCare this, tadi ayahku abis ke kantor pos terus belom bisa dibayar katanya. padahal udah tanggal 20 takut bgt internet nya diputusss :(</t>
  </si>
  <si>
    <t>Hari ini yakin sekali bakal santuy pulang kantor pos jam 12 barang nggak banyak turn out now 16.04 and im still kada ketanganan</t>
  </si>
  <si>
    <t>Perkuat Layanan PosAja !, Pos Indonesia Gandeng Nujek dan Perkenalkan O-Ranger Mawar https://t.co/LSEetqovwh @PosIndonesia @KemenBUMN @kemkominfo</t>
  </si>
  <si>
    <t>@AndrianDefri @sbyfess Pasti ono sing lio
Misale
Mas sicepat jahat
Mas shopee imut
Mas kantor pos judes</t>
  </si>
  <si>
    <t>POSPAY is a digital financial platform for PT Pos Indonesia,
Flaga Media Asia is trusted by PT Pos Indonesia to handle and organize all activities of Rahmat Erwin Abdullah as a brand Ambassador for POSPAY 2021 Products
#Flagamediaasia 
#digitalmarketing #eventorganizer https://t.co/zMvfadcD0D</t>
  </si>
  <si>
    <t>kantor pos rame banget tumben</t>
  </si>
  <si>
    <t>Pengumuman kepada #KawanPajak di wilayah Muara Wahau dan sekitarnya 📣 📣
Manfaatkan layanan perpajakan Pos Pelayanan Pajak Muara Wahau di Kantor CU Mitra Mandiri, Jalan Poros Muara Wahau, Kutai Timur pada hari Selasa-Kamis, 21 s.d 23 September 2021. 
@DitjenPajakRI https://t.co/X3gQWghFQ9</t>
  </si>
  <si>
    <t>Mbak mbak kantor pos bikin ga mood :'(</t>
  </si>
  <si>
    <t>@hyukssii Kantor pos?</t>
  </si>
  <si>
    <t>@hyukssii Iya coba deh ke cabang kantor pos biasanya bisa. Tahun lalu sih bisa.</t>
  </si>
  <si>
    <t>@hyukssii Iya ke cabang sih dulu sebelum pandemi aku sering bayar telpon sama listrik ke kantor pos karena dekat rumah</t>
  </si>
  <si>
    <t>@sygfess Kalo cod tanpa si oren bisanya baru kantor pos kayaknya, di jne/t bisanya pke si oren klo mau cod soalnya dlu prnh tanya lgs di jnt cmiiw</t>
  </si>
  <si>
    <t>@sakmadik_ Masih ada kantor pos utk ngirim surat</t>
  </si>
  <si>
    <t>@KarantinaPDG adakan coffee morning yangdihadiri oleh Bea dan Cukai Teluk Bayur, KSOP Pelabuhan Teluk Bayur, BKSDA, Otoritas Bandara Wilayah VI, Kantor Pos Padang, PT ASDP dan Garuda Indonesia. https://t.co/SfTPrwJSJF</t>
  </si>
  <si>
    <t>@disss83186478 Ketik REG spasi UNREG kirim ke kantor pos</t>
  </si>
  <si>
    <t>Hari ini mau bayar tagihan Indihome gagal. Dari pagi sudah dicoba di Indomaret dan Kantor Pos, tidak bisa, bahkan sampai sore ini juga belum bisa. Apakah sedang ada masalah pada sistem di Indohome? @TelkomIndonesia</t>
  </si>
  <si>
    <t>@IndiHomeCare Hari ini, dari pagi tadi, pembayaran tagihan Indohome gak bisa terus (Alfamart, Indomaret, dan Kantor Pos). Mohon solusi</t>
  </si>
  <si>
    <t>ㅤ
Libby menggunakan jasa Pigweon untuk mengantarkan kedua paket ke sebuah tempat yang dinamakan kantor pos. Ia tidak ingin kedua temannya terkejut jika menemukan seekor burung hantu membawa hadiah untuk mereka.
ㅤ</t>
  </si>
  <si>
    <t>@itsroccoce nanti aku kirim pake kantor pos yhh</t>
  </si>
  <si>
    <t>Work! Mau nanya, kalo mau ngelamar ngirimnya lewat kantor pos tu kita harus lengkapin kaya fotcop KTP,ijazah gtu apa hanya surat lamaran dan kalo keterima baru bawa persyaratan nya??</t>
  </si>
  <si>
    <t>@milahyt09 @IndiHomeCare Kalo bayar pake bca atau ke kantor pos bisa gak kak?</t>
  </si>
  <si>
    <t>@jensom_ @IndiHomeCare Sepengalamanku bca bisa kak, tp kalau kantor pos kurang tau hehe</t>
  </si>
  <si>
    <t>Tgl 27 agustus akhirnya dia bales dm ku, dan dia bilang kalau dia bakalan balik ke kantor pos buat minta resi. Tapi sampe sekarang dia gk ngasih respon ke aku, padahal udah berulang kali di dm untuk minta dikirim nomor resinya https://t.co/EAVqU2HVbL</t>
  </si>
  <si>
    <t>@banjarbase Di muka kantor pos tu, bila nya kdd datangi ke toko nya amun nya masih di parak mana leh kd ingat wkwk</t>
  </si>
  <si>
    <t>ini knp mas2 kantor pos caper sama aku 😩</t>
  </si>
  <si>
    <t>Keinget ngecat box kotak surat kantor pos @jimintberry wkwkw https://t.co/5vDnznlQkX</t>
  </si>
  <si>
    <t>@chubbified Kalo jam segini buryam aja sebalah kantor pos</t>
  </si>
  <si>
    <t>LOKASI PELAYANAN #SIMKELILING Selasa, 21 September 2021 Pukul 08.00 s/d 14.00 Wib :
Jaktim : Mall Grand Cakung.
Jaksel  : Kampus Trilogi Kalibata &amp;amp;
Jln M.Saidi Raya Petukangan Jaksel.
Jakbar : LTC Glodok.
Jakpus : Kantor Pos Lapangan Banteng https://t.co/z1umrd4Qw3</t>
  </si>
  <si>
    <t>Sahabat El John, ikuti #SpecialTalkShow POSPAY bersama PT. Pos Indonesia dengan narasumber Bapak Teddy Kurniawan, selaku Executive General Manager KCU Pekanbaru, PT. Pos Indonesia Wilayah Riau. Selasa, 21 September 2021, mulai jam 1 siang, hanya di Radio El John 102.6 FM. https://t.co/5rIXVp0HbT</t>
  </si>
  <si>
    <t>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</si>
  <si>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@rowoion @thenameofJake Udah ya ris, trims dan jadi kantor pos</t>
  </si>
  <si>
    <t>@pupuyeol iyaap lewat kantor pos</t>
  </si>
  <si>
    <t>@klikcrackers @FFOODFESS ooh janjiw yang deket kantor pos/telkom itu bukan?</t>
  </si>
  <si>
    <t>Gempur Terus, Ratusan Pelajar dan Masyarakat Rela Antri Untuk Dapatkan Vaksinasi di Kantor Desa Kertamulya https://t.co/B7Pdjfreuc</t>
  </si>
  <si>
    <t>@KantorPosJKB kalo barang ketinggalan di indonesia mau invoice dari mana? Sulap?? Buat surat keterangan bahasa inggris, emang yg kerja di kantor pos bisa bahasa inggris?? Indonesia ini aneh gak ada invoice malah hrs menyiapkan “invoice palsu”</t>
  </si>
  <si>
    <t>Tren belanja online masyarakat tinggi, untuk itu perlu meningkatkan pengawasan lalu lintas media pembawa di pintu-pintu pemasukan dan pengeluaran. 
.
Melihat hal tersebut (19/03) @KarantinaMrauke melakukan koordinasi dengan Kantor Pos Merauke, sebagai jasa pengiriman barang. https://t.co/vCf7q7N9KF</t>
  </si>
  <si>
    <t>Karantina Merauke menghadiri buka puasa bersama yang diadakan oleh Kantor Pos Merauke pada Selasa (04/05). 
.
"Dengan semangat kebersamaan yang dibalut dalam buka puasa bersama, semakin  menunjukkan kekompakkan dalam bekerja" ungkap Sudirman, Ka. UPT.
#KarantinaPertanianMerauke https://t.co/Q93PATRnCz</t>
  </si>
  <si>
    <t>Bongkar surat2 dr Memes wkt jaman pacaran. Blom ada internet, apalagi videocall. 
Masukin surat ke kotak pos di pinggir jalan utk diambil o/ tukang pos yg akan mengantarnya ke penerima setelah diatur di kantor pos. Ribet ya? Ngga juga sih. Seru!
Excited tiap buka kotak pos 😊 https://t.co/tWNs9urbCG</t>
  </si>
  <si>
    <t>@jogmfs kantor pos</t>
  </si>
  <si>
    <t>@PosIndo @PosIndonesia ; mohon pak pegawainya Kantor Pos Tohpati, Denpasar Bali.</t>
  </si>
  <si>
    <t>@aespafess_ kantor POS kalik</t>
  </si>
  <si>
    <t>sampe lupa mau ke kantor pos mengantar kak Shua pulang.. 👩🏻‍🦯</t>
  </si>
  <si>
    <t>@Rizmaya__ @KomnasHAM Dibuatkan aja kantor ham di situ kl bisa agak ke pelosok jauh dari lingkungan masyarakat dan pos penanganan keamanan👍</t>
  </si>
  <si>
    <t>Biasanya pake jasa jnt, jne, sicepat, kantor pos gak pernah kecewa. Ini nyoba pake jasa @anteraja_id gilaaaa lama bgt</t>
  </si>
  <si>
    <t>Hal lain...
Gw di Bali, dia di Bogor, di rumah Ciputat cuma ada emak ama nenek gw dan gw butuh kirim barang agak besar. Dia dateng ke rumah gw, bantuin emak gw packing, dia kirimin ke kantor pos trus balik ke Bogor🥲</t>
  </si>
  <si>
    <t>Lowongan Kantor Pos Dumai September 2021 https://t.co/Pmcwh5YKEn https://t.co/OGb66iRjsG</t>
  </si>
  <si>
    <t>sumpah sy di kantor pos mrk blm baless</t>
  </si>
  <si>
    <t>Personil Polsek Raman Utara  laksanakan Sambang di Kantor Pos Desa Kota Raman  kec Raman Utara , memberikan himbauan Kamtibmas,agar masyarakat lebih meningkatkan kewaspadaan mencegah C3 dan mewujudkan situasi yang kondusif.
#Hallo polsek Raman Utara 
#humas_polreslampungtimur https://t.co/h4giK6SE5X</t>
  </si>
  <si>
    <t>Lowongan Kerja Kantor Pos Dumai - Info lengkap..buka sa...</t>
  </si>
  <si>
    <t>@literarybase Salah, suka2 kantor pos...</t>
  </si>
  <si>
    <t>@ChaxCha____ Kantor pos</t>
  </si>
  <si>
    <t>@bobbygr__ aku dulu gitu gak bob, cuman bede e aku pake kantor pos die wa dah</t>
  </si>
  <si>
    <t>@undipmenfess Barangkali ada yang berminat 😄
Kos putri daerah banjarsari nirwanasari (deket kantor pos tembalang) cukup 500k/bulan 
https://t.co/1Lk198hbJZ</t>
  </si>
  <si>
    <t>@undipmenfess Barangkali ada yang berminat, kos cewek daerah banjarsari nirwanasari (deket kantor pos, cukup 500k/bulan 😄
https://t.co/1Lk198hbJZ</t>
  </si>
  <si>
    <t>@undipmenfess Hallo kak, barangkali berminat
Kos cewek daerah banjarsari nirwanasari (deket kantor pos tembalang)
500k perbulan, termasuk listrik dan wifi 😁
https://t.co/1Lk198hbJZ</t>
  </si>
  <si>
    <t>@undipmenfess Hallo kak barangkali berminat, kos putri daerah banjarsari nirwanasari (deket kantor pos tembalang)
500k termasuk listrik dan wifi 😁
https://t.co/1Lk198hbJZ</t>
  </si>
  <si>
    <t>@undipmenfess Hallo kak barangkali berminat, kos putri daerah banjarsari nirwanasari (deket kantor pos tembalang)
Kamar mandi luar 500k termasuk listrik dan wifi 😁
https://t.co/1Lk198hbJZ</t>
  </si>
  <si>
    <t>Depan kantor pos depok 2 https://t.co/VIOdQATsOq</t>
  </si>
  <si>
    <t>Ponzi menawarkan sebuah tawaran menarik ke para calon investornya. 
Dia ngeklaim bisa dapatkan perangko dari luar negeri dengan harga jauh lebih murah daripada aslinya.
Yang itu kelak bisa mereka tukarkan dengan value US yg lebih tinggi di kantor pos terdekat dan dapet profit. https://t.co/faMN9Tu3tv</t>
  </si>
  <si>
    <t>Layanan pos internasional saat itu memungkinkan pengirim untuk beli semacam perangko buat ongkir dan ikut dimasukkan ke dalam suratnya.
Sehingga penerima nanti gak perlu beli perangko sendiri. Cukup ditukarkan ke kantor pos terdekat dan bisa dipake lagi buat kirim surat balasan. https://t.co/FXx1hg2p4E</t>
  </si>
  <si>
    <t>Jadi perangko ini dulu punya semacam exchange rate kayak mata uang asing.
Misal : Beli perangko ini di US harganya $5 dollar. Maka valuenya di kita bisa seharga Rp. 70,000 (asumsi $1 = 14,000).
Nah perangko ini yg harus kita tukarkan dulu sama perangko lokal kita di kantor pos. https://t.co/p9P6TKbZV1</t>
  </si>
  <si>
    <t>@Lunatical9 parak kantor pos</t>
  </si>
  <si>
    <t>@eboondcah kantor pos bandung kah?</t>
  </si>
  <si>
    <t>Bantuan dalam program BST @KemensosRI dicairkan dengan menggunakan beberapa cara, antara lain melalui Kantor Pos Indonesia dan beberapa bank. Cek rekening siapa tahu dapat program BST https://t.co/59OxOUsAlQ https://t.co/2VJ95BWmKY</t>
  </si>
  <si>
    <t>@undipmenfess Belakang Maskam, Vandem juga enak, samping kantor pos juga enak. 🤤</t>
  </si>
  <si>
    <t>@bertanyarl kantor pos ajaa</t>
  </si>
  <si>
    <t>@bertanyarl kantor pos sjj</t>
  </si>
  <si>
    <t>@bertanyarl Sebagai pengguna setia kantor pos, aku menyarankan untuk pake kantor pos aja yg lebih aman buat ngirim dokumen</t>
  </si>
  <si>
    <t>Kalo gak D'kriuk ya nasi warteg pake terong balado+kerang+teri.
Kalo lagi mau yg mahalan dikit beli nasi Padang Elok Tando pakenya ayam gulai.
Kalo mau kuah2? Beli soto babat depan kantor pos 😂
Ituuuu aja yg pesen kalo makan siang.
Jarang pilih yg lain kalo gak kepengen banget.</t>
  </si>
  <si>
    <t>ci lo hrs cba nasi goreng dpn kantor pos @sienervt</t>
  </si>
  <si>
    <t>@PosIndonesia gimana ini, pegawai kantor pos kok gak mau pake masker? https://t.co/vPcL1TzcSc</t>
  </si>
  <si>
    <t>Paket dtg tp mami mls turun kebawah ywda alamat bsk ambil brg d kantor pos 🤣🤣🤣🙊🙈</t>
  </si>
  <si>
    <t>@stanmenfess Yaelah cuma ngumpulin berkas aja kudu datengin kantor tujuan? Hey Pos Indonesia didirikan sebelum kamu lahir buat apa?</t>
  </si>
  <si>
    <t>@halimiskandarnu Bumdes Karya Mandiri desa Rejuno Kec.Karangjati Kab.Ngawi Jawa Timur bergerak pada sembako,kini telah bergeliat bekerja sama dengan kantor pos dan bank jatim,dalam pembayaran on line pajak kendaraan bermotor juga bisa.</t>
  </si>
  <si>
    <t>@sellkpopfess keknya emg harus ke kantor pos pusat yg gede gt nder</t>
  </si>
  <si>
    <t>LOKASI PELAYANAN #SIMKELILING Rabu, 22 September 2021 Pukul 08.00 s/d 14.00 Wib :
Jaktim : Mall Grand Cakung.
Jaksel  : Kampus Trilogi Kalibata &amp;amp;
Jln M.Saidi Raya Petukangan Jaksel.
Jakbar : LTC Glodok.
Jakpus : Kantor Pos Lapangan Banteng https://t.co/YYeDCJr3Cf</t>
  </si>
  <si>
    <t>@bubblygram Good luck dear! The blu ray is waiting for you 💜 I hope ‘mas/mbak kantor pos’ can cooperate with you 🤗</t>
  </si>
  <si>
    <t>Tak Dilengkapi Persyaratan Karantina,Ratusan Paket Dimusnahkan
Bekasi-Ribuan paket dari luar negeri yg tak dilengkapi persyaratan karantina yg dilalulintaskan melalui Karantina Pertanian Tg Priok wilayah kerja Kantor Pos Jakarta dimusnahkan di Instalasi Karantina Bekasi (21/09) https://t.co/o79viSXYAv</t>
  </si>
  <si>
    <t>Sudah punya meterai yang baru?
Meterai Rp10.000,00 sudah bisa #KawanPajak dapatkan di Kantor Pos.
📸: @peniti 
#PajakKitaUntukKita
#PajakKuatIndonesiaMaju
#BeaMeterai https://t.co/6S2tn8aYrt</t>
  </si>
  <si>
    <t>Sebagai tindaklanjut dari hasil monitoring dan evaluasi yang telah dilakukan, Kepala KPPBC TMP B Banjarmasin, Kurnia Saktiyono, didampingi oleh para pejabat di seksi Pelayanan Kepabaeanan dan Cukai melaksanakan kunjungan ke kantor Pos Lalu Bea Banjarbaru.</t>
  </si>
  <si>
    <t>@PosIndonesia Maaf bertanya. Klo paket statusnya “Departure from inward OE (EMF) MPCJAKARTA” apakah boleh diambil ke kantor pos?</t>
  </si>
  <si>
    <t>@UcieAdinda Silakan kirimkan dokumen tersebut dengan langsung mengunjungi Kantor Pajak terdaftar (dengan terlebih dahulu mengambil nomor antrean di https://t.co/E7fdOViuCn) atau dapat juga dengan menggunakan Pos/kurir. 
Formulir dapat diunduh di: https://t.co/nnrJuG1qGr
(4/5)</t>
  </si>
  <si>
    <t>@CakTainKomari Permohonan ini belum dapat dilakukan secara daring. Jadi Kakak dapat mengirimkan formulir dan lampiran ke Kantor Pajak terdekat atau dapat mengirim melalui pos/kurir. 
Sebelum datang ke Kantor Pajak silakan ambil nomor antrean di https://t.co/E7fdOViuCn ya, Kak.
(2/2)
Tks*Akim</t>
  </si>
  <si>
    <t>@nadyadaniar Permohonan ini belum dapat dilakukan secara daring. Jadi Kakak dapat mengirimkan formulir dan lampiran ke Kantor Pajak terdekat atau dapat mengirim melalui pos/kurir. 
Sebelum datang ke Kantor Pajak silakan ambil nomor antrean di https://t.co/E7fdOViuCn ya, Kak.
(2/2)
Tks*Dtyo</t>
  </si>
  <si>
    <t>@enabling11 @DitjenPajakRI Silakan kirimkan dokumen tersebut dengan langsung mengunjungi Kantor Pajak terdaftar (dengan terlebih dahulu mengambil nomor antrean di https://t.co/E7fdOViuCn) atau dapat juga dengan menggunakan Pos/kurir. 
Formulir dapat diunduh di: https://t.co/nnrJuG1qGr  (2/2)
Tks*Aida</t>
  </si>
  <si>
    <t>@AElzaheera Silakan kirimkan dokumen tersebut dengan langsung mengunjungi Kantor Pajak terdaftar (dengan terlebih dahulu mengambil nomor antrean di https://t.co/E7fdOViuCn) atau dapat juga dengan menggunakan Pos/kurir. 
Formulir dapat diunduh di: https://t.co/nnrJuG1qGr
(3/4)</t>
  </si>
  <si>
    <t>@sy74388394 @DitjenPajakRI @secop_io Hai, Kak. 
Apakah yang Kakak maksud email unit kerja Kantor Pajak? 
Jika ya, untuk informasi resmi mengenai pos elektronik atau email KPP tempat Kakak terdaftar dapat dicari dan dilihat pada laman berikut https://t.co/W85tGFPlwp ya Kak.
Tks*Hlda</t>
  </si>
  <si>
    <t>daks jam 1 siang nanti kantor pos masih buka ga? nuhun</t>
  </si>
  <si>
    <t>Rp 1,3 Miliar Bangun Kantor BPS https://t.co/vOaO4ZdBxS</t>
  </si>
  <si>
    <t>@milsuna udah. di sini ga ada kantor pos lain. cuma itu aja. kalo mau ke kantor pos pusat, harus pake pesawat (beda daerah) atau kalo pake mobil 18 jam 🥲 ga mungkin aku bolak balik ke sana cuma buat kirim barang :')</t>
  </si>
  <si>
    <t>@Revoiruna violet evergarden tentang perempuan yang namanya violet evergarden, jadi dia awalnya mantan prajurit gituu. terus pas perang selesai, dia kerja jadi kayak semacam orang yang bantuin nulis surat di kantor pos gitu deh. itu recommend banget!</t>
  </si>
  <si>
    <t>Asyik! BST Rp600 Ribu Kembali Cair, Bisa Diambil via Rekening atau Kantor Pos
https://t.co/xwYsCEWHap</t>
  </si>
  <si>
    <t>Asyik! BST Rp600 Ribu Kembali Cair, Bisa Diambil via Rekening atau Kantor Pos
https://t.co/V88EDEGp3n</t>
  </si>
  <si>
    <t>Asyik! BST Rp600 Ribu Kembali Cair, Bisa Diambil via Rekening atau Kantor Pos
https://t.co/1lf7fSSfUo</t>
  </si>
  <si>
    <t>Asyik! BST Rp600 Ribu Kembali Cair, Bisa Diambil via Rekening atau Kantor Pos
https://t.co/k2qmT6E8bL</t>
  </si>
  <si>
    <t>Asyik! BST Rp600 Ribu Kembali Cair, Bisa Diambil via Rekening atau Kantor Pos
https://t.co/Gg9ujVjddq</t>
  </si>
  <si>
    <t>@najiberror1 Ntr q japri aja lewat kantor pos</t>
  </si>
  <si>
    <t>Dulu pas masih jarang yg punya hp, klo pada ngantri di bank atau di kantor pos dll org yg pada ngantri itu pada sibuk ngapain yaa?</t>
  </si>
  <si>
    <t>@lampungbase Di karang kyknya banyak deh plang kantor pos itu. Itu bukan sih yg di cari cap stempel?</t>
  </si>
  <si>
    <t>@lampungbase Blkang kantor pos mksdnyaa</t>
  </si>
  <si>
    <t>@lampungbase Daerah kantor pos itu</t>
  </si>
  <si>
    <t>@lampungbase Pasar tengah, belakang kantor pos</t>
  </si>
  <si>
    <t>@_angky Temenan iki, nang ngarep yakaya pojokan kantor pos</t>
  </si>
  <si>
    <t>kenapa ketemunya random gak karu2an dan tidak terduga. di indomaret, atm, kantor pos 😂. disaat pengen ketemu ga ketemu. lagi gaada niat ketemu malah ketemu oyyy</t>
  </si>
  <si>
    <t>Ke kantor pos ketemu pegawai yg muirip buanget sama Odyu nya Komikamvret 😱😱😱 Odyu irl</t>
  </si>
  <si>
    <t>Personil Polsek Bantarsari melaksanakan Djimat patroli sambung ke pemukiman penduduk dan kantor pos di Desa Rawajaya Bantarsari. antisipasi GK dan TP.
#polsek_bantarsari
#polrescilacap
#poldajateng https://t.co/tYur4aRJl7</t>
  </si>
  <si>
    <t>Padahal sering ke kantor pos, eh taunya si bangsat kerja di pos. Sono da.. https://t.co/hXKKNjG4Iz</t>
  </si>
  <si>
    <t>Siapin data kependudukan berupa, KTP, KK &amp;amp; akta kelahiran terus fotocopy &amp;amp; legalisir di kantor pos, lalu buat permohonan (bermaterai) yang ditujukan pada Pengadilan Negeri tempat domisili, nanti di permohonan tersebut diajukan via Panitera PN yang dimaksud. https://t.co/qAL4luDv4L</t>
  </si>
  <si>
    <t>@nasikemarennn Ke kantor pos aja</t>
  </si>
  <si>
    <t>Bhabinkamtibmas Brontokusuman Polsek Mergangsan Aiptu Muji widodo melaksanakan sambang ke kantor pos Mergangsan jln Sisingamangaraja  kampung Karanganyar. Rabu 22/09/2021 https://t.co/k9yFthsLyO</t>
  </si>
  <si>
    <t>@SukabumiiFess Sebrang kantor pos ?</t>
  </si>
  <si>
    <t>@animefess_ seru banget. tentang cewek yg dijadikan senjata perang, terus jatuh cinta sama atasannya. setelah perang usai dia ngajar di sekolah perempuan,  juga jadi pembuat surat di kantor pos</t>
  </si>
  <si>
    <t>Saat ini Pos Indonesia menyediakan pelayanan syariah dalam aplikasi Pospay. https://t.co/TYNHjUWnuI</t>
  </si>
  <si>
    <t>@marktauan Undang dong, sabar brou undangnnya masi nyangkut di kantor pos</t>
  </si>
  <si>
    <t>@ohmyjhones @afebriannaaaaa @marthawidya4 @queenssambit Mau lewat kantor pos men smestetik ono prangko ne</t>
  </si>
  <si>
    <t>Lowongan Kerja Kantor Pos Makassar September 2021 https://t.co/0ShU9dEXRX</t>
  </si>
  <si>
    <t>@joohoneyw_ @bogorfess_ Yg di yonkes apa dket kantor pos?</t>
  </si>
  <si>
    <t>@tedtood @bogorfess_ dket kantor pos</t>
  </si>
  <si>
    <t>@GGSell_fess Pake stamped aja nder, kantor pos kotaku bisa kirim ke luar negeri</t>
  </si>
  <si>
    <t>@undipmenfess Visi Komputer di belakang kantor pos banjarsari</t>
  </si>
  <si>
    <t>@NoblesInParis oke aku tunggu di depan kantor pos ayang :*</t>
  </si>
  <si>
    <t>Lowongan Kerja Palembang, PT. Pos Indonesia (Persero) - Kantor Pos 30000 sebagai Oranger Antaran. Deadline 25 September 2021
#lokersumatera #lowongankerja #kurir #palembang #lokerpalembang
https://t.co/a1pI7GElz0</t>
  </si>
  <si>
    <t>atzm
ALBUM ATEEZ ZERO : FEVER PART 3 BUNDLE (A ver, Z ver, Diary ver)
✅ 3 POB KTOWN4U sortir member
✅ 3 poster
✅ barang sudah ada di kantor pos indonesia
✅ ems tax
❌ packing
Rp 800.000
dm @seoulutionid</t>
  </si>
  <si>
    <t>@mohmahfudmd saya bayar pajak motor, balik nama motor di samsat jakpus..lancar, pas gesek no bodi ngasih uang tip  5 rp boleh, tdk jg gak apa2. perpanjangan sim A+C di kantor pos jakpus...lancar...</t>
  </si>
  <si>
    <t>WTS / WANT TO SELL
ALBUM ATEEZ ZERO : FEVER PART 3 BUNDLE (A ver, Z ver, Diary ver)
✅ 3 POB KTOWN4U sortir member
✅ 3 poster
✅ barang sudah ada di kantor pos indonesia
✅ ems tax
❌ packing
Rp 800.000</t>
  </si>
  <si>
    <t>@xxsalsakyl Ketik reg spasi tarazen kirim ke kantor pos</t>
  </si>
  <si>
    <t>@collegemenfess kantor pos</t>
  </si>
  <si>
    <t>#Kantor Pertanahan Ngada Canangkan Pembangunan Zona Integritas Menuju WBK dan WBBM - https://t.co/Ba0ROPJEHq: https://t.co/xqly5QLOam #PPAT #IPPAT</t>
  </si>
  <si>
    <t>06.23 LOKASI PELAYANAN #SIMKELILING Kamis, 23 September 2021 Pukul 08.00 s/d 14.00 Wib :
Jaktim : Mall Grand Cakung.
Jaksel  : Kampus Trilogi Kalibata &amp;amp;
Jln M.Saidi Raya Petukangan Jaksel.
Jakbar : LTC Glodok.
Jakpus : Kantor Pos Lapangan Banteng https://t.co/A5uCJppCs4</t>
  </si>
  <si>
    <t>bengen koh yek kite ngedeleng pertama kali komputer kuen kaye ngedeleng kantor pos 😆 sing pertama kali sing paling mengalihkan duniaku 😕 who are you di dalamnya ? 😅😂😁😆😌😞 iku yek kantor pos e bae tak keponi kudu bilah 😌 pikiran kite koh yek sepire privasi ne konon 😅😌😋</t>
  </si>
  <si>
    <t>2 kali terima paket by ems dan all harus ngambil sendiri di kantor pos udah cukup bikin kecewa ya that's why ku pake dhl. At least I don't hv bad experience with dhl even I hv to spend 2x or 3x for the shipping fee</t>
  </si>
  <si>
    <t>@bertanyarl kalo udh semingguan mending ambil ke kantor nya nder, aku juga gitu dikirain bakal dikirim via pos udh 2 bulan g dateng² yaudh diambil langsung ke kantornya</t>
  </si>
  <si>
    <t>@yusufgunawan @dishub_mlgkota bolak balik usul,gimana kalo sistemnya dibalik,masyarakat bayarnya pake karcis yang bisa dibeli satu bendel di minimarket,kalo sudah terkumpul sehari,tukang parkir nukarin karcisnya dengan uang ke (misal) kantor pos.
Karcis 2000,tkg parkir dpt 1000,dispenda dapet 1000</t>
  </si>
  <si>
    <t>5. Where. 
Kemana harus melaporkan? 
1. Basarnas punya hotline 115 (tapi gatau aktif atau engga) 
2. Bisa juga datang langsung ke Kantor SAR/Pos SAR/Unit Siaga SAR terdekat di daerah masing-masing. 
3. Masing Masing Kantor SAR punya nomor telpon Sendiri, beberapa juga ada WA.</t>
  </si>
  <si>
    <t>@cunggit_ @snvleur gaaass keuns nang cidek kantor pos besar 🚀</t>
  </si>
  <si>
    <t>Hi @PosIndonesia mau tanya nih, untuk pengembalian barang gratis dari @zaloraidn itu hanya bisa di kantor pos tertentu ya? Soalnya tadi saya return barang lewat kantor pos tetep dikenakan biaya.</t>
  </si>
  <si>
    <t>Book Depository gak nyampe itu salah Kantor Pos Indonesia bukan ya?</t>
  </si>
  <si>
    <t>@ko2w Ga tau kak
2019 kemarin pesan buku, sampe sekarnag ga nyampe
Tiap di email bilang bakal kirim baru dan minta cek ke kantor pos
Ya gimana, resinya aja ga ada
Ga mau lagi pesan sama bookdep</t>
  </si>
  <si>
    <t>Kanit Patroli Bripka didit melaksanakan patroli di kantor pos Muaradua...antisifasi gangguan kamtibmas https://t.co/m153LHCsxI</t>
  </si>
  <si>
    <t>Hai kak! aku make pake ems / rln tracked ke us kita perlu isi form gitu ga kakk? oya pas ke kantor pos nya kita p… — iya isi cds dulu online, nanti kita print terus ditempel ke paketnya (jadi bentuknya kayak resi jnt dari shopee).… https://t.co/nuZpBZdcV4</t>
  </si>
  <si>
    <t>haii kakk, msh sama, kalo ga isi cds gitu bisa gak kak? kayak misal nya langsung ke kantor pos untuk isi form nya… — mungkin bisa minta petugasnya isiin (?) tapi lebih enak isi sendiri sih biar crosscheck sendiri, soalnya sekarang… https://t.co/OPIX0hfOTG</t>
  </si>
  <si>
    <t>Lowongan Kerja PT POS Indonesia (Persero) ditempatkan diwilayah kerja kantor pos palembang https://t.co/8zG6UCBU2q https://t.co/lN2nx7onqY</t>
  </si>
  <si>
    <t>Monev yang dilaksanakan di ruang sidang kantor Bapas Kelas I Makassar ini, bertujuan untuk peningkatan pelaksanaan tugas dan fungsi (Tusi) Pembimbing Kemasyarakatan (PK) pada pos Bapas Bulukumba.</t>
  </si>
  <si>
    <t>@rizkicgmlr @daenerystgrnn Iki mesti ngetwit nitip kantor pos mergo rung ono internet to daerahmu</t>
  </si>
  <si>
    <t>kita dimana??? yep, di kantor pos wkwkwk
karena kencan pun gak harus ditempat makan, cuma ngirim paket klo berdua tuh mesranya jg kerasa 😌💕 /y https://t.co/vraiE0d5sH</t>
  </si>
  <si>
    <t>@dwoonyyy Ywda ntar gw paketan ke kantor pos</t>
  </si>
  <si>
    <t>@dounsedap kerumah q lah knp ke kantor pos</t>
  </si>
  <si>
    <t>@insecuretard Ini yg dulunya kantor pos gede itu bukan?</t>
  </si>
  <si>
    <t>@ayayyawae Ya bener bgt, dulunya kantor pos gede</t>
  </si>
  <si>
    <t>@chiki666_ kantor pos HAHAHAHAH</t>
  </si>
  <si>
    <t>Kfc yg di bjm parak kantor pos tu kawa kah dine in? /wal</t>
  </si>
  <si>
    <t>@banjarbase Bayar denda ja dipengadilan/kejaksaan/kantor pos</t>
  </si>
  <si>
    <t>@pMoch88 Sebelah kantor Pos sebelum pertigaan Pilar....</t>
  </si>
  <si>
    <t>yg lucu dr tukang pos ini adlh, klo buat tukang ngirim, dia cm ktemu gw pas gw mampir kantor pos doang jd dia ga bnyk komplen. tp krn gw org impulsive spender, tukang nganter sering ktemu gw.</t>
  </si>
  <si>
    <t>Mas kantor pos capek ama gw kek nya wkwkwk</t>
  </si>
  <si>
    <t>Aku baca berita-berita pengkultusan kanan-kiri yang kamu beli dari Pak Tua di depan Kantor Pos Pusat di Kota. Aku dengar revolusi dari pemuda berjaket Gucci saat kita jalan di Pasar Baru.</t>
  </si>
  <si>
    <t>@Clipan_Finance HARDCOMPLAINT!!!  Mohon bantuan nya
PEMBAYARAN BLM UPDATE
Atas nama : Azher Baijan
No hp : 081285663904
No kontrak : 81410491711
Saya sudah bayar Cicilan yang ke - 47 Rp.2.320.000.
Metode : Kantor Pos
Tanggal : 13 September 2021.</t>
  </si>
  <si>
    <t>@ctbzale aku ada mihwa take sama satu set inclusions mau? 275k udah harga bersih ina. udah ready ina cuma tinggal di pickup dari kantor pos ajaa</t>
  </si>
  <si>
    <t>Mari bayar PBB sekarang juga 🤗 manfaatkan PROGRAM yg akan berakhir tanggal 30 September 2021 mendatang !!
Bayar PBB bisa melalui Bank Jateng, BKK Karangmalang, Kantor Pos, Shopee, Gopay, Tokopedia, Alfamart, Indomart, QRIS, Petugas Pemungut / Bayan dan di semua E-Wallet https://t.co/7iSsUI8zwu</t>
  </si>
  <si>
    <t>@okyonline @noisette_douce @sunnycunnyy Saya kayanya akhir bulan ke NTT deh nanti dikirimin dari kantor pos sana aja hehe DM alamat!
Kalau saya gak ke NTT juga gpp atuh kan udah janji mau kirim.</t>
  </si>
  <si>
    <t>@bertanyarl western union nder di kantor pos gampang juga tinggal bawa kk sma ktp</t>
  </si>
  <si>
    <t>Setelah sekian lama vakum, mari mulai lagi. Terima kasih kantor pos telah memberikan drama drama gak penting, padahal dulu gak pernah seribet ini kalo belanja dari AUS https://t.co/KpiPaVsFWk</t>
  </si>
  <si>
    <t>@bertanyarl Biasa pake western union. Ntar tinggal ambil di kantor pos</t>
  </si>
  <si>
    <t>@JIWON00FC Ketik Reg (spasi) coba kirim ke kantor pos terdekat!</t>
  </si>
  <si>
    <t>Yey nanti ke kantor pos rada jauh jadi bisa sepik dandan 😁</t>
  </si>
  <si>
    <t>@pospay_official 1. Soeharto 2. Pos Pay</t>
  </si>
  <si>
    <t>@bdngfess mau beli seblak, mau vaksin, mau ke kantor pos dan lain lain</t>
  </si>
  <si>
    <t>-11fess gais menurut kalian prefer magang di kantor pos yg ada di kota atau bps yg ada di kabupaten?</t>
  </si>
  <si>
    <t>@MGLFESS Seblah kantor pos</t>
  </si>
  <si>
    <t>@MGLFESS deket kantor pos alun alun leh</t>
  </si>
  <si>
    <t>@MGLFESS Sebelah kantor pos</t>
  </si>
  <si>
    <t>@MGLFESS Sebelahan sama kantor pos alun alun nder</t>
  </si>
  <si>
    <t>@ms_atiek @miund nabungnya dulu di sini. ke kantor pos https://t.co/aKV8QXgoWT</t>
  </si>
  <si>
    <t>Daftar online utk pilih jenis vaksin, hari &amp;amp; jam lalu lengkapi persyaratannya. Datang sejam sebelum waktunya, antri registrasi di tenda besar. Parkirnya di Gedung Kantor Pos. https://t.co/6jfsxV5Lwe</t>
  </si>
  <si>
    <t>Working space ku di meja makan soalnya kalo di kamar suka dikira gabut ditanyain "lagi ngapain" mulu terus disuruh ke warung beli telor atau ga disuruh nganterin ke kantor pos😡😡</t>
  </si>
  <si>
    <t>Personil Polsek Tebing Tinggi,
Aipda . S. Gea.
Melaksankan Pos padat pagi di Depan Mako Polsek Tebing Tinggi dan Depan Kantor Camat Tebing Tinggi* https://t.co/RlMrS9s0hP</t>
  </si>
  <si>
    <t>@VChristyano Mau lewat mana JNE apa TIKI apa KANTOR POS apa SICEPAT</t>
  </si>
  <si>
    <t>Kamis tanggal 23 September 2021 pukul 09.00 Wib, KSPK C Polsek Sipirok AIPDA ERWINSYAH SIREGAR Melaksanakan giat Pengamanan Petugas Medis UPT . PUSKESMAS DANAU MARSABUT di  halaman kantor PT.  Pos Sipirok untuk melaksanakan Swab Anti Gen Covid - 19, kepada warga masyarakat https://t.co/T6s1mwkd1S</t>
  </si>
  <si>
    <t>Pembangunan Kantor Pos Polisi Kecamatan Namohalu Esiwa (22/Sep) #tender #lelang #LPSE #data https://t.co/SocE4M9xUf</t>
  </si>
  <si>
    <t>PERENCANAAN PEMBANGUNAN GEDUNG KANTOR POS SAR MAMUJU (22/Sep) #tender #lelang #LPSE #data https://t.co/SocE4M9xUf</t>
  </si>
  <si>
    <t>Perencanaan Pembangunan Los Relokasi Pedagang Exs Depan Kantor Pos Tais ke Lokasi Jalan Dua Jalur (24/Sep) #tender #lelang #LPSE #data https://t.co/SocE4M9xUf</t>
  </si>
  <si>
    <t>@daydaydonat Karena dianggap ga ada resiko penularan dari pasiennya. Jadi ga dianggap perlu dapet booster ke 3. Dianggap seperti pegawai publik lain (Bank, kantor pos, pajak, dll) yang resiko paparan tidak tinggi. Yg pasti sudah dapat 2 dosis.</t>
  </si>
  <si>
    <t>Halo, #KawanPajak!
Pada hari Kamis (23/9), KPP Pratama Lahat menerima kunjungan dari Kepala Kantor Pos Kabupaten Lahat, Bapak Eko Pradinata, beserta jajarannya. Kunjungan dilaksanakan dalam rangka silaturrahmi dan mempererat kerja sama.
#PajakKuatIndonesiaMaju https://t.co/OfYec0bjev</t>
  </si>
  <si>
    <t>@citizenstores kalo ems kantor pos indo ke kr sekitar 300an deh/kg 
Hitungannya misal 500 gram kayanya bakal tetetp dihitung 1 kg</t>
  </si>
  <si>
    <t>Mau menjemput Juyeon mecucu di kantor pos duluuu wkwkwk https://t.co/89Ncozpu3b</t>
  </si>
  <si>
    <t>Kantor Pos tengah Kota emang paling enak kalo buat nongkrong, apalagi kalo malem! https://t.co/Pmdi1CRAMe</t>
  </si>
  <si>
    <t>Jam 3 ke kantor pos</t>
  </si>
  <si>
    <t>Giat gatur pagi di Simpang Kantor Pos Tarutung Kab.Tapanuli Utara https://t.co/Bcoh0If1HF</t>
  </si>
  <si>
    <t>@whitefwine Aku bertengkar di kantor pos hari ini, aku mencoba mengirimkan cintaku. Tapi mereka bilang gapunya kotak sebesar itu</t>
  </si>
  <si>
    <t>Jadi kemaren siang sekitar jam 12 an, sebelom pulang dari klinik ngecheck kiriman berkasnya uda sampe kantor pos di magelang apa belom, biar sekalian diambil gitu niatnya, tapi karna masi 'diteruskan ke kantor antaran' yauda pulang dulu ajalah</t>
  </si>
  <si>
    <t>Sampe rumah jam 1 kurang dikit, ngecheck ternyata uda sampe di kantor pos magelang ni. Okay bisa diambil besok juga sekalian pas pulang dari klinik rencananya, abis ngecheck itu lanjutlah bebersih diri dkk</t>
  </si>
  <si>
    <t>Setauku ya berkas kek gitu emang diambil sendiri di kantor pos. Hmm apa berkasnya mungkin dikirim langsung ke rumah dari pihak pos ya. Manakali yg a/n ade itu bapak pos yg nganter ke rumah kan ya? Yodah tanpa panjang lebar, besok tanya aja ke kantor posnya (berusaha posthink wkw)</t>
  </si>
  <si>
    <t>Hari ini pas pulang, mampirlah ke kantor pos nanyain. Alhamdulillah strnya masi di kantor pos dong hahha. Memang khusus str diambil di kantor pos krn barang penting &amp;amp; pribadi, trus siapa penerima kemaren? Tnyt beliau bu ade (orang kantor pos yg khusus ngurusin str), healaahㅋㅋㅋ</t>
  </si>
  <si>
    <t>@bcpasarbaru @bravobeacukai no. Awb EG285167463KR. Bisa minta tolong dipercepat untuk proses pembetulannya gak,kak. Soalnya barangnya sudah di kantor pos dari 4 hari yang lalu, karena proses pembetulan jadi belum bisa di ambil. Takutnya kalau kelamaan barang rusak/hilang</t>
  </si>
  <si>
    <t>Yuk Bayar Listrik Tiap Awal Bulan
Repost @bright_plnbatam
Brightizen 👋,
Sekarang bayar tagihan listrik bisa dimana saja lho.
Bisa melalui ATM, minimarket, Kantor Pos, online shop dan M-banking.
#brightplnbatam #ListrikUntukSemua #ListrikUntukRakyat #BUMNuntukIndonesia https://t.co/Eg5aTNTnQb</t>
  </si>
  <si>
    <t>@Kim073008 @Pipelpotatotae @luvmyxjm @tokopedia Ini ada kok dibilang bisa lewat gerai? Pas aku cek bisa lewat alfa atau kantor pos buat bayar https://t.co/ePB3RbmvV3</t>
  </si>
  <si>
    <t>Di parkiran kantor pos sambil denger domino mana ujan pula</t>
  </si>
  <si>
    <t>Adakah kek wh yang bisa dititipin surat ke kantor pos buat ke LN?
Tapi kantor posnya yang 'waras' 🙂</t>
  </si>
  <si>
    <t>Adakah orang yang bisa dititipin surat ke kantor pos buat ke LN? Soalnya kantor pos di kotaku ga waras 🥲
Tapi kantor posnya yang 'waras' 🙂</t>
  </si>
  <si>
    <t>Kepala Perwakilan BPKP Provinsi Bengkulu Iskandar Novianto didampingi pejabat struktural, korwas dan Dharma Wanita meresmikan pos keamanan yang baru di kantor BPKP Bengkulu (23/9). https://t.co/NJ68I7w1XK</t>
  </si>
  <si>
    <t>@ElhajjMunir @provjateng @ganjarpranowo @TajYasinMZ Den, Monggo dirembug dg admin Kartu Tani di kantor BPP Kecamatan setempat atau hubungi kontak pos layanan pupuk kabupaten Pati di nomor berikut ini.. https://t.co/v25nqS2iZq</t>
  </si>
  <si>
    <t>@tsuroiya biasanya untuk daerah pelosok, kurir kantor pos yg lebih ahli untuk mencari arah
sumber : ig pos indo https://t.co/x1djjLwzJ9</t>
  </si>
  <si>
    <t>@Mei2Namaku @DivHumas_Polri Kalo ginian CC nya ke kantor pos</t>
  </si>
  <si>
    <t>@akunbermanfaat Bisa titip lewat kantor pos mas 🤝</t>
  </si>
  <si>
    <t>@dagangkorea cek estimasi ongkir https://t.co/t906mBBUh8
isi form https://t.co/tztuECT8xz
print pdf nya
pergi ke kantor pos
bayar ongkir
dapet resi
pulang</t>
  </si>
  <si>
    <t>Ikuti informasi resmi aktivitas Gunung #Merapi melalui Pos Pengamatan #Merapi terdekat, radio komunikasi pada frekuensi 165.075 MHz, website https://t.co/IuVwujh7yV, media sosial BPPTKG, atau ke kantor BPPTKG, Jalan Cendana No. 15 Yogyakarta, telepon (0274) 514180-514192.</t>
  </si>
  <si>
    <t>@niuwvbs Aku jg mbatin gt bajunya kyk baju mbahku ambil pensiunan di kantor pos</t>
  </si>
  <si>
    <t>@fo108x @naaangggg @AREAJULID klo ga harus d nazegelen d kantor pos dulu</t>
  </si>
  <si>
    <t>@soerja Edit: Jl. Kantor Pos, Kak Soer</t>
  </si>
  <si>
    <t>@augtocab Bukan.
Ini di Jalan Kantor Pos, bukan di Bina Marga.</t>
  </si>
  <si>
    <t>@AlvChrist Cedak polsek karo kantor pos, sate kambing sambele sambel kacang</t>
  </si>
  <si>
    <t>@basalemax @Stevaniehuangg Gua bayangi kalo tiba2 poto yg dibawa itu diubah ama dia berupa kritikan dan kalung yg dia pakai berisi curhatan dan keluh kesah rakyat..... Pasti gagal tayang ni film. 😹😹😹😹 dan si kawan berakhir di kantor pos.</t>
  </si>
  <si>
    <t>tersokhyong sokhyong dan akhirnya coba cover intro depan kantor pos https://t.co/BKgEN3Id4X</t>
  </si>
  <si>
    <t>@MineRose_id Emang ga boleh buka PO Box selama PPKM? untuk bukanya kan bisa ajuin permohonan ke kantor pos.</t>
  </si>
  <si>
    <t>@godsdraken @ggggggilang Kantor pos aja kk😂</t>
  </si>
  <si>
    <t>@deAtjehers yg d gambar itu kantor camat lama yang dipakai TNI untuk jadi pos Abri Masuk Desa, Tepat dsebelah kanan ada simpang 3 ada Polsek Kuta Makmur</t>
  </si>
  <si>
    <t>LOKASI PELAYANAN #SIMKELILING Sabtu, 25 September 2021 Pukul 08.00 s/d 12.00 Wib :
Jaktim : Mall Grand Cakung.
Jaksel  : Kampus Trilogi Kalibata &amp;amp;
Jln M.Saidi Raya Petukangan Jaksel.
Jakbar : LTC Glodok.
Jakpus : Kantor Pos Lapangan Banteng https://t.co/iEEhJfKVZw</t>
  </si>
  <si>
    <t>@cahyowibb Dulu di sebelah kantor Pos ada Gedung Tua yang dipakai untuk Asrama Polisi saya pernah ikut Paman disana..Ada  Bakso Pak Min yg legendaris di Losmenan</t>
  </si>
  <si>
    <t>@PRFMnews Assalamu'alaikum, wilujeng enjing...
Min, punten laporan ah.. di perempatan Jl. Riau-Jl. Banda (tepatnya sebrang Kantor Pos) aya spanduk HUT Kota Bandung ngahalangan lampu merah... Ngaganggu pisan...
Punten teu sempat ngambil foto, sieun ditilang, aya Pa Pol 🤭🙏</t>
  </si>
  <si>
    <t>💸 ada yg buka jasa kirim paket via rln ga? soalnya kantor pos deket rumah ga bisa</t>
  </si>
  <si>
    <t>@dagangkr Nder aku di bandung barat kalo mau boleh nder deket kantor pos juga</t>
  </si>
  <si>
    <t>@bertanyarl sdg di kantor pos https://t.co/zlhdHKl8EJ</t>
  </si>
  <si>
    <t>di dekat sini ada kantor pos kecil, kedai dimsum, kedai es teh, tempat menjemur terbuka yang memastikan bajumu kering semua, toserba di kanan kiri, seorang bapak yang akan menyapamu di pagi hari. Dan dua hari ini untuk merenungi, apa yang harus dilakukan terlebih dulu.</t>
  </si>
  <si>
    <t>@linkaja Lebih tepatnya ditolak karyawannya sih, katanya sudah tidak kerjasama. Berhubung tidak ada Alfamart, jd tadi saya ke kantor POS itu pun maksimal isi saldo 200K.</t>
  </si>
  <si>
    <t>Pembaca 
Setiap lebaran yang mudik bukan hanya manusia saja. Tapi juga uang. Bila sekarang menggunakan transfer ATM atau mobile banking, dahulu masih menggunakan wesel yang dikirimkan melalui kantor pos. #threaddatatempo https://t.co/dhAijpxRvS</t>
  </si>
  <si>
    <t>Tahun 1983 pengiriman dari Yogyakarta mencapai Rp Rp 1,8 milyar sedang wesel yang dibayar Rp 16,8 milyar. Menurut Kantor Pos Besar angka itu melebihi pengiriman dari Jakarta. #threaddatatempo</t>
  </si>
  <si>
    <t>Deket kantor pos ini mah awk awk ayo nge 🤡 @jaedoenthu @doiecemong https://t.co/RAPfmY4cIV</t>
  </si>
  <si>
    <t>@roobiatul @jaedoenthu Deket kantor pos kayanya yaaa</t>
  </si>
  <si>
    <t>+ nah aku ga ada tanggung jawab atas ini ya, tapi aku ada solusi karena aku sendiripun pernah kena kasus kaya gini. pertama, kalian hubungi sellernya. kenapa? karena biasanya paketnya ini ketahan di kantor pos. dulu aku ketahan sampe 6 bulan, setelah 6 bulan paketnya hilang.</t>
  </si>
  <si>
    <t>nah karena ini, aku saranin kalian dm sellernya, minta tlg dia untuk hubungi pihak kurir agar bisa direturn ke sellernya dulu aja sampe selesai isolasi. daripada nunggu satu bulan tanpa kepastian kan😔 apalagi kalau ujung2nya ditahan di kantor pos terlalu lama takutnya ilang</t>
  </si>
  <si>
    <t>Launching Kantor Baru Jawa Pos Radar Lamongan https://t.co/zZq6iGbkDf</t>
  </si>
  <si>
    <t>PERSONEL POLSEK MUARAGEMBONG 
Melaksanakan Patroli kewilayahan yaitu pemantauan Kantor Pos koordinasi dengan petugas, serta memberikan himbauan kepada petugas kantor pos untuk selalu menjalani protokol kesehatan
-Memakai Masker,
-Mencuci Tangan, dan
-Menjaga Jarak https://t.co/HKpR7tfdmh</t>
  </si>
  <si>
    <t>Kegiatan Patroli Sambung BLP sore Polsek Binangun di Kantor Pos Binangun. https://t.co/XIwm9otUEX</t>
  </si>
  <si>
    <t>Kegiatan Patroli Sambung BLP sore Polsek Binangun di Kantor Pos Binangun. https://t.co/6RcVfwHeIL</t>
  </si>
  <si>
    <t>Lowongan Rekrutmen Kantor Pos Dumai....Info lengkap... https://t.co/SMgzOwztsB</t>
  </si>
  <si>
    <t>Lowongan Rekrutmen Kantor Pos Palembang....Info lengkap... https://t.co/h9kkoDo3aZ</t>
  </si>
  <si>
    <t>Seneng bgt hari ini gue me time bgt ketemu temen, ke cafe Kpop, ngambil paket ke kantor pos beneran seneng bgtt🥰 capek sih tp hari ini bebas bgt</t>
  </si>
  <si>
    <t>Angkringan kidule kantor pos pare bukak e jam piro cah</t>
  </si>
  <si>
    <t>Angkringan kidule kantor pos pare bukak e jam piro cah peh</t>
  </si>
  <si>
    <t>Kegiatan yang dibuka oleh Lutfie Natsir, Kepala Karantina Pertanian Makassar, juga turut menghadirkan saksi-saksi dari Bea Cukai Makassar, Kantor Pos Baddoka, serta Polsek Tamalanrea dan Biringkanaya. https://t.co/ZHskuZ10TU</t>
  </si>
  <si>
    <t>Jumat (24/09) @karantinamks lakukan pemusnahan media pembawa tak bersertifikat dari negara asal. Kegiatan yang dibuka oleh Lutfie Natsir, Kepala @karantinamks, juga turut hadirkan saksi-saksi dari Bea Cukai Makassar, Kantor Pos Baddoka, serta Polsek Tamalanrea dan Biringkanaya. https://t.co/YOuABFq6lV</t>
  </si>
  <si>
    <t>hari ini aku udah ke kantor pos, udah grocery, udah beresin kamar, udah main sama meng, sekarang mau peeling</t>
  </si>
  <si>
    <t>Pergi ke kantor pos
Di depannya ada tukang bunga
Cakeep</t>
  </si>
  <si>
    <t>@gyupiter406_ @AREAJULID Sama banget. Gue pernah tuh di jambret, trus langsung lapor ke pos polisi terdekat. Eh malah diketawain sama polisi2 disitu. Trus karna yg ilang hp kantor terpaksa bikin surat kehilangan, dan malah disuruh bayar 50k. Korban jambret lagi ngelapor malah dipalakin. Kan setan ya.</t>
  </si>
  <si>
    <t>@bukanfahiraa Kantor Pusat PT POS Indonesia, Jalan Cilaki no 73 Bandung, Jawa Barat https://t.co/JLXrsRGubQ</t>
  </si>
  <si>
    <t>Ndes kantor pos erlangga tuh buka sampe malem kan ya? Atau sekarang tutup jam segini? Terima kasih yg udah jawab✨</t>
  </si>
  <si>
    <t>@SmgMenfess2 Buat aja di kacamata Hartono samping kantor pos pasar Johar, aku buat itu hbs 300an kyknya</t>
  </si>
  <si>
    <t>@jogmfs Laporan tiap bulan dikirimi surat lewat internet, ga pake kantor pos.</t>
  </si>
  <si>
    <t>Melaksanakan Patroli ke kantor pos  jln. Srandil Adipala situasi aman dan kondusif.
 #Poldajateng
#Polrescilacap
#Polsekadipala https://t.co/hBgNG5uiSb</t>
  </si>
  <si>
    <t>Patroli kantor Pos Adipala situasi aman 
#poldajateng
#polrescilacap
#polsekadipala https://t.co/D3eY3uCxZV</t>
  </si>
  <si>
    <t>@2020_STMJ @msaid_didu Semangat buat fitnah nya, sepeda menanti kalian. Silahkan ambil di kantor pos terdekat https://t.co/YRNAFT2XmF</t>
  </si>
  <si>
    <t>@convomfs Mie ayam depan kantor pos, pecel lele</t>
  </si>
  <si>
    <t>Personil Satlantas Polresta Tangerang melaksanakan sosialisasi Ops Patuh Maung 2021, Minggu (26/9/2021). 
Sosialisasi dan himbauan serta edukasi prokes kepada masyarakat di depan Kantor Pos Tigaraksa. Mengajak masyarakat agar selalu patuh dan tertib berlalu lintas https://t.co/J3YzXT6vPC</t>
  </si>
  <si>
    <t>@A100888 kantor pos</t>
  </si>
  <si>
    <t>@KantorposTSM hari minggu kantor pos tasik buka ga min?</t>
  </si>
  <si>
    <t>Antisipasi balap liar di simp 3 kantor pos, simp 4 Kakso dan simp 3 Water torn https://t.co/zhKnbcHEoZ</t>
  </si>
  <si>
    <t>Antisipasi balap liar simp 3 kantor pos https://t.co/HzeSjku2MM</t>
  </si>
  <si>
    <t>Satbrimobda Riau akan ditempatkan di Pos pengamanan PON SP 2, Kantor Polres Pelayanan Mimika dan di Terminal Lama Bandara UPBU Mozes Kilangin Timika. #publisherstory https://t.co/pabqJSfEFO</t>
  </si>
  <si>
    <t>Kesekian kalinya kejebak ujan di kantor pos.....</t>
  </si>
  <si>
    <t>aa barista sbux kantor pos riau apron hitam, semangat yaa kerjanya💐 https://t.co/2kiZJDBEIP</t>
  </si>
  <si>
    <t>@notendrases Sering dari Book Depo kudu ambil sendiri di kantor pos karena pas kurir anter ke lokasi ga ada penerimanya, atau resepsionos ga mau bayarin 10-20k buat cukai ✌️</t>
  </si>
  <si>
    <t>@notendrases Sadly iyes, cm dianter 1x tanpa notif dll kalau ga diterima/ditebus lgsg masuk kantor pos SPP sesuai domisili (bukan kantor pos yg kicik).
Kalau 3 bulan harusnya udah nyampe, cm nanti pak petugas ngelacak storagenya super manual via memori manusia jd sabar sj 👌</t>
  </si>
  <si>
    <t>@convomf Kantor pos</t>
  </si>
  <si>
    <t>@jalusatria_ taro di kantor pos aja bege lu ambil dewek</t>
  </si>
  <si>
    <t>@eaJJ92 Ibun siap jadi kantor pos https://t.co/mpRKakCSFh</t>
  </si>
  <si>
    <t>Akhirnya dapet tebengan ke kantor pos</t>
  </si>
  <si>
    <t>Rasanyaa... absfyxjjezsgfkd yaudah kapan" lagi ke kantor pos nya</t>
  </si>
  <si>
    <t>Tadinya nunggu di jemput kan eh udah reda hujannya jadi ga jadi. Bentar lagi otw pulang. Dan bsk libur trus mau ke kantor pos trus leha lehaa wkwk</t>
  </si>
  <si>
    <t>@fiaqrta @undipmenfess Di gang seberang kantor pos ada laundry sebelah kanan jalan kayaknya 5k/kg deh. Di gang seberang indomaret timoho juga banyaakkk laundry under 5k/kg kokk</t>
  </si>
  <si>
    <t>Tempat hype terbaru di Jakarta Pusat! Mbloc cabang Ex Kantor Pos Pasar Baru! Whoop whoop. Anak Jaksel transmigrasi ke sini https://t.co/5rw3fhSxei</t>
  </si>
  <si>
    <t>@nindysm wua. kalo ky gitu berarti mesti kroscek ke kantor pos nin? :O</t>
  </si>
  <si>
    <t>@Patipatigulipat huhu ngerti banget. aku pernah juga, belum sampai selama 3 bulan gitu dan sedihnya kan ga bisa di-track. pas email ke CS, mereka bilang biasanya nyangkut di kantor pos setempat 🥲💔</t>
  </si>
  <si>
    <t>@Patipatigulipat Email CS dulu aja, biasanya mereka masih bisa tau bukunya udah sampe lokasi negara tujuan atau belum. Terus mungkin baru kroscek ke kantor pos ya (ini aku juga belum pernah coba sih)</t>
  </si>
  <si>
    <t>@undipmenfess Rekomendasi bengkel di jln mulawarman sebelum kuburan dkt canofee, trus depan kantor pos banjarsari, sm depan paltrow setelah terowongan klo dr ngesrep</t>
  </si>
  <si>
    <t>@jazzy867 @GarengHallu @SarahDrAcad Kandani kui nomer telp sak kode pos, ambe ekstension ndek kntre
.
Dadi lek ditelp, hp, kantor pos, sak ruang praktek muni kabeh</t>
  </si>
  <si>
    <t>besok ingetin aku pengen beli donat di samping kantor pos</t>
  </si>
  <si>
    <t>@diemwoi belakang kantor pos</t>
  </si>
  <si>
    <t>@sbyfess Angel wes ngene iki.. . . Kate dm nang kantor pos a</t>
  </si>
  <si>
    <t>Era masih berkirim surat lewat kantor pos https://t.co/J0aWdkzPD1</t>
  </si>
  <si>
    <t>Dipilih... Dipilih... Dipilih...
😂😂
Jadi ingat tukang obat depan kantor Pos Medan dulu. 🤣🤣 https://t.co/LC58rfj0tX</t>
  </si>
  <si>
    <t>hadeuh tp males ke kantor pos</t>
  </si>
  <si>
    <t>LOKASI PELAYANAN #SIMKELILING Senin, 27 September 2021 Pukul 08.00 s/d 14.00 Wib :
Jaktim : Mall Grand Cakung.
Jaksel  : Kampus Trilogi Kalibata &amp;amp;
Jln M.Saidi Raya Petukangan Jaksel.
Jakbar : LTC Glodok.
Jakpus : Kantor Pos Lapangan Banteng https://t.co/nyrstHdEh9</t>
  </si>
  <si>
    <t>Gue kan ngirim ke kantor, ni semua kurir w bilangin klo ada paketan taroh di pos satpam aja. Dia nylonong ke kantor
"Pakettt, atas nama Pak Nauf"
Bgsd. 🤗 https://t.co/TjuYAPOGSj https://t.co/dLUra1KHqr</t>
  </si>
  <si>
    <t>Tiap akhir September yg keinget ya cerita dr ortu soal kejamnya rezim. Simbah yg cm sempat dititipin perkakas dapur PKI, juga kl ada event tari jd penonton aja kena label ET di KTP. Sampai bulek ngelamar jd pegawai kantor pos tidak bisa.</t>
  </si>
  <si>
    <t>1. Repeat kelucuan masalalu kadang2 bisa tertawa.
*Suatu hari konco kampung yg tukang becak, mampir kerumah nenek dikota utk istirahat, aku juga ikut nenek waktu kuliah.
Iseng2 Pinjem becak puter2 dijalan raya. Njilalah ada penumpang ibu2 pensiunan minta dianter ke kantor Pos.</t>
  </si>
  <si>
    <t>2. Akhirnya saya anter ibu2 ke Kantor Pos, walau nafas ngos2an kaki rasanya keju kemeng.
Dilain hari temenku cewek mau ngajak dolan, kebetulan ketemu dijalan aku bawa becak, kuajak puter2, gak taunya dikuntit ama juragan becak, ditanya Sukri(koncoku) kemana.?! Sedang istirahat.</t>
  </si>
  <si>
    <t>Memperingati Hari Bakti Postel Indonesia ke 76. Kantor Pos Mojokerto mengadakan pemeriksaan mata gratis &amp;amp; kegiatan donor darah, bekerjasama dengan Palang Merah Indonesia. 
Senin 27 September 2021.
Info lengkap cek poster
#infomjkt 
#eventmjkt
#infomojokerto
#eventmojokerto https://t.co/NyGgLByLkE</t>
  </si>
  <si>
    <t>Hari ini 27 September 76 th lalu, para pemuda, Sutoko, Nawawi, Hasan, Suwondo, Mas Suharto dkk, bersama rakyat merebut kantor Jawatan Pos Telepon dan Telegrap di Bandung. Saat itu kantor tsb dikuasai Jepang. Mk hari itu diperingati sbg Hari Bakti Postel. https://t.co/v5VDfU6h37</t>
  </si>
  <si>
    <t>Setelah beberapa bulan nganggur, aku masukin lamaran di kantor pos, dan dari awal ga berekspektasi lolos, terbukti, masukin lamran sept 2014, di panggil interview nya malah jan 2015 😂 keburu lupa pernah masukin lamaran disana</t>
  </si>
  <si>
    <t>#SahabatBawaslu sejarah Hari Bhakti Postel 27 September adalah  dilatarbelakangi peristiwa perebutan kantor Jawatan Pos, Telegraf, dan Telepon, pada era pemerintah Jepang. Peristiwa itu terjadi sesaat setelah deklarasi kemerdekaan Indonesia.
#BawasluTanaToraja
#CegahAwasiTindak https://t.co/2XHTI8lZUK</t>
  </si>
  <si>
    <t>Guna Mencegah Penyebaran Covid-19 Personil Sat Polairud Polres Jembrana Pos Gilimanuk Laksanakan Bersih-Bersih Kantor. https://t.co/xcvnJc4RPc</t>
  </si>
  <si>
    <t>Agenda Rutin Bagi Personil Sat PolAirud Polres Jembrana Pos Pengambengan Laksanakan Bersih-Bersih Mako Kantor Antisipasi serta Putus Mata Rantai Penyebaran Covid 19. https://t.co/0AiSdaeWwg</t>
  </si>
  <si>
    <t>Guna Mencegah Penyebaran Covid-19 Personil Sat Polairud Polres Jembrana Pos Pengambengan Laksanakan Bersih-Bersih Kantor. https://t.co/bdKIHuYy5o</t>
  </si>
  <si>
    <t>Agenda Rutin Setiap Pagi Bagi Sat Polairud Pos Gilimanuk Laksanakan Giat Bersih-Bersih Seputaran Kantor Penjagaan Dengan Harapan Cegah Putus Penyebaran Virus Covid 19. https://t.co/Gq8AoGLbeo</t>
  </si>
  <si>
    <t>Guna Mencegah Penyebaran Covid-19 Personil Sat Polairud Polres Jembrana Pos Gilimanuk Laksanakan Bersih-Bersih Kantor. https://t.co/XKZOnWb7pP</t>
  </si>
  <si>
    <t>Guna Mencegah Penyebaran Covid-19 Personil Sat Polairud Polres Jembrana Pos Pengambengan Laksanakan Bersih-Bersih Kantor. https://t.co/dq3Kd3y8zx</t>
  </si>
  <si>
    <t>Untuk Mencegah Penyebaran Covid- 19,Sat Polairud Pos Gilimanuk Laksanakan Giat Bersih-Bersih Seputaran Pos Penjagaan Kantor . https://t.co/rGFjw1ccoJ</t>
  </si>
  <si>
    <t>Guna Mencegah Penyebaran Covid-19 Personil Sat Polairud Polres Jembrana Pos Gilimanuk Laksanakan Bersih-Bersih Kantor. https://t.co/Sz7UlkLIpJ</t>
  </si>
  <si>
    <t>Hari Bhakti Postel 27 September jadi momentum peringatan pengambilalihan Kantor Pusat Jawatan Pos, Telegraf, dan Telepon (PTT) di Bandung oleh pemuda Indonesia dari kekuasaan kekuasaan Jepang. Perebutan kendali Jawatan PTT itu dipelopori oleh Angkatan Muda Pos, Telegrap, dan</t>
  </si>
  <si>
    <t>@winonafritziee Depan kantor pos mayang buka 24 jam</t>
  </si>
  <si>
    <t>Lowongan Kerja Kantor PT Pos Indonesia (Persero) Tingkat SMA Bulan September 2021
Tenaga Oranger Loket 
Persyaratan/Kualifikasi :
Laki-laki/Wanita berpenampilan menarik
Ijazah terakhir min SLTA
Usia per 01 September 2021 Maksimal…https://t.co/tW6LQOepFe https://t.co/vwrzhYwmPz</t>
  </si>
  <si>
    <t>Lowongan Kerja Kantor Cabang Pos Indonesia Bulan September 2021
Oranger Loket
Persyaratan Umum :
Pria / wanita
Pendidikan terakhir minimal D3
Usia maksimal 25 tahun
Berpenampilan menarik
Mampu berkomunikasi dengan baik
Disiplin da…https://t.co/fFmXECE0Tz https://t.co/vPJsW69fqc</t>
  </si>
  <si>
    <t>Lowongan Kerja Kantor Pos Indonesia Tingkat SMA Bulan September 2021
Satpam
Persyaratan
Pria Diutamakan berusia maksimal 30 tahun
Pendidikan min SMA Sederajat
Berkelakuan baik (dilampirkan Surat Keterangan Polisi (SKCK) dari Polre…https://t.co/3ayYLcJFnX https://t.co/e7ow4OyHO1</t>
  </si>
  <si>
    <t>Lowongan Kerja SPG pospay PT Pos Indonesia (Persero) Tingkat SMA Sederajat
SPG pospay
Kualifikasi :
Wanita usia maksimal 27 tahun
Minimal SMA
Berpenampilan menarik (good looking)
Kirim lamaran anda paling lambat 24 september 2021…https://t.co/bHXp1pweZE https://t.co/INSeil3HjW</t>
  </si>
  <si>
    <t>Lowongan Kerja Tenaga Frontliner Kantor Pos Indonesia (Persero) Tahun 2021
Tenaga Frontliner
Persyaratan:
Warga Negara Indonesia
Pendidikan minimal D3
Pria &amp;amp; Wanita umur maksimal 27 tahun per 1 september 2021
Berbadan sehat, dibuk…https://t.co/M1AtOj41pt https://t.co/0ElF4yjH3z</t>
  </si>
  <si>
    <t>Lowongan Kerja SMA Sederajat Kantor Pos Indonesia 
Oranger Loket
Kualifikasi :
Diutamakan Berpenampilan menarik, Sopan &amp;amp; Rapi
Belum menikah, Usia minimal 18-35 tahun
Pendidikan minimal SLTA atau sederajat
Menguasai komputer (Micro…https://t.co/pbIeDo2E2t https://t.co/9H19CZ8Z6a</t>
  </si>
  <si>
    <t>Hari ini pelayanan smsat keliling di:
Kantor kec.rembang
Alun2 purbalingga (pos kemitraan)
Kantor kec. kejobong.
🙏🙏</t>
  </si>
  <si>
    <t>@memefess Kantor pos https://t.co/swoMj9qpHR</t>
  </si>
  <si>
    <t>Kepala Kantor bersama seluruh Jajaran Kantor Imigrasi Baubau mengucapkan selamat Hari Bhakti Pos &amp;amp; Telekomunikasi Ke-76 https://t.co/1eaiEy5t2D</t>
  </si>
  <si>
    <t>Dengan adanya teknologi yang semakin canggih, mungkin hanya sedikit dari keluarga yang masih meluangkan waktu untuk pergi ke Kantor Pos. Namun demikian, jangan sampai melupakan alat telekomunikasi yang sempat menjadi primadona yaaa✨</t>
  </si>
  <si>
    <t>#SahabatBawaslu, Selamat Hari Pos Telekomunikasi Telegraf (PTT) 27 September 2021.
Sebuah hari yang memperingati perjuangan para pahlawan yg dengan gagah berani merebut dan menduduki secara paksa kantor jawatan Pos, Telepon dan Telegraf dari pemerintahan Jepang.
.
.
#HariPTT2021 https://t.co/DE2dKyenoA</t>
  </si>
  <si>
    <t>@yagora628 関税じゃなくて、所得税？kantor posで？？
私も今発送待ちのモノがあるから戦々恐々だわ…</t>
  </si>
  <si>
    <t>@kring_pajak udah sebulan lebih daftar npwp dan dapat no nowp diemail...tapi kartu aslinya blm keterima...apakah harus di ambil ke kantor atau nunggu di kirim pos</t>
  </si>
  <si>
    <t>Hai #TemanPemilih, KPU Kabupaten Berau mengucapkan Selamat Hari Pos Telekomunikasi Telegraf (PTT).  Mari kita peringati perjuangan para pahlawan yang gagah berani merebut kantor jawatan Pos, Telepon dan Telegraf (PTT) dari pemerintahan Jepang. https://t.co/uHcF0uW0Hp</t>
  </si>
  <si>
    <t>@undipmenfess Depan kantor pos yg gang iwenisari itu,ada eyang eyang sol sepatu kasiann :(</t>
  </si>
  <si>
    <t>@AnissaHerdian antara lain: PT. Pos Indonesia (kantor pos) atau ATM bank yang telah bekerja sama dengan PLN (memilih menu non taglis).
Agar semua makin mudah, ayo download aplikasi New PLN Mobile di Play Store atau Apps Store, Terima kasih telah menghubungi PLN 123. (2/2) Tks -Harry</t>
  </si>
  <si>
    <t>@Husaiiin Permohonan Pindah kWh meter dikenakan biaya yang akan diinformasikan setelah hasil survey dan dapat dilakukan pembayaran menggunakan nomor register melalui Kantor Pos, loket mitra PLN atau ATM Bank yang telah bekerjasama dengan PLN antara lain: BRI, MANDIRI dan BCA.</t>
  </si>
  <si>
    <t>@adiputradana Selamat siang Kak Aditya.
Sebagai informasi, pembayaran resmi PLN menggunakan nomor register dan dilakukan melalui loket mitra PLN (contoh: Kantor Pos) atau ATM Bank yang telah bekerjasama dengan PLN (tidak dengan petugas di lokasi).
Thanks. -Tari</t>
  </si>
  <si>
    <t>Selanjutnya langsung ke kantor SATPAS. Sebelum masuk, diminta meninggalkan ktp di pos dan diberi id tamu/pemohon oleh petugas. Masuk kantor kemudian mengisi formulir permohonan perpanjangan dan membayar Rp. 155.000 untuk SIM A&amp;amp;C</t>
  </si>
  <si>
    <t>Kegiatan Kapolsek Kuala Akp Bevan Raga Utama, Sik yang diwakili oleh Ba. Pos Pol Kec. Sirapit menghadiri acara pisah sambut Camat Sirapit kepada PLT Camat Sirapit di Aula Kantor Camat Sirapit, selama kegiatan situasi aman dan lancar. https://t.co/ryf9Zvrawi</t>
  </si>
  <si>
    <t>ini mas mas kantor pos wangi bgt, dia mandi minyak wangi apa minum minyak wangi sih yak. buseeet dah semerbak bgt udh kya kuburan baru 🥲</t>
  </si>
  <si>
    <t>"kamu becanda mulu, sejak kapan kantor pos bisa nukerin uang?" Ya Allah ya rabbi</t>
  </si>
  <si>
    <t>Lupa kali dia dulu akunya nuker uang rmb ya di kantor pos. Dikira pos cuma bisa kirim surat kali masha Allah</t>
  </si>
  <si>
    <t>Trs tbtb ngirim ss chat sama temennya yg ada di kantor pos, bilang nek bisa nuker uang di kantor pos. Trs sebelum aku bilang "kan dibilangin ga percaya, aku itu makan nasi 1 bulan lebih lama dr kamu" dia udah blg "udah aku titip temenku besok, gabole bilang kan, maaf ya" wkwk</t>
  </si>
  <si>
    <t>Wakil Walikota Bengkulu Dedy Wahyudi menghadiri Peringatan Hari Bhakti Pos dan Telekomunikasi (Postel) Nasional ke-76, Senin (27/09/2021), di halaman Kantor Balai Monitor Spektrum Frekuensi Radio Kelas II Bengkulu. https://t.co/sVLhfRVj1h</t>
  </si>
  <si>
    <t>@tanyakanrl bisa pake EMS nder. 
itu macem kantor pos tapi bisa internasional. 
gue ga pernah sih tapi pernah tau aja
coba gugling aja</t>
  </si>
  <si>
    <t>(2) Saat ini ada 4000 kantor pos dan 28000 Agen Pos yang tersebar di seluruh wilayah Indonesia. #27Sept @PosIndonesia</t>
  </si>
  <si>
    <t>(14) Karena orang lebih suka menggunakan instant messenger di HP masing2, apakah Pak Pos dan infrastruktur layanan pos dengan ribuan kantor @PosIndonesia juga harus ikut 'tewas'? #27Sept .</t>
  </si>
  <si>
    <t>Hari ini tepat pada tanggal 27 September merupakan sebuah hari yang memperingati perjuangan para pahlawan yang dengan gagah berani merebut dan menduduki secara paksa kantor jawatan Pos, Telepon  dan Telegraf (PTT) dari pemerintahan Jepang. Yakni, Hari Pos Telekomunikasi Telegraf</t>
  </si>
  <si>
    <t>@qonitawn Padahal masih bisa untung 300k an ++ misal dikirim pake kantor pos 🤣 wkwk kalau ada yg ribet kenapa harus mudah.---.</t>
  </si>
  <si>
    <t>GKR Hemas pada kesempatan tersebut mengutarakan bahwa kegiatan transaksi jual beli UKM DIY dapat terus meningkat. Apalagi transpor (ongkos kirim) juga sudah dibantu oleh Pemda sehingga bisa gratis atau bisa juga difasilitasi kantor pos.  
#GKRHemas
#UMKMNaikKelas
#Sibakul</t>
  </si>
  <si>
    <t>maaf slowresp ges aku lg ke kantor pos dulu ambil box wh 🥲</t>
  </si>
  <si>
    <t>Masih sama dgn agenda seperti biasa ketika obat ayah habis ...
- cusss Rntu pnjg
- beli obat
- kantor pos
- and yg terakhir makan mie ayam ceker 😂😂</t>
  </si>
  <si>
    <t>@FiersaBesari Kukira kau rumah ternyata kantor pos. Nyaman sih tapi cuma sekedar menitip pesan, bukan berbagi masa depan.</t>
  </si>
  <si>
    <t>@dubideobidump Pake kantor pos</t>
  </si>
  <si>
    <t>Gini amat pelayanan kantor pos</t>
  </si>
  <si>
    <t>@karawangfess ada di dpn kantor pos alun2, kalo pagi2 ada di depan barberbox sadamalun. sekalian nitip beliin buat gua</t>
  </si>
  <si>
    <t>@friskas__ Abi di depan kantor pos uy..</t>
  </si>
  <si>
    <t>Ya Tuhan, halangilah generasi hamba, jika sudah saatnya nanti, dari menjadi PNS Senior yg kerjanya cuma kantor pos, terima arahan atasan-perintah bawahan. 
Amin.</t>
  </si>
  <si>
    <t>Sepenggal pesan tanpa penerima.
Jika ada yang berkenan, hubungi saya lewat kantor pos yang pengirimannya dikirim langsung oleh dua burung merpati hitam https://t.co/nplQn109j1</t>
  </si>
  <si>
    <t>[HARI BAKTI POSTEL]
Selamat Hari Bakti Postel!
Hari Bakti Postel adalah hari untuk memperingati pengambilalihan Kantor Pusat Jawatan Pos, Telegraf, dan Telepon (PTT) oleh Angkatan Muda Pos, Telegraf, dan Telepon (AMPTT) dari kekuasaan Jepang pada 27 September 1945. https://t.co/yHa4ZPOSC1</t>
  </si>
  <si>
    <t>Selamat Hari Bakti PT Pos Indonesia 
Hari Bhakti Postel pada 27 September jadi momentum peringatan sejarah pengambilalihan Kantor Pusat Jawatan Pos, Telegraf, dan Telepon (PTT) di Bandung oleh pemuda Indonesia dari kekuasaan penjajah Jepang. Perebutan kendali Jawatan PTT itu</t>
  </si>
  <si>
    <t>@ntakisback Pakai surat saja, kn kantor pos juga masih ada kl instagram buatan orang US. &amp;amp;Km tinggal di Indo bukan di US,,,,paham???</t>
  </si>
  <si>
    <t>Tumben JNE kosong.. Jd bisa foto dulu 😅. Beres JNE lanjut kantor pos sama J&amp;amp;T.. https://t.co/ChNOHqQ1ZS</t>
  </si>
  <si>
    <t>@sbyfess Bayar pajak kendaraan di kantor pos bisa kok. Kemaren aku waktu beli materai ditawarin ama petugasnya. 
Di indo/alfa juga bisa tapi harus ngeprint sendiri.</t>
  </si>
  <si>
    <t>@iBiteDonghan Di jomas :)))) aku kira teh di yg deket kantor pos taunya yg deket bip😭😭😭</t>
  </si>
  <si>
    <t>Kantor Pos ngecit. https://t.co/dIbMn1zoCQ</t>
  </si>
  <si>
    <t>Sjak 1920an kantor pos dan telegraph mnempati bangunan bekas Gereja Simultan/ekumene yg sdh tdk terpakai lagi di Groote Pos Weg #CeritaBogor</t>
  </si>
  <si>
    <t>Setiap tanggal 27 September diperingati sebagai Hari Pos Telekomunikasi Telegraf.
"Sebuah hari yang memperingati perjuangan para pahlawan yang dengan gagah berani merwbut dan menduduki secara paksa kantor jawatan Pos, Telepon dan Telwgraf (PTT) dari pemerintahan Jepang". https://t.co/yWvwUSw2NK</t>
  </si>
  <si>
    <t>Selamat hari Pos Telekomunikasi Telegraf (PTT)
~Sebuah hari yang memperingati perjuangan para pahlawan yang dengan gagah berani merebut dan menduduki secara paksa kantor jawatan Pos, Telepon  dan Telegraf (PTT) dari pemerintahan Jepang.
@ipm_smpalqolam @ipmjateng @IPMSragen https://t.co/mPwQvseGc5</t>
  </si>
  <si>
    <t>ketika kerjaan numpuk :)) senin masang wallpaper , Selasa jemput bocil + nganter surat ke rs , rabu ke gedung olahraga + nunggu kurir nganter mesin cuci , kamis tea time + ke kantor pos + bank 😂😂😂 trs gua packingnya kpn bangke</t>
  </si>
  <si>
    <t>@candyyupiii Gak tau, biasanya beli di foto copyan tapi lebih mahal, kalo mau sesuai nominal beli di kantor pos aja</t>
  </si>
  <si>
    <t>@erickthohir Jadi inget dulu tiap mau Lebaran, ke kantor pos kirim kartu pos ke saudara dan teman2 🥲</t>
  </si>
  <si>
    <t>@mnahiarn Masa lewat kantor pos</t>
  </si>
  <si>
    <t>@MinangGermanic How is catholic church, a mere part of the whole system, a successor of Rome? Like if Indonesia dissolve and the only thing that survive is Kantor Pos that doesn't mean it is its succesor. Its just a vestigial part of it that somehow survive the cataclysm.</t>
  </si>
  <si>
    <t>Kantor Pos is the Second Indonesia confirmed(they're staffed by pureblood Javanese) https://t.co/efkMfOBuzn</t>
  </si>
  <si>
    <t>@HiiYulHee Biasanya kalo mau cepet sampe bayar ke kantor pos nya langsung bawa resi dan kode buat bayar pajak nya itu, trs nanti tanya brg nya udh di kantor pos wilayahmu atau blm kalo blm nanti bisa diantar lgsg kerumah mu.. udah deh</t>
  </si>
  <si>
    <t>@namakubayangan Yaelah rusuh apaaan sorong sorongan sampe ga sengaja ngerubuhin pager DPRD wkwkwk, intelnya sama pengamanan paling advance di belakang aja adem adem bae di deket kantor pos, malah mereka ngobrol ke temen medis sambil bagi air soalnya akses air minum kejauhan 🤣🤣🤣</t>
  </si>
  <si>
    <t>@avwwt @merapi_uncover @Mei2Namaku Oh iya ya...
Nek ngerti, mase saiki posisi dimana?
Hehe hooh gedi gedi, rasa yo mayann.. tp dadi larang saiki wkwk
Ngarep kantor pos kae enak jg hahaha</t>
  </si>
  <si>
    <t>@msucn_ @merapi_uncover @Mei2Namaku Aku rareti sih mas. 
Kantor pos godean? Iyo enak, ono nasi uduk e kan?
Tp enak dan murah meneh neng lor lapangan sawo mas</t>
  </si>
  <si>
    <t>@96JENNIEfey Udah lewat kantor pos belum</t>
  </si>
  <si>
    <t>@sbyfess kirim kirimam surat lewat kantor pos lek aku</t>
  </si>
  <si>
    <t>@bertanyarl gabisa,minimal 50k,tpi waktu itu pernah nanya di kantor pos katanya minimanl 25k nder</t>
  </si>
  <si>
    <t>@literarybase eh sama tapi sebel bgt kantor pos lokalku ditelpon skrg langsung matiin 💩</t>
  </si>
  <si>
    <t>@literarybase gila pengen marah rasanya uda kantor pos ga nganter pos dgn benar dihubungi aja ga bisa WKWKWK bye</t>
  </si>
  <si>
    <t>kantor pos di UK ternyata kaya jne yaa.. kaga sempet foto2 soalnya udah bingung sndiri wkkwk. Td sih lbh jelek dr ini wkwkwk, trs sbelahnya ada yg jual ATK gtu https://t.co/AAmt3eIMaV</t>
  </si>
  <si>
    <t>@collegemenfess Kudu punya, supaya pas Minggu kantor pos tutup lu ga bingung gmna caranya narik uang kiriman ortu. Kalau lu anak rantau sih</t>
  </si>
  <si>
    <t>LOKASI PELAYANAN #SIMKELILING hari Selasa, tanggal 28 September 2021 pukul 08.00 s/d 14.00 WIB :
Jaktim : Mall Grand Cakung.
Jaksel  : Kampus Trilogi Kalibata &amp;amp;
Jln M.Saidi Raya Petukangan Jaksel.
Jakbar : LTC Glodok.
Jakpus : Kantor Pos Lapangan Banteng https://t.co/QxZixbtJ8T</t>
  </si>
  <si>
    <t>LOKASI PELAYANAN #SIMKELILING Jum'at, 24 September 2021 Pukul 08.00 s/d 14.00 Wib :
Jaktim : Mall Grand Cakung.
Jaksel  : Kampus Trilogi Kalibata &amp;amp;
Jln M.Saidi Raya Petukangan Jaksel.
Jakbar : LTC Glodok.
Jakpus : Kantor Pos Lapangan Banteng https://t.co/XobFYMIEIj</t>
  </si>
  <si>
    <t>07.00 #InfoSonora
LOKASI PELAYANAN #SIMKELILING DKI JAKARTA
Senin, 20 September 2021
Pk. 08.00 s/d 14.00 Wib :
Jaktim : Mall Grand Cakung.
Jaksel  : Kampus Trilogi Kalibata &amp;amp;
Jln M.Saidi Raya Petukangan.
Jakbar : LTC Glodok.
Jakpus : Kantor Pos Lapangan Banteng.
@TMCPoldaMetro https://t.co/1QLEcj0xTG</t>
  </si>
  <si>
    <t>07.25 #InfoSONORA - LOKASI PELAYANAN #SIMKELILING Selasa, 21 September 2021 Pukul 08.00 s/d 14.00 Wib :
Jaktim : Mall Grand Cakung.
Jaksel  : Kampus Trilogi Kalibata &amp;amp;
Jln M.Saidi Raya Petukangan Jaksel.
Jakbar : LTC Glodok.
Jakpus : Kantor Pos Lapangan Banteng via @TMCPoldaMetro</t>
  </si>
  <si>
    <t>06.20 #InfoSonora
LOKASI PELAYANAN #SIMKELILING DKI JAKARTA
Rabu, 22 September 2021 
Pk.08.00- 14.00 Wib :
Jaktim : Mall Grand Cakung.
Jaksel : Kampus Trilogi Kalibata &amp;amp;
Jln M.Saidi Raya Petukangan Jaksel.
Jakbar: LTC Glodok.
Jakpus: Kantor Pos Lapangan Banteng.
@TMCPoldaMetro https://t.co/Yp11apfQDc</t>
  </si>
  <si>
    <t>07.41 #InfoSONORA - LOKASI PELAYANAN #SIMKELILING Kamis, 23 Sept' 2021 Pukul 08.00 s/d 14.00 Wib :
Jaktim : Mall Grand Cakung.
Jaksel  : Kampus Trilogi Kalibata &amp;amp;
Jln M.Saidi Raya Petukangan Jaksel.
Jakbar : LTC Glodok. https://t.co/f8BnivyXAH
Jakpus : Kantor Pos Lapangan Banteng</t>
  </si>
  <si>
    <t>06.10 #InfoSonora
LOKASI PELAYANAN #SIMKELILING DKI JAKARTA
Jumat, 24 September 2021
Pk.08.00-14.00 Wib :
Jaktim : Mall Grand Cakung.
Jaksel  : Kampus Trilogi Kalibata &amp;amp;
Jln M.Saidi Raya Petukangan Jaksel.
Jakbar : LTC Glodok.
Jakpus: Kantor Pos Lapangan Banteng
@TMCPoldaMetro https://t.co/5lhEd7FklQ</t>
  </si>
  <si>
    <t>07.05 #InfoSonora
LOKASI PELAYANAN #SIMKELILING DKI JAKARTA
Sabtu, 25 September 2021
Pk. 08.00-12.00 Wib :
Jaktim : Mall Grand Cakung.
Jaksel: Kampus Trilogi Kalibata &amp;amp;
Jln M.Saidi Raya Petukangan Jaksel.
Jakbar: LTC Glodok.
Jakpus : Kantor Pos Lapangan Banteng.
@TMCPoldaMetro https://t.co/LdBSsqlohA</t>
  </si>
  <si>
    <t>06.20 #InfoSonora
LOKASI PELAYANAN #SIMKELILING DKI JAKARTA
Senin, 27 September 2021
Pk.08.00-14.00 Wib :
Jaktim : Mall Grand Cakung.
Jaksel : Kampus Trilogi Kalibata &amp;amp;
Jln M.Saidi Raya Petukangan Jaksel.
Jakbar : LTC Glodok.
Jakpus : Kantor Pos Lapangan Banteng. @TMCPoldaMetro https://t.co/64qQwt5rZP</t>
  </si>
  <si>
    <t>07.37 #LalinSONORA LOKASI PELAYANAN #SIMKELILING hari Selasa, tanggal 28 September 2021 pukul 08.00 s/d 14.00 WIB :
Jaktim : Mall Grand Cakung.
Jaksel  : Kampus Trilogi Kalibata &amp;amp; Jln M.Saidi Raya Petukangan Jaksel.
Jakbar : LTC Glodok.
Jakpus : Kantor Pos Lapangan Banteng</t>
  </si>
  <si>
    <t>LOKASI PELAYANAN #SIMKELILING Senin, 20 September 2021 Pukul 08.00 s/d 14.00 Wib :
Jaktim : Mall Grand Cakung.
Jaksel  : Kampus Trilogi Kalibata &amp;amp;
Jln M.Saidi Raya Petukangan Jaksel.
Jakbar : LTC Glodok.
Jakpus : Kantor Pos Lapangan Banteng. https://t.co/XPcq8FCmWD</t>
  </si>
  <si>
    <t>LOKASI PELAYANAN #SIMKELILING Selasa, 21 September 2021 Pukul 08.00 s/d 14.00 Wib :
Jaktim : Mall Grand Cakung.
Jaksel  : Kampus Trilogi Kalibata &amp;amp;
Jln M.Saidi Raya Petukangan Jaksel.
Jakbar : LTC Glodok.
Jakpus : Kantor Pos Lapangan Banteng. https://t.co/KHdl8rPT1k</t>
  </si>
  <si>
    <t>LOKASI PELAYANAN #SIMKELILING Rabu, 22 September 2021 Pukul 08.00 s/d 14.00 Wib :
Jaktim : Mall Grand Cakung.
Jaksel  : Kampus Trilogi Kalibata &amp;amp;
Jln M.Saidi Raya Petukangan Jaksel.
Jakbar : LTC Glodok.
Jakpus : Kantor Pos Lapangan Banteng. https://t.co/t0lM1gQlpa</t>
  </si>
  <si>
    <t>LOKASI PELAYANAN #SIMKELILING Kamis, 23 September 2021 Pukul 08.00 s/d 14.00 Wib :
Jaktim : Mall Grand Cakung.
Jaksel  : Kampus Trilogi Kalibata &amp;amp;
Jln M.Saidi Raya Petukangan Jaksel.
Jakbar : LTC Glodok.
Jakpus : Kantor Pos Lapangan Banteng. https://t.co/Fge7DuX6nM</t>
  </si>
  <si>
    <t>LOKASI PELAYANAN #SIMKELILING Jum'at, 24 September 2021 Pukul 08.00 s/d 14.00 Wib :
Jaktim : Mall Grand Cakung.
Jaksel  : Kampus Trilogi Kalibata &amp;amp;
Jln M.Saidi Raya Petukangan Jaksel.
Jakbar : LTC Glodok.
Jakpus : Kantor Pos Lapangan Banteng. https://t.co/DO1ItFgjHF</t>
  </si>
  <si>
    <t>LOKASI PELAYANAN #SIMKELILING Sabtu, 25 September 2021 Pukul 08.00 s/d 12.00 Wib :
Jaktim : Mall Grand Cakung.
Jaksel  : Kampus Trilogi Kalibata &amp;amp;
Jln M.Saidi Raya Petukangan Jaksel.
Jakbar : LTC Glodok.
Jakpus : Kantor Pos Lapangan Banteng. https://t.co/zwDZhsBLFL</t>
  </si>
  <si>
    <t>LOKASI PELAYANAN #SIMKELILING Senin, 27 September 2021 Pukul 08.00 s/d 14.00 Wib :
Jaktim : Mall Grand Cakung.
Jaksel  : Kampus Trilogi Kalibata &amp;amp;
Jln M.Saidi Raya Petukangan Jaksel.
Jakbar : LTC Glodok.
Jakpus : Kantor Pos Lapangan Banteng. https://t.co/CkqxisUPX1</t>
  </si>
  <si>
    <t>LOKASI PELAYANAN #SIMKELILING hari Selasa, tanggal 28 September 2021 pukul 08.00 s/d 14.00 WIB :
Jaktim : Mall Grand Cakung.
Jaksel  : Kampus Trilogi Kalibata &amp;amp;
Jln M.Saidi Raya Petukangan Jaksel.
Jakbar : LTC Glodok.
Jakpus : Kantor Pos Lapangan Banteng. https://t.co/sSPr2Z0UfJ</t>
  </si>
  <si>
    <t>Lokasi SIM Keliling Jakarta hari Senin, 20 September 2021 mulai pukul 08.00 s / d 14.00 WIB.
Jaktim : Mall Grand Cakung
Jaksel : Kampus Trilogi Kalibata &amp;amp; Jln M.Saidi Raya Petukangan Jaksel.
Jakbar : LTC Glodok
Jakpus : Kantor Pos Lapangan Banteng
https://t.co/HVS888ILGJ</t>
  </si>
  <si>
    <t>Lokasi SIM Keliling Jakarta hari Selasa, 21 September 2021 mulai pukul 08.00 s / d 14.00 WIB.
Jaktim : Mall Grand Cakung
Jaksel : Kampus Trilogi Kalibata &amp;amp; Jln M.Saidi Raya Petukangan Jaksel.
Jakbar : LTC Glodok
Jakpus : Kantor Pos Lapangan Banteng
https://t.co/CV4VvlOzkb</t>
  </si>
  <si>
    <t>Lokasi SIM Keliling Jakarta hari Rabu, 22 September 2021 mulai pukul 08.00 s / d 14.00 WIB.
Jaktim : Mall Grand Cakung
Jaksel : Kampus Trilogi Kalibata &amp;amp; Jln M.Saidi Raya Petukangan Jaksel.
Jakbar : LTC Glodok
Jakpus : Kantor Pos Lapangan Banteng
https://t.co/h11jcJEV2N</t>
  </si>
  <si>
    <t>Lokasi SIM Keliling Jakarta hari Kamis, 23 September 2021 mulai pukul 08.00 s / d 14.00 WIB.
Jaktim : Mall Grand Cakung
Jaksel : Kampus Trilogi Kalibata &amp;amp; Jln M.Saidi Raya Petukangan Jaksel.
Jakbar : LTC Glodok
Jakpus : Kantor Pos Lapangan Banteng
https://t.co/VLRZKT9UuY</t>
  </si>
  <si>
    <t>Lokasi SIM Keliling Jakarta hari ini Jumat, 24 September 2021 mulai pukul 08.00 s / d 14.00 WIB.
Jaktim : Mall Grand Cakung
Jaksel : Kampus Trilogi Kalibata &amp;amp; Jln M.Saidi Raya Petukangan Jaksel.
Jakbar : LTC Glodok
Jakpus : Kantor Pos Lapangan Banteng
https://t.co/Ywi2hu5qJL</t>
  </si>
  <si>
    <t>Lokasi SIM Keliling Jakarta pada hari ini Sabtu, 25 September 2021 mulai pukul 08.00 s / d 14.00 WIB.
Jaktim : Mall Grand Cakung
Jaksel : Kampus Trilogi Kalibata &amp;amp; Jln M.Saidi Raya Petukangan Jaksel
Jakbar : LTC Glodok
Jakpus : Kantor Pos Lapangan Banteng
https://t.co/dbZo13vF2m</t>
  </si>
  <si>
    <t>Lokasi SIM Keliling Jakarta pada hari ini Senin, 27 September 2021 mulai pukul 08.00 s / d 14.00 WIB.
Jaktim : Mall Grand Cakung
Jaksel : Kampus Trilogi Kalibata &amp;amp; Jln M.Saidi Raya Petukangan Jaksel.
Jakbar : LTC Glodok
Jakpus : Kantor Pos Lapangan Banteng
https://t.co/OIrZARHw3N</t>
  </si>
  <si>
    <t>Lokasi SIM Keliling Jakarta pada hari ini Selasa, 28 September 2021 mulai pukul 08.00 s / d 14.00 WIB.
Jaktim : Mall Grand Cakung
Jaksel : Kampus Trilogi Kalibata &amp;amp; Jln M.Saidi Raya Petukangan Jaksel
Jakbar : LTC Glodok
Jakpus : Kantor Pos Lapangan Banteng
https://t.co/6lANm2wQlQ</t>
  </si>
  <si>
    <t>Lowongan Kerja Kantor Pos Indonesia (Min. SMA/SMK Sederajat)
Posisi, Lokasi, Kualifikasi dan Panduan melamar buka link: https://t.co/SKiGXXW4ht
•
"GABUNG DI CHANNEL TELEGRAM 👉 https://t.co/SfaaWgxZ1h (GRATIS)"</t>
  </si>
  <si>
    <t>Lowongan Kerja Kantor Pos Indonesia
Posisi, Lokasi, Kualifikasi dan Panduan melamar buka link: https://t.co/SKiGXXW4ht
•
"GABUNG DI CHANNEL TELEGRAM 👉 https://t.co/SfaaWgxZ1h (GRATIS)"</t>
  </si>
  <si>
    <t>Lowongan Kerja Kantor Pos Indonesia
Batas Lamaran: 30 September 2021
Posisi, Lokasi, Kualifikasi dan Panduan melamar buka link: https://t.co/SKiGXXW4ht
•
"GABUNG DI CHANNEL TELEGRAM 👉 https://t.co/SfaaWgxZ1h (GRATIS)"</t>
  </si>
  <si>
    <t>@bertanyarl kantor pos?</t>
  </si>
  <si>
    <t>Direktur Jenderal Pos Amerika Serikat • Kementerian Kehakiman Amerika Serikat • Biro Investigasi Federal • Kantor Pos Amerika Serikat • Donald Trump</t>
  </si>
  <si>
    <t>Kantor pos jam segini udh buka blm si?</t>
  </si>
  <si>
    <t>Layanan menfess kilat? go follow kantor_pos '-'</t>
  </si>
  <si>
    <t>go follow -&amp;gt; kantor_pos '-'</t>
  </si>
  <si>
    <t>@bravobeacukai Apa harus datang ke kantor pasar baru? Gabisa yg lain? waktu nya sulit. Nanti keburu dikirim pos indo ke rumah. 
Saya udah punya npwp, dan ingin memangkas pph. Karena setiap paket yg datang belum dipangkas npwp</t>
  </si>
  <si>
    <t>@ekiiiiw Untuk menghubungi kantor bc pos pasar baru bisa via webchat di link https://t.co/SkkOM729qC ya kak, dengan memilih layanan pada kantor bc pos pasar baru ~boy</t>
  </si>
  <si>
    <t>@bravobeacukai Kalo di bandung kan biasanya ada kantor pos yg khusus untuk penerimaaan barang dari luar itu di mpc bandung soeta, nah kalo di tasikmalaya itu ada juga gak ya</t>
  </si>
  <si>
    <t>@for__DY jika menggunakan jasa EMS/ pos indonesia silakan konfirmasi ke call center 1500161 kak, karena mereka yg menentukan akan proses clearence ke kantor beacukai yg mana. ~dnp</t>
  </si>
  <si>
    <t>@rizkiadrian @tfsurabaya Aku juga kemarin ga liat rombongan "wisatawan" bawa botol. Mereka mending tuker botolnya di pos yg ditunjuk,sprti kantor kecamatan. Naik bus tinggal nunjukin kartunya.
Jadi mesin itu sebenernya hanya dekorasi saja..</t>
  </si>
  <si>
    <t>@wahyuacum Iya mas. Sarkem skrg spti ini. Nyaman buat jalan kaki dr stasiun smp Malioboro. Ato bahkan kalo mau jalan sampe kantor pos juga nyaman 😄</t>
  </si>
  <si>
    <t>@citizenstores Bahkan biasanya ada yg 2 bulan nder :’) sabar nder tp ttp coba di follow up ke kantor pos gitu misalnya gatau juga si aku gak pernah tp pernah liat ada org yg sampe 2 bulanan</t>
  </si>
  <si>
    <t>KantorPos KarangSatria 
Menyediakan Materai 6000 dan 10000
Ingin Bayar Tagihan - Cicilan - Iuran BPJS pakai POS INDONESIA sedia POSFIN untuk melayani segala pembayaran
Pengiriman Tetap Jalan KilatKhusus- Ekonomi- Express
https://t.co/4uGxkk6vVU https://t.co/wrLnWyU3A3</t>
  </si>
  <si>
    <t>cari INFO LOKER SEPTEMBER?
UPDATE in info tentang kantor Pos Indoensia yuk area JAWA TIMUR dam JAWA TENGAH, pendidikan minim SMA/SMK sederajat bisa juga ikut 👍👍👍
info hubungi Kantor Pos yg tertera
#info #loker #jawatimur #jawatengah #posindoensia https://t.co/0r2jEzFkEY</t>
  </si>
  <si>
    <t>JANGAN KETINGGALAN PELUANG!!!
UPDATE in info tentang kantor Pos Indoensia yuk area JAWA TIMUR dam JAWA TENGAH, pendidikan minim SMA/SMK sederajat bisa juga ikut 👍👍👍
info hubungi Kantor Pos yg tertera
#info #loker #jawatimur #jawatengah #posindoensia https://t.co/zLEThE3Gcx</t>
  </si>
  <si>
    <t>KantorPos KarangSatria 
Menyediakan Materai 6000 dan 10000
Ingin Bayar Tagihan - Cicilan - Iuran BPJS pakai POS INDONESIA sedia POSFIN untuk melayani segala pembayaran
Pengiriman Tetap Jalan KilatKhusus- Ekonomi- Express
https://t.co/4uGxkk6vVU https://t.co/D7wv91aftN</t>
  </si>
  <si>
    <t>@DEVIOUDESSA ㅤㅤTak mempersalahkan mengenai sepatu tumit tinggi, bagaimanapun hak perempuan ini untuk memakainya. 
ㅤㅤ"Kalau begitu saya antarkan ke pos, ada tempat duduk di sana," Menunjuk pos-ruang jaga yang menjadi kantor sementaranya.
&amp;gt;</t>
  </si>
  <si>
    <t>Jangan lupa senyum ya Ce @A_FionyJKT48 aku pagi2 udh dikasih emot senyum nih sama kantor pos.</t>
  </si>
  <si>
    <t>@hanxuei @citizenstores Syukur deh klo ga bakal ilang:(
Tapi ka klo misal udh sampe ini nanti dianterin ke rmh atau kita ditelfon suruh ngambil ke kantor pos nya?</t>
  </si>
  <si>
    <t>11.40 Simpang Kantor Pos : Situasi arus lalulintas lancar diketiga kaki simpang https://t.co/pMOdxChHnx</t>
  </si>
  <si>
    <t>@kiwsah Gapapa dan sini belajar surat menyurat saya pegawai kantor pos</t>
  </si>
  <si>
    <t>@fearnaughtb Tak kirim lewat kantor pos ea xixixixixi 😆</t>
  </si>
  <si>
    <t>Hari Bhakti Postel 27 September, dilatarbelakangi peristiwa perebutan kantor Jawatan Pos, Telegraf, dan Telepon, pada era pemerintah Jepang. 
#HariBhaktiPostel
#AlMashum2021
#AlMashumPekalongan 
#AlMashumMelayaniUmat 
#pekalonganinfo 
#pekalongan 
#pekalonganhits https://t.co/phJkcnKwah</t>
  </si>
  <si>
    <t>Happy birthday papa! Haha big thanks to Agus yg udah bantuin kirim kado, dibelain ke kantor pos gondal gandul gapake sempak 😂🤣🤣 https://t.co/E6PJjMnpa5</t>
  </si>
  <si>
    <t>ini lebih gede2 drpd yg di kantor pos ya @mathildanita https://t.co/SRE0w41H03</t>
  </si>
  <si>
    <t>@DzunotNewAcc iyaaa tapi aku suka yang di kantor pos :(</t>
  </si>
  <si>
    <t>@thyy_94 Yang bermasalah bukan dananya, lebih ke topup agentnya, kalau mau langsung masuk ya setor tunai ke bank atau kantor pos</t>
  </si>
  <si>
    <t>Babinsa Pos Ramil Bukit Serda Akbar Menghadiri Acara Musrenbangdes Tahun Anggaran 2022 Yang Bertempat Di Aula Masjid Istiqamah Kantor Desa Bale Atu Kec. Bukit Kab. Bener Meriah" Selasa 28/09/2021 https://t.co/5NGa04LRWe</t>
  </si>
  <si>
    <t>Kantor pos ada masalah apa siiii sampai ngetik nama ku typo 😭🤌
Padahal di mapnya udah jelassss pake bgt avshsjsbsbxxej 🤌</t>
  </si>
  <si>
    <t>PT Pos Indonesia (Persero) memperkuat layanan platform digital PosAja! dengan memperkenalkan kurir khusus perempuan O-Ranger Mawar serta menggandeng penyedia transportasi online Nusantara Ojek (Nujek). #BUMNMaju
https://t.co/Z9fEMxlVmv</t>
  </si>
  <si>
    <t>https://kunjung.pajak.go.id/ https://www.pajak.go.id/id/formulir-pajak/formulir-perubahan-data-wajib-pajak</t>
  </si>
  <si>
    <t>http://kupang.tribunnews.com/ https://kupang.tribunnews.com/2021/09/23/kantor-pertanahan-ngada-canangkan-pembangunan-zona-integritas-menuju-wbk-dan-wbbm</t>
  </si>
  <si>
    <t>https://tnt.posindonesia.co.id/ https://booking.posindonesia.co.id/</t>
  </si>
  <si>
    <t>https://www.linkedin.com/slink?code=gVDF48tC https://www.linkedin.com/slink?code=gqKTQGcV</t>
  </si>
  <si>
    <t>https://www.linkedin.com/slink?code=gZsyV75F https://www.linkedin.com/slink?code=gyt-VRK5</t>
  </si>
  <si>
    <t>https://www.linkedin.com/slink?code=ggZR4eGR https://www.linkedin.com/slink?code=gv7CUHMc</t>
  </si>
  <si>
    <t>https://www.linkedin.com/slink?code=gaw7tsmQ https://www.linkedin.com/slink?code=gh6h9GFJ</t>
  </si>
  <si>
    <t>https://www.linkedin.com/slink?code=gD4BdwRT https://www.linkedin.com/slink?code=gXyNc2yT</t>
  </si>
  <si>
    <t>https://www.linkedin.com/slink?code=eUA-mueH https://www.linkedin.com/slink?code=etP9_DYg</t>
  </si>
  <si>
    <t>https://www.openkerja.id/2020/10/lowongan-kerja-kantor-pos-indonesia.html https://t.me/openkerjaid</t>
  </si>
  <si>
    <t>twitter.com</t>
  </si>
  <si>
    <t>co.id</t>
  </si>
  <si>
    <t>tempo.co</t>
  </si>
  <si>
    <t>msn.com</t>
  </si>
  <si>
    <t>kerjha.com</t>
  </si>
  <si>
    <t>instagram.com</t>
  </si>
  <si>
    <t>koranbumn.com</t>
  </si>
  <si>
    <t>bangbara.com</t>
  </si>
  <si>
    <t>pikiran-rakyat.com</t>
  </si>
  <si>
    <t>go.id go.id</t>
  </si>
  <si>
    <t>go.id</t>
  </si>
  <si>
    <t>tintahijau.com</t>
  </si>
  <si>
    <t>lokernesia.id</t>
  </si>
  <si>
    <t>lokersumatera.com</t>
  </si>
  <si>
    <t>tribunnews.com tribunnews.com</t>
  </si>
  <si>
    <t>curiouscat.qa</t>
  </si>
  <si>
    <t>portalkalbar.com</t>
  </si>
  <si>
    <t>datalelang.id</t>
  </si>
  <si>
    <t>co.id co.id</t>
  </si>
  <si>
    <t>jawapos.com</t>
  </si>
  <si>
    <t>kumparan.com</t>
  </si>
  <si>
    <t>antaranews.com</t>
  </si>
  <si>
    <t>polresjembrananews.com</t>
  </si>
  <si>
    <t>linkedin.com linkedin.com</t>
  </si>
  <si>
    <t>ntmcpolri.info</t>
  </si>
  <si>
    <t>openkerja.id t.me</t>
  </si>
  <si>
    <t>botika.online</t>
  </si>
  <si>
    <t>kebakaran</t>
  </si>
  <si>
    <t>tempotravel</t>
  </si>
  <si>
    <t>lawangsewu</t>
  </si>
  <si>
    <t>simkeliling</t>
  </si>
  <si>
    <t>jakarta_tourism walkingtourjakarta</t>
  </si>
  <si>
    <t>flagamediaasia digitalmarketing eventorganizer</t>
  </si>
  <si>
    <t>kawanpajak</t>
  </si>
  <si>
    <t>specialtalkshow</t>
  </si>
  <si>
    <t>karantinapertanianmerauke</t>
  </si>
  <si>
    <t>hallo humas_polreslampungtimur</t>
  </si>
  <si>
    <t>kawanpajak pajakkitauntukkita pajakkuatindonesiamaju beameterai</t>
  </si>
  <si>
    <t>polsek_bantarsari polrescilacap poldajateng</t>
  </si>
  <si>
    <t>lokersumatera lowongankerja kurir palembang lokerpalembang</t>
  </si>
  <si>
    <t>kantor ppat ippat</t>
  </si>
  <si>
    <t>tender lelang lpse data</t>
  </si>
  <si>
    <t>kawanpajak pajakkuatindonesiamaju</t>
  </si>
  <si>
    <t>brightplnbatam listrikuntuksemua listrikuntukrakyat bumnuntukindonesia</t>
  </si>
  <si>
    <t>merapi merapi</t>
  </si>
  <si>
    <t>threaddatatempo</t>
  </si>
  <si>
    <t>poldajateng polrescilacap polsekadipala</t>
  </si>
  <si>
    <t>publisherstory</t>
  </si>
  <si>
    <t>infomjkt eventmjkt infomojokerto eventmojokerto</t>
  </si>
  <si>
    <t>sahabatbawaslu bawaslutanatoraja cegahawasitindak</t>
  </si>
  <si>
    <t>sahabatbawaslu hariptt2021</t>
  </si>
  <si>
    <t>temanpemilih</t>
  </si>
  <si>
    <t>27sept</t>
  </si>
  <si>
    <t>gkrhemas umkmnaikkelas sibakul</t>
  </si>
  <si>
    <t>ceritabogor</t>
  </si>
  <si>
    <t>infosonora simkeliling</t>
  </si>
  <si>
    <t>lalinsonora simkeliling</t>
  </si>
  <si>
    <t>info loker jawatimur jawatengah posindoensia</t>
  </si>
  <si>
    <t>haribhaktipostel almashum2021 almashumpekalongan almashummelayaniumat pekalonganinfo pekalongan pekalonganhits</t>
  </si>
  <si>
    <t>bumnmaju</t>
  </si>
  <si>
    <t>22:25:15</t>
  </si>
  <si>
    <t>22:25:19</t>
  </si>
  <si>
    <t>22:33:28</t>
  </si>
  <si>
    <t>00:34:49</t>
  </si>
  <si>
    <t>01:48:21</t>
  </si>
  <si>
    <t>02:12:59</t>
  </si>
  <si>
    <t>01:31:44</t>
  </si>
  <si>
    <t>02:17:42</t>
  </si>
  <si>
    <t>02:57:51</t>
  </si>
  <si>
    <t>02:59:06</t>
  </si>
  <si>
    <t>03:03:12</t>
  </si>
  <si>
    <t>03:09:12</t>
  </si>
  <si>
    <t>04:41:16</t>
  </si>
  <si>
    <t>04:45:02</t>
  </si>
  <si>
    <t>04:51:06</t>
  </si>
  <si>
    <t>05:03:23</t>
  </si>
  <si>
    <t>05:04:34</t>
  </si>
  <si>
    <t>05:54:22</t>
  </si>
  <si>
    <t>06:06:05</t>
  </si>
  <si>
    <t>06:15:52</t>
  </si>
  <si>
    <t>06:27:51</t>
  </si>
  <si>
    <t>06:49:27</t>
  </si>
  <si>
    <t>06:43:58</t>
  </si>
  <si>
    <t>06:44:23</t>
  </si>
  <si>
    <t>06:45:34</t>
  </si>
  <si>
    <t>07:13:43</t>
  </si>
  <si>
    <t>07:31:42</t>
  </si>
  <si>
    <t>08:28:22</t>
  </si>
  <si>
    <t>08:42:15</t>
  </si>
  <si>
    <t>09:08:34</t>
  </si>
  <si>
    <t>09:52:04</t>
  </si>
  <si>
    <t>10:05:46</t>
  </si>
  <si>
    <t>10:17:38</t>
  </si>
  <si>
    <t>10:04:30</t>
  </si>
  <si>
    <t>10:22:14</t>
  </si>
  <si>
    <t>09:11:38</t>
  </si>
  <si>
    <t>10:36:58</t>
  </si>
  <si>
    <t>11:44:53</t>
  </si>
  <si>
    <t>11:45:12</t>
  </si>
  <si>
    <t>11:55:09</t>
  </si>
  <si>
    <t>12:18:08</t>
  </si>
  <si>
    <t>10:34:11</t>
  </si>
  <si>
    <t>12:37:09</t>
  </si>
  <si>
    <t>13:52:19</t>
  </si>
  <si>
    <t>13:59:48</t>
  </si>
  <si>
    <t>14:08:44</t>
  </si>
  <si>
    <t>14:18:40</t>
  </si>
  <si>
    <t>14:23:34</t>
  </si>
  <si>
    <t>14:36:09</t>
  </si>
  <si>
    <t>14:56:59</t>
  </si>
  <si>
    <t>14:48:21</t>
  </si>
  <si>
    <t>15:00:32</t>
  </si>
  <si>
    <t>15:02:02</t>
  </si>
  <si>
    <t>15:15:41</t>
  </si>
  <si>
    <t>15:38:01</t>
  </si>
  <si>
    <t>15:38:19</t>
  </si>
  <si>
    <t>15:38:20</t>
  </si>
  <si>
    <t>15:50:07</t>
  </si>
  <si>
    <t>16:13:13</t>
  </si>
  <si>
    <t>16:40:13</t>
  </si>
  <si>
    <t>16:47:40</t>
  </si>
  <si>
    <t>17:09:57</t>
  </si>
  <si>
    <t>15:12:59</t>
  </si>
  <si>
    <t>18:30:37</t>
  </si>
  <si>
    <t>18:34:19</t>
  </si>
  <si>
    <t>18:47:27</t>
  </si>
  <si>
    <t>20:20:08</t>
  </si>
  <si>
    <t>22:12:10</t>
  </si>
  <si>
    <t>22:52:19</t>
  </si>
  <si>
    <t>22:55:51</t>
  </si>
  <si>
    <t>23:00:13</t>
  </si>
  <si>
    <t>23:10:26</t>
  </si>
  <si>
    <t>00:22:22</t>
  </si>
  <si>
    <t>01:47:22</t>
  </si>
  <si>
    <t>02:11:27</t>
  </si>
  <si>
    <t>02:16:11</t>
  </si>
  <si>
    <t>12:54:34</t>
  </si>
  <si>
    <t>12:54:09</t>
  </si>
  <si>
    <t>03:34:40</t>
  </si>
  <si>
    <t>03:55:25</t>
  </si>
  <si>
    <t>10:35:48</t>
  </si>
  <si>
    <t>04:40:19</t>
  </si>
  <si>
    <t>04:46:28</t>
  </si>
  <si>
    <t>05:18:45</t>
  </si>
  <si>
    <t>05:20:41</t>
  </si>
  <si>
    <t>05:21:11</t>
  </si>
  <si>
    <t>05:21:44</t>
  </si>
  <si>
    <t>05:24:40</t>
  </si>
  <si>
    <t>05:42:10</t>
  </si>
  <si>
    <t>05:42:45</t>
  </si>
  <si>
    <t>06:02:01</t>
  </si>
  <si>
    <t>06:12:29</t>
  </si>
  <si>
    <t>06:32:41</t>
  </si>
  <si>
    <t>06:55:08</t>
  </si>
  <si>
    <t>07:03:40</t>
  </si>
  <si>
    <t>07:28:18</t>
  </si>
  <si>
    <t>07:38:55</t>
  </si>
  <si>
    <t>07:45:15</t>
  </si>
  <si>
    <t>07:50:24</t>
  </si>
  <si>
    <t>07:51:49</t>
  </si>
  <si>
    <t>07:54:14</t>
  </si>
  <si>
    <t>08:04:38</t>
  </si>
  <si>
    <t>08:04:57</t>
  </si>
  <si>
    <t>08:43:24</t>
  </si>
  <si>
    <t>08:48:09</t>
  </si>
  <si>
    <t>09:04:43</t>
  </si>
  <si>
    <t>08:30:11</t>
  </si>
  <si>
    <t>09:21:55</t>
  </si>
  <si>
    <t>09:25:46</t>
  </si>
  <si>
    <t>09:30:48</t>
  </si>
  <si>
    <t>09:52:15</t>
  </si>
  <si>
    <t>09:20:41</t>
  </si>
  <si>
    <t>09:46:34</t>
  </si>
  <si>
    <t>09:55:32</t>
  </si>
  <si>
    <t>09:57:09</t>
  </si>
  <si>
    <t>10:08:02</t>
  </si>
  <si>
    <t>10:37:57</t>
  </si>
  <si>
    <t>10:50:21</t>
  </si>
  <si>
    <t>08:09:37</t>
  </si>
  <si>
    <t>11:46:46</t>
  </si>
  <si>
    <t>12:09:01</t>
  </si>
  <si>
    <t>12:11:49</t>
  </si>
  <si>
    <t>13:05:42</t>
  </si>
  <si>
    <t>12:42:30</t>
  </si>
  <si>
    <t>13:23:03</t>
  </si>
  <si>
    <t>14:07:35</t>
  </si>
  <si>
    <t>14:31:37</t>
  </si>
  <si>
    <t>14:02:16</t>
  </si>
  <si>
    <t>14:32:06</t>
  </si>
  <si>
    <t>15:43:15</t>
  </si>
  <si>
    <t>15:54:13</t>
  </si>
  <si>
    <t>17:57:44</t>
  </si>
  <si>
    <t>22:39:36</t>
  </si>
  <si>
    <t>06:51:28</t>
  </si>
  <si>
    <t>01:07:44</t>
  </si>
  <si>
    <t>01:11:12</t>
  </si>
  <si>
    <t>01:19:16</t>
  </si>
  <si>
    <t>01:22:59</t>
  </si>
  <si>
    <t>01:25:26</t>
  </si>
  <si>
    <t>01:27:22</t>
  </si>
  <si>
    <t>01:28:09</t>
  </si>
  <si>
    <t>01:30:19</t>
  </si>
  <si>
    <t>01:30:43</t>
  </si>
  <si>
    <t>01:31:17</t>
  </si>
  <si>
    <t>01:31:21</t>
  </si>
  <si>
    <t>01:40:21</t>
  </si>
  <si>
    <t>01:42:19</t>
  </si>
  <si>
    <t>01:46:56</t>
  </si>
  <si>
    <t>01:49:31</t>
  </si>
  <si>
    <t>01:53:32</t>
  </si>
  <si>
    <t>01:54:15</t>
  </si>
  <si>
    <t>01:54:49</t>
  </si>
  <si>
    <t>01:58:21</t>
  </si>
  <si>
    <t>02:02:06</t>
  </si>
  <si>
    <t>02:03:38</t>
  </si>
  <si>
    <t>02:04:26</t>
  </si>
  <si>
    <t>02:05:40</t>
  </si>
  <si>
    <t>02:07:37</t>
  </si>
  <si>
    <t>02:13:07</t>
  </si>
  <si>
    <t>02:14:21</t>
  </si>
  <si>
    <t>02:15:34</t>
  </si>
  <si>
    <t>02:16:16</t>
  </si>
  <si>
    <t>02:16:34</t>
  </si>
  <si>
    <t>02:19:12</t>
  </si>
  <si>
    <t>02:19:16</t>
  </si>
  <si>
    <t>02:20:24</t>
  </si>
  <si>
    <t>02:27:03</t>
  </si>
  <si>
    <t>02:27:59</t>
  </si>
  <si>
    <t>02:29:10</t>
  </si>
  <si>
    <t>02:33:56</t>
  </si>
  <si>
    <t>02:33:57</t>
  </si>
  <si>
    <t>02:35:54</t>
  </si>
  <si>
    <t>02:37:35</t>
  </si>
  <si>
    <t>14:03:21</t>
  </si>
  <si>
    <t>15:11:08</t>
  </si>
  <si>
    <t>02:38:09</t>
  </si>
  <si>
    <t>02:42:27</t>
  </si>
  <si>
    <t>02:44:55</t>
  </si>
  <si>
    <t>02:46:31</t>
  </si>
  <si>
    <t>02:49:45</t>
  </si>
  <si>
    <t>02:53:24</t>
  </si>
  <si>
    <t>03:10:07</t>
  </si>
  <si>
    <t>03:11:19</t>
  </si>
  <si>
    <t>03:17:15</t>
  </si>
  <si>
    <t>03:17:48</t>
  </si>
  <si>
    <t>03:19:34</t>
  </si>
  <si>
    <t>03:20:32</t>
  </si>
  <si>
    <t>03:23:00</t>
  </si>
  <si>
    <t>03:23:10</t>
  </si>
  <si>
    <t>03:24:29</t>
  </si>
  <si>
    <t>03:26:57</t>
  </si>
  <si>
    <t>03:29:15</t>
  </si>
  <si>
    <t>03:30:22</t>
  </si>
  <si>
    <t>03:31:27</t>
  </si>
  <si>
    <t>03:32:31</t>
  </si>
  <si>
    <t>03:35:51</t>
  </si>
  <si>
    <t>03:36:35</t>
  </si>
  <si>
    <t>03:39:18</t>
  </si>
  <si>
    <t>03:39:42</t>
  </si>
  <si>
    <t>03:40:00</t>
  </si>
  <si>
    <t>03:41:18</t>
  </si>
  <si>
    <t>03:45:46</t>
  </si>
  <si>
    <t>03:46:10</t>
  </si>
  <si>
    <t>03:46:16</t>
  </si>
  <si>
    <t>03:47:38</t>
  </si>
  <si>
    <t>09:47:52</t>
  </si>
  <si>
    <t>11:38:19</t>
  </si>
  <si>
    <t>10:24:13</t>
  </si>
  <si>
    <t>03:53:52</t>
  </si>
  <si>
    <t>04:01:51</t>
  </si>
  <si>
    <t>04:05:51</t>
  </si>
  <si>
    <t>08:28:15</t>
  </si>
  <si>
    <t>04:12:48</t>
  </si>
  <si>
    <t>04:15:11</t>
  </si>
  <si>
    <t>04:16:48</t>
  </si>
  <si>
    <t>04:17:20</t>
  </si>
  <si>
    <t>04:29:28</t>
  </si>
  <si>
    <t>04:34:11</t>
  </si>
  <si>
    <t>04:39:05</t>
  </si>
  <si>
    <t>04:41:31</t>
  </si>
  <si>
    <t>04:46:06</t>
  </si>
  <si>
    <t>04:49:13</t>
  </si>
  <si>
    <t>04:49:32</t>
  </si>
  <si>
    <t>04:54:10</t>
  </si>
  <si>
    <t>04:54:39</t>
  </si>
  <si>
    <t>04:57:29</t>
  </si>
  <si>
    <t>04:59:40</t>
  </si>
  <si>
    <t>05:00:57</t>
  </si>
  <si>
    <t>05:09:30</t>
  </si>
  <si>
    <t>05:12:54</t>
  </si>
  <si>
    <t>05:14:49</t>
  </si>
  <si>
    <t>05:16:27</t>
  </si>
  <si>
    <t>05:24:37</t>
  </si>
  <si>
    <t>05:27:14</t>
  </si>
  <si>
    <t>05:27:52</t>
  </si>
  <si>
    <t>05:27:58</t>
  </si>
  <si>
    <t>05:29:15</t>
  </si>
  <si>
    <t>05:29:26</t>
  </si>
  <si>
    <t>05:29:56</t>
  </si>
  <si>
    <t>05:32:16</t>
  </si>
  <si>
    <t>05:35:30</t>
  </si>
  <si>
    <t>05:37:36</t>
  </si>
  <si>
    <t>05:40:28</t>
  </si>
  <si>
    <t>05:41:07</t>
  </si>
  <si>
    <t>05:48:51</t>
  </si>
  <si>
    <t>05:51:11</t>
  </si>
  <si>
    <t>05:58:53</t>
  </si>
  <si>
    <t>05:59:47</t>
  </si>
  <si>
    <t>06:01:00</t>
  </si>
  <si>
    <t>06:01:01</t>
  </si>
  <si>
    <t>06:02:37</t>
  </si>
  <si>
    <t>06:03:37</t>
  </si>
  <si>
    <t>06:04:20</t>
  </si>
  <si>
    <t>06:05:19</t>
  </si>
  <si>
    <t>06:11:10</t>
  </si>
  <si>
    <t>06:11:19</t>
  </si>
  <si>
    <t>06:18:53</t>
  </si>
  <si>
    <t>06:22:59</t>
  </si>
  <si>
    <t>06:23:21</t>
  </si>
  <si>
    <t>06:24:48</t>
  </si>
  <si>
    <t>06:26:39</t>
  </si>
  <si>
    <t>06:32:57</t>
  </si>
  <si>
    <t>06:35:20</t>
  </si>
  <si>
    <t>06:38:26</t>
  </si>
  <si>
    <t>06:38:29</t>
  </si>
  <si>
    <t>06:40:25</t>
  </si>
  <si>
    <t>06:43:49</t>
  </si>
  <si>
    <t>06:44:13</t>
  </si>
  <si>
    <t>06:48:43</t>
  </si>
  <si>
    <t>06:49:54</t>
  </si>
  <si>
    <t>06:52:44</t>
  </si>
  <si>
    <t>06:52:46</t>
  </si>
  <si>
    <t>06:54:43</t>
  </si>
  <si>
    <t>06:54:51</t>
  </si>
  <si>
    <t>06:56:22</t>
  </si>
  <si>
    <t>06:57:41</t>
  </si>
  <si>
    <t>07:01:04</t>
  </si>
  <si>
    <t>07:03:16</t>
  </si>
  <si>
    <t>07:04:44</t>
  </si>
  <si>
    <t>07:06:19</t>
  </si>
  <si>
    <t>07:06:49</t>
  </si>
  <si>
    <t>07:09:29</t>
  </si>
  <si>
    <t>07:09:32</t>
  </si>
  <si>
    <t>07:10:45</t>
  </si>
  <si>
    <t>07:12:36</t>
  </si>
  <si>
    <t>07:13:37</t>
  </si>
  <si>
    <t>07:19:35</t>
  </si>
  <si>
    <t>07:21:45</t>
  </si>
  <si>
    <t>07:22:17</t>
  </si>
  <si>
    <t>07:22:45</t>
  </si>
  <si>
    <t>07:22:58</t>
  </si>
  <si>
    <t>07:24:01</t>
  </si>
  <si>
    <t>07:27:27</t>
  </si>
  <si>
    <t>07:28:45</t>
  </si>
  <si>
    <t>07:28:51</t>
  </si>
  <si>
    <t>07:30:50</t>
  </si>
  <si>
    <t>07:31:15</t>
  </si>
  <si>
    <t>07:33:35</t>
  </si>
  <si>
    <t>07:43:23</t>
  </si>
  <si>
    <t>07:47:31</t>
  </si>
  <si>
    <t>07:48:19</t>
  </si>
  <si>
    <t>07:50:18</t>
  </si>
  <si>
    <t>07:50:33</t>
  </si>
  <si>
    <t>07:54:37</t>
  </si>
  <si>
    <t>07:55:27</t>
  </si>
  <si>
    <t>07:55:36</t>
  </si>
  <si>
    <t>07:55:42</t>
  </si>
  <si>
    <t>07:57:56</t>
  </si>
  <si>
    <t>07:59:14</t>
  </si>
  <si>
    <t>08:00:58</t>
  </si>
  <si>
    <t>08:09:48</t>
  </si>
  <si>
    <t>08:11:43</t>
  </si>
  <si>
    <t>08:15:41</t>
  </si>
  <si>
    <t>08:23:35</t>
  </si>
  <si>
    <t>08:24:20</t>
  </si>
  <si>
    <t>08:25:09</t>
  </si>
  <si>
    <t>08:28:54</t>
  </si>
  <si>
    <t>08:33:52</t>
  </si>
  <si>
    <t>08:52:42</t>
  </si>
  <si>
    <t>08:56:37</t>
  </si>
  <si>
    <t>08:59:39</t>
  </si>
  <si>
    <t>09:01:18</t>
  </si>
  <si>
    <t>09:09:23</t>
  </si>
  <si>
    <t>09:16:46</t>
  </si>
  <si>
    <t>09:20:43</t>
  </si>
  <si>
    <t>09:21:06</t>
  </si>
  <si>
    <t>09:34:21</t>
  </si>
  <si>
    <t>09:38:39</t>
  </si>
  <si>
    <t>09:40:18</t>
  </si>
  <si>
    <t>09:41:15</t>
  </si>
  <si>
    <t>09:42:46</t>
  </si>
  <si>
    <t>09:44:04</t>
  </si>
  <si>
    <t>09:46:18</t>
  </si>
  <si>
    <t>09:47:13</t>
  </si>
  <si>
    <t>09:47:17</t>
  </si>
  <si>
    <t>09:48:06</t>
  </si>
  <si>
    <t>09:51:13</t>
  </si>
  <si>
    <t>09:52:53</t>
  </si>
  <si>
    <t>09:53:04</t>
  </si>
  <si>
    <t>09:56:41</t>
  </si>
  <si>
    <t>09:59:52</t>
  </si>
  <si>
    <t>10:02:00</t>
  </si>
  <si>
    <t>10:05:45</t>
  </si>
  <si>
    <t>10:06:07</t>
  </si>
  <si>
    <t>10:07:49</t>
  </si>
  <si>
    <t>10:08:21</t>
  </si>
  <si>
    <t>10:10:52</t>
  </si>
  <si>
    <t>10:11:43</t>
  </si>
  <si>
    <t>10:13:10</t>
  </si>
  <si>
    <t>10:22:55</t>
  </si>
  <si>
    <t>10:28:30</t>
  </si>
  <si>
    <t>10:31:43</t>
  </si>
  <si>
    <t>10:39:56</t>
  </si>
  <si>
    <t>10:46:17</t>
  </si>
  <si>
    <t>10:50:25</t>
  </si>
  <si>
    <t>10:54:05</t>
  </si>
  <si>
    <t>10:59:07</t>
  </si>
  <si>
    <t>11:01:16</t>
  </si>
  <si>
    <t>11:01:29</t>
  </si>
  <si>
    <t>11:08:51</t>
  </si>
  <si>
    <t>11:09:50</t>
  </si>
  <si>
    <t>11:10:22</t>
  </si>
  <si>
    <t>11:12:12</t>
  </si>
  <si>
    <t>11:21:36</t>
  </si>
  <si>
    <t>11:21:42</t>
  </si>
  <si>
    <t>11:23:57</t>
  </si>
  <si>
    <t>11:26:21</t>
  </si>
  <si>
    <t>11:28:40</t>
  </si>
  <si>
    <t>11:41:34</t>
  </si>
  <si>
    <t>11:56:47</t>
  </si>
  <si>
    <t>12:05:50</t>
  </si>
  <si>
    <t>12:10:29</t>
  </si>
  <si>
    <t>12:19:42</t>
  </si>
  <si>
    <t>12:53:06</t>
  </si>
  <si>
    <t>12:55:39</t>
  </si>
  <si>
    <t>12:56:06</t>
  </si>
  <si>
    <t>12:58:14</t>
  </si>
  <si>
    <t>12:49:05</t>
  </si>
  <si>
    <t>12:50:11</t>
  </si>
  <si>
    <t>12:53:16</t>
  </si>
  <si>
    <t>12:54:45</t>
  </si>
  <si>
    <t>12:55:27</t>
  </si>
  <si>
    <t>12:56:26</t>
  </si>
  <si>
    <t>12:56:47</t>
  </si>
  <si>
    <t>12:57:57</t>
  </si>
  <si>
    <t>12:58:38</t>
  </si>
  <si>
    <t>12:59:52</t>
  </si>
  <si>
    <t>13:03:33</t>
  </si>
  <si>
    <t>13:03:57</t>
  </si>
  <si>
    <t>13:05:37</t>
  </si>
  <si>
    <t>13:05:39</t>
  </si>
  <si>
    <t>13:24:25</t>
  </si>
  <si>
    <t>13:25:18</t>
  </si>
  <si>
    <t>13:27:49</t>
  </si>
  <si>
    <t>13:29:50</t>
  </si>
  <si>
    <t>12:57:11</t>
  </si>
  <si>
    <t>12:57:17</t>
  </si>
  <si>
    <t>12:57:23</t>
  </si>
  <si>
    <t>13:41:32</t>
  </si>
  <si>
    <t>13:42:23</t>
  </si>
  <si>
    <t>13:43:09</t>
  </si>
  <si>
    <t>13:48:09</t>
  </si>
  <si>
    <t>08:28:06</t>
  </si>
  <si>
    <t>13:54:55</t>
  </si>
  <si>
    <t>13:56:29</t>
  </si>
  <si>
    <t>13:57:44</t>
  </si>
  <si>
    <t>13:59:45</t>
  </si>
  <si>
    <t>14:00:51</t>
  </si>
  <si>
    <t>14:03:40</t>
  </si>
  <si>
    <t>14:19:26</t>
  </si>
  <si>
    <t>14:31:08</t>
  </si>
  <si>
    <t>14:31:56</t>
  </si>
  <si>
    <t>14:40:47</t>
  </si>
  <si>
    <t>15:12:24</t>
  </si>
  <si>
    <t>15:18:50</t>
  </si>
  <si>
    <t>15:20:56</t>
  </si>
  <si>
    <t>15:43:47</t>
  </si>
  <si>
    <t>15:47:39</t>
  </si>
  <si>
    <t>15:52:36</t>
  </si>
  <si>
    <t>15:54:21</t>
  </si>
  <si>
    <t>15:54:37</t>
  </si>
  <si>
    <t>15:55:01</t>
  </si>
  <si>
    <t>15:57:55</t>
  </si>
  <si>
    <t>16:14:36</t>
  </si>
  <si>
    <t>16:20:18</t>
  </si>
  <si>
    <t>16:24:30</t>
  </si>
  <si>
    <t>16:24:42</t>
  </si>
  <si>
    <t>16:27:43</t>
  </si>
  <si>
    <t>16:30:36</t>
  </si>
  <si>
    <t>16:30:46</t>
  </si>
  <si>
    <t>16:33:08</t>
  </si>
  <si>
    <t>16:41:19</t>
  </si>
  <si>
    <t>16:55:16</t>
  </si>
  <si>
    <t>16:55:35</t>
  </si>
  <si>
    <t>16:59:20</t>
  </si>
  <si>
    <t>17:02:03</t>
  </si>
  <si>
    <t>17:22:08</t>
  </si>
  <si>
    <t>17:52:32</t>
  </si>
  <si>
    <t>18:22:34</t>
  </si>
  <si>
    <t>18:25:36</t>
  </si>
  <si>
    <t>18:48:05</t>
  </si>
  <si>
    <t>18:50:45</t>
  </si>
  <si>
    <t>12:57:51</t>
  </si>
  <si>
    <t>20:04:46</t>
  </si>
  <si>
    <t>20:33:02</t>
  </si>
  <si>
    <t>21:14:23</t>
  </si>
  <si>
    <t>21:18:14</t>
  </si>
  <si>
    <t>21:37:47</t>
  </si>
  <si>
    <t>21:38:28</t>
  </si>
  <si>
    <t>21:39:44</t>
  </si>
  <si>
    <t>21:43:37</t>
  </si>
  <si>
    <t>21:53:54</t>
  </si>
  <si>
    <t>22:19:21</t>
  </si>
  <si>
    <t>22:42:35</t>
  </si>
  <si>
    <t>22:45:37</t>
  </si>
  <si>
    <t>22:47:36</t>
  </si>
  <si>
    <t>23:00:27</t>
  </si>
  <si>
    <t>23:05:44</t>
  </si>
  <si>
    <t>23:13:10</t>
  </si>
  <si>
    <t>23:15:00</t>
  </si>
  <si>
    <t>23:30:02</t>
  </si>
  <si>
    <t>23:41:38</t>
  </si>
  <si>
    <t>23:43:22</t>
  </si>
  <si>
    <t>23:54:40</t>
  </si>
  <si>
    <t>23:59:26</t>
  </si>
  <si>
    <t>23:59:39</t>
  </si>
  <si>
    <t>00:04:29</t>
  </si>
  <si>
    <t>00:06:38</t>
  </si>
  <si>
    <t>00:24:58</t>
  </si>
  <si>
    <t>00:29:13</t>
  </si>
  <si>
    <t>00:31:14</t>
  </si>
  <si>
    <t>00:34:43</t>
  </si>
  <si>
    <t>00:40:19</t>
  </si>
  <si>
    <t>00:47:25</t>
  </si>
  <si>
    <t>00:47:00</t>
  </si>
  <si>
    <t>00:47:32</t>
  </si>
  <si>
    <t>00:54:00</t>
  </si>
  <si>
    <t>00:56:00</t>
  </si>
  <si>
    <t>00:56:17</t>
  </si>
  <si>
    <t>01:09:22</t>
  </si>
  <si>
    <t>01:35:22</t>
  </si>
  <si>
    <t>01:35:59</t>
  </si>
  <si>
    <t>19:25:28</t>
  </si>
  <si>
    <t>01:40:48</t>
  </si>
  <si>
    <t>01:48:19</t>
  </si>
  <si>
    <t>01:52:20</t>
  </si>
  <si>
    <t>01:52:50</t>
  </si>
  <si>
    <t>01:54:11</t>
  </si>
  <si>
    <t>08:13:15</t>
  </si>
  <si>
    <t>08:25:31</t>
  </si>
  <si>
    <t>13:48:15</t>
  </si>
  <si>
    <t>01:06:43</t>
  </si>
  <si>
    <t>03:18:48</t>
  </si>
  <si>
    <t>02:22:57</t>
  </si>
  <si>
    <t>02:33:19</t>
  </si>
  <si>
    <t>02:35:38</t>
  </si>
  <si>
    <t>03:01:32</t>
  </si>
  <si>
    <t>03:32:45</t>
  </si>
  <si>
    <t>03:34:09</t>
  </si>
  <si>
    <t>03:43:32</t>
  </si>
  <si>
    <t>04:26:33</t>
  </si>
  <si>
    <t>04:41:46</t>
  </si>
  <si>
    <t>05:41:56</t>
  </si>
  <si>
    <t>05:44:39</t>
  </si>
  <si>
    <t>05:48:00</t>
  </si>
  <si>
    <t>05:48:44</t>
  </si>
  <si>
    <t>05:49:29</t>
  </si>
  <si>
    <t>05:49:50</t>
  </si>
  <si>
    <t>05:50:03</t>
  </si>
  <si>
    <t>06:12:32</t>
  </si>
  <si>
    <t>06:17:13</t>
  </si>
  <si>
    <t>06:18:40</t>
  </si>
  <si>
    <t>06:22:28</t>
  </si>
  <si>
    <t>06:22:30</t>
  </si>
  <si>
    <t>06:32:40</t>
  </si>
  <si>
    <t>06:37:01</t>
  </si>
  <si>
    <t>07:11:54</t>
  </si>
  <si>
    <t>07:12:17</t>
  </si>
  <si>
    <t>07:15:55</t>
  </si>
  <si>
    <t>07:18:31</t>
  </si>
  <si>
    <t>07:30:40</t>
  </si>
  <si>
    <t>07:42:15</t>
  </si>
  <si>
    <t>01:28:26</t>
  </si>
  <si>
    <t>07:50:56</t>
  </si>
  <si>
    <t>07:51:30</t>
  </si>
  <si>
    <t>07:52:01</t>
  </si>
  <si>
    <t>07:52:29</t>
  </si>
  <si>
    <t>08:00:10</t>
  </si>
  <si>
    <t>08:22:02</t>
  </si>
  <si>
    <t>08:43:09</t>
  </si>
  <si>
    <t>09:03:06</t>
  </si>
  <si>
    <t>09:42:17</t>
  </si>
  <si>
    <t>09:48:12</t>
  </si>
  <si>
    <t>09:49:38</t>
  </si>
  <si>
    <t>09:50:59</t>
  </si>
  <si>
    <t>10:02:12</t>
  </si>
  <si>
    <t>10:07:48</t>
  </si>
  <si>
    <t>10:08:24</t>
  </si>
  <si>
    <t>10:26:22</t>
  </si>
  <si>
    <t>10:29:24</t>
  </si>
  <si>
    <t>10:54:18</t>
  </si>
  <si>
    <t>11:18:28</t>
  </si>
  <si>
    <t>11:24:37</t>
  </si>
  <si>
    <t>11:24:39</t>
  </si>
  <si>
    <t>11:26:41</t>
  </si>
  <si>
    <t>13:36:22</t>
  </si>
  <si>
    <t>14:11:53</t>
  </si>
  <si>
    <t>14:47:20</t>
  </si>
  <si>
    <t>15:22:48</t>
  </si>
  <si>
    <t>15:35:34</t>
  </si>
  <si>
    <t>15:36:12</t>
  </si>
  <si>
    <t>15:44:12</t>
  </si>
  <si>
    <t>15:50:18</t>
  </si>
  <si>
    <t>17:50:53</t>
  </si>
  <si>
    <t>22:15:24</t>
  </si>
  <si>
    <t>22:19:07</t>
  </si>
  <si>
    <t>23:32:48</t>
  </si>
  <si>
    <t>23:52:06</t>
  </si>
  <si>
    <t>00:59:11</t>
  </si>
  <si>
    <t>03:55:15</t>
  </si>
  <si>
    <t>03:55:13</t>
  </si>
  <si>
    <t>03:59:42</t>
  </si>
  <si>
    <t>04:34:44</t>
  </si>
  <si>
    <t>05:54:51</t>
  </si>
  <si>
    <t>00:54:15</t>
  </si>
  <si>
    <t>07:09:41</t>
  </si>
  <si>
    <t>07:10:47</t>
  </si>
  <si>
    <t>01:34:02</t>
  </si>
  <si>
    <t>07:18:13</t>
  </si>
  <si>
    <t>07:24:59</t>
  </si>
  <si>
    <t>07:36:37</t>
  </si>
  <si>
    <t>08:24:05</t>
  </si>
  <si>
    <t>08:36:39</t>
  </si>
  <si>
    <t>10:03:55</t>
  </si>
  <si>
    <t>10:04:44</t>
  </si>
  <si>
    <t>09:48:34</t>
  </si>
  <si>
    <t>11:03:49</t>
  </si>
  <si>
    <t>11:15:42</t>
  </si>
  <si>
    <t>01:46:03</t>
  </si>
  <si>
    <t>11:19:26</t>
  </si>
  <si>
    <t>11:28:48</t>
  </si>
  <si>
    <t>13:43:20</t>
  </si>
  <si>
    <t>13:51:23</t>
  </si>
  <si>
    <t>13:56:31</t>
  </si>
  <si>
    <t>14:09:00</t>
  </si>
  <si>
    <t>14:17:47</t>
  </si>
  <si>
    <t>14:42:34</t>
  </si>
  <si>
    <t>16:24:29</t>
  </si>
  <si>
    <t>16:46:14</t>
  </si>
  <si>
    <t>16:51:30</t>
  </si>
  <si>
    <t>16:53:49</t>
  </si>
  <si>
    <t>17:09:52</t>
  </si>
  <si>
    <t>21:38:00</t>
  </si>
  <si>
    <t>22:26:06</t>
  </si>
  <si>
    <t>00:50:50</t>
  </si>
  <si>
    <t>02:02:53</t>
  </si>
  <si>
    <t>02:46:18</t>
  </si>
  <si>
    <t>02:46:33</t>
  </si>
  <si>
    <t>02:47:04</t>
  </si>
  <si>
    <t>02:54:21</t>
  </si>
  <si>
    <t>03:32:12</t>
  </si>
  <si>
    <t>03:45:05</t>
  </si>
  <si>
    <t>04:53:54</t>
  </si>
  <si>
    <t>04:53:58</t>
  </si>
  <si>
    <t>04:56:38</t>
  </si>
  <si>
    <t>05:04:09</t>
  </si>
  <si>
    <t>02:55:04</t>
  </si>
  <si>
    <t>13:10:04</t>
  </si>
  <si>
    <t>05:35:04</t>
  </si>
  <si>
    <t>05:48:10</t>
  </si>
  <si>
    <t>05:50:25</t>
  </si>
  <si>
    <t>06:13:39</t>
  </si>
  <si>
    <t>06:48:18</t>
  </si>
  <si>
    <t>07:09:34</t>
  </si>
  <si>
    <t>07:17:57</t>
  </si>
  <si>
    <t>07:34:29</t>
  </si>
  <si>
    <t>07:28:23</t>
  </si>
  <si>
    <t>07:29:14</t>
  </si>
  <si>
    <t>07:39:56</t>
  </si>
  <si>
    <t>07:51:20</t>
  </si>
  <si>
    <t>07:56:12</t>
  </si>
  <si>
    <t>03:43:45</t>
  </si>
  <si>
    <t>08:48:39</t>
  </si>
  <si>
    <t>09:02:22</t>
  </si>
  <si>
    <t>09:05:03</t>
  </si>
  <si>
    <t>09:15:18</t>
  </si>
  <si>
    <t>09:19:04</t>
  </si>
  <si>
    <t>09:29:12</t>
  </si>
  <si>
    <t>10:27:57</t>
  </si>
  <si>
    <t>10:36:17</t>
  </si>
  <si>
    <t>11:13:50</t>
  </si>
  <si>
    <t>11:25:35</t>
  </si>
  <si>
    <t>11:40:12</t>
  </si>
  <si>
    <t>11:40:30</t>
  </si>
  <si>
    <t>11:38:52</t>
  </si>
  <si>
    <t>11:54:11</t>
  </si>
  <si>
    <t>12:03:05</t>
  </si>
  <si>
    <t>12:13:44</t>
  </si>
  <si>
    <t>12:31:02</t>
  </si>
  <si>
    <t>13:44:30</t>
  </si>
  <si>
    <t>13:45:30</t>
  </si>
  <si>
    <t>13:47:14</t>
  </si>
  <si>
    <t>14:28:38</t>
  </si>
  <si>
    <t>16:04:58</t>
  </si>
  <si>
    <t>17:31:49</t>
  </si>
  <si>
    <t>18:44:51</t>
  </si>
  <si>
    <t>23:35:08</t>
  </si>
  <si>
    <t>23:57:23</t>
  </si>
  <si>
    <t>00:05:01</t>
  </si>
  <si>
    <t>07:25:03</t>
  </si>
  <si>
    <t>00:17:29</t>
  </si>
  <si>
    <t>02:34:30</t>
  </si>
  <si>
    <t>02:38:41</t>
  </si>
  <si>
    <t>02:48:36</t>
  </si>
  <si>
    <t>03:08:41</t>
  </si>
  <si>
    <t>03:08:42</t>
  </si>
  <si>
    <t>02:33:10</t>
  </si>
  <si>
    <t>03:59:40</t>
  </si>
  <si>
    <t>05:07:49</t>
  </si>
  <si>
    <t>05:07:50</t>
  </si>
  <si>
    <t>06:10:03</t>
  </si>
  <si>
    <t>10:12:39</t>
  </si>
  <si>
    <t>10:08:59</t>
  </si>
  <si>
    <t>10:14:08</t>
  </si>
  <si>
    <t>02:07:00</t>
  </si>
  <si>
    <t>03:34:18</t>
  </si>
  <si>
    <t>10:27:04</t>
  </si>
  <si>
    <t>11:02:02</t>
  </si>
  <si>
    <t>11:13:12</t>
  </si>
  <si>
    <t>11:14:17</t>
  </si>
  <si>
    <t>07:16:20</t>
  </si>
  <si>
    <t>12:44:06</t>
  </si>
  <si>
    <t>13:27:28</t>
  </si>
  <si>
    <t>13:27:38</t>
  </si>
  <si>
    <t>13:48:23</t>
  </si>
  <si>
    <t>14:43:28</t>
  </si>
  <si>
    <t>12:03:08</t>
  </si>
  <si>
    <t>14:55:52</t>
  </si>
  <si>
    <t>22:24:57</t>
  </si>
  <si>
    <t>16:22:59</t>
  </si>
  <si>
    <t>23:35:05</t>
  </si>
  <si>
    <t>00:46:48</t>
  </si>
  <si>
    <t>01:33:45</t>
  </si>
  <si>
    <t>03:39:12</t>
  </si>
  <si>
    <t>03:39:24</t>
  </si>
  <si>
    <t>03:39:39</t>
  </si>
  <si>
    <t>04:12:30</t>
  </si>
  <si>
    <t>03:57:27</t>
  </si>
  <si>
    <t>06:10:57</t>
  </si>
  <si>
    <t>06:19:06</t>
  </si>
  <si>
    <t>06:40:34</t>
  </si>
  <si>
    <t>09:13:22</t>
  </si>
  <si>
    <t>09:21:39</t>
  </si>
  <si>
    <t>10:05:58</t>
  </si>
  <si>
    <t>11:31:54</t>
  </si>
  <si>
    <t>11:53:22</t>
  </si>
  <si>
    <t>11:54:25</t>
  </si>
  <si>
    <t>03:11:25</t>
  </si>
  <si>
    <t>03:21:58</t>
  </si>
  <si>
    <t>12:31:53</t>
  </si>
  <si>
    <t>12:58:51</t>
  </si>
  <si>
    <t>14:08:34</t>
  </si>
  <si>
    <t>13:45:26</t>
  </si>
  <si>
    <t>11:59:44</t>
  </si>
  <si>
    <t>14:19:50</t>
  </si>
  <si>
    <t>14:34:29</t>
  </si>
  <si>
    <t>14:58:59</t>
  </si>
  <si>
    <t>15:08:50</t>
  </si>
  <si>
    <t>15:33:13</t>
  </si>
  <si>
    <t>16:02:36</t>
  </si>
  <si>
    <t>16:03:56</t>
  </si>
  <si>
    <t>17:18:33</t>
  </si>
  <si>
    <t>21:11:12</t>
  </si>
  <si>
    <t>22:56:44</t>
  </si>
  <si>
    <t>00:08:57</t>
  </si>
  <si>
    <t>00:15:03</t>
  </si>
  <si>
    <t>23:40:33</t>
  </si>
  <si>
    <t>00:43:51</t>
  </si>
  <si>
    <t>00:25:26</t>
  </si>
  <si>
    <t>01:20:02</t>
  </si>
  <si>
    <t>01:07:03</t>
  </si>
  <si>
    <t>01:30:17</t>
  </si>
  <si>
    <t>01:33:57</t>
  </si>
  <si>
    <t>01:36:57</t>
  </si>
  <si>
    <t>01:38:50</t>
  </si>
  <si>
    <t>15:52:43</t>
  </si>
  <si>
    <t>06:06:28</t>
  </si>
  <si>
    <t>06:23:06</t>
  </si>
  <si>
    <t>06:44:04</t>
  </si>
  <si>
    <t>04:44:11</t>
  </si>
  <si>
    <t>10:16:23</t>
  </si>
  <si>
    <t>10:20:39</t>
  </si>
  <si>
    <t>01:43:39</t>
  </si>
  <si>
    <t>01:46:41</t>
  </si>
  <si>
    <t>02:11:58</t>
  </si>
  <si>
    <t>02:12:20</t>
  </si>
  <si>
    <t>02:40:00</t>
  </si>
  <si>
    <t>03:00:18</t>
  </si>
  <si>
    <t>03:01:29</t>
  </si>
  <si>
    <t>07:18:50</t>
  </si>
  <si>
    <t>08:08:53</t>
  </si>
  <si>
    <t>05:58:52</t>
  </si>
  <si>
    <t>04:45:33</t>
  </si>
  <si>
    <t>11:04:03</t>
  </si>
  <si>
    <t>03:05:19</t>
  </si>
  <si>
    <t>01:24:37</t>
  </si>
  <si>
    <t>03:12:26</t>
  </si>
  <si>
    <t>05:06:07</t>
  </si>
  <si>
    <t>03:24:32</t>
  </si>
  <si>
    <t>03:47:28</t>
  </si>
  <si>
    <t>03:59:12</t>
  </si>
  <si>
    <t>04:06:14</t>
  </si>
  <si>
    <t>04:15:07</t>
  </si>
  <si>
    <t>04:15:41</t>
  </si>
  <si>
    <t>04:21:15</t>
  </si>
  <si>
    <t>04:24:23</t>
  </si>
  <si>
    <t>04:42:47</t>
  </si>
  <si>
    <t>10:10:20</t>
  </si>
  <si>
    <t>13:06:02</t>
  </si>
  <si>
    <t>04:58:40</t>
  </si>
  <si>
    <t>05:08:54</t>
  </si>
  <si>
    <t>05:12:30</t>
  </si>
  <si>
    <t>05:13:08</t>
  </si>
  <si>
    <t>05:17:42</t>
  </si>
  <si>
    <t>05:18:34</t>
  </si>
  <si>
    <t>05:21:53</t>
  </si>
  <si>
    <t>05:31:48</t>
  </si>
  <si>
    <t>05:40:51</t>
  </si>
  <si>
    <t>04:54:15</t>
  </si>
  <si>
    <t>05:41:13</t>
  </si>
  <si>
    <t>05:46:19</t>
  </si>
  <si>
    <t>05:52:22</t>
  </si>
  <si>
    <t>06:01:50</t>
  </si>
  <si>
    <t>06:36:22</t>
  </si>
  <si>
    <t>06:48:53</t>
  </si>
  <si>
    <t>06:52:29</t>
  </si>
  <si>
    <t>00:04:38</t>
  </si>
  <si>
    <t>07:29:35</t>
  </si>
  <si>
    <t>07:33:34</t>
  </si>
  <si>
    <t>07:52:23</t>
  </si>
  <si>
    <t>07:56:57</t>
  </si>
  <si>
    <t>07:58:20</t>
  </si>
  <si>
    <t>08:16:34</t>
  </si>
  <si>
    <t>08:40:14</t>
  </si>
  <si>
    <t>09:05:38</t>
  </si>
  <si>
    <t>09:38:45</t>
  </si>
  <si>
    <t>10:09:05</t>
  </si>
  <si>
    <t>10:35:34</t>
  </si>
  <si>
    <t>10:43:05</t>
  </si>
  <si>
    <t>10:56:51</t>
  </si>
  <si>
    <t>11:11:38</t>
  </si>
  <si>
    <t>12:04:34</t>
  </si>
  <si>
    <t>12:16:35</t>
  </si>
  <si>
    <t>12:21:36</t>
  </si>
  <si>
    <t>12:52:14</t>
  </si>
  <si>
    <t>13:02:29</t>
  </si>
  <si>
    <t>13:12:20</t>
  </si>
  <si>
    <t>13:38:48</t>
  </si>
  <si>
    <t>14:04:23</t>
  </si>
  <si>
    <t>14:08:11</t>
  </si>
  <si>
    <t>14:17:06</t>
  </si>
  <si>
    <t>01:04:10</t>
  </si>
  <si>
    <t>14:21:04</t>
  </si>
  <si>
    <t>14:33:32</t>
  </si>
  <si>
    <t>14:36:01</t>
  </si>
  <si>
    <t>14:42:42</t>
  </si>
  <si>
    <t>14:57:57</t>
  </si>
  <si>
    <t>14:58:20</t>
  </si>
  <si>
    <t>15:00:20</t>
  </si>
  <si>
    <t>15:42:55</t>
  </si>
  <si>
    <t>15:43:39</t>
  </si>
  <si>
    <t>15:48:28</t>
  </si>
  <si>
    <t>16:38:17</t>
  </si>
  <si>
    <t>16:59:13</t>
  </si>
  <si>
    <t>16:59:46</t>
  </si>
  <si>
    <t>17:08:27</t>
  </si>
  <si>
    <t>17:10:11</t>
  </si>
  <si>
    <t>17:23:16</t>
  </si>
  <si>
    <t>09:52:07</t>
  </si>
  <si>
    <t>22:50:39</t>
  </si>
  <si>
    <t>23:33:02</t>
  </si>
  <si>
    <t>00:01:41</t>
  </si>
  <si>
    <t>00:10:24</t>
  </si>
  <si>
    <t>00:10:00</t>
  </si>
  <si>
    <t>23:26:23</t>
  </si>
  <si>
    <t>23:31:36</t>
  </si>
  <si>
    <t>00:09:44</t>
  </si>
  <si>
    <t>23:14:47</t>
  </si>
  <si>
    <t>23:31:46</t>
  </si>
  <si>
    <t>00:16:56</t>
  </si>
  <si>
    <t>00:01:00</t>
  </si>
  <si>
    <t>00:26:10</t>
  </si>
  <si>
    <t>23:21:10</t>
  </si>
  <si>
    <t>00:42:23</t>
  </si>
  <si>
    <t>23:10:08</t>
  </si>
  <si>
    <t>00:05:51</t>
  </si>
  <si>
    <t>23:19:30</t>
  </si>
  <si>
    <t>00:38:16</t>
  </si>
  <si>
    <t>00:31:30</t>
  </si>
  <si>
    <t>23:06:58</t>
  </si>
  <si>
    <t>00:23:06</t>
  </si>
  <si>
    <t>00:46:28</t>
  </si>
  <si>
    <t>00:18:22</t>
  </si>
  <si>
    <t>00:56:34</t>
  </si>
  <si>
    <t>23:50:49</t>
  </si>
  <si>
    <t>00:38:17</t>
  </si>
  <si>
    <t>00:35:40</t>
  </si>
  <si>
    <t>00:18:18</t>
  </si>
  <si>
    <t>00:01:22</t>
  </si>
  <si>
    <t>01:35:25</t>
  </si>
  <si>
    <t>00:27:36</t>
  </si>
  <si>
    <t>00:18:36</t>
  </si>
  <si>
    <t>00:52:17</t>
  </si>
  <si>
    <t>02:30:46</t>
  </si>
  <si>
    <t>12:58:01</t>
  </si>
  <si>
    <t>01:04:36</t>
  </si>
  <si>
    <t>01:06:19</t>
  </si>
  <si>
    <t>01:13:32</t>
  </si>
  <si>
    <t>01:20:56</t>
  </si>
  <si>
    <t>19:58:29</t>
  </si>
  <si>
    <t>04:58:35</t>
  </si>
  <si>
    <t>14:28:55</t>
  </si>
  <si>
    <t>23:28:45</t>
  </si>
  <si>
    <t>08:58:36</t>
  </si>
  <si>
    <t>17:58:29</t>
  </si>
  <si>
    <t>03:28:41</t>
  </si>
  <si>
    <t>12:28:40</t>
  </si>
  <si>
    <t>21:58:30</t>
  </si>
  <si>
    <t>06:58:36</t>
  </si>
  <si>
    <t>16:28:32</t>
  </si>
  <si>
    <t>01:28:38</t>
  </si>
  <si>
    <t>10:58:58</t>
  </si>
  <si>
    <t>19:58:48</t>
  </si>
  <si>
    <t>05:28:50</t>
  </si>
  <si>
    <t>14:28:37</t>
  </si>
  <si>
    <t>23:58:54</t>
  </si>
  <si>
    <t>08:58:39</t>
  </si>
  <si>
    <t>18:28:18</t>
  </si>
  <si>
    <t>03:28:45</t>
  </si>
  <si>
    <t>21:58:29</t>
  </si>
  <si>
    <t>07:29:00</t>
  </si>
  <si>
    <t>16:28:38</t>
  </si>
  <si>
    <t>01:58:36</t>
  </si>
  <si>
    <t>04:21:05</t>
  </si>
  <si>
    <t>04:22:45</t>
  </si>
  <si>
    <t>01:58:28</t>
  </si>
  <si>
    <t>02:01:54</t>
  </si>
  <si>
    <t>01:57:43</t>
  </si>
  <si>
    <t>02:14:13</t>
  </si>
  <si>
    <t>02:17:01</t>
  </si>
  <si>
    <t>01:39:24</t>
  </si>
  <si>
    <t>01:49:40</t>
  </si>
  <si>
    <t>01:44:35</t>
  </si>
  <si>
    <t>02:21:40</t>
  </si>
  <si>
    <t>02:22:26</t>
  </si>
  <si>
    <t>01:29:48</t>
  </si>
  <si>
    <t>02:29:13</t>
  </si>
  <si>
    <t>02:41:10</t>
  </si>
  <si>
    <t>23:56:48</t>
  </si>
  <si>
    <t>22:51:27</t>
  </si>
  <si>
    <t>23:15:23</t>
  </si>
  <si>
    <t>23:32:26</t>
  </si>
  <si>
    <t>22:48:37</t>
  </si>
  <si>
    <t>23:28:06</t>
  </si>
  <si>
    <t>22:51:23</t>
  </si>
  <si>
    <t>23:58:52</t>
  </si>
  <si>
    <t>23:21:39</t>
  </si>
  <si>
    <t>01:37:38</t>
  </si>
  <si>
    <t>03:23:18</t>
  </si>
  <si>
    <t>03:42:10</t>
  </si>
  <si>
    <t>03:56:25</t>
  </si>
  <si>
    <t>03:57:59</t>
  </si>
  <si>
    <t>04:25:33</t>
  </si>
  <si>
    <t>05:18:33</t>
  </si>
  <si>
    <t>05:19:28</t>
  </si>
  <si>
    <t>05:24:49</t>
  </si>
  <si>
    <t>05:28:44</t>
  </si>
  <si>
    <t>05:33:42</t>
  </si>
  <si>
    <t>05:34:25</t>
  </si>
  <si>
    <t>20:13:29</t>
  </si>
  <si>
    <t>1439354862349651968</t>
  </si>
  <si>
    <t>1439354877868605442</t>
  </si>
  <si>
    <t>1439356931118747653</t>
  </si>
  <si>
    <t>1439387468365635586</t>
  </si>
  <si>
    <t>1439405974842855431</t>
  </si>
  <si>
    <t>1439412171079700480</t>
  </si>
  <si>
    <t>1439401791968276483</t>
  </si>
  <si>
    <t>1439413357946097664</t>
  </si>
  <si>
    <t>1439423463802867712</t>
  </si>
  <si>
    <t>1439423779810078726</t>
  </si>
  <si>
    <t>1439424808568049666</t>
  </si>
  <si>
    <t>1439426320488828933</t>
  </si>
  <si>
    <t>1439449489199153158</t>
  </si>
  <si>
    <t>1439450435245412355</t>
  </si>
  <si>
    <t>1439451965218439170</t>
  </si>
  <si>
    <t>1439455055598346240</t>
  </si>
  <si>
    <t>1439455351045124096</t>
  </si>
  <si>
    <t>1439467886590889985</t>
  </si>
  <si>
    <t>1439470833726984192</t>
  </si>
  <si>
    <t>1439473294214778888</t>
  </si>
  <si>
    <t>1439476311374778371</t>
  </si>
  <si>
    <t>1439481748862107648</t>
  </si>
  <si>
    <t>1439480368940285954</t>
  </si>
  <si>
    <t>1439480473110003713</t>
  </si>
  <si>
    <t>1439480768158306305</t>
  </si>
  <si>
    <t>1439487854409703427</t>
  </si>
  <si>
    <t>1439492379577249801</t>
  </si>
  <si>
    <t>1439506638470139906</t>
  </si>
  <si>
    <t>1439510134498103298</t>
  </si>
  <si>
    <t>1439516757488586757</t>
  </si>
  <si>
    <t>1439527702495576074</t>
  </si>
  <si>
    <t>1439531152264499201</t>
  </si>
  <si>
    <t>1439534136654393349</t>
  </si>
  <si>
    <t>1439530834021675011</t>
  </si>
  <si>
    <t>1439535297520291840</t>
  </si>
  <si>
    <t>1439517530503069696</t>
  </si>
  <si>
    <t>1439539002000875523</t>
  </si>
  <si>
    <t>1439556094335008772</t>
  </si>
  <si>
    <t>1439556173548515338</t>
  </si>
  <si>
    <t>1439558678428852229</t>
  </si>
  <si>
    <t>1439564464123088907</t>
  </si>
  <si>
    <t>1438088749875793924</t>
  </si>
  <si>
    <t>1439569248892776449</t>
  </si>
  <si>
    <t>1439588164293648389</t>
  </si>
  <si>
    <t>1439590050367356928</t>
  </si>
  <si>
    <t>1439592297457340417</t>
  </si>
  <si>
    <t>1439594797635829765</t>
  </si>
  <si>
    <t>1439596030975090688</t>
  </si>
  <si>
    <t>1439599197095743491</t>
  </si>
  <si>
    <t>1439604439686397953</t>
  </si>
  <si>
    <t>1439602267045257218</t>
  </si>
  <si>
    <t>1439605333488398337</t>
  </si>
  <si>
    <t>1439605709214085128</t>
  </si>
  <si>
    <t>1439609143371784197</t>
  </si>
  <si>
    <t>1439614765513396225</t>
  </si>
  <si>
    <t>1439614840717279232</t>
  </si>
  <si>
    <t>1439614844899004421</t>
  </si>
  <si>
    <t>1439617809743446018</t>
  </si>
  <si>
    <t>1439623624168656897</t>
  </si>
  <si>
    <t>1439630417141764098</t>
  </si>
  <si>
    <t>1439632293006512141</t>
  </si>
  <si>
    <t>1439637899922665474</t>
  </si>
  <si>
    <t>1439608465639366657</t>
  </si>
  <si>
    <t>1439658201868238851</t>
  </si>
  <si>
    <t>1439658203587907586</t>
  </si>
  <si>
    <t>1439659130851971072</t>
  </si>
  <si>
    <t>1439659132475219972</t>
  </si>
  <si>
    <t>1439662437146394624</t>
  </si>
  <si>
    <t>1439685760408453121</t>
  </si>
  <si>
    <t>1439713954721189889</t>
  </si>
  <si>
    <t>1439724059298652162</t>
  </si>
  <si>
    <t>1439724948671459329</t>
  </si>
  <si>
    <t>1439726047675645953</t>
  </si>
  <si>
    <t>1439728619874500608</t>
  </si>
  <si>
    <t>1439746722465419264</t>
  </si>
  <si>
    <t>1439768111939403776</t>
  </si>
  <si>
    <t>1439774175233667073</t>
  </si>
  <si>
    <t>1439775363693891585</t>
  </si>
  <si>
    <t>1439211242598457347</t>
  </si>
  <si>
    <t>1439211141125664774</t>
  </si>
  <si>
    <t>1439795117062180866</t>
  </si>
  <si>
    <t>1439800338106617861</t>
  </si>
  <si>
    <t>1439538710513537029</t>
  </si>
  <si>
    <t>1439811638379515904</t>
  </si>
  <si>
    <t>1439813186161577985</t>
  </si>
  <si>
    <t>1439821311014961156</t>
  </si>
  <si>
    <t>1439821796883111949</t>
  </si>
  <si>
    <t>1439821923089719301</t>
  </si>
  <si>
    <t>1439822059765329930</t>
  </si>
  <si>
    <t>1439822798902345728</t>
  </si>
  <si>
    <t>1439827202049073158</t>
  </si>
  <si>
    <t>1439827349638242305</t>
  </si>
  <si>
    <t>1439832198392135680</t>
  </si>
  <si>
    <t>1439834831211282432</t>
  </si>
  <si>
    <t>1439839915802431494</t>
  </si>
  <si>
    <t>1439845564527509504</t>
  </si>
  <si>
    <t>1439847712510201859</t>
  </si>
  <si>
    <t>1439853914187128841</t>
  </si>
  <si>
    <t>1439856584021057536</t>
  </si>
  <si>
    <t>1439858176736718849</t>
  </si>
  <si>
    <t>1439859474622078977</t>
  </si>
  <si>
    <t>1439859829254676480</t>
  </si>
  <si>
    <t>1439860436568924163</t>
  </si>
  <si>
    <t>1439863055328768001</t>
  </si>
  <si>
    <t>1439863134122962944</t>
  </si>
  <si>
    <t>1439872811607023618</t>
  </si>
  <si>
    <t>1439874007935774723</t>
  </si>
  <si>
    <t>1439878177258569730</t>
  </si>
  <si>
    <t>1439869487390412803</t>
  </si>
  <si>
    <t>1439882502882091016</t>
  </si>
  <si>
    <t>1439883473590710281</t>
  </si>
  <si>
    <t>1439884739662389259</t>
  </si>
  <si>
    <t>1439890138604007429</t>
  </si>
  <si>
    <t>1439882192910381061</t>
  </si>
  <si>
    <t>1439888709030080514</t>
  </si>
  <si>
    <t>1439890964592562183</t>
  </si>
  <si>
    <t>1439891372941533184</t>
  </si>
  <si>
    <t>1439894109171245058</t>
  </si>
  <si>
    <t>1439901641013010436</t>
  </si>
  <si>
    <t>1439904760316841984</t>
  </si>
  <si>
    <t>1439864310423904258</t>
  </si>
  <si>
    <t>1439918959306838018</t>
  </si>
  <si>
    <t>1439924554852225024</t>
  </si>
  <si>
    <t>1439925260376104965</t>
  </si>
  <si>
    <t>1439938822414888962</t>
  </si>
  <si>
    <t>1439932982739931136</t>
  </si>
  <si>
    <t>1439943188475625479</t>
  </si>
  <si>
    <t>1439954394183729156</t>
  </si>
  <si>
    <t>1439960442722406401</t>
  </si>
  <si>
    <t>1439953058243383300</t>
  </si>
  <si>
    <t>1439960565590331415</t>
  </si>
  <si>
    <t>1439978470952484864</t>
  </si>
  <si>
    <t>1439981232050241543</t>
  </si>
  <si>
    <t>1440012312593584135</t>
  </si>
  <si>
    <t>1440083246377672709</t>
  </si>
  <si>
    <t>1439844641986154499</t>
  </si>
  <si>
    <t>1440120528132472836</t>
  </si>
  <si>
    <t>1440121398827966470</t>
  </si>
  <si>
    <t>1440123430221717510</t>
  </si>
  <si>
    <t>1440124365228544007</t>
  </si>
  <si>
    <t>1440124980100931592</t>
  </si>
  <si>
    <t>1440125467013435397</t>
  </si>
  <si>
    <t>1440125666125443075</t>
  </si>
  <si>
    <t>1440126212198649860</t>
  </si>
  <si>
    <t>1440126310202761222</t>
  </si>
  <si>
    <t>1440126452041596930</t>
  </si>
  <si>
    <t>1440126469099843584</t>
  </si>
  <si>
    <t>1440128736947363840</t>
  </si>
  <si>
    <t>1440129231262924802</t>
  </si>
  <si>
    <t>1440130391122219010</t>
  </si>
  <si>
    <t>1440131040975020033</t>
  </si>
  <si>
    <t>1440132051630391296</t>
  </si>
  <si>
    <t>1440132234082586625</t>
  </si>
  <si>
    <t>1440132374205919232</t>
  </si>
  <si>
    <t>1440133266338504710</t>
  </si>
  <si>
    <t>1440134210866466818</t>
  </si>
  <si>
    <t>1440134594678833158</t>
  </si>
  <si>
    <t>1440134796491956224</t>
  </si>
  <si>
    <t>1440135108254519302</t>
  </si>
  <si>
    <t>1440135595565617153</t>
  </si>
  <si>
    <t>1440136983049736200</t>
  </si>
  <si>
    <t>1440137290567733253</t>
  </si>
  <si>
    <t>1440137597984985089</t>
  </si>
  <si>
    <t>1440137772396793861</t>
  </si>
  <si>
    <t>1440137851748843526</t>
  </si>
  <si>
    <t>1440138511236022279</t>
  </si>
  <si>
    <t>1440138528101322752</t>
  </si>
  <si>
    <t>1440138816166109189</t>
  </si>
  <si>
    <t>1440140488317702151</t>
  </si>
  <si>
    <t>1440140722846388233</t>
  </si>
  <si>
    <t>1440141022646837254</t>
  </si>
  <si>
    <t>1440142218870681604</t>
  </si>
  <si>
    <t>1440142223102775297</t>
  </si>
  <si>
    <t>1440142715090472970</t>
  </si>
  <si>
    <t>1440143137372917763</t>
  </si>
  <si>
    <t>1439590940331495426</t>
  </si>
  <si>
    <t>1439608001850068995</t>
  </si>
  <si>
    <t>1440143280885231620</t>
  </si>
  <si>
    <t>1440144362214547466</t>
  </si>
  <si>
    <t>1440144983273578497</t>
  </si>
  <si>
    <t>1440145386706931713</t>
  </si>
  <si>
    <t>1440146201924366336</t>
  </si>
  <si>
    <t>1440147117650026505</t>
  </si>
  <si>
    <t>1440151327636480001</t>
  </si>
  <si>
    <t>1440151627889987603</t>
  </si>
  <si>
    <t>1440153119266992137</t>
  </si>
  <si>
    <t>1440153261063884801</t>
  </si>
  <si>
    <t>1440153702304681990</t>
  </si>
  <si>
    <t>1440153946044067847</t>
  </si>
  <si>
    <t>1440154569401532420</t>
  </si>
  <si>
    <t>1440154611801747460</t>
  </si>
  <si>
    <t>1440154941369192450</t>
  </si>
  <si>
    <t>1440155563837460489</t>
  </si>
  <si>
    <t>1440156140914941952</t>
  </si>
  <si>
    <t>1440156423812378625</t>
  </si>
  <si>
    <t>1440156693585821698</t>
  </si>
  <si>
    <t>1440156964223258628</t>
  </si>
  <si>
    <t>1440157800852717570</t>
  </si>
  <si>
    <t>1440157985603407884</t>
  </si>
  <si>
    <t>1440158670608748548</t>
  </si>
  <si>
    <t>1440158771485970433</t>
  </si>
  <si>
    <t>1440158848224935943</t>
  </si>
  <si>
    <t>1440159173568647170</t>
  </si>
  <si>
    <t>1440160295712800772</t>
  </si>
  <si>
    <t>1440160396950659081</t>
  </si>
  <si>
    <t>1440160422049431552</t>
  </si>
  <si>
    <t>1440160767433576450</t>
  </si>
  <si>
    <t>1372847278558388225</t>
  </si>
  <si>
    <t>1389907307388051458</t>
  </si>
  <si>
    <t>1439898184923320325</t>
  </si>
  <si>
    <t>1440162336363335681</t>
  </si>
  <si>
    <t>1440164345724301313</t>
  </si>
  <si>
    <t>1440165352789274630</t>
  </si>
  <si>
    <t>1436607508211064833</t>
  </si>
  <si>
    <t>1440167101184942084</t>
  </si>
  <si>
    <t>1440167701373095937</t>
  </si>
  <si>
    <t>1440168108472225797</t>
  </si>
  <si>
    <t>1440168243126161410</t>
  </si>
  <si>
    <t>1440171296822751234</t>
  </si>
  <si>
    <t>1440172482141384713</t>
  </si>
  <si>
    <t>1440173715740717065</t>
  </si>
  <si>
    <t>1440174328637579286</t>
  </si>
  <si>
    <t>1440175481467244545</t>
  </si>
  <si>
    <t>1440176265042956300</t>
  </si>
  <si>
    <t>1440176346542477313</t>
  </si>
  <si>
    <t>1440177512265310213</t>
  </si>
  <si>
    <t>1440177634378326023</t>
  </si>
  <si>
    <t>1440178344465604614</t>
  </si>
  <si>
    <t>1440178894871490569</t>
  </si>
  <si>
    <t>1440179217220603908</t>
  </si>
  <si>
    <t>1440181367745048578</t>
  </si>
  <si>
    <t>1440182227417976834</t>
  </si>
  <si>
    <t>1440182709171589132</t>
  </si>
  <si>
    <t>1440183117084430336</t>
  </si>
  <si>
    <t>1440185173258084364</t>
  </si>
  <si>
    <t>1440185833500278786</t>
  </si>
  <si>
    <t>1440185990102933515</t>
  </si>
  <si>
    <t>1440186018750103554</t>
  </si>
  <si>
    <t>1440186341879287812</t>
  </si>
  <si>
    <t>1440186387890782215</t>
  </si>
  <si>
    <t>1440186514089005058</t>
  </si>
  <si>
    <t>1440187100515606534</t>
  </si>
  <si>
    <t>1440187914034376705</t>
  </si>
  <si>
    <t>1440188441816305665</t>
  </si>
  <si>
    <t>1440189164712906754</t>
  </si>
  <si>
    <t>1440189325803614209</t>
  </si>
  <si>
    <t>1440191273822871552</t>
  </si>
  <si>
    <t>1440191860941590532</t>
  </si>
  <si>
    <t>1440192659000156164</t>
  </si>
  <si>
    <t>1440193795602092034</t>
  </si>
  <si>
    <t>1440194024246108162</t>
  </si>
  <si>
    <t>1440194330128359427</t>
  </si>
  <si>
    <t>1440194334591098882</t>
  </si>
  <si>
    <t>1440194735134576643</t>
  </si>
  <si>
    <t>1440194988827033603</t>
  </si>
  <si>
    <t>1440195168607428619</t>
  </si>
  <si>
    <t>1440195415534571531</t>
  </si>
  <si>
    <t>1440196890721591299</t>
  </si>
  <si>
    <t>1440196927350444040</t>
  </si>
  <si>
    <t>1440198828703903755</t>
  </si>
  <si>
    <t>1440199860926308353</t>
  </si>
  <si>
    <t>1440199955772104708</t>
  </si>
  <si>
    <t>1440200319070130185</t>
  </si>
  <si>
    <t>1440200786936414216</t>
  </si>
  <si>
    <t>1440202369413775363</t>
  </si>
  <si>
    <t>1440202968523939847</t>
  </si>
  <si>
    <t>1440203750933553156</t>
  </si>
  <si>
    <t>1440203763873050624</t>
  </si>
  <si>
    <t>1440204251326664710</t>
  </si>
  <si>
    <t>1440205104196452358</t>
  </si>
  <si>
    <t>1440205207099490305</t>
  </si>
  <si>
    <t>1440206336537477120</t>
  </si>
  <si>
    <t>1440206634505039877</t>
  </si>
  <si>
    <t>1440207348266516480</t>
  </si>
  <si>
    <t>1440207358341251082</t>
  </si>
  <si>
    <t>1440207847820718091</t>
  </si>
  <si>
    <t>1440207881597427721</t>
  </si>
  <si>
    <t>1440208261840470020</t>
  </si>
  <si>
    <t>1440208593924472840</t>
  </si>
  <si>
    <t>1440209446618091521</t>
  </si>
  <si>
    <t>1440209998265520131</t>
  </si>
  <si>
    <t>1440210367594909699</t>
  </si>
  <si>
    <t>1440210767349837831</t>
  </si>
  <si>
    <t>1440210893283807232</t>
  </si>
  <si>
    <t>1440211564368326660</t>
  </si>
  <si>
    <t>1440211575663595531</t>
  </si>
  <si>
    <t>1440211882212687872</t>
  </si>
  <si>
    <t>1440212349357416454</t>
  </si>
  <si>
    <t>1440212605759488002</t>
  </si>
  <si>
    <t>1440214104644349954</t>
  </si>
  <si>
    <t>1440214649861931014</t>
  </si>
  <si>
    <t>1440214785488875525</t>
  </si>
  <si>
    <t>1440214903004942348</t>
  </si>
  <si>
    <t>1440214956561948674</t>
  </si>
  <si>
    <t>1440215220845092877</t>
  </si>
  <si>
    <t>1440216084221595655</t>
  </si>
  <si>
    <t>1440216412149014528</t>
  </si>
  <si>
    <t>1440216437759492103</t>
  </si>
  <si>
    <t>1440216935627509762</t>
  </si>
  <si>
    <t>1440217041001091080</t>
  </si>
  <si>
    <t>1440217628987908098</t>
  </si>
  <si>
    <t>1440220097478463492</t>
  </si>
  <si>
    <t>1440221136214585346</t>
  </si>
  <si>
    <t>1440221335741816833</t>
  </si>
  <si>
    <t>1440221339000868866</t>
  </si>
  <si>
    <t>1440221837401542657</t>
  </si>
  <si>
    <t>1440221898575515649</t>
  </si>
  <si>
    <t>1440222923147513860</t>
  </si>
  <si>
    <t>1440223133529624581</t>
  </si>
  <si>
    <t>1440223170963804166</t>
  </si>
  <si>
    <t>1440223193503993865</t>
  </si>
  <si>
    <t>1440223756417310732</t>
  </si>
  <si>
    <t>1440224084088942598</t>
  </si>
  <si>
    <t>1440224520481034243</t>
  </si>
  <si>
    <t>1440226743701295113</t>
  </si>
  <si>
    <t>1440227227266809866</t>
  </si>
  <si>
    <t>1440228226018668548</t>
  </si>
  <si>
    <t>1440230211174363143</t>
  </si>
  <si>
    <t>1440230399200817158</t>
  </si>
  <si>
    <t>1440230607850668039</t>
  </si>
  <si>
    <t>1440231548578504708</t>
  </si>
  <si>
    <t>1440232802146873344</t>
  </si>
  <si>
    <t>1440237539579682829</t>
  </si>
  <si>
    <t>1440238524339396611</t>
  </si>
  <si>
    <t>1440239287945949193</t>
  </si>
  <si>
    <t>1440239702909472772</t>
  </si>
  <si>
    <t>1440241739055329287</t>
  </si>
  <si>
    <t>1440243598037962756</t>
  </si>
  <si>
    <t>1440244590833909771</t>
  </si>
  <si>
    <t>1440244688372436998</t>
  </si>
  <si>
    <t>1440248022508589066</t>
  </si>
  <si>
    <t>1440249103842086912</t>
  </si>
  <si>
    <t>1440249517287215112</t>
  </si>
  <si>
    <t>1440249755896999945</t>
  </si>
  <si>
    <t>1440250139935793154</t>
  </si>
  <si>
    <t>1440250465078308877</t>
  </si>
  <si>
    <t>1440251027194740745</t>
  </si>
  <si>
    <t>1440251259181694976</t>
  </si>
  <si>
    <t>1440251278118965262</t>
  </si>
  <si>
    <t>1440251483115585540</t>
  </si>
  <si>
    <t>1440252267798532109</t>
  </si>
  <si>
    <t>1440252683533783055</t>
  </si>
  <si>
    <t>1440252731722125320</t>
  </si>
  <si>
    <t>1440253642456535041</t>
  </si>
  <si>
    <t>1440254444743004162</t>
  </si>
  <si>
    <t>1440254981366448140</t>
  </si>
  <si>
    <t>1440255921620336647</t>
  </si>
  <si>
    <t>1440256016940109835</t>
  </si>
  <si>
    <t>1440256443555332100</t>
  </si>
  <si>
    <t>1440256577148108809</t>
  </si>
  <si>
    <t>1440257210412527620</t>
  </si>
  <si>
    <t>1440257427035734018</t>
  </si>
  <si>
    <t>1440257790698688515</t>
  </si>
  <si>
    <t>1440260242411905026</t>
  </si>
  <si>
    <t>1440261650192371724</t>
  </si>
  <si>
    <t>1440262459554631696</t>
  </si>
  <si>
    <t>1440264524490174474</t>
  </si>
  <si>
    <t>1440266122054438921</t>
  </si>
  <si>
    <t>1440267164498337806</t>
  </si>
  <si>
    <t>1440268089103290376</t>
  </si>
  <si>
    <t>1440269355279806466</t>
  </si>
  <si>
    <t>1440269895548084237</t>
  </si>
  <si>
    <t>1440269949591687174</t>
  </si>
  <si>
    <t>1440271804321259532</t>
  </si>
  <si>
    <t>1440272052393447430</t>
  </si>
  <si>
    <t>1440272184082006016</t>
  </si>
  <si>
    <t>1440272646529175553</t>
  </si>
  <si>
    <t>1440275013832040450</t>
  </si>
  <si>
    <t>1440275036091207688</t>
  </si>
  <si>
    <t>1440275601391120386</t>
  </si>
  <si>
    <t>1440276207912636429</t>
  </si>
  <si>
    <t>1440276791877275648</t>
  </si>
  <si>
    <t>1440280036267888648</t>
  </si>
  <si>
    <t>1440283864866299921</t>
  </si>
  <si>
    <t>1440286142234988550</t>
  </si>
  <si>
    <t>1440287313620193290</t>
  </si>
  <si>
    <t>1440289631254183953</t>
  </si>
  <si>
    <t>1440298038132494348</t>
  </si>
  <si>
    <t>1440298681421348872</t>
  </si>
  <si>
    <t>1440298794348789775</t>
  </si>
  <si>
    <t>1440299331509125124</t>
  </si>
  <si>
    <t>1440297028169338898</t>
  </si>
  <si>
    <t>1440297305811263488</t>
  </si>
  <si>
    <t>1440298078527909897</t>
  </si>
  <si>
    <t>1440298452756299782</t>
  </si>
  <si>
    <t>1440298629030297603</t>
  </si>
  <si>
    <t>1440298877643493384</t>
  </si>
  <si>
    <t>1440298964264259586</t>
  </si>
  <si>
    <t>1440299258146537473</t>
  </si>
  <si>
    <t>1440299430557536267</t>
  </si>
  <si>
    <t>1440299739438673930</t>
  </si>
  <si>
    <t>1440300666434379788</t>
  </si>
  <si>
    <t>1440300770960678914</t>
  </si>
  <si>
    <t>1440301186620411904</t>
  </si>
  <si>
    <t>1440301197118754821</t>
  </si>
  <si>
    <t>1440305919397486599</t>
  </si>
  <si>
    <t>1440306143255937044</t>
  </si>
  <si>
    <t>1440306777237557252</t>
  </si>
  <si>
    <t>1440307281334132739</t>
  </si>
  <si>
    <t>1440299066856927240</t>
  </si>
  <si>
    <t>1440299092475670541</t>
  </si>
  <si>
    <t>1440299116966277124</t>
  </si>
  <si>
    <t>1440310227828494340</t>
  </si>
  <si>
    <t>1440310441037557763</t>
  </si>
  <si>
    <t>1440310635078684679</t>
  </si>
  <si>
    <t>1440311891566366740</t>
  </si>
  <si>
    <t>1440231349193883656</t>
  </si>
  <si>
    <t>1440313597091926016</t>
  </si>
  <si>
    <t>1440313991478145034</t>
  </si>
  <si>
    <t>1440314304813694992</t>
  </si>
  <si>
    <t>1440314811762446352</t>
  </si>
  <si>
    <t>1440315086971674628</t>
  </si>
  <si>
    <t>1440315796605968393</t>
  </si>
  <si>
    <t>1440319765558398976</t>
  </si>
  <si>
    <t>1440322709406109696</t>
  </si>
  <si>
    <t>1440322909524815872</t>
  </si>
  <si>
    <t>1440325139191586819</t>
  </si>
  <si>
    <t>1440333096570667018</t>
  </si>
  <si>
    <t>1440334712820568065</t>
  </si>
  <si>
    <t>1440335241067974661</t>
  </si>
  <si>
    <t>1440340992679309313</t>
  </si>
  <si>
    <t>1440341963841048577</t>
  </si>
  <si>
    <t>1440343211755532296</t>
  </si>
  <si>
    <t>1440343652954378246</t>
  </si>
  <si>
    <t>1440343717722738697</t>
  </si>
  <si>
    <t>1440343821368266755</t>
  </si>
  <si>
    <t>1440344548098523140</t>
  </si>
  <si>
    <t>1440348745908948999</t>
  </si>
  <si>
    <t>1440350184005726220</t>
  </si>
  <si>
    <t>1440351240651640836</t>
  </si>
  <si>
    <t>1440351287795597323</t>
  </si>
  <si>
    <t>1440352047006568460</t>
  </si>
  <si>
    <t>1440352775846592513</t>
  </si>
  <si>
    <t>1440352816157970447</t>
  </si>
  <si>
    <t>1440353412059525134</t>
  </si>
  <si>
    <t>1440355470384853006</t>
  </si>
  <si>
    <t>1440358983454248966</t>
  </si>
  <si>
    <t>1440359059937378311</t>
  </si>
  <si>
    <t>1440360007233519616</t>
  </si>
  <si>
    <t>1440360688581447686</t>
  </si>
  <si>
    <t>1440365741014880271</t>
  </si>
  <si>
    <t>1440373393396695051</t>
  </si>
  <si>
    <t>1440380952803373061</t>
  </si>
  <si>
    <t>1440381715029970960</t>
  </si>
  <si>
    <t>1440387373754306561</t>
  </si>
  <si>
    <t>1440388043395846146</t>
  </si>
  <si>
    <t>1440299233551142917</t>
  </si>
  <si>
    <t>1440406669968568323</t>
  </si>
  <si>
    <t>1440413786330963972</t>
  </si>
  <si>
    <t>1440424191027646468</t>
  </si>
  <si>
    <t>1440425160868126720</t>
  </si>
  <si>
    <t>1440430080669335560</t>
  </si>
  <si>
    <t>1440430252279296007</t>
  </si>
  <si>
    <t>1440430570077450243</t>
  </si>
  <si>
    <t>1440431548017242122</t>
  </si>
  <si>
    <t>1440434135185592322</t>
  </si>
  <si>
    <t>1440440539942305798</t>
  </si>
  <si>
    <t>1440446388731404312</t>
  </si>
  <si>
    <t>1440447148269572096</t>
  </si>
  <si>
    <t>1440447650201882636</t>
  </si>
  <si>
    <t>1440450883804794880</t>
  </si>
  <si>
    <t>1440452212434489346</t>
  </si>
  <si>
    <t>1440454083706441729</t>
  </si>
  <si>
    <t>1440454543892836357</t>
  </si>
  <si>
    <t>1440458328283377675</t>
  </si>
  <si>
    <t>1440461248965926920</t>
  </si>
  <si>
    <t>1440461684921888771</t>
  </si>
  <si>
    <t>1440464526504181760</t>
  </si>
  <si>
    <t>1440465725118771204</t>
  </si>
  <si>
    <t>1440465782933049345</t>
  </si>
  <si>
    <t>1440466997989363727</t>
  </si>
  <si>
    <t>1440467537272008713</t>
  </si>
  <si>
    <t>1440472151895654403</t>
  </si>
  <si>
    <t>1440473220608524294</t>
  </si>
  <si>
    <t>1440473729830584322</t>
  </si>
  <si>
    <t>1440474606213623812</t>
  </si>
  <si>
    <t>1440476017487876103</t>
  </si>
  <si>
    <t>1440477801480556552</t>
  </si>
  <si>
    <t>1440477697574989837</t>
  </si>
  <si>
    <t>1440477832056950785</t>
  </si>
  <si>
    <t>1440479460273188868</t>
  </si>
  <si>
    <t>1440479962151022599</t>
  </si>
  <si>
    <t>1440480033806569480</t>
  </si>
  <si>
    <t>1440483325932572673</t>
  </si>
  <si>
    <t>1440489869483003912</t>
  </si>
  <si>
    <t>1440490025712455683</t>
  </si>
  <si>
    <t>1440034394656313350</t>
  </si>
  <si>
    <t>1440491235882389507</t>
  </si>
  <si>
    <t>1440493126699810826</t>
  </si>
  <si>
    <t>1440494141117394947</t>
  </si>
  <si>
    <t>1440494266287935501</t>
  </si>
  <si>
    <t>1440494604629856260</t>
  </si>
  <si>
    <t>1439865224354353157</t>
  </si>
  <si>
    <t>1439868313090203648</t>
  </si>
  <si>
    <t>1439949530531708932</t>
  </si>
  <si>
    <t>1440120273433346050</t>
  </si>
  <si>
    <t>1440153510004232198</t>
  </si>
  <si>
    <t>1440501842337615878</t>
  </si>
  <si>
    <t>1440504451832242176</t>
  </si>
  <si>
    <t>1440505036132339720</t>
  </si>
  <si>
    <t>1440511554013700106</t>
  </si>
  <si>
    <t>1440519407709556737</t>
  </si>
  <si>
    <t>1440519761482313735</t>
  </si>
  <si>
    <t>1440522122174992385</t>
  </si>
  <si>
    <t>1440532949217136640</t>
  </si>
  <si>
    <t>1440536778369241096</t>
  </si>
  <si>
    <t>1440551920075112455</t>
  </si>
  <si>
    <t>1440552601674665984</t>
  </si>
  <si>
    <t>1440553447422521351</t>
  </si>
  <si>
    <t>1440553629857972231</t>
  </si>
  <si>
    <t>1440553820874964993</t>
  </si>
  <si>
    <t>1440553906149359623</t>
  </si>
  <si>
    <t>1440553964332675073</t>
  </si>
  <si>
    <t>1440559621538648074</t>
  </si>
  <si>
    <t>1440560797864792074</t>
  </si>
  <si>
    <t>1440561162349731848</t>
  </si>
  <si>
    <t>1440562119661944833</t>
  </si>
  <si>
    <t>1440562129552084993</t>
  </si>
  <si>
    <t>1440564688425611266</t>
  </si>
  <si>
    <t>1440565781100593154</t>
  </si>
  <si>
    <t>1440574561108459523</t>
  </si>
  <si>
    <t>1440574657745145868</t>
  </si>
  <si>
    <t>1440575572921380869</t>
  </si>
  <si>
    <t>1440576224070279169</t>
  </si>
  <si>
    <t>1440579284783939586</t>
  </si>
  <si>
    <t>1440582196989882385</t>
  </si>
  <si>
    <t>1440488124027572226</t>
  </si>
  <si>
    <t>1440584385598611464</t>
  </si>
  <si>
    <t>1440584526942523411</t>
  </si>
  <si>
    <t>1440584654482935813</t>
  </si>
  <si>
    <t>1440584775882866691</t>
  </si>
  <si>
    <t>1440586706684571649</t>
  </si>
  <si>
    <t>1440592209036775432</t>
  </si>
  <si>
    <t>1440597524797026306</t>
  </si>
  <si>
    <t>1440602546783936517</t>
  </si>
  <si>
    <t>1440612406950989834</t>
  </si>
  <si>
    <t>1440613895996018690</t>
  </si>
  <si>
    <t>1440614257054216195</t>
  </si>
  <si>
    <t>1440614597170323459</t>
  </si>
  <si>
    <t>1440617417479102468</t>
  </si>
  <si>
    <t>1440618829097304074</t>
  </si>
  <si>
    <t>1440618980427780098</t>
  </si>
  <si>
    <t>1440623499203153923</t>
  </si>
  <si>
    <t>1440624263598276608</t>
  </si>
  <si>
    <t>1440630531486453764</t>
  </si>
  <si>
    <t>1440636610219966478</t>
  </si>
  <si>
    <t>1440638157200891907</t>
  </si>
  <si>
    <t>1440638165379739652</t>
  </si>
  <si>
    <t>1440638679521792000</t>
  </si>
  <si>
    <t>1440671316743311365</t>
  </si>
  <si>
    <t>1440680253765029888</t>
  </si>
  <si>
    <t>1440689175926226944</t>
  </si>
  <si>
    <t>1440698098880106498</t>
  </si>
  <si>
    <t>1440701314099335177</t>
  </si>
  <si>
    <t>1440701473726222336</t>
  </si>
  <si>
    <t>1440703485222158339</t>
  </si>
  <si>
    <t>1440705019452399621</t>
  </si>
  <si>
    <t>1440735366093291525</t>
  </si>
  <si>
    <t>1440801932415668225</t>
  </si>
  <si>
    <t>1440802870866051075</t>
  </si>
  <si>
    <t>1440821411036024837</t>
  </si>
  <si>
    <t>1440826268941832199</t>
  </si>
  <si>
    <t>1440840086426320897</t>
  </si>
  <si>
    <t>1440843152781312001</t>
  </si>
  <si>
    <t>1440887459575832583</t>
  </si>
  <si>
    <t>1440887451531165699</t>
  </si>
  <si>
    <t>1440888579434037248</t>
  </si>
  <si>
    <t>1440897394439180288</t>
  </si>
  <si>
    <t>1440917557368614913</t>
  </si>
  <si>
    <t>1440117132356845570</t>
  </si>
  <si>
    <t>1440936392423456773</t>
  </si>
  <si>
    <t>1440936667787841542</t>
  </si>
  <si>
    <t>1440851921888165899</t>
  </si>
  <si>
    <t>1440938537877061634</t>
  </si>
  <si>
    <t>1440940240621891587</t>
  </si>
  <si>
    <t>1440943169714081792</t>
  </si>
  <si>
    <t>1440955113711931400</t>
  </si>
  <si>
    <t>1440958277336981505</t>
  </si>
  <si>
    <t>1440980239551590403</t>
  </si>
  <si>
    <t>1440980443575189513</t>
  </si>
  <si>
    <t>1440976375310020618</t>
  </si>
  <si>
    <t>1440995311569104897</t>
  </si>
  <si>
    <t>1440998301088694273</t>
  </si>
  <si>
    <t>1440130169386192896</t>
  </si>
  <si>
    <t>1440999240939966472</t>
  </si>
  <si>
    <t>1441001600844058635</t>
  </si>
  <si>
    <t>1441035456846581767</t>
  </si>
  <si>
    <t>1441037482498269187</t>
  </si>
  <si>
    <t>1441038774717194251</t>
  </si>
  <si>
    <t>1441039588688945155</t>
  </si>
  <si>
    <t>1441041916158627857</t>
  </si>
  <si>
    <t>1441044124140929031</t>
  </si>
  <si>
    <t>1441050361498796041</t>
  </si>
  <si>
    <t>1441076012679262217</t>
  </si>
  <si>
    <t>1441081483158966276</t>
  </si>
  <si>
    <t>1441082811738312704</t>
  </si>
  <si>
    <t>1441083394155184129</t>
  </si>
  <si>
    <t>1441087430409347073</t>
  </si>
  <si>
    <t>1441154911157194755</t>
  </si>
  <si>
    <t>1441167014987370496</t>
  </si>
  <si>
    <t>1441203437740257282</t>
  </si>
  <si>
    <t>1441221571071209480</t>
  </si>
  <si>
    <t>1441232495240908807</t>
  </si>
  <si>
    <t>1441232560135176194</t>
  </si>
  <si>
    <t>1441232689135173635</t>
  </si>
  <si>
    <t>1441234522704519169</t>
  </si>
  <si>
    <t>1441244047067152395</t>
  </si>
  <si>
    <t>1441247289847140362</t>
  </si>
  <si>
    <t>1441264606555504643</t>
  </si>
  <si>
    <t>1441264622850297865</t>
  </si>
  <si>
    <t>1441265296820486144</t>
  </si>
  <si>
    <t>1441267187461677058</t>
  </si>
  <si>
    <t>1440509925172527112</t>
  </si>
  <si>
    <t>1440664696684564487</t>
  </si>
  <si>
    <t>1441274968822595586</t>
  </si>
  <si>
    <t>1441278264626978823</t>
  </si>
  <si>
    <t>1441278832485363718</t>
  </si>
  <si>
    <t>1441284676069453828</t>
  </si>
  <si>
    <t>1441293398766276609</t>
  </si>
  <si>
    <t>1441298749934870528</t>
  </si>
  <si>
    <t>1441300859653005316</t>
  </si>
  <si>
    <t>1441304206615334914</t>
  </si>
  <si>
    <t>1441305021648302080</t>
  </si>
  <si>
    <t>1441303483169210368</t>
  </si>
  <si>
    <t>1441303698987048966</t>
  </si>
  <si>
    <t>1441306390501359622</t>
  </si>
  <si>
    <t>1441309262186119174</t>
  </si>
  <si>
    <t>1441310484314034197</t>
  </si>
  <si>
    <t>1291218378586120192</t>
  </si>
  <si>
    <t>1441323684916916226</t>
  </si>
  <si>
    <t>1441327136908853255</t>
  </si>
  <si>
    <t>1441327809834536971</t>
  </si>
  <si>
    <t>1441330391663595533</t>
  </si>
  <si>
    <t>1441331338007613448</t>
  </si>
  <si>
    <t>1441333887838261250</t>
  </si>
  <si>
    <t>1441348674605355011</t>
  </si>
  <si>
    <t>1441350773044961293</t>
  </si>
  <si>
    <t>1441351687906553860</t>
  </si>
  <si>
    <t>1441360222031732753</t>
  </si>
  <si>
    <t>1441363178609201157</t>
  </si>
  <si>
    <t>1441366854375669762</t>
  </si>
  <si>
    <t>1441366932884639759</t>
  </si>
  <si>
    <t>1441366522576793608</t>
  </si>
  <si>
    <t>1441370376513081347</t>
  </si>
  <si>
    <t>1441372613666750474</t>
  </si>
  <si>
    <t>1441375296633012240</t>
  </si>
  <si>
    <t>1441379648349229062</t>
  </si>
  <si>
    <t>1441398138128850949</t>
  </si>
  <si>
    <t>1441398388394577920</t>
  </si>
  <si>
    <t>1441398825747247120</t>
  </si>
  <si>
    <t>1441409243937005589</t>
  </si>
  <si>
    <t>1441433488897363972</t>
  </si>
  <si>
    <t>1441455343687528448</t>
  </si>
  <si>
    <t>1441473723417067527</t>
  </si>
  <si>
    <t>1441546777002328071</t>
  </si>
  <si>
    <t>1441552375018242048</t>
  </si>
  <si>
    <t>1441554297527816195</t>
  </si>
  <si>
    <t>1441302644941754374</t>
  </si>
  <si>
    <t>1441557433420107778</t>
  </si>
  <si>
    <t>1441591913367236611</t>
  </si>
  <si>
    <t>1441592967240699913</t>
  </si>
  <si>
    <t>1441595461433913350</t>
  </si>
  <si>
    <t>1441600515758968842</t>
  </si>
  <si>
    <t>1441600522738290693</t>
  </si>
  <si>
    <t>1441591577520984071</t>
  </si>
  <si>
    <t>1441613349163134983</t>
  </si>
  <si>
    <t>1441630499571568641</t>
  </si>
  <si>
    <t>1441630503237423107</t>
  </si>
  <si>
    <t>1441646159487909897</t>
  </si>
  <si>
    <t>1441707213291094020</t>
  </si>
  <si>
    <t>1440619123747086337</t>
  </si>
  <si>
    <t>1441707586349264896</t>
  </si>
  <si>
    <t>1439410665920159748</t>
  </si>
  <si>
    <t>1440519800166383620</t>
  </si>
  <si>
    <t>1441710838188896256</t>
  </si>
  <si>
    <t>1441719637930962946</t>
  </si>
  <si>
    <t>1441722449901469703</t>
  </si>
  <si>
    <t>1441722723986665474</t>
  </si>
  <si>
    <t>1441300452440612876</t>
  </si>
  <si>
    <t>1441745326109446158</t>
  </si>
  <si>
    <t>1441756239348715526</t>
  </si>
  <si>
    <t>1441756282587729926</t>
  </si>
  <si>
    <t>1441761500486520837</t>
  </si>
  <si>
    <t>1441775365853089795</t>
  </si>
  <si>
    <t>1440647851554443274</t>
  </si>
  <si>
    <t>1441778486675329034</t>
  </si>
  <si>
    <t>1441891502209200130</t>
  </si>
  <si>
    <t>1441075632960675844</t>
  </si>
  <si>
    <t>1441909148745039873</t>
  </si>
  <si>
    <t>1441927197791379459</t>
  </si>
  <si>
    <t>1441939013800062977</t>
  </si>
  <si>
    <t>1441970585655918597</t>
  </si>
  <si>
    <t>1441970634175574026</t>
  </si>
  <si>
    <t>1441970696561651722</t>
  </si>
  <si>
    <t>1441978966206677004</t>
  </si>
  <si>
    <t>1439438463447678981</t>
  </si>
  <si>
    <t>1442008773975896071</t>
  </si>
  <si>
    <t>1442010824059482112</t>
  </si>
  <si>
    <t>1442016228566978560</t>
  </si>
  <si>
    <t>1442054678187950082</t>
  </si>
  <si>
    <t>1442056763033849856</t>
  </si>
  <si>
    <t>1442067919442087936</t>
  </si>
  <si>
    <t>1442089543641939975</t>
  </si>
  <si>
    <t>1442094947285438473</t>
  </si>
  <si>
    <t>1442095208728907780</t>
  </si>
  <si>
    <t>1439426876955521025</t>
  </si>
  <si>
    <t>1439429531010420743</t>
  </si>
  <si>
    <t>1442104640175173642</t>
  </si>
  <si>
    <t>1442111426852634626</t>
  </si>
  <si>
    <t>1442128970997133312</t>
  </si>
  <si>
    <t>1442123147612811270</t>
  </si>
  <si>
    <t>1442096547357872134</t>
  </si>
  <si>
    <t>1442131805230952456</t>
  </si>
  <si>
    <t>1442135493886369797</t>
  </si>
  <si>
    <t>1442141658305363971</t>
  </si>
  <si>
    <t>1442144136153341958</t>
  </si>
  <si>
    <t>1442150270520020997</t>
  </si>
  <si>
    <t>1442157667569397763</t>
  </si>
  <si>
    <t>1442158004078477324</t>
  </si>
  <si>
    <t>1442176779498627072</t>
  </si>
  <si>
    <t>1442235327909822465</t>
  </si>
  <si>
    <t>1442261887698173953</t>
  </si>
  <si>
    <t>1442280063228006403</t>
  </si>
  <si>
    <t>1442281596032192514</t>
  </si>
  <si>
    <t>1440460975837122565</t>
  </si>
  <si>
    <t>1442288844456431622</t>
  </si>
  <si>
    <t>1442284207921717256</t>
  </si>
  <si>
    <t>1442297948482641925</t>
  </si>
  <si>
    <t>1442294682671726596</t>
  </si>
  <si>
    <t>1442300530416521218</t>
  </si>
  <si>
    <t>1442301450227384325</t>
  </si>
  <si>
    <t>1442302207794180097</t>
  </si>
  <si>
    <t>1442302682635534336</t>
  </si>
  <si>
    <t>1440343241379905536</t>
  </si>
  <si>
    <t>1440558095810187266</t>
  </si>
  <si>
    <t>1440924667800395776</t>
  </si>
  <si>
    <t>1440929943857385474</t>
  </si>
  <si>
    <t>1441262164166119429</t>
  </si>
  <si>
    <t>1442070538122264580</t>
  </si>
  <si>
    <t>1442071614242369538</t>
  </si>
  <si>
    <t>1442303894554439681</t>
  </si>
  <si>
    <t>1442304658412736514</t>
  </si>
  <si>
    <t>1442311017678049283</t>
  </si>
  <si>
    <t>1442311109734592513</t>
  </si>
  <si>
    <t>1442318075525623810</t>
  </si>
  <si>
    <t>1442323182749290503</t>
  </si>
  <si>
    <t>1442323481220173825</t>
  </si>
  <si>
    <t>1439489143269040128</t>
  </si>
  <si>
    <t>1439864123571929097</t>
  </si>
  <si>
    <t>1440193793010008067</t>
  </si>
  <si>
    <t>1440537729675059206</t>
  </si>
  <si>
    <t>1440632981551345669</t>
  </si>
  <si>
    <t>1442324443959894020</t>
  </si>
  <si>
    <t>1442299105150050305</t>
  </si>
  <si>
    <t>1442326237666373636</t>
  </si>
  <si>
    <t>1440180518780211208</t>
  </si>
  <si>
    <t>1442329280642387972</t>
  </si>
  <si>
    <t>1442335051140632581</t>
  </si>
  <si>
    <t>1442338003469279236</t>
  </si>
  <si>
    <t>1442339775113883650</t>
  </si>
  <si>
    <t>1442342009100914694</t>
  </si>
  <si>
    <t>1442342152810336267</t>
  </si>
  <si>
    <t>1442343555066781696</t>
  </si>
  <si>
    <t>1442344341838524434</t>
  </si>
  <si>
    <t>1442348971750412288</t>
  </si>
  <si>
    <t>1439532303114399752</t>
  </si>
  <si>
    <t>1439576519496454145</t>
  </si>
  <si>
    <t>1442352971455496196</t>
  </si>
  <si>
    <t>1442355545910824960</t>
  </si>
  <si>
    <t>1442356452052459523</t>
  </si>
  <si>
    <t>1442356612610416649</t>
  </si>
  <si>
    <t>1442357762189455362</t>
  </si>
  <si>
    <t>1442357979156647941</t>
  </si>
  <si>
    <t>1442358813957386243</t>
  </si>
  <si>
    <t>1442361310881017860</t>
  </si>
  <si>
    <t>1442363587008155653</t>
  </si>
  <si>
    <t>1440177533459189765</t>
  </si>
  <si>
    <t>1442363679471591426</t>
  </si>
  <si>
    <t>1442364960831512581</t>
  </si>
  <si>
    <t>1442366485079359492</t>
  </si>
  <si>
    <t>1442368866282131458</t>
  </si>
  <si>
    <t>1442377557366558721</t>
  </si>
  <si>
    <t>1442380709679689734</t>
  </si>
  <si>
    <t>1442381614965673987</t>
  </si>
  <si>
    <t>1424159582679494666</t>
  </si>
  <si>
    <t>1442390950467170308</t>
  </si>
  <si>
    <t>1442391953916579851</t>
  </si>
  <si>
    <t>1442396689705234432</t>
  </si>
  <si>
    <t>1442397835161313282</t>
  </si>
  <si>
    <t>1442398183502409728</t>
  </si>
  <si>
    <t>1442402774805729280</t>
  </si>
  <si>
    <t>1442408730293723140</t>
  </si>
  <si>
    <t>1442415121947447302</t>
  </si>
  <si>
    <t>1442423454616064011</t>
  </si>
  <si>
    <t>1442431089394393089</t>
  </si>
  <si>
    <t>1442437753375899650</t>
  </si>
  <si>
    <t>1442439647095713800</t>
  </si>
  <si>
    <t>1442443110777118721</t>
  </si>
  <si>
    <t>1442446829774249994</t>
  </si>
  <si>
    <t>1442460150082641920</t>
  </si>
  <si>
    <t>1442463177510322177</t>
  </si>
  <si>
    <t>1442464440138428436</t>
  </si>
  <si>
    <t>1442472145901158407</t>
  </si>
  <si>
    <t>1442474725108711436</t>
  </si>
  <si>
    <t>1442477204223369223</t>
  </si>
  <si>
    <t>1442483866879414272</t>
  </si>
  <si>
    <t>1442490305803022343</t>
  </si>
  <si>
    <t>1442491260212637705</t>
  </si>
  <si>
    <t>1442493505872429064</t>
  </si>
  <si>
    <t>1440119631516082176</t>
  </si>
  <si>
    <t>1442494502992707584</t>
  </si>
  <si>
    <t>1442497642332778501</t>
  </si>
  <si>
    <t>1442498266197676035</t>
  </si>
  <si>
    <t>1442499947761340420</t>
  </si>
  <si>
    <t>1442503787164299264</t>
  </si>
  <si>
    <t>1442503880516923401</t>
  </si>
  <si>
    <t>1442504383309115398</t>
  </si>
  <si>
    <t>1442515103509663764</t>
  </si>
  <si>
    <t>1442515284280049672</t>
  </si>
  <si>
    <t>1442516499135012875</t>
  </si>
  <si>
    <t>1442529036446560261</t>
  </si>
  <si>
    <t>1442534303271845893</t>
  </si>
  <si>
    <t>1442534441188872197</t>
  </si>
  <si>
    <t>1442536625041403905</t>
  </si>
  <si>
    <t>1442537061924278273</t>
  </si>
  <si>
    <t>1442540353815396356</t>
  </si>
  <si>
    <t>1442426820138201096</t>
  </si>
  <si>
    <t>1442622742113624070</t>
  </si>
  <si>
    <t>1442633410317471745</t>
  </si>
  <si>
    <t>1442640620036657153</t>
  </si>
  <si>
    <t>1442642815641522179</t>
  </si>
  <si>
    <t>1439743611487223810</t>
  </si>
  <si>
    <t>1440095020267098120</t>
  </si>
  <si>
    <t>1440458722224926721</t>
  </si>
  <si>
    <t>1440830706599350281</t>
  </si>
  <si>
    <t>1441179265253347337</t>
  </si>
  <si>
    <t>1441545928997957632</t>
  </si>
  <si>
    <t>1442644457187254274</t>
  </si>
  <si>
    <t>1439741347380928514</t>
  </si>
  <si>
    <t>1440110066321952772</t>
  </si>
  <si>
    <t>1440456095734976519</t>
  </si>
  <si>
    <t>1440838925279367185</t>
  </si>
  <si>
    <t>1441178094920880133</t>
  </si>
  <si>
    <t>1441554506546778115</t>
  </si>
  <si>
    <t>1442267617075478531</t>
  </si>
  <si>
    <t>1442649825510518790</t>
  </si>
  <si>
    <t>1439749022852411392</t>
  </si>
  <si>
    <t>1440090135316480004</t>
  </si>
  <si>
    <t>1440471684335554571</t>
  </si>
  <si>
    <t>1440839951134773251</t>
  </si>
  <si>
    <t>1441195267395514372</t>
  </si>
  <si>
    <t>1441567266580008961</t>
  </si>
  <si>
    <t>1442275497086529538</t>
  </si>
  <si>
    <t>1442649829000179714</t>
  </si>
  <si>
    <t>1439750071302512641</t>
  </si>
  <si>
    <t>1440108088086786058</t>
  </si>
  <si>
    <t>1440466212589228032</t>
  </si>
  <si>
    <t>1440852267943403522</t>
  </si>
  <si>
    <t>1441197591262158848</t>
  </si>
  <si>
    <t>1441567124095262722</t>
  </si>
  <si>
    <t>1442282491335745536</t>
  </si>
  <si>
    <t>1442653354547576832</t>
  </si>
  <si>
    <t>1439416646339219462</t>
  </si>
  <si>
    <t>1440661663921831936</t>
  </si>
  <si>
    <t>1442656454612111365</t>
  </si>
  <si>
    <t>1442656886319292422</t>
  </si>
  <si>
    <t>1442658703774142467</t>
  </si>
  <si>
    <t>1442660565894057987</t>
  </si>
  <si>
    <t>1439317925601579011</t>
  </si>
  <si>
    <t>1439453847840182275</t>
  </si>
  <si>
    <t>1439597375660564498</t>
  </si>
  <si>
    <t>1439733227598475267</t>
  </si>
  <si>
    <t>1439876635436613638</t>
  </si>
  <si>
    <t>1440012503413506048</t>
  </si>
  <si>
    <t>1440155998405025796</t>
  </si>
  <si>
    <t>1440291890742525965</t>
  </si>
  <si>
    <t>1440435294679941121</t>
  </si>
  <si>
    <t>1440571212904628230</t>
  </si>
  <si>
    <t>1440714640279814151</t>
  </si>
  <si>
    <t>1440850562266796045</t>
  </si>
  <si>
    <t>1440994091756507140</t>
  </si>
  <si>
    <t>1441129946718474249</t>
  </si>
  <si>
    <t>1441273397871210505</t>
  </si>
  <si>
    <t>1441409241344970761</t>
  </si>
  <si>
    <t>1441552755894538241</t>
  </si>
  <si>
    <t>1441688590405156870</t>
  </si>
  <si>
    <t>1441831944140963847</t>
  </si>
  <si>
    <t>1441967953436557314</t>
  </si>
  <si>
    <t>1442111423220371459</t>
  </si>
  <si>
    <t>1442247226890145792</t>
  </si>
  <si>
    <t>1442390804144656388</t>
  </si>
  <si>
    <t>1442526608397520899</t>
  </si>
  <si>
    <t>1442670044501057537</t>
  </si>
  <si>
    <t>1442343512905633795</t>
  </si>
  <si>
    <t>1442343933791465473</t>
  </si>
  <si>
    <t>1442670010342658051</t>
  </si>
  <si>
    <t>1442670871802306560</t>
  </si>
  <si>
    <t>1440857881830518787</t>
  </si>
  <si>
    <t>1442673973917929476</t>
  </si>
  <si>
    <t>1442674677105659905</t>
  </si>
  <si>
    <t>1439766107355705344</t>
  </si>
  <si>
    <t>1440855854387904514</t>
  </si>
  <si>
    <t>1442304128147869700</t>
  </si>
  <si>
    <t>1442675848591515652</t>
  </si>
  <si>
    <t>1442676042217316353</t>
  </si>
  <si>
    <t>1442662793916805123</t>
  </si>
  <si>
    <t>1442677749659934722</t>
  </si>
  <si>
    <t>1442680756426313730</t>
  </si>
  <si>
    <t>1439740288725962757</t>
  </si>
  <si>
    <t>1440086230226505732</t>
  </si>
  <si>
    <t>1440454643054645253</t>
  </si>
  <si>
    <t>1440821318971052032</t>
  </si>
  <si>
    <t>1441172679222972419</t>
  </si>
  <si>
    <t>1441545006943072257</t>
  </si>
  <si>
    <t>1442260542031216642</t>
  </si>
  <si>
    <t>1442639912298156037</t>
  </si>
  <si>
    <t>1440093831643295747</t>
  </si>
  <si>
    <t>1441577602703974402</t>
  </si>
  <si>
    <t>1442691358691524620</t>
  </si>
  <si>
    <t>1442696107637690370</t>
  </si>
  <si>
    <t>1442699694342225925</t>
  </si>
  <si>
    <t>1442700085981179905</t>
  </si>
  <si>
    <t>1442707024337268736</t>
  </si>
  <si>
    <t>1442720361217290240</t>
  </si>
  <si>
    <t>1442720591493021696</t>
  </si>
  <si>
    <t>1442721938963501056</t>
  </si>
  <si>
    <t>1442722924037689345</t>
  </si>
  <si>
    <t>1442724174913441796</t>
  </si>
  <si>
    <t>1442724356338032644</t>
  </si>
  <si>
    <t>1439321699283976194</t>
  </si>
  <si>
    <t>1439356929470439425</t>
  </si>
  <si>
    <t>1439399444194070529</t>
  </si>
  <si>
    <t>1437752175241805825</t>
  </si>
  <si>
    <t>1439444384798294018</t>
  </si>
  <si>
    <t>1439446227481870343</t>
  </si>
  <si>
    <t>1439445694842949632</t>
  </si>
  <si>
    <t>1439272721913769984</t>
  </si>
  <si>
    <t>1439394540549378051</t>
  </si>
  <si>
    <t>1439469342773547009</t>
  </si>
  <si>
    <t>1439405209244119042</t>
  </si>
  <si>
    <t>1439486444347686922</t>
  </si>
  <si>
    <t>1439516223511752706</t>
  </si>
  <si>
    <t>1439511886282649602</t>
  </si>
  <si>
    <t>1439492607822893062</t>
  </si>
  <si>
    <t>1439558027124699137</t>
  </si>
  <si>
    <t>1439548624220815361</t>
  </si>
  <si>
    <t>1438088747531132940</t>
  </si>
  <si>
    <t>1439521178251530241</t>
  </si>
  <si>
    <t>1439395074312265731</t>
  </si>
  <si>
    <t>1439596029096042503</t>
  </si>
  <si>
    <t>1439598168484679683</t>
  </si>
  <si>
    <t>1439629654780899335</t>
  </si>
  <si>
    <t>1439615725719605250</t>
  </si>
  <si>
    <t>1439656831073366019</t>
  </si>
  <si>
    <t>1439658205370470405</t>
  </si>
  <si>
    <t>1439662218946093057</t>
  </si>
  <si>
    <t>1439587241899167745</t>
  </si>
  <si>
    <t>1439590635426619393</t>
  </si>
  <si>
    <t>1439594657529221126</t>
  </si>
  <si>
    <t>1439767984298332160</t>
  </si>
  <si>
    <t>1439770399890239489</t>
  </si>
  <si>
    <t>1439211017616039940</t>
  </si>
  <si>
    <t>1439795034757365762</t>
  </si>
  <si>
    <t>1439538672857018377</t>
  </si>
  <si>
    <t>1439811578921029639</t>
  </si>
  <si>
    <t>1439820375055953923</t>
  </si>
  <si>
    <t>1439821788398059532</t>
  </si>
  <si>
    <t>1439780015554502661</t>
  </si>
  <si>
    <t>1439824140031062017</t>
  </si>
  <si>
    <t>1439808511324540932</t>
  </si>
  <si>
    <t>1439843109693652993</t>
  </si>
  <si>
    <t>1439856476403560448</t>
  </si>
  <si>
    <t>1439745980010663939</t>
  </si>
  <si>
    <t>1439841736524636167</t>
  </si>
  <si>
    <t>1439859379340124164</t>
  </si>
  <si>
    <t>1439647848690184196</t>
  </si>
  <si>
    <t>1439875975123140609</t>
  </si>
  <si>
    <t>1439886624083505153</t>
  </si>
  <si>
    <t>1439890597251190792</t>
  </si>
  <si>
    <t>1439889572104585220</t>
  </si>
  <si>
    <t>1439893716244701186</t>
  </si>
  <si>
    <t>1439870353833009162</t>
  </si>
  <si>
    <t>1439839662428749826</t>
  </si>
  <si>
    <t>1439925002728460292</t>
  </si>
  <si>
    <t>1439931506697195524</t>
  </si>
  <si>
    <t>1439953044418924546</t>
  </si>
  <si>
    <t>1439964693192343557</t>
  </si>
  <si>
    <t>1440075503210156040</t>
  </si>
  <si>
    <t>1440140591438852105</t>
  </si>
  <si>
    <t>1440153201819349000</t>
  </si>
  <si>
    <t>1440155737091502086</t>
  </si>
  <si>
    <t>1440171068266717195</t>
  </si>
  <si>
    <t>1440187465319342084</t>
  </si>
  <si>
    <t>1440174897418833920</t>
  </si>
  <si>
    <t>1440213816898293762</t>
  </si>
  <si>
    <t>1440221054723522560</t>
  </si>
  <si>
    <t>1440251983265341458</t>
  </si>
  <si>
    <t>1440257311767863298</t>
  </si>
  <si>
    <t>1440224296001933314</t>
  </si>
  <si>
    <t>1439952320360419329</t>
  </si>
  <si>
    <t>1440293447227699205</t>
  </si>
  <si>
    <t>1440263346649927684</t>
  </si>
  <si>
    <t>1440253535111630857</t>
  </si>
  <si>
    <t>1440117605411409921</t>
  </si>
  <si>
    <t>1439876959572348935</t>
  </si>
  <si>
    <t>1439778513620389888</t>
  </si>
  <si>
    <t>1439617729309200384</t>
  </si>
  <si>
    <t>1438836553913040904</t>
  </si>
  <si>
    <t>1439916140935856130</t>
  </si>
  <si>
    <t>1440299055184179202</t>
  </si>
  <si>
    <t>1440299081016877060</t>
  </si>
  <si>
    <t>1440299103905222659</t>
  </si>
  <si>
    <t>1440223655510691853</t>
  </si>
  <si>
    <t>1440312429494210581</t>
  </si>
  <si>
    <t>1440322423493066753</t>
  </si>
  <si>
    <t>1440331984329338881</t>
  </si>
  <si>
    <t>1440345912073539592</t>
  </si>
  <si>
    <t>1440287988542423045</t>
  </si>
  <si>
    <t>1440229245444259847</t>
  </si>
  <si>
    <t>1440450772903202826</t>
  </si>
  <si>
    <t>1440462787956801538</t>
  </si>
  <si>
    <t>1440494083084939264</t>
  </si>
  <si>
    <t>1439864761085136896</t>
  </si>
  <si>
    <t>1439867641837998083</t>
  </si>
  <si>
    <t>1439949444498161664</t>
  </si>
  <si>
    <t>1440120181469048835</t>
  </si>
  <si>
    <t>1440153427682553861</t>
  </si>
  <si>
    <t>1440485753385979912</t>
  </si>
  <si>
    <t>1440532206758227981</t>
  </si>
  <si>
    <t>1440551554830848002</t>
  </si>
  <si>
    <t>1440504180699848714</t>
  </si>
  <si>
    <t>1440573720779640840</t>
  </si>
  <si>
    <t>1440536195428089861</t>
  </si>
  <si>
    <t>1440612602208350208</t>
  </si>
  <si>
    <t>1440614535119790087</t>
  </si>
  <si>
    <t>1440622521376673807</t>
  </si>
  <si>
    <t>1440628153899118598</t>
  </si>
  <si>
    <t>1440635375035174914</t>
  </si>
  <si>
    <t>1440629991553712128</t>
  </si>
  <si>
    <t>1440671060165160961</t>
  </si>
  <si>
    <t>1440679040466100237</t>
  </si>
  <si>
    <t>1440663505045123074</t>
  </si>
  <si>
    <t>1440552867253800966</t>
  </si>
  <si>
    <t>1440735167442685960</t>
  </si>
  <si>
    <t>1440800180660441088</t>
  </si>
  <si>
    <t>1440838328153038853</t>
  </si>
  <si>
    <t>1440852149336821767</t>
  </si>
  <si>
    <t>1440887448100225027</t>
  </si>
  <si>
    <t>1440895131956088838</t>
  </si>
  <si>
    <t>1440943167465947143</t>
  </si>
  <si>
    <t>1440898460115296257</t>
  </si>
  <si>
    <t>1440620856489639961</t>
  </si>
  <si>
    <t>1440980141098692616</t>
  </si>
  <si>
    <t>1440952256568852489</t>
  </si>
  <si>
    <t>1440996019303424006</t>
  </si>
  <si>
    <t>1440998857983225860</t>
  </si>
  <si>
    <t>1441001299189723147</t>
  </si>
  <si>
    <t>1441038772120948740</t>
  </si>
  <si>
    <t>1441041548876005377</t>
  </si>
  <si>
    <t>1441075654854787074</t>
  </si>
  <si>
    <t>1441079930314321929</t>
  </si>
  <si>
    <t>1441029385742548999</t>
  </si>
  <si>
    <t>1441032900766416906</t>
  </si>
  <si>
    <t>1441203044843069443</t>
  </si>
  <si>
    <t>1441232169125363725</t>
  </si>
  <si>
    <t>1441242067854761986</t>
  </si>
  <si>
    <t>1440553428044828673</t>
  </si>
  <si>
    <t>1441221984927444995</t>
  </si>
  <si>
    <t>1441274332932575232</t>
  </si>
  <si>
    <t>1441283771815190528</t>
  </si>
  <si>
    <t>1441302824617332739</t>
  </si>
  <si>
    <t>1441303389992677379</t>
  </si>
  <si>
    <t>1441306134216773633</t>
  </si>
  <si>
    <t>1441309867751313419</t>
  </si>
  <si>
    <t>1441325732798496770</t>
  </si>
  <si>
    <t>1441327450672099333</t>
  </si>
  <si>
    <t>1441348250158596098</t>
  </si>
  <si>
    <t>1441243326632521737</t>
  </si>
  <si>
    <t>1441347425340329994</t>
  </si>
  <si>
    <t>1441350953051906049</t>
  </si>
  <si>
    <t>1441361780924555272</t>
  </si>
  <si>
    <t>1441358590334279681</t>
  </si>
  <si>
    <t>1441366520374849539</t>
  </si>
  <si>
    <t>1441254629614837770</t>
  </si>
  <si>
    <t>1441368773575921671</t>
  </si>
  <si>
    <t>1441377429277212677</t>
  </si>
  <si>
    <t>1441397680295448579</t>
  </si>
  <si>
    <t>1441234221947777029</t>
  </si>
  <si>
    <t>1441430116966436872</t>
  </si>
  <si>
    <t>1441437114357276672</t>
  </si>
  <si>
    <t>1441463674548342789</t>
  </si>
  <si>
    <t>1441546866605244417</t>
  </si>
  <si>
    <t>1441555552027381761</t>
  </si>
  <si>
    <t>1441584491546304513</t>
  </si>
  <si>
    <t>1441594958910087173</t>
  </si>
  <si>
    <t>1441600520427229195</t>
  </si>
  <si>
    <t>1441592070100054018</t>
  </si>
  <si>
    <t>1441630497432502272</t>
  </si>
  <si>
    <t>1441630501542903811</t>
  </si>
  <si>
    <t>1441300443074760705</t>
  </si>
  <si>
    <t>1441745319318802445</t>
  </si>
  <si>
    <t>1441666439874695171</t>
  </si>
  <si>
    <t>1441364404696584197</t>
  </si>
  <si>
    <t>1441777641753694220</t>
  </si>
  <si>
    <t>1441888923593043972</t>
  </si>
  <si>
    <t>1441793941272072200</t>
  </si>
  <si>
    <t>1441917682270359554</t>
  </si>
  <si>
    <t>1441970155207102465</t>
  </si>
  <si>
    <t>1442008069962022922</t>
  </si>
  <si>
    <t>1442061787734503428</t>
  </si>
  <si>
    <t>1442089197955784708</t>
  </si>
  <si>
    <t>1442079335834292229</t>
  </si>
  <si>
    <t>1442103382974418954</t>
  </si>
  <si>
    <t>1442093716500451328</t>
  </si>
  <si>
    <t>1442135242509193216</t>
  </si>
  <si>
    <t>1442141338082824200</t>
  </si>
  <si>
    <t>1442149929309257737</t>
  </si>
  <si>
    <t>1442155337839104005</t>
  </si>
  <si>
    <t>1442301413699186692</t>
  </si>
  <si>
    <t>1442318015912054784</t>
  </si>
  <si>
    <t>1442323179699986439</t>
  </si>
  <si>
    <t>1442128730743181317</t>
  </si>
  <si>
    <t>1442286634108522499</t>
  </si>
  <si>
    <t>1442339720869019649</t>
  </si>
  <si>
    <t>1442326919052095492</t>
  </si>
  <si>
    <t>1442330608382840840</t>
  </si>
  <si>
    <t>1439531351196143616</t>
  </si>
  <si>
    <t>1439555264756158471</t>
  </si>
  <si>
    <t>1442349120723718146</t>
  </si>
  <si>
    <t>1442354025886715904</t>
  </si>
  <si>
    <t>1442360857715875852</t>
  </si>
  <si>
    <t>1442366478951407621</t>
  </si>
  <si>
    <t>1442366906732724227</t>
  </si>
  <si>
    <t>1442377553986027522</t>
  </si>
  <si>
    <t>1424144510456455168</t>
  </si>
  <si>
    <t>1442391108210737154</t>
  </si>
  <si>
    <t>1442385728638316548</t>
  </si>
  <si>
    <t>1442391097884299267</t>
  </si>
  <si>
    <t>1442408969335492609</t>
  </si>
  <si>
    <t>1442439128985997316</t>
  </si>
  <si>
    <t>1442423511784452098</t>
  </si>
  <si>
    <t>1442483536800272384</t>
  </si>
  <si>
    <t>1442489279347789826</t>
  </si>
  <si>
    <t>1442492876357701638</t>
  </si>
  <si>
    <t>1442471216439193605</t>
  </si>
  <si>
    <t>1442499516616245252</t>
  </si>
  <si>
    <t>1442503270883225613</t>
  </si>
  <si>
    <t>1442503234518614025</t>
  </si>
  <si>
    <t>1442514726630526979</t>
  </si>
  <si>
    <t>1442514446757208070</t>
  </si>
  <si>
    <t>1442526964577800195</t>
  </si>
  <si>
    <t>1442531837373403136</t>
  </si>
  <si>
    <t>1442631840674705415</t>
  </si>
  <si>
    <t>1442656558375063555</t>
  </si>
  <si>
    <t>1442338781021945856</t>
  </si>
  <si>
    <t>1442669357922861061</t>
  </si>
  <si>
    <t>1440596111635279879</t>
  </si>
  <si>
    <t>1442653614007193605</t>
  </si>
  <si>
    <t>1442674189228380161</t>
  </si>
  <si>
    <t>1439528427049021443</t>
  </si>
  <si>
    <t>1442678758930989056</t>
  </si>
  <si>
    <t>1442695128284467204</t>
  </si>
  <si>
    <t>1442699950689685509</t>
  </si>
  <si>
    <t>1442699222654930944</t>
  </si>
  <si>
    <t/>
  </si>
  <si>
    <t>40879209</t>
  </si>
  <si>
    <t>2965263818</t>
  </si>
  <si>
    <t>1415616066554765318</t>
  </si>
  <si>
    <t>1427106963075211267</t>
  </si>
  <si>
    <t>981988393</t>
  </si>
  <si>
    <t>1318495907856330752</t>
  </si>
  <si>
    <t>98315591</t>
  </si>
  <si>
    <t>775899503027220480</t>
  </si>
  <si>
    <t>1042964050257227776</t>
  </si>
  <si>
    <t>69183155</t>
  </si>
  <si>
    <t>385996689</t>
  </si>
  <si>
    <t>700496978</t>
  </si>
  <si>
    <t>155928815</t>
  </si>
  <si>
    <t>1309073872088715265</t>
  </si>
  <si>
    <t>1374205022225887235</t>
  </si>
  <si>
    <t>1225618102546599937</t>
  </si>
  <si>
    <t>178391306</t>
  </si>
  <si>
    <t>705276546735407104</t>
  </si>
  <si>
    <t>89893826</t>
  </si>
  <si>
    <t>1628803987</t>
  </si>
  <si>
    <t>58378778</t>
  </si>
  <si>
    <t>919570391567187968</t>
  </si>
  <si>
    <t>1054704841178542080</t>
  </si>
  <si>
    <t>288046248</t>
  </si>
  <si>
    <t>3185513942</t>
  </si>
  <si>
    <t>1041668603643228160</t>
  </si>
  <si>
    <t>2340043838</t>
  </si>
  <si>
    <t>901340008820260864</t>
  </si>
  <si>
    <t>1322791742844801025</t>
  </si>
  <si>
    <t>412083204</t>
  </si>
  <si>
    <t>1075673058931806208</t>
  </si>
  <si>
    <t>39677695</t>
  </si>
  <si>
    <t>1438011288882348037</t>
  </si>
  <si>
    <t>1052245667794411520</t>
  </si>
  <si>
    <t>1240510156745494528</t>
  </si>
  <si>
    <t>99844988</t>
  </si>
  <si>
    <t>740913957293068289</t>
  </si>
  <si>
    <t>147137991</t>
  </si>
  <si>
    <t>1434899262869934085</t>
  </si>
  <si>
    <t>451883912</t>
  </si>
  <si>
    <t>1197490110721249280</t>
  </si>
  <si>
    <t>1216228358100406273</t>
  </si>
  <si>
    <t>1369928138663235584</t>
  </si>
  <si>
    <t>1245238594010091520</t>
  </si>
  <si>
    <t>315693949</t>
  </si>
  <si>
    <t>328875677</t>
  </si>
  <si>
    <t>1256106786915880960</t>
  </si>
  <si>
    <t>1157334183204642816</t>
  </si>
  <si>
    <t>732768730569019394</t>
  </si>
  <si>
    <t>1402323473997860864</t>
  </si>
  <si>
    <t>765035200896118789</t>
  </si>
  <si>
    <t>1316429009752780800</t>
  </si>
  <si>
    <t>1279236826893410304</t>
  </si>
  <si>
    <t>1134220860045139968</t>
  </si>
  <si>
    <t>1326553551804399624</t>
  </si>
  <si>
    <t>328882133</t>
  </si>
  <si>
    <t>1410853276795297799</t>
  </si>
  <si>
    <t>1080062157474037760</t>
  </si>
  <si>
    <t>1421886623520759808</t>
  </si>
  <si>
    <t>769912644610297856</t>
  </si>
  <si>
    <t>420821783</t>
  </si>
  <si>
    <t>1176581655076564992</t>
  </si>
  <si>
    <t>382522068</t>
  </si>
  <si>
    <t>499878624</t>
  </si>
  <si>
    <t>1373227601829916685</t>
  </si>
  <si>
    <t>448540817</t>
  </si>
  <si>
    <t>1318065543169986562</t>
  </si>
  <si>
    <t>1047818113</t>
  </si>
  <si>
    <t>1177052356925513728</t>
  </si>
  <si>
    <t>472857347</t>
  </si>
  <si>
    <t>1102794516933763072</t>
  </si>
  <si>
    <t>2280372726</t>
  </si>
  <si>
    <t>1172147166162214914</t>
  </si>
  <si>
    <t>1160532100111466496</t>
  </si>
  <si>
    <t>929287558281830400</t>
  </si>
  <si>
    <t>3292664263</t>
  </si>
  <si>
    <t>633016230</t>
  </si>
  <si>
    <t>1311606670267621378</t>
  </si>
  <si>
    <t>757832946363400192</t>
  </si>
  <si>
    <t>4564565058</t>
  </si>
  <si>
    <t>1437153387078832129</t>
  </si>
  <si>
    <t>888709306673057792</t>
  </si>
  <si>
    <t>1365174727199793153</t>
  </si>
  <si>
    <t>2676203002</t>
  </si>
  <si>
    <t>976734429392470016</t>
  </si>
  <si>
    <t>1228617412641091584</t>
  </si>
  <si>
    <t>151750890</t>
  </si>
  <si>
    <t>1306817084911833089</t>
  </si>
  <si>
    <t>1403201063176458246</t>
  </si>
  <si>
    <t>1266409544537661442</t>
  </si>
  <si>
    <t>1264850176759324673</t>
  </si>
  <si>
    <t>1317140678</t>
  </si>
  <si>
    <t>879377449632411648</t>
  </si>
  <si>
    <t>1176786251942260741</t>
  </si>
  <si>
    <t>1334107047898451971</t>
  </si>
  <si>
    <t>1437705158117380098</t>
  </si>
  <si>
    <t>282006208</t>
  </si>
  <si>
    <t>1342850527470579716</t>
  </si>
  <si>
    <t>1046084008742801408</t>
  </si>
  <si>
    <t>78619866</t>
  </si>
  <si>
    <t>953714494470897664</t>
  </si>
  <si>
    <t>1174660356641148928</t>
  </si>
  <si>
    <t>200144577</t>
  </si>
  <si>
    <t>837088882470621185</t>
  </si>
  <si>
    <t>788819034</t>
  </si>
  <si>
    <t>969574890087985152</t>
  </si>
  <si>
    <t>1273263376504774656</t>
  </si>
  <si>
    <t>1299728027887173632</t>
  </si>
  <si>
    <t>1024978564880334848</t>
  </si>
  <si>
    <t>1940940588</t>
  </si>
  <si>
    <t>1395236242862661635</t>
  </si>
  <si>
    <t>1348624320860327940</t>
  </si>
  <si>
    <t>1307030100643205120</t>
  </si>
  <si>
    <t>3964238784</t>
  </si>
  <si>
    <t>859392858540789761</t>
  </si>
  <si>
    <t>89115025</t>
  </si>
  <si>
    <t>1396695009659789313</t>
  </si>
  <si>
    <t>602538930</t>
  </si>
  <si>
    <t>1248335621988311041</t>
  </si>
  <si>
    <t>1270913038598598656</t>
  </si>
  <si>
    <t>42011367</t>
  </si>
  <si>
    <t>598448908</t>
  </si>
  <si>
    <t>1386905582322421761</t>
  </si>
  <si>
    <t>62293005</t>
  </si>
  <si>
    <t>1253186636268986368</t>
  </si>
  <si>
    <t>605048711</t>
  </si>
  <si>
    <t>2324943812</t>
  </si>
  <si>
    <t>1362594902169645057</t>
  </si>
  <si>
    <t>1300932270593773568</t>
  </si>
  <si>
    <t>1402318520</t>
  </si>
  <si>
    <t>113328047</t>
  </si>
  <si>
    <t>1416760714132217856</t>
  </si>
  <si>
    <t>1349032056</t>
  </si>
  <si>
    <t>972404735092277250</t>
  </si>
  <si>
    <t>1341084188</t>
  </si>
  <si>
    <t>1202241939212361729</t>
  </si>
  <si>
    <t>1392180462</t>
  </si>
  <si>
    <t>2291898810</t>
  </si>
  <si>
    <t>403338853</t>
  </si>
  <si>
    <t>190002562</t>
  </si>
  <si>
    <t>1256200353399230464</t>
  </si>
  <si>
    <t>1420083957345918979</t>
  </si>
  <si>
    <t>104116822</t>
  </si>
  <si>
    <t>1437014917299638274</t>
  </si>
  <si>
    <t>150589950</t>
  </si>
  <si>
    <t>1245204982086774786</t>
  </si>
  <si>
    <t>3195998996</t>
  </si>
  <si>
    <t>1126684769536733184</t>
  </si>
  <si>
    <t>74924948</t>
  </si>
  <si>
    <t>2390311626</t>
  </si>
  <si>
    <t>831179086210805761</t>
  </si>
  <si>
    <t>1247843492</t>
  </si>
  <si>
    <t>1306394098903863297</t>
  </si>
  <si>
    <t>1260810522976346112</t>
  </si>
  <si>
    <t>1243789940216836096</t>
  </si>
  <si>
    <t>387503902</t>
  </si>
  <si>
    <t>1284061445148209154</t>
  </si>
  <si>
    <t>1240988030204141568</t>
  </si>
  <si>
    <t>3159392252</t>
  </si>
  <si>
    <t>44868542</t>
  </si>
  <si>
    <t>1314975287294083073</t>
  </si>
  <si>
    <t>3059476934</t>
  </si>
  <si>
    <t>1440922883081977860</t>
  </si>
  <si>
    <t>1248874318785732608</t>
  </si>
  <si>
    <t>20745490</t>
  </si>
  <si>
    <t>71435460</t>
  </si>
  <si>
    <t>1256485136</t>
  </si>
  <si>
    <t>131698877</t>
  </si>
  <si>
    <t>1265583910211080193</t>
  </si>
  <si>
    <t>1152437175587241985</t>
  </si>
  <si>
    <t>1335079472542838784</t>
  </si>
  <si>
    <t>1392370565202137088</t>
  </si>
  <si>
    <t>1361779650179964932</t>
  </si>
  <si>
    <t>1247110849</t>
  </si>
  <si>
    <t>883636627456704512</t>
  </si>
  <si>
    <t>1145664973764321281</t>
  </si>
  <si>
    <t>1273064692789858305</t>
  </si>
  <si>
    <t>140675806</t>
  </si>
  <si>
    <t>2794339567</t>
  </si>
  <si>
    <t>83032125</t>
  </si>
  <si>
    <t>226019868</t>
  </si>
  <si>
    <t>742682454</t>
  </si>
  <si>
    <t>715811726</t>
  </si>
  <si>
    <t>1331650559518990336</t>
  </si>
  <si>
    <t>1429237147</t>
  </si>
  <si>
    <t>575312554</t>
  </si>
  <si>
    <t>307863876</t>
  </si>
  <si>
    <t>804246011837190145</t>
  </si>
  <si>
    <t>1422951168</t>
  </si>
  <si>
    <t>1429756284362891269</t>
  </si>
  <si>
    <t>1184031349100777475</t>
  </si>
  <si>
    <t>1176081656077111296</t>
  </si>
  <si>
    <t>1369654434683183105</t>
  </si>
  <si>
    <t>1011599299644452865</t>
  </si>
  <si>
    <t>1343205740060655617</t>
  </si>
  <si>
    <t>43088704</t>
  </si>
  <si>
    <t>1168429741239500800</t>
  </si>
  <si>
    <t>1434103080144961536</t>
  </si>
  <si>
    <t>1391172453427073025</t>
  </si>
  <si>
    <t>1093554064481169408</t>
  </si>
  <si>
    <t>2886182706</t>
  </si>
  <si>
    <t>1734773143</t>
  </si>
  <si>
    <t>2559167748</t>
  </si>
  <si>
    <t>1023569652994080769</t>
  </si>
  <si>
    <t>1415533173463654400</t>
  </si>
  <si>
    <t>2814445920</t>
  </si>
  <si>
    <t>89071370</t>
  </si>
  <si>
    <t>1253194426676985856</t>
  </si>
  <si>
    <t>50270535</t>
  </si>
  <si>
    <t>46590150</t>
  </si>
  <si>
    <t>1313356611537104896</t>
  </si>
  <si>
    <t>441691114</t>
  </si>
  <si>
    <t>1178228134690189313</t>
  </si>
  <si>
    <t>839666310485204992</t>
  </si>
  <si>
    <t>387096096</t>
  </si>
  <si>
    <t>272820626</t>
  </si>
  <si>
    <t>in</t>
  </si>
  <si>
    <t>en</t>
  </si>
  <si>
    <t>da</t>
  </si>
  <si>
    <t>tl</t>
  </si>
  <si>
    <t>ja</t>
  </si>
  <si>
    <t>1439420822075043840</t>
  </si>
  <si>
    <t>1439596964224503810</t>
  </si>
  <si>
    <t>1376374692789977089</t>
  </si>
  <si>
    <t>1439805904329887744</t>
  </si>
  <si>
    <t>1440294021755142144</t>
  </si>
  <si>
    <t>1440606248898990085</t>
  </si>
  <si>
    <t>1441384083620175874</t>
  </si>
  <si>
    <t>1442094239584690181</t>
  </si>
  <si>
    <t>1442157130581102596</t>
  </si>
  <si>
    <t>1442148580232335360</t>
  </si>
  <si>
    <t>1442279669017944065</t>
  </si>
  <si>
    <t>1442720222851608576</t>
  </si>
  <si>
    <t>Twitter for Android</t>
  </si>
  <si>
    <t>Twitter for iPhone</t>
  </si>
  <si>
    <t>Twitter Web App</t>
  </si>
  <si>
    <t>Tweecha Lite</t>
  </si>
  <si>
    <t>dlvr.it</t>
  </si>
  <si>
    <t>UNNES MENFESS🍌</t>
  </si>
  <si>
    <t>OxfordBlue-Twitter</t>
  </si>
  <si>
    <t>twittbot.net</t>
  </si>
  <si>
    <t>Instagram</t>
  </si>
  <si>
    <t>Test Retweet 1</t>
  </si>
  <si>
    <t>w o r k s f e s s</t>
  </si>
  <si>
    <t>WordPress.com</t>
  </si>
  <si>
    <t>Testeregr</t>
  </si>
  <si>
    <t>IFTTT</t>
  </si>
  <si>
    <t>Info CPNS BUMN</t>
  </si>
  <si>
    <t>TweetDeck</t>
  </si>
  <si>
    <t>Sunda Empire</t>
  </si>
  <si>
    <t>roltweet</t>
  </si>
  <si>
    <t>Twitter for Banjarbase</t>
  </si>
  <si>
    <t>uns menfess</t>
  </si>
  <si>
    <t>Datalelang.id</t>
  </si>
  <si>
    <t>Twitter for Mac</t>
  </si>
  <si>
    <t>Jawapos.com auto tweet</t>
  </si>
  <si>
    <t>Sentralokernet</t>
  </si>
  <si>
    <t>Harmoni Kediri Lagi</t>
  </si>
  <si>
    <t>Kampung Inggris Pare</t>
  </si>
  <si>
    <t>Tjap 3 Dewa</t>
  </si>
  <si>
    <t>LinkedIn</t>
  </si>
  <si>
    <t>sosmed twitter</t>
  </si>
  <si>
    <t>AyoBogor</t>
  </si>
  <si>
    <t>CHSCProjectV1</t>
  </si>
  <si>
    <t>106,792411,-6,268342 
106,825935,-6,268342 
106,825935,-6,220827 
106,792411,-6,220827</t>
  </si>
  <si>
    <t>134,505904,-9,1457534 
141,0549412,-9,1457534 
141,0549412,-0,4000327 
134,505904,-0,4000327</t>
  </si>
  <si>
    <t>106,127825,-6,148666 
106,187733,-6,148666 
106,187733,-6,080656 
106,127825,-6,080656</t>
  </si>
  <si>
    <t>106,807441,-6,180635 
106,846151,-6,180635 
106,846151,-6,157287 
106,807441,-6,157287</t>
  </si>
  <si>
    <t>101,316109,0,386546 
101,44278,0,386546 
101,44278,0,563116 
101,316109,0,563116</t>
  </si>
  <si>
    <t>Indonesia</t>
  </si>
  <si>
    <t>Kebayoran Baru, Indonesia</t>
  </si>
  <si>
    <t>Papua, Indonesia</t>
  </si>
  <si>
    <t>Serang, Indonesia</t>
  </si>
  <si>
    <t>Gambir, Indonesia</t>
  </si>
  <si>
    <t>Tampan, Indonesia</t>
  </si>
  <si>
    <t>00ce43ecd091a5e8</t>
  </si>
  <si>
    <t>473acb78adf57217</t>
  </si>
  <si>
    <t>900dd3ca7a614b4f</t>
  </si>
  <si>
    <t>25f5e9dbc1b635ac</t>
  </si>
  <si>
    <t>32eb831712cde417</t>
  </si>
  <si>
    <t>Kebayoran Baru</t>
  </si>
  <si>
    <t>Papua</t>
  </si>
  <si>
    <t>Serang</t>
  </si>
  <si>
    <t>Gambir</t>
  </si>
  <si>
    <t>Tampan</t>
  </si>
  <si>
    <t>city</t>
  </si>
  <si>
    <t>admin</t>
  </si>
  <si>
    <t>Name</t>
  </si>
  <si>
    <t>User ID</t>
  </si>
  <si>
    <t>Followed</t>
  </si>
  <si>
    <t>Followers</t>
  </si>
  <si>
    <t>Tweets</t>
  </si>
  <si>
    <t>Favorites</t>
  </si>
  <si>
    <t>Time Zone UTC Offset (Seconds)</t>
  </si>
  <si>
    <t>Description</t>
  </si>
  <si>
    <t>Location</t>
  </si>
  <si>
    <t>Web</t>
  </si>
  <si>
    <t>Time Zone</t>
  </si>
  <si>
    <t>Joined Twitter Date (UTC)</t>
  </si>
  <si>
    <t>Profile Banner Url</t>
  </si>
  <si>
    <t>Default Profile</t>
  </si>
  <si>
    <t>Default Profile Image</t>
  </si>
  <si>
    <t>Geo Enabled</t>
  </si>
  <si>
    <t>Listed Count</t>
  </si>
  <si>
    <t>Profile Background Image Url</t>
  </si>
  <si>
    <t>Verified</t>
  </si>
  <si>
    <t>Custom Menu Item Text</t>
  </si>
  <si>
    <t>Custom Menu Item Action</t>
  </si>
  <si>
    <t>Tweeted Search Term?</t>
  </si>
  <si>
    <t>Azhar Abadi</t>
  </si>
  <si>
    <t>Good News From Indonesia</t>
  </si>
  <si>
    <t>mamaknya phil</t>
  </si>
  <si>
    <t>Name can’t be blank</t>
  </si>
  <si>
    <t>Rejuvenation 🦓</t>
  </si>
  <si>
    <t>Berd Ma</t>
  </si>
  <si>
    <t>SentraLoker</t>
  </si>
  <si>
    <t>𝕂𝕖𝕟 ℕ𝕕𝕒𝕣𝕦</t>
  </si>
  <si>
    <t>Kokok Dirgantoro</t>
  </si>
  <si>
    <t>Jarenese Wes_Vaksin</t>
  </si>
  <si>
    <t>hanna</t>
  </si>
  <si>
    <t>Ex Penjual Bakso Borax</t>
  </si>
  <si>
    <t>mamia #Di Rumah Aja</t>
  </si>
  <si>
    <t>adiknyaKunti | lg capek bgt🙏</t>
  </si>
  <si>
    <t>mai</t>
  </si>
  <si>
    <t>bigwinwinns</t>
  </si>
  <si>
    <t>pluvio</t>
  </si>
  <si>
    <t>𝚄 𝙽 𝙼 𝙰 𝙽 𝙵 𝙰 𝙰 𝚃︎ ︎ ︎ ︎</t>
  </si>
  <si>
    <t>Des</t>
  </si>
  <si>
    <t>CEK PINNED</t>
  </si>
  <si>
    <t>pinA</t>
  </si>
  <si>
    <t>andy</t>
  </si>
  <si>
    <t>benySajalah😎</t>
  </si>
  <si>
    <t>NoName</t>
  </si>
  <si>
    <t>andre delmigo</t>
  </si>
  <si>
    <t>OVO Indonesia</t>
  </si>
  <si>
    <t>pengidap metal illness</t>
  </si>
  <si>
    <t>𝐂𝐡𝐞𝐫𝐫𝐲⛓️</t>
  </si>
  <si>
    <t>sun 🌻</t>
  </si>
  <si>
    <t>dochi wazowski</t>
  </si>
  <si>
    <t>Gatot Bin Dumadi</t>
  </si>
  <si>
    <t>Din</t>
  </si>
  <si>
    <t>jek</t>
  </si>
  <si>
    <t>Kharesa</t>
  </si>
  <si>
    <t>Nadya Tamara Kusuma</t>
  </si>
  <si>
    <t>Reza</t>
  </si>
  <si>
    <t>Cece</t>
  </si>
  <si>
    <t>arek ndeso</t>
  </si>
  <si>
    <t>Buya Eson</t>
  </si>
  <si>
    <t>김선우 #ENHYPEN 🇰🇷🦊💎</t>
  </si>
  <si>
    <t>Radio Suara Surabaya</t>
  </si>
  <si>
    <t>TEMPO.CO</t>
  </si>
  <si>
    <t>Reiza Pramudana</t>
  </si>
  <si>
    <t>🍑</t>
  </si>
  <si>
    <t>𝐀 𝐑 𝐔 🦋</t>
  </si>
  <si>
    <t>UNNES MENFESS🐊</t>
  </si>
  <si>
    <t>MSNIndonesia</t>
  </si>
  <si>
    <t>susieprotschky</t>
  </si>
  <si>
    <t>d</t>
  </si>
  <si>
    <t>Telkomsel</t>
  </si>
  <si>
    <t>Ghiffari Yusuf</t>
  </si>
  <si>
    <t>IndiHome</t>
  </si>
  <si>
    <t>Kejaksaan RI</t>
  </si>
  <si>
    <t>Kejaksaan Negeri Sungai Penuh</t>
  </si>
  <si>
    <t>nin ✨</t>
  </si>
  <si>
    <t>Guhventus</t>
  </si>
  <si>
    <t>Wafa</t>
  </si>
  <si>
    <t>🐡</t>
  </si>
  <si>
    <t>Petualang semu</t>
  </si>
  <si>
    <t>Joko Widodo</t>
  </si>
  <si>
    <t>-Kardo Van Sony</t>
  </si>
  <si>
    <t>antiw</t>
  </si>
  <si>
    <t>maℓin 🥲</t>
  </si>
  <si>
    <t>★</t>
  </si>
  <si>
    <t>arin cekUter</t>
  </si>
  <si>
    <t>🇮🇩INA🇮🇩 AKHIRI PANDEMI</t>
  </si>
  <si>
    <t>RENEE Antaresh®</t>
  </si>
  <si>
    <t>Reshtu</t>
  </si>
  <si>
    <t>P W S</t>
  </si>
  <si>
    <t>Dika Pradana</t>
  </si>
  <si>
    <t>arief skie</t>
  </si>
  <si>
    <t>August</t>
  </si>
  <si>
    <t>Your Ven</t>
  </si>
  <si>
    <t>Noam Blantsky 🌒</t>
  </si>
  <si>
    <t>san</t>
  </si>
  <si>
    <t>️️ ️️️️️️fow</t>
  </si>
  <si>
    <t>Kratos the Great</t>
  </si>
  <si>
    <t>King Namazu IX</t>
  </si>
  <si>
    <t>elise</t>
  </si>
  <si>
    <t>Ále</t>
  </si>
  <si>
    <t>Eva</t>
  </si>
  <si>
    <t>Lelaki Hebat itu</t>
  </si>
  <si>
    <t>Check Pinned | UNS MENFESS</t>
  </si>
  <si>
    <t>Kabar Baik</t>
  </si>
  <si>
    <t>Manohara sekar</t>
  </si>
  <si>
    <t>Mata Hati</t>
  </si>
  <si>
    <t>Mu,,,,,,,,</t>
  </si>
  <si>
    <t>KRMT Roy Suryo</t>
  </si>
  <si>
    <t>Lawang Sewu</t>
  </si>
  <si>
    <t>Zulfa Hendri</t>
  </si>
  <si>
    <t>TMC Polda Metro Jaya</t>
  </si>
  <si>
    <t>Ruel.</t>
  </si>
  <si>
    <t>leez 🐈</t>
  </si>
  <si>
    <t>agus</t>
  </si>
  <si>
    <t>eko hartanto</t>
  </si>
  <si>
    <t>AVIEN (Apin)</t>
  </si>
  <si>
    <t>Nana inactive</t>
  </si>
  <si>
    <t>nel~ Mars 3rd comeback</t>
  </si>
  <si>
    <t>lala✧</t>
  </si>
  <si>
    <t>NITIP MENFESS? CEK LIKES</t>
  </si>
  <si>
    <t>Huans.Ikiaku</t>
  </si>
  <si>
    <t>bai ; OFF‼️</t>
  </si>
  <si>
    <t>ON | LAPAK ITS2 CHECK LIKES</t>
  </si>
  <si>
    <t>nanaa🦅</t>
  </si>
  <si>
    <t>Gyujinteppan</t>
  </si>
  <si>
    <t>Rani soraya</t>
  </si>
  <si>
    <t>Ichsan</t>
  </si>
  <si>
    <t>Gelora Banten</t>
  </si>
  <si>
    <t>Partai Gelora Indonesia Kalsel</t>
  </si>
  <si>
    <t>Gelora KotaJambi</t>
  </si>
  <si>
    <t>Gelora Kota Cirebon</t>
  </si>
  <si>
    <t>PARTAI GELORA INDONESIA DPW DKI JAKARTA</t>
  </si>
  <si>
    <t>Endy Kurniawan</t>
  </si>
  <si>
    <t>Mahfuzsidik_</t>
  </si>
  <si>
    <t>#FahriHamzah2021</t>
  </si>
  <si>
    <t>Anis Matta</t>
  </si>
  <si>
    <t>PARTAI GELORA INDONESIA</t>
  </si>
  <si>
    <t>Goraka</t>
  </si>
  <si>
    <t>𝓐𝓽𝓱𝓪𝓷𝓪𝓼𝓲𝓪</t>
  </si>
  <si>
    <t>ON┆Follow @tanyakanrl ✨</t>
  </si>
  <si>
    <t>Ric</t>
  </si>
  <si>
    <t>IndiHomeCare</t>
  </si>
  <si>
    <t>Edi</t>
  </si>
  <si>
    <t>POS INDONESIA</t>
  </si>
  <si>
    <t>tkg kopi ngider 😎</t>
  </si>
  <si>
    <t>👑 KIПG VΛDЦKΛ 🇮🇩🇵🇸</t>
  </si>
  <si>
    <t>Umar Sang Penahluk</t>
  </si>
  <si>
    <t>Nansya</t>
  </si>
  <si>
    <t>Mas</t>
  </si>
  <si>
    <t>уαиα нαυ∂у</t>
  </si>
  <si>
    <t>Nins💻 YUTA RADIO EVERY THURSDAY!🐙</t>
  </si>
  <si>
    <t>Teh Ayuu 💐</t>
  </si>
  <si>
    <t>𝐋𝐢𝐭𝐭𝐲</t>
  </si>
  <si>
    <t>icxxa</t>
  </si>
  <si>
    <t>(~‾▿‾)~</t>
  </si>
  <si>
    <t>ARIF SUDARMINTO</t>
  </si>
  <si>
    <t>EONNI WAREHOUSE</t>
  </si>
  <si>
    <t>cek /mymenu</t>
  </si>
  <si>
    <t>marsupilami</t>
  </si>
  <si>
    <t>y.</t>
  </si>
  <si>
    <t>nai</t>
  </si>
  <si>
    <t>Koran BUMN</t>
  </si>
  <si>
    <t>Kementerian Kominfo</t>
  </si>
  <si>
    <t>Kementerian BUMN</t>
  </si>
  <si>
    <t>so</t>
  </si>
  <si>
    <t>person you hate the most🚫</t>
  </si>
  <si>
    <t>🦈 SUROBOYOFESS 🐊</t>
  </si>
  <si>
    <t>RMP</t>
  </si>
  <si>
    <t>Flaga Media Asia</t>
  </si>
  <si>
    <t>Vanprob Solutions - Web, SEO</t>
  </si>
  <si>
    <t>l’oser | PO GOLCHA DDARA X KTOWN4U</t>
  </si>
  <si>
    <t>Kantor Wilayah DJP Kalimantan Timur dan Utara</t>
  </si>
  <si>
    <t>#PajakKitaUntukKita</t>
  </si>
  <si>
    <t>Biasalahh</t>
  </si>
  <si>
    <t>🦋ぬいぐるみ</t>
  </si>
  <si>
    <t>Del WTS pinned</t>
  </si>
  <si>
    <t>Inchan</t>
  </si>
  <si>
    <t>OPEN DM - SUB BASE SAY</t>
  </si>
  <si>
    <t>BEDEBAH</t>
  </si>
  <si>
    <t>Aleee TeWeTe</t>
  </si>
  <si>
    <t>Karantina Pertanian Padang</t>
  </si>
  <si>
    <t>Hai Punk</t>
  </si>
  <si>
    <t>disss</t>
  </si>
  <si>
    <t>masto_cah ndeso</t>
  </si>
  <si>
    <t>Telkom Indonesia</t>
  </si>
  <si>
    <t>ibby.</t>
  </si>
  <si>
    <t>𝘙𝘩𝘦𝘯𝘯</t>
  </si>
  <si>
    <t>co</t>
  </si>
  <si>
    <t>WORKSFESS X GIVEAWAY FLS CEK LIKES.</t>
  </si>
  <si>
    <t>Eve lagi limit 🍀</t>
  </si>
  <si>
    <t>Nur Mila Hayati</t>
  </si>
  <si>
    <t>ً ren</t>
  </si>
  <si>
    <t>rinjani</t>
  </si>
  <si>
    <t>ren.kinda ia</t>
  </si>
  <si>
    <t>rey</t>
  </si>
  <si>
    <t>🐼</t>
  </si>
  <si>
    <t>diane</t>
  </si>
  <si>
    <t>rif ◡̈</t>
  </si>
  <si>
    <t>bet🏵</t>
  </si>
  <si>
    <t>Tom Mbul</t>
  </si>
  <si>
    <t>D</t>
  </si>
  <si>
    <t>babyshark</t>
  </si>
  <si>
    <t>EL JOHN FM PEKANBARU</t>
  </si>
  <si>
    <t>Sagita</t>
  </si>
  <si>
    <t>PT Pos Indonesia</t>
  </si>
  <si>
    <t>Ida Bagus Bajra</t>
  </si>
  <si>
    <t>🕉☯️🇮🇩 Jho_Junior911🇮🇩☯️🕉</t>
  </si>
  <si>
    <t>I Made Suarsa</t>
  </si>
  <si>
    <t>TiyangJawi</t>
  </si>
  <si>
    <t>Lembusora♥️🇲🇨💯dipolback</t>
  </si>
  <si>
    <t>gung jhon🇲🇨🇲🇨🇲🇨</t>
  </si>
  <si>
    <t>WangsArya</t>
  </si>
  <si>
    <t>Ada Syurga di Hatiku</t>
  </si>
  <si>
    <t>🇮🇩 Lewan</t>
  </si>
  <si>
    <t>Erry</t>
  </si>
  <si>
    <t>Kuasaangin®</t>
  </si>
  <si>
    <t>F. Pedi</t>
  </si>
  <si>
    <t>Atha</t>
  </si>
  <si>
    <t>syanazmanis🍀</t>
  </si>
  <si>
    <t>Mark_z</t>
  </si>
  <si>
    <t>TeLoR D@D@R</t>
  </si>
  <si>
    <t>Uget uget Mbetik</t>
  </si>
  <si>
    <t>Toddy Lauw</t>
  </si>
  <si>
    <t>FaHaYaBi Waluyo</t>
  </si>
  <si>
    <t>éboncu</t>
  </si>
  <si>
    <t>H. Dayak</t>
  </si>
  <si>
    <t>Reemeora</t>
  </si>
  <si>
    <t>Nur Cahyani 🇮🇩</t>
  </si>
  <si>
    <t>#2021AkalSehat</t>
  </si>
  <si>
    <t>Heureuy🇮🇩🇮🇩🇮🇩✊</t>
  </si>
  <si>
    <t>Budak Melayu 😷</t>
  </si>
  <si>
    <t>αchzαm prαвu</t>
  </si>
  <si>
    <t>Deb 🇮🇩 NKRI 🇮🇩</t>
  </si>
  <si>
    <t>ZUSTISI</t>
  </si>
  <si>
    <t>Agus Widjiastono</t>
  </si>
  <si>
    <t>🇮🇩 Si Tio Cai'bongg🇮🇩</t>
  </si>
  <si>
    <t>️️◡̈</t>
  </si>
  <si>
    <t>Aris.</t>
  </si>
  <si>
    <t>Danish</t>
  </si>
  <si>
    <t>Pekaklonto🇲🇨</t>
  </si>
  <si>
    <t>𝓙𝓪𝔀𝓪𝓻𝓪 𝓑𝓸𝓻𝓷𝓮𝓸 🇲🇨</t>
  </si>
  <si>
    <t>✊🇮🇩</t>
  </si>
  <si>
    <t>ewinwinarti 🇮🇩🇮🇩</t>
  </si>
  <si>
    <t>wisnu</t>
  </si>
  <si>
    <t>Oedjang Moekartho</t>
  </si>
  <si>
    <t>Karta Saputra</t>
  </si>
  <si>
    <t>Len aza</t>
  </si>
  <si>
    <t>agoes soesanto</t>
  </si>
  <si>
    <t>🇮🇩Bengkeltanah2024🇮🇩</t>
  </si>
  <si>
    <t>hyaken 🇮🇩🇮🇩💪💪</t>
  </si>
  <si>
    <t>Junita Manangkot</t>
  </si>
  <si>
    <t>LilySajah</t>
  </si>
  <si>
    <t>BaWor '90🇮🇩</t>
  </si>
  <si>
    <t>𝐀𝐌 ♡༄</t>
  </si>
  <si>
    <t>pupu.</t>
  </si>
  <si>
    <t>BD 🇲🇨</t>
  </si>
  <si>
    <t>Lilian</t>
  </si>
  <si>
    <t>Wisaksono Wisaksono</t>
  </si>
  <si>
    <t>BoediPrakoso II</t>
  </si>
  <si>
    <t>TriHart,,🇮🇩</t>
  </si>
  <si>
    <t>WaringinSeto🇮🇩</t>
  </si>
  <si>
    <t>Sisca</t>
  </si>
  <si>
    <t>cennn</t>
  </si>
  <si>
    <t>FESS</t>
  </si>
  <si>
    <t>risaa</t>
  </si>
  <si>
    <t>Bangbara_Pos</t>
  </si>
  <si>
    <t>Red Promild</t>
  </si>
  <si>
    <t>CERIA !!!😎🇮🇩</t>
  </si>
  <si>
    <t>Dedi Mahardi</t>
  </si>
  <si>
    <t>t i l i s...k i t i p ...</t>
  </si>
  <si>
    <t>Pejuang_Nafkah</t>
  </si>
  <si>
    <t>Danimas</t>
  </si>
  <si>
    <t>Ernizan Panji</t>
  </si>
  <si>
    <t>suyitno (IG. suyitno_6872)</t>
  </si>
  <si>
    <t>Taftxen</t>
  </si>
  <si>
    <t>a88ytjhan</t>
  </si>
  <si>
    <t>Kantor Pos Jak-Bar</t>
  </si>
  <si>
    <t>Karantina Pertanian Merauke</t>
  </si>
  <si>
    <t>S A B E R</t>
  </si>
  <si>
    <t>Edward Ariady G</t>
  </si>
  <si>
    <t>ADDIE MS</t>
  </si>
  <si>
    <t>JCB</t>
  </si>
  <si>
    <t>InfinityLuck ☘️ 🇮🇩</t>
  </si>
  <si>
    <t>Yuke_ 🇮🇩</t>
  </si>
  <si>
    <t>ResharoPro</t>
  </si>
  <si>
    <t>🇲🇨 ʂųƖıʂɬყơ 🇲🇨</t>
  </si>
  <si>
    <t>Manaloe🇲🇨🇲🇨🇲🇨</t>
  </si>
  <si>
    <t>eko budi setiawan</t>
  </si>
  <si>
    <t>Official® : denMas NgHansip 라덴 마스 한십</t>
  </si>
  <si>
    <t>z🥀🥀🥀</t>
  </si>
  <si>
    <t>mfs melanggar tolong rep /delvote</t>
  </si>
  <si>
    <t>Wong Indonesia✊🇮🇩</t>
  </si>
  <si>
    <t>SINOVACIAN Clan ⏺</t>
  </si>
  <si>
    <t>lelucky</t>
  </si>
  <si>
    <t>Brunowicaksono</t>
  </si>
  <si>
    <t>Three🇮🇩</t>
  </si>
  <si>
    <t>Ono NIHA</t>
  </si>
  <si>
    <t>Dul Dul Dul</t>
  </si>
  <si>
    <t>JokowiHajarFPI 🇮🇩🇮🇩🇮🇩</t>
  </si>
  <si>
    <t>Capenk</t>
  </si>
  <si>
    <t>AhmadAlatas</t>
  </si>
  <si>
    <t>co19 sudah vaksin</t>
  </si>
  <si>
    <t>Kristina Eva</t>
  </si>
  <si>
    <t>Akbar Ruddy✌periode🇮🇩</t>
  </si>
  <si>
    <t>🇮🇩 𝕬𝖓𝖙𝖔𝖓𝖎𝖚𝖘 𝕹𝖚𝖌𝖗𝖔𝖍𝖔 🇮🇩</t>
  </si>
  <si>
    <t>Diana</t>
  </si>
  <si>
    <t>Fadjar</t>
  </si>
  <si>
    <t>iDeaPool</t>
  </si>
  <si>
    <t>ryo_wayan</t>
  </si>
  <si>
    <t>최예빈</t>
  </si>
  <si>
    <t>OPEN PO ALBUM AESPA. Cek Pinned!!!</t>
  </si>
  <si>
    <t>cebong ori</t>
  </si>
  <si>
    <t>Erzety</t>
  </si>
  <si>
    <t>Lonassis</t>
  </si>
  <si>
    <t>Nezuko 👍</t>
  </si>
  <si>
    <t>Jerry</t>
  </si>
  <si>
    <t>Mbalelo</t>
  </si>
  <si>
    <t>hioristi hyun bin</t>
  </si>
  <si>
    <t>kita_sama</t>
  </si>
  <si>
    <t>andi deR1s</t>
  </si>
  <si>
    <t>d'Toraz</t>
  </si>
  <si>
    <t>creativeart</t>
  </si>
  <si>
    <t>Sebatas mimpi</t>
  </si>
  <si>
    <t>sriaji#JokowiYNWA</t>
  </si>
  <si>
    <t>El Subiyanto</t>
  </si>
  <si>
    <t>lina andriani</t>
  </si>
  <si>
    <t>jitorasky88🍀❤️</t>
  </si>
  <si>
    <t>Arya Rang Hoki</t>
  </si>
  <si>
    <t>SinyoVanDlahom reborn</t>
  </si>
  <si>
    <t>Jabu_BenaKayu</t>
  </si>
  <si>
    <t>mai / wts Joshua pc check link!</t>
  </si>
  <si>
    <t>Beken Morang</t>
  </si>
  <si>
    <t>sambel_bawang</t>
  </si>
  <si>
    <t>🍀Hope Big Win🍀</t>
  </si>
  <si>
    <t>Dirk</t>
  </si>
  <si>
    <t>KalitPrakasaRiau</t>
  </si>
  <si>
    <t>Toru</t>
  </si>
  <si>
    <t>HAM untuk Semua!</t>
  </si>
  <si>
    <t>Rizmaya</t>
  </si>
  <si>
    <t>khoirul fuad</t>
  </si>
  <si>
    <t>Agus Prehadi</t>
  </si>
  <si>
    <t>Brawzl D a.k.a. Danny B...</t>
  </si>
  <si>
    <t>Chese</t>
  </si>
  <si>
    <t>NKRI United</t>
  </si>
  <si>
    <t>andre</t>
  </si>
  <si>
    <t>sifa fauziah #SudahVaksin</t>
  </si>
  <si>
    <t>anarya</t>
  </si>
  <si>
    <t>Lexus:Jaga Rumah Aja❤️🇮🇩</t>
  </si>
  <si>
    <t>Kakek Bahenol</t>
  </si>
  <si>
    <t>Abbas Ciput</t>
  </si>
  <si>
    <t>Charles Chandra 🇲🇨</t>
  </si>
  <si>
    <t>heru sugiri</t>
  </si>
  <si>
    <t>Tlbfrmnsyh</t>
  </si>
  <si>
    <t>Tytyd.DJ</t>
  </si>
  <si>
    <t>Thomassen</t>
  </si>
  <si>
    <t>🇲🇨🇲🇨Arief Rahman 🇲🇨🇲🇨</t>
  </si>
  <si>
    <t>eva darma</t>
  </si>
  <si>
    <t>Arie_MarzukiDana</t>
  </si>
  <si>
    <t>festi</t>
  </si>
  <si>
    <t>anteraja.id</t>
  </si>
  <si>
    <t>Laxyta</t>
  </si>
  <si>
    <t>🐇🐰</t>
  </si>
  <si>
    <t>Fandearb</t>
  </si>
  <si>
    <t>Kang Hermando</t>
  </si>
  <si>
    <t>🇮🇩 Roda Bambu 🇮🇩</t>
  </si>
  <si>
    <t>Ardha</t>
  </si>
  <si>
    <t>Putra Sebayang</t>
  </si>
  <si>
    <t>SEKNAS #RI</t>
  </si>
  <si>
    <t>☕Paidi🇮🇩</t>
  </si>
  <si>
    <t>Santi M</t>
  </si>
  <si>
    <t>Coltliq Ekajaya #myBigBozz</t>
  </si>
  <si>
    <t>emel, jeyra day!!</t>
  </si>
  <si>
    <t>Yanagishita👍#HOKI</t>
  </si>
  <si>
    <t>Hiras70</t>
  </si>
  <si>
    <t>Abdoeh Abbiati</t>
  </si>
  <si>
    <t>Grace Suhendro</t>
  </si>
  <si>
    <t>Kawulo alit. 🇲🇨🇲🇨🇲🇨</t>
  </si>
  <si>
    <t>rudy</t>
  </si>
  <si>
    <t>Yanti Erwien</t>
  </si>
  <si>
    <t>Benny Djuwanda</t>
  </si>
  <si>
    <t>Gali</t>
  </si>
  <si>
    <t>Yoshie</t>
  </si>
  <si>
    <t>hope4thebest</t>
  </si>
  <si>
    <t>Gerard</t>
  </si>
  <si>
    <t>Pakde Jlitheng 🇲🇨</t>
  </si>
  <si>
    <t>Orang Pinggiran ❤️💯</t>
  </si>
  <si>
    <t>Teguh</t>
  </si>
  <si>
    <t>Joko.Parikesit</t>
  </si>
  <si>
    <t>🇮🇩P3JU4NG_R3Y4L_Q4T4RI🇧🇭</t>
  </si>
  <si>
    <t>Nugroho</t>
  </si>
  <si>
    <t>RB Slgn</t>
  </si>
  <si>
    <t>Bang Ben</t>
  </si>
  <si>
    <t>Meng</t>
  </si>
  <si>
    <t>QutuQupret</t>
  </si>
  <si>
    <t>🇲🇨🇲🇨imam besar kucluk🇲🇨🇲🇨</t>
  </si>
  <si>
    <t>Saat_Tobat♥️🇲🇨</t>
  </si>
  <si>
    <t>Komar 🇮🇩💪</t>
  </si>
  <si>
    <t>Edy</t>
  </si>
  <si>
    <t>Benny Moewi</t>
  </si>
  <si>
    <t>Hadisang 🇮🇩🇮🇩 NKRI</t>
  </si>
  <si>
    <t>Fajar Firhadi</t>
  </si>
  <si>
    <t>W Ry Rinz</t>
  </si>
  <si>
    <t>didy</t>
  </si>
  <si>
    <t>black coffee1850</t>
  </si>
  <si>
    <t>koplak🙏🌈♥️</t>
  </si>
  <si>
    <t>Halo Polsekramanutara</t>
  </si>
  <si>
    <t>Gomaudino🇲🇨🌏🌲🌼🌿🍉🍇🍎🍅🍒</t>
  </si>
  <si>
    <t>Informasi CPNS BUMN</t>
  </si>
  <si>
    <t>Bre #ꦈꦫꦲ ꦫꦎꦏ</t>
  </si>
  <si>
    <t>tassa under pressure</t>
  </si>
  <si>
    <t>Literary Base</t>
  </si>
  <si>
    <t>Terapkan Prokes 5M 🇮🇩</t>
  </si>
  <si>
    <t>Pendukung Senyap 🇮🇩 🇮🇩</t>
  </si>
  <si>
    <t>Bang ma'in</t>
  </si>
  <si>
    <t>Sumaryo</t>
  </si>
  <si>
    <t>🇮🇩Jangan Ragu, 3 Periode..!! 🇮🇩</t>
  </si>
  <si>
    <t>Gus Ary</t>
  </si>
  <si>
    <t>Golongan Muda</t>
  </si>
  <si>
    <t>andi midas🇮🇩</t>
  </si>
  <si>
    <t>Putri</t>
  </si>
  <si>
    <t>Ciput🇮🇩🇮🇩🇮🇩</t>
  </si>
  <si>
    <t>Cin.</t>
  </si>
  <si>
    <t>Ketan hitam</t>
  </si>
  <si>
    <t>CasaRekayasa</t>
  </si>
  <si>
    <t>𝓐𝓻𝓲𝓯 _🇮🇩</t>
  </si>
  <si>
    <t>AffanJak</t>
  </si>
  <si>
    <t>Josephine Morgan</t>
  </si>
  <si>
    <t>sulistyo</t>
  </si>
  <si>
    <t>Lubis Mangkuto Malim</t>
  </si>
  <si>
    <t>VonBaron 💞❤️</t>
  </si>
  <si>
    <t>@Ell_andalusy</t>
  </si>
  <si>
    <t>eunike septi setyani</t>
  </si>
  <si>
    <t>RadioMasyarakat</t>
  </si>
  <si>
    <t>AK_DL 🇮🇩</t>
  </si>
  <si>
    <t>♏️🅰️❎</t>
  </si>
  <si>
    <t>BramWicaksono</t>
  </si>
  <si>
    <t>apello</t>
  </si>
  <si>
    <t>M Munawar 🇮🇩🇮🇩🇮🇩</t>
  </si>
  <si>
    <t>Incognito</t>
  </si>
  <si>
    <t>Buku Catatan</t>
  </si>
  <si>
    <t>Gunadi</t>
  </si>
  <si>
    <t>sudirmanrdl</t>
  </si>
  <si>
    <t>Amii Poerwa</t>
  </si>
  <si>
    <t>🇲🇨 PRIYO 🇲🇨</t>
  </si>
  <si>
    <t>mas fikri</t>
  </si>
  <si>
    <t>Bobby sudah vaksin ✨</t>
  </si>
  <si>
    <t>La_Ponta</t>
  </si>
  <si>
    <t>liza ariani</t>
  </si>
  <si>
    <t>a concerned citizen 🇮🇩🇮🇩</t>
  </si>
  <si>
    <t>saya Indonesia</t>
  </si>
  <si>
    <t>Abd Rosy🇮🇩</t>
  </si>
  <si>
    <t>WIBISANA</t>
  </si>
  <si>
    <t>diana</t>
  </si>
  <si>
    <t>kahfi_house</t>
  </si>
  <si>
    <t>BACA RULES!!</t>
  </si>
  <si>
    <t>Abi Sabarudin</t>
  </si>
  <si>
    <t>¥@N'$🇮🇩</t>
  </si>
  <si>
    <t>SI</t>
  </si>
  <si>
    <t>Aang</t>
  </si>
  <si>
    <t>Ashaby</t>
  </si>
  <si>
    <t>@ftr114</t>
  </si>
  <si>
    <t>Widas 🇵🇸</t>
  </si>
  <si>
    <t>hendryx periodontist</t>
  </si>
  <si>
    <t>Yasar Iqbal</t>
  </si>
  <si>
    <t>MH Darmawan🌏</t>
  </si>
  <si>
    <t>Ge</t>
  </si>
  <si>
    <t>deha</t>
  </si>
  <si>
    <t>BON🌶</t>
  </si>
  <si>
    <t>Lana</t>
  </si>
  <si>
    <t>🇮🇩Omezh🇮🇩</t>
  </si>
  <si>
    <t>P S J</t>
  </si>
  <si>
    <t>Kementerian Sosial RI</t>
  </si>
  <si>
    <t>TIRTAYAMA</t>
  </si>
  <si>
    <t>lusi</t>
  </si>
  <si>
    <t>Menfess Sambat</t>
  </si>
  <si>
    <t>senyumbahagia</t>
  </si>
  <si>
    <t>gepi</t>
  </si>
  <si>
    <t>MelMel</t>
  </si>
  <si>
    <t>Ikatok</t>
  </si>
  <si>
    <t>kk UDAH DIVAKSIN 🥂</t>
  </si>
  <si>
    <t>☘️Purwanti Setia🍀</t>
  </si>
  <si>
    <t>Mukti</t>
  </si>
  <si>
    <t>Amadea🇮🇩</t>
  </si>
  <si>
    <t>waktu senggang</t>
  </si>
  <si>
    <t>Biscuit Bomber</t>
  </si>
  <si>
    <t>Gilang Dwi</t>
  </si>
  <si>
    <t>Ichwan Anto 🇮🇩</t>
  </si>
  <si>
    <t>len</t>
  </si>
  <si>
    <t>lic</t>
  </si>
  <si>
    <t>Om Benks</t>
  </si>
  <si>
    <t>Sibeseck Ge eL ❤🇮🇩❤</t>
  </si>
  <si>
    <t>Leviatant</t>
  </si>
  <si>
    <t>Mulyadi Fria Kapir</t>
  </si>
  <si>
    <t>kramotak !</t>
  </si>
  <si>
    <t>Latif Kranji</t>
  </si>
  <si>
    <t>Maria Shanty</t>
  </si>
  <si>
    <t>Jalak Permata</t>
  </si>
  <si>
    <t>Vian</t>
  </si>
  <si>
    <t>zefry</t>
  </si>
  <si>
    <t>anwar sinaga 75</t>
  </si>
  <si>
    <t>Kathelema</t>
  </si>
  <si>
    <t>(4C)yswandi</t>
  </si>
  <si>
    <t>K. Dwiyanita || ∞ 김성규🌼</t>
  </si>
  <si>
    <t>heru</t>
  </si>
  <si>
    <t>Soim Maskur</t>
  </si>
  <si>
    <t>Damendra</t>
  </si>
  <si>
    <t>Jakobus</t>
  </si>
  <si>
    <t>EffHariadi</t>
  </si>
  <si>
    <t>OiI</t>
  </si>
  <si>
    <t>SETITIK EMBUN 🇮🇩 🇵🇸</t>
  </si>
  <si>
    <t>Bambam</t>
  </si>
  <si>
    <t>🆂🅰🆃🅿🅰🅼 🅹🅺🆃</t>
  </si>
  <si>
    <t>Prawiro Sujono</t>
  </si>
  <si>
    <t>ABDUL HALIM ISKANDAR</t>
  </si>
  <si>
    <t>Bukan Siapa Siapa 🇮🇩</t>
  </si>
  <si>
    <t>HutamaRizky</t>
  </si>
  <si>
    <t>Om Kodok</t>
  </si>
  <si>
    <t>Axela Eoh</t>
  </si>
  <si>
    <t>MZ HANZ 2</t>
  </si>
  <si>
    <t>Syafri Sikumbang</t>
  </si>
  <si>
    <t>Jayun</t>
  </si>
  <si>
    <t>HerBong</t>
  </si>
  <si>
    <t>C4 Clothing</t>
  </si>
  <si>
    <t>nay🐱</t>
  </si>
  <si>
    <t>😡HARUS BACA RULES 😡</t>
  </si>
  <si>
    <t>Prihandono</t>
  </si>
  <si>
    <t>Faisal 🇮🇩</t>
  </si>
  <si>
    <t>Jaya selalu NKRI</t>
  </si>
  <si>
    <t>hakuna matata</t>
  </si>
  <si>
    <t>Anthony</t>
  </si>
  <si>
    <t>papah clau</t>
  </si>
  <si>
    <t>Kanjeng Ratu Ayu Delia 🇲🇨</t>
  </si>
  <si>
    <t>bro giant</t>
  </si>
  <si>
    <t>Ken Arok</t>
  </si>
  <si>
    <t>Pencari ilmu</t>
  </si>
  <si>
    <t>Dinov Novicandovich</t>
  </si>
  <si>
    <t>Ahmad Iyat Jabbari</t>
  </si>
  <si>
    <t>Ika Novita Sari</t>
  </si>
  <si>
    <t>Lan_maknyak🇮🇩🇮🇩🇮🇩🇮🇩</t>
  </si>
  <si>
    <t>Galang</t>
  </si>
  <si>
    <t>Mas Zone</t>
  </si>
  <si>
    <t>aya</t>
  </si>
  <si>
    <t>bubblyG</t>
  </si>
  <si>
    <t>Saya 'NgAhok'</t>
  </si>
  <si>
    <t>akang kendang</t>
  </si>
  <si>
    <t>Malique</t>
  </si>
  <si>
    <t>Kang Awi</t>
  </si>
  <si>
    <t>rudy setyo nugroho</t>
  </si>
  <si>
    <t>Walaki</t>
  </si>
  <si>
    <t>Rhony</t>
  </si>
  <si>
    <t>Karantina Pertanian Priok</t>
  </si>
  <si>
    <t>KPP Pratama Bandar Lampung Satu</t>
  </si>
  <si>
    <t>Rr Sosrowihardjo</t>
  </si>
  <si>
    <t>dimas dzeko</t>
  </si>
  <si>
    <t>Bea Cukai Banjarmasin</t>
  </si>
  <si>
    <t>Wahyudi Widya</t>
  </si>
  <si>
    <t>Hyuga</t>
  </si>
  <si>
    <t>suci adinda</t>
  </si>
  <si>
    <t>Cak Ta'in Komari</t>
  </si>
  <si>
    <t>Nadya D T Sinaga</t>
  </si>
  <si>
    <t>enabling</t>
  </si>
  <si>
    <t>achmad elzaheera</t>
  </si>
  <si>
    <t>secop</t>
  </si>
  <si>
    <t>Ahmad Syarifudin</t>
  </si>
  <si>
    <t>Sundafess</t>
  </si>
  <si>
    <t>M</t>
  </si>
  <si>
    <t>Kendari Pos</t>
  </si>
  <si>
    <t>ăLiek</t>
  </si>
  <si>
    <t>X-MAN</t>
  </si>
  <si>
    <t>.🐨</t>
  </si>
  <si>
    <t>PO Enhypen Weverse FS 📌</t>
  </si>
  <si>
    <t>Dree's new acc again</t>
  </si>
  <si>
    <t>wulan..🌷🐝</t>
  </si>
  <si>
    <t>Ferry WF 🇮🇩</t>
  </si>
  <si>
    <t>kanya, check 📌 pls :(</t>
  </si>
  <si>
    <t>ً</t>
  </si>
  <si>
    <t>TINTAHIJAU.com</t>
  </si>
  <si>
    <t>SUBANG KIWARI</t>
  </si>
  <si>
    <t>Kabar Jabar</t>
  </si>
  <si>
    <t>SUBANG HITS</t>
  </si>
  <si>
    <t>Pantura Terkini</t>
  </si>
  <si>
    <t>Mawar</t>
  </si>
  <si>
    <t>Ｋｕｍｉｓｓｌｅｌｅ</t>
  </si>
  <si>
    <t>Rizaldi</t>
  </si>
  <si>
    <t>handerson chaniago</t>
  </si>
  <si>
    <t>Ahmad Junedi</t>
  </si>
  <si>
    <t>꧋ꦠꦲꦸꦥꦶꦛ꧉ 🇮🇩🇮🇩</t>
  </si>
  <si>
    <t>tuturutuu</t>
  </si>
  <si>
    <t>ꦫꦤꦶꦤ꧀ꦝꦶꦠ</t>
  </si>
  <si>
    <t>you</t>
  </si>
  <si>
    <t>Lampung Fess ON</t>
  </si>
  <si>
    <t>🐷</t>
  </si>
  <si>
    <t>dheaa✨🐳</t>
  </si>
  <si>
    <t>Ky</t>
  </si>
  <si>
    <t>Lighteu💡</t>
  </si>
  <si>
    <t>Isworo Hadi</t>
  </si>
  <si>
    <t>marican</t>
  </si>
  <si>
    <t>dody soe</t>
  </si>
  <si>
    <t>Wulan😍</t>
  </si>
  <si>
    <t>saki</t>
  </si>
  <si>
    <t>Heri ⭐️⭐️⭐️⭐️</t>
  </si>
  <si>
    <t>Polsek Bantarsari</t>
  </si>
  <si>
    <t>Ekaagusprata</t>
  </si>
  <si>
    <t>AIexius D.</t>
  </si>
  <si>
    <t>Akbar</t>
  </si>
  <si>
    <t>uni teh</t>
  </si>
  <si>
    <t>Polsek_MG</t>
  </si>
  <si>
    <t>Kang Ncep</t>
  </si>
  <si>
    <t>harta tahta</t>
  </si>
  <si>
    <t>SUKABUMI FESS</t>
  </si>
  <si>
    <t>marlin b</t>
  </si>
  <si>
    <t>rein, ia</t>
  </si>
  <si>
    <t>ANIME FESS</t>
  </si>
  <si>
    <t>Republika.co.id</t>
  </si>
  <si>
    <t>진영</t>
  </si>
  <si>
    <t>段宜恩</t>
  </si>
  <si>
    <t>MIAW 🐈</t>
  </si>
  <si>
    <t>✿</t>
  </si>
  <si>
    <t>Ta²</t>
  </si>
  <si>
    <t>ANNA</t>
  </si>
  <si>
    <t>rizky</t>
  </si>
  <si>
    <t>Lokernesia.id</t>
  </si>
  <si>
    <t>P di mana</t>
  </si>
  <si>
    <t>BOGOR MENFESS 🟢</t>
  </si>
  <si>
    <t>ceril.</t>
  </si>
  <si>
    <t>fafa ◡̎ | po non profit cek pinned 📌</t>
  </si>
  <si>
    <t>GGSELL</t>
  </si>
  <si>
    <t>Abdurrafi Alwan</t>
  </si>
  <si>
    <t>Ethan. #DIMENSION_DILEMMA</t>
  </si>
  <si>
    <t>Noble.</t>
  </si>
  <si>
    <t>Loker Sumatera</t>
  </si>
  <si>
    <t>CLOSE DM. BACA RULES‼️</t>
  </si>
  <si>
    <t>INA GO | OPEN PO SEVENTEEN ATTACCA</t>
  </si>
  <si>
    <t>widodo</t>
  </si>
  <si>
    <t>Mahfud MD</t>
  </si>
  <si>
    <t>d.</t>
  </si>
  <si>
    <t>tarasu #𝐉𝐀𝐕𝐀𝐍𝐎𝐒𝟏𝐬𝐭𝐦𝐞𝐧𝐬𝐢𝐯𝐞</t>
  </si>
  <si>
    <t>sal</t>
  </si>
  <si>
    <t>yy.</t>
  </si>
  <si>
    <t>COLLE | CEK PINNED</t>
  </si>
  <si>
    <t>Berita PPAT</t>
  </si>
  <si>
    <t>𝓚𝓪𝓴𝓮𝓪𝓷 𝓬𝓸𝓬𝓸𝓽</t>
  </si>
  <si>
    <t>Liana liana</t>
  </si>
  <si>
    <t>졸린 분 한 명 여기</t>
  </si>
  <si>
    <t>xdox</t>
  </si>
  <si>
    <t>hudha</t>
  </si>
  <si>
    <t>Dishub Malang Kota</t>
  </si>
  <si>
    <t>Yusuf Gunawan</t>
  </si>
  <si>
    <t>Panji Herlambang</t>
  </si>
  <si>
    <t>bustanul 'bokir' Arifin</t>
  </si>
  <si>
    <t>riz</t>
  </si>
  <si>
    <t>𝒚𝒂𝒔𝒊𝒏𝒕𝒂</t>
  </si>
  <si>
    <t>Ang</t>
  </si>
  <si>
    <t>🧜🏼‍♀️ vinda lindemann 🐚</t>
  </si>
  <si>
    <t>ZALORA Indonesia</t>
  </si>
  <si>
    <t>Koko</t>
  </si>
  <si>
    <t>Stella</t>
  </si>
  <si>
    <t>Polsek Muaradua Res Okus</t>
  </si>
  <si>
    <t>kira</t>
  </si>
  <si>
    <t>portalkalbar</t>
  </si>
  <si>
    <t>Bapas Makassar</t>
  </si>
  <si>
    <t>Dany</t>
  </si>
  <si>
    <t>Rizki Cahyo</t>
  </si>
  <si>
    <t>🌸 Hirari 🌸</t>
  </si>
  <si>
    <t>🦖 dow ditinggal si botak</t>
  </si>
  <si>
    <t>giyyy🦋</t>
  </si>
  <si>
    <t>ayya</t>
  </si>
  <si>
    <t>grey.</t>
  </si>
  <si>
    <t>ochii</t>
  </si>
  <si>
    <t>putra</t>
  </si>
  <si>
    <t>oh ?!</t>
  </si>
  <si>
    <t>S⭕litaire™</t>
  </si>
  <si>
    <t>🎱Moch1Kepow🎱❤️🇮🇩</t>
  </si>
  <si>
    <t>Atan 🐟☁️</t>
  </si>
  <si>
    <t>Queendom Come 📌</t>
  </si>
  <si>
    <t>Huisnn</t>
  </si>
  <si>
    <t>Azher Baizane</t>
  </si>
  <si>
    <t>Clipan Finance</t>
  </si>
  <si>
    <t>vivi</t>
  </si>
  <si>
    <t>BACA PINNED &amp; LIKES</t>
  </si>
  <si>
    <t>Kominfo Kabupaten Sragen</t>
  </si>
  <si>
    <t>R.Kurniawan48</t>
  </si>
  <si>
    <t>txtfromdianonno</t>
  </si>
  <si>
    <t>Sunny C</t>
  </si>
  <si>
    <t>ꦲꦺꦤꦶ</t>
  </si>
  <si>
    <t>oky deh</t>
  </si>
  <si>
    <t>donttouchme. akun lama kesuspen😭</t>
  </si>
  <si>
    <t>Muhammad Iman</t>
  </si>
  <si>
    <t>زهرة🌹</t>
  </si>
  <si>
    <t>` Yu Jinnie🐭</t>
  </si>
  <si>
    <t>Ji Wonnie！🍒</t>
  </si>
  <si>
    <t>ㄹㅅㅋ</t>
  </si>
  <si>
    <t>Donita Xena</t>
  </si>
  <si>
    <t>PosPay Official</t>
  </si>
  <si>
    <t>tehkotak</t>
  </si>
  <si>
    <t>BANDUNG FESS </t>
  </si>
  <si>
    <t>takjemujemu</t>
  </si>
  <si>
    <t>Magelangan — OPEN DM</t>
  </si>
  <si>
    <t>Ijaldtya</t>
  </si>
  <si>
    <t>satria baja hitam</t>
  </si>
  <si>
    <t>estehpocivanilla</t>
  </si>
  <si>
    <t>Asmara Wreksono</t>
  </si>
  <si>
    <t>Karina Endaryani</t>
  </si>
  <si>
    <t>waiting for her 2nd dose</t>
  </si>
  <si>
    <t>POLSEK TEBING TINGGI</t>
  </si>
  <si>
    <t>Dochil97</t>
  </si>
  <si>
    <t>Vano christyano</t>
  </si>
  <si>
    <t>HUMAS POLSEK SIPIROK POLRES TAPANULI SELATAN</t>
  </si>
  <si>
    <t>lutfi fars hidayat</t>
  </si>
  <si>
    <t>MasDick</t>
  </si>
  <si>
    <t>day/ana PAKE MASKER</t>
  </si>
  <si>
    <t>KPP Pratama Lahat</t>
  </si>
  <si>
    <t>Minjae2709</t>
  </si>
  <si>
    <t>Anonymous 💛</t>
  </si>
  <si>
    <t>Bon Ami</t>
  </si>
  <si>
    <t>yamet kudasi</t>
  </si>
  <si>
    <t>Polantas Taput</t>
  </si>
  <si>
    <t>jevin fucek</t>
  </si>
  <si>
    <t>Lea cute (•⌓•๑)</t>
  </si>
  <si>
    <t>🍀iz</t>
  </si>
  <si>
    <t>h∞ny</t>
  </si>
  <si>
    <t>Bea Cukai Pasar Baru</t>
  </si>
  <si>
    <t>Bravo Bea Cukai</t>
  </si>
  <si>
    <t>PT PLN (Persero)</t>
  </si>
  <si>
    <t>bright PLN Batam</t>
  </si>
  <si>
    <t>Benny Hutabarat</t>
  </si>
  <si>
    <t>Selly⁷ 🌳</t>
  </si>
  <si>
    <t>Tokopedia</t>
  </si>
  <si>
    <t>𝐑𝐨𝐜𝐤 𝐛𝐢𝐬𝐨𝐧</t>
  </si>
  <si>
    <t>fiiikri🍚 paket promo spo &amp; yt 15k aja📍</t>
  </si>
  <si>
    <t>Vina</t>
  </si>
  <si>
    <t>🦒 kirin</t>
  </si>
  <si>
    <t>KATHERINE // help RT plz 📌</t>
  </si>
  <si>
    <t>BPKP Bengkulu</t>
  </si>
  <si>
    <t>Distanbun Jateng #JatengGayeng #BersamaLawanCorona</t>
  </si>
  <si>
    <t>Taj Yasin Maimoen</t>
  </si>
  <si>
    <t>Ganjar Pranowo</t>
  </si>
  <si>
    <t>Provinsi Jawa Tengah #ElingLanNgelingke</t>
  </si>
  <si>
    <t>misbahul munir H.</t>
  </si>
  <si>
    <t>Hafiz SP</t>
  </si>
  <si>
    <t>ienas Tsuroiya</t>
  </si>
  <si>
    <t>Akukula 🇮🇩</t>
  </si>
  <si>
    <t>Divisi Humas Polri</t>
  </si>
  <si>
    <t>NamaKu_mei</t>
  </si>
  <si>
    <t>.</t>
  </si>
  <si>
    <t>ѕιя ᴊᴀᴍᴀʟ</t>
  </si>
  <si>
    <t>🎀 Toko Insarinwetrust (WH Thai) 🍩</t>
  </si>
  <si>
    <t>Wuri-A</t>
  </si>
  <si>
    <t>BPPTKG</t>
  </si>
  <si>
    <t>Dochin</t>
  </si>
  <si>
    <t>fara🧚🏻 | loud!</t>
  </si>
  <si>
    <t>Felix Sandian</t>
  </si>
  <si>
    <t>Panggil aja</t>
  </si>
  <si>
    <t>Nang</t>
  </si>
  <si>
    <t>Power unit</t>
  </si>
  <si>
    <t>AREA JULID</t>
  </si>
  <si>
    <t>𝚘𝚖𝚐𝚛𝚎𝚢</t>
  </si>
  <si>
    <t>kevin</t>
  </si>
  <si>
    <t>Encountertoeverymoments</t>
  </si>
  <si>
    <t>Alva Christo</t>
  </si>
  <si>
    <t>Nius</t>
  </si>
  <si>
    <t>setia</t>
  </si>
  <si>
    <t>stevanie Huang (Pink)</t>
  </si>
  <si>
    <t>Basalemax</t>
  </si>
  <si>
    <t>echa</t>
  </si>
  <si>
    <t>Ayra 🐿️🦩📖</t>
  </si>
  <si>
    <t>Minerva Rosaline</t>
  </si>
  <si>
    <t>WAWAK</t>
  </si>
  <si>
    <t>IncuEma</t>
  </si>
  <si>
    <t>beb</t>
  </si>
  <si>
    <t>Marsa Yutas</t>
  </si>
  <si>
    <t>deAtjehers</t>
  </si>
  <si>
    <t>Bro Ari🇮🇩</t>
  </si>
  <si>
    <t>Gandrick</t>
  </si>
  <si>
    <t>Tjahyo Wibowo</t>
  </si>
  <si>
    <t>Mopoek</t>
  </si>
  <si>
    <t>Radio PRFM 107,5 News Channel</t>
  </si>
  <si>
    <t>💸</t>
  </si>
  <si>
    <t>Moody🦋</t>
  </si>
  <si>
    <t>y a</t>
  </si>
  <si>
    <t>Ayu Amalya M.</t>
  </si>
  <si>
    <t>Mahdi Anshari</t>
  </si>
  <si>
    <t>LinkAja Indonesia</t>
  </si>
  <si>
    <t>@datatempo</t>
  </si>
  <si>
    <t>Robiatul 💚</t>
  </si>
  <si>
    <t>♡</t>
  </si>
  <si>
    <t>i t a ˗ˋˏ ♡ ˎˊ˗</t>
  </si>
  <si>
    <t>小迪 open co xianyu/tf alipay</t>
  </si>
  <si>
    <t>Jawa Pos</t>
  </si>
  <si>
    <t>Polsek Muaragembong</t>
  </si>
  <si>
    <t>Polsek Binangun Cilacap</t>
  </si>
  <si>
    <t>nana👑</t>
  </si>
  <si>
    <t>Kedirifess</t>
  </si>
  <si>
    <t>Pare ~ bot on</t>
  </si>
  <si>
    <t>Karantina Pertanian Makassar</t>
  </si>
  <si>
    <t>Karantina Pertanian</t>
  </si>
  <si>
    <t>monchi🗿</t>
  </si>
  <si>
    <t>Hikma</t>
  </si>
  <si>
    <t>Ini Kucing</t>
  </si>
  <si>
    <t>𝐈𝐧𝐚𝐤𝐢𝐦💫</t>
  </si>
  <si>
    <t>sky</t>
  </si>
  <si>
    <t>pia</t>
  </si>
  <si>
    <t>Semarang Menfess</t>
  </si>
  <si>
    <t>pernahada</t>
  </si>
  <si>
    <t>rv</t>
  </si>
  <si>
    <t>Polsekadipala</t>
  </si>
  <si>
    <t>Waone Gunaone☕</t>
  </si>
  <si>
    <t>Muhammad Said Didu</t>
  </si>
  <si>
    <t>Ustad_Alkadruni 🇮🇩</t>
  </si>
  <si>
    <t>⟭⟬ aiً⁷ 🌙</t>
  </si>
  <si>
    <t>💭</t>
  </si>
  <si>
    <t>PolrestaTangerang_Official</t>
  </si>
  <si>
    <t>aji</t>
  </si>
  <si>
    <t>AP~8</t>
  </si>
  <si>
    <t>yeni🍀 limit 3 hari :(</t>
  </si>
  <si>
    <t>Jean Yves</t>
  </si>
  <si>
    <t>KantorposTasikmalaya</t>
  </si>
  <si>
    <t>polsekkdrkota</t>
  </si>
  <si>
    <t>파라fara | po txt chaotic wonderland📌</t>
  </si>
  <si>
    <t>magic🌠</t>
  </si>
  <si>
    <t>Tamtombol</t>
  </si>
  <si>
    <t>❤️‍🔥</t>
  </si>
  <si>
    <t>mai.</t>
  </si>
  <si>
    <t>💙 follow @musiconvo</t>
  </si>
  <si>
    <t>roi</t>
  </si>
  <si>
    <t>Prattt.</t>
  </si>
  <si>
    <t>Ibun</t>
  </si>
  <si>
    <t>jae👦</t>
  </si>
  <si>
    <t>Erma Amalia Khairina</t>
  </si>
  <si>
    <t>Ra!!</t>
  </si>
  <si>
    <t>fiamiiii</t>
  </si>
  <si>
    <t>Jeanne d'Arc プトリ</t>
  </si>
  <si>
    <t>Patricia Wulandari</t>
  </si>
  <si>
    <t>Nin Djani</t>
  </si>
  <si>
    <t>ꦲꦒꦸꦁ</t>
  </si>
  <si>
    <t>roy</t>
  </si>
  <si>
    <t>Simboke🌸Sarah</t>
  </si>
  <si>
    <t>Gareng G</t>
  </si>
  <si>
    <t>Aris Budiyanto - iA Sehat Wal Afiat</t>
  </si>
  <si>
    <t>kiyu</t>
  </si>
  <si>
    <t>dinda</t>
  </si>
  <si>
    <t>frill</t>
  </si>
  <si>
    <t>Ranger Abang</t>
  </si>
  <si>
    <t>ordinary people</t>
  </si>
  <si>
    <t>Goen 🏳🏴</t>
  </si>
  <si>
    <t>𖤐</t>
  </si>
  <si>
    <t>enggardinie</t>
  </si>
  <si>
    <t>𝑴𝒂𝒎𝒊</t>
  </si>
  <si>
    <t>Komprosdimedjo</t>
  </si>
  <si>
    <t>BENS RADIO 106.2 FM</t>
  </si>
  <si>
    <t>_Hanoman</t>
  </si>
  <si>
    <t>Info Mojokerto | #vaksinmjkt</t>
  </si>
  <si>
    <t>dod | #vaccinated</t>
  </si>
  <si>
    <t>🌊PePinG🌊</t>
  </si>
  <si>
    <t>Henry Subiakto</t>
  </si>
  <si>
    <t>Bawaslu Tana Toraja</t>
  </si>
  <si>
    <t>Polres Jembrana</t>
  </si>
  <si>
    <t>Deddy</t>
  </si>
  <si>
    <t>sandra dody trisna</t>
  </si>
  <si>
    <t>Eliya_mkom</t>
  </si>
  <si>
    <t>RumahKIP-K_UNSIL</t>
  </si>
  <si>
    <t>HIMAFI FMIPA UNRI</t>
  </si>
  <si>
    <t>Al-Luxville.</t>
  </si>
  <si>
    <t>ona</t>
  </si>
  <si>
    <t>Info Lowongan kerja</t>
  </si>
  <si>
    <t>Bahamas 🇮🇩🇮🇩</t>
  </si>
  <si>
    <t>UPPD PURBALINGGA</t>
  </si>
  <si>
    <t>🌙</t>
  </si>
  <si>
    <t>meme-sama</t>
  </si>
  <si>
    <t>Imigrasi Baubau</t>
  </si>
  <si>
    <t>GrahaToyotaID</t>
  </si>
  <si>
    <t>Bawaslu Kota Tanjungbalai</t>
  </si>
  <si>
    <t>Rino@Jakarta</t>
  </si>
  <si>
    <t>KORO</t>
  </si>
  <si>
    <t>BobotohUSBYPKP</t>
  </si>
  <si>
    <t>KPU Kabupaten Berau</t>
  </si>
  <si>
    <t>Gatauuu</t>
  </si>
  <si>
    <t>Anissa Herdian</t>
  </si>
  <si>
    <t>Akhmad</t>
  </si>
  <si>
    <t>Aditya Sadja</t>
  </si>
  <si>
    <t>Zen</t>
  </si>
  <si>
    <t>Polsek Kuala</t>
  </si>
  <si>
    <t>♔ Sa</t>
  </si>
  <si>
    <t>🐥</t>
  </si>
  <si>
    <t>MediaCenter_KotaBengkulu</t>
  </si>
  <si>
    <t>lucky yuu limit</t>
  </si>
  <si>
    <t>Tanya2rl ㅡ ON ✨</t>
  </si>
  <si>
    <t>Harry Nuriman</t>
  </si>
  <si>
    <t>HIMAPENTIKA FKIP UNRI</t>
  </si>
  <si>
    <t>:)</t>
  </si>
  <si>
    <t>Qonita Widia N</t>
  </si>
  <si>
    <t>Humas Pemda DIY</t>
  </si>
  <si>
    <t>✨ / tf won on</t>
  </si>
  <si>
    <t>Windy Kurniawati</t>
  </si>
  <si>
    <t>beban keluarga</t>
  </si>
  <si>
    <t>Fiersa Besari</t>
  </si>
  <si>
    <t>Dinomilosaurusss21</t>
  </si>
  <si>
    <t>dailaa ᐢ. ֑ .ᐢ</t>
  </si>
  <si>
    <t>mimi🐰💗 | ava dare👎🏻</t>
  </si>
  <si>
    <t>SUDAH DIVAKSIN 🐝</t>
  </si>
  <si>
    <t>didit</t>
  </si>
  <si>
    <t>Karawang Menfess</t>
  </si>
  <si>
    <t>luguluguGBLK</t>
  </si>
  <si>
    <t>diriku</t>
  </si>
  <si>
    <t>Hafiz Satria Pratama</t>
  </si>
  <si>
    <t>nad</t>
  </si>
  <si>
    <t>HIMAKOM POLBAN</t>
  </si>
  <si>
    <t>Pemerintah Kota Denpasar</t>
  </si>
  <si>
    <t>gulajawa🥮</t>
  </si>
  <si>
    <t>call me ntaak!</t>
  </si>
  <si>
    <t>💫📈RreyzFatti📈💫</t>
  </si>
  <si>
    <t>zoemient13</t>
  </si>
  <si>
    <t>Teddybear | Empathy🌹</t>
  </si>
  <si>
    <t>eat madu🍇</t>
  </si>
  <si>
    <t>ㅤㅤ ㅤㅤㅤ</t>
  </si>
  <si>
    <t>Rifqi Frido Oktavianto</t>
  </si>
  <si>
    <t>Bogor Harus Maju</t>
  </si>
  <si>
    <t>Bawasluppu</t>
  </si>
  <si>
    <t>IPM SMP AL-QOLAM</t>
  </si>
  <si>
    <t>PD IPM Sragen</t>
  </si>
  <si>
    <t>PW IPM Jawa Tengah</t>
  </si>
  <si>
    <t>G҉O҉J҉E҉K ҉M҉I҉L҉iT҉A҉N҉ 🏳🏳🏳</t>
  </si>
  <si>
    <t>kage</t>
  </si>
  <si>
    <t>Bubs|Kena Limit 3 Hari</t>
  </si>
  <si>
    <t>αii^•^</t>
  </si>
  <si>
    <t>Vaughn2</t>
  </si>
  <si>
    <t>DИK</t>
  </si>
  <si>
    <t>Erick Thohir</t>
  </si>
  <si>
    <t>Aceng Nurhidayat</t>
  </si>
  <si>
    <t>ไรหาน</t>
  </si>
  <si>
    <t>Meilana Setiawan</t>
  </si>
  <si>
    <t>Adhi</t>
  </si>
  <si>
    <t>Irmagaziram ⬛🟨🟥</t>
  </si>
  <si>
    <t>ney | JYR1 🐹</t>
  </si>
  <si>
    <t>yona</t>
  </si>
  <si>
    <t>Ardan</t>
  </si>
  <si>
    <t>Bayangan</t>
  </si>
  <si>
    <t>𝙨𝙖𝙣𝙩.</t>
  </si>
  <si>
    <t>🌻</t>
  </si>
  <si>
    <t>IG: Merapi_Uncover</t>
  </si>
  <si>
    <t>jinyoung</t>
  </si>
  <si>
    <t>Ninini.</t>
  </si>
  <si>
    <t>Мантовани</t>
  </si>
  <si>
    <t>TUN KEME</t>
  </si>
  <si>
    <t>salmonnnasution.</t>
  </si>
  <si>
    <t>k</t>
  </si>
  <si>
    <t>aLKecil</t>
  </si>
  <si>
    <t>guning</t>
  </si>
  <si>
    <t>wea-boo!</t>
  </si>
  <si>
    <t>Camelaila</t>
  </si>
  <si>
    <t>Nona.</t>
  </si>
  <si>
    <t>Dedi Haryadi</t>
  </si>
  <si>
    <t>Helmy Bobo</t>
  </si>
  <si>
    <t>Radio Elshinta</t>
  </si>
  <si>
    <t>Radio Sonora Jakarta</t>
  </si>
  <si>
    <t>Satpas Polda Metro Jaya</t>
  </si>
  <si>
    <t>NTMC INFO</t>
  </si>
  <si>
    <t>Lowongan Kerja</t>
  </si>
  <si>
    <t>pil saw shang-chi</t>
  </si>
  <si>
    <t>Cerita dewasa pasutri suara hati Istri no open bo</t>
  </si>
  <si>
    <t>이연주♥</t>
  </si>
  <si>
    <t>W</t>
  </si>
  <si>
    <t>jj</t>
  </si>
  <si>
    <t>agni oktarina</t>
  </si>
  <si>
    <t>Transport for Surabaya</t>
  </si>
  <si>
    <t>Rizki Adrian</t>
  </si>
  <si>
    <t>sky✈️</t>
  </si>
  <si>
    <t>Pos Karang Satria</t>
  </si>
  <si>
    <t>Hasan</t>
  </si>
  <si>
    <t>𝐀𝐬𝐡𝐥𝐞𝐲 𝐎. 𝐂𝐨𝐧𝐬𝐭𝐚𝐧𝐭𝐢𝐧𝐞</t>
  </si>
  <si>
    <t>Mesincetak</t>
  </si>
  <si>
    <t>Fiony Alveria Tantri</t>
  </si>
  <si>
    <t>CHSC BOT</t>
  </si>
  <si>
    <t>lion/ion</t>
  </si>
  <si>
    <t>dhee</t>
  </si>
  <si>
    <t>Refly Gerung</t>
  </si>
  <si>
    <t>info lalin Samarinda</t>
  </si>
  <si>
    <t>reksa</t>
  </si>
  <si>
    <t>Wildan.</t>
  </si>
  <si>
    <t>Chan</t>
  </si>
  <si>
    <t>影.</t>
  </si>
  <si>
    <t>Almashum.org</t>
  </si>
  <si>
    <t>รีเอสต้า (Riesta) | Natcha J</t>
  </si>
  <si>
    <t>アディ・ヌグロホ</t>
  </si>
  <si>
    <t>MesmerizingJelly🧈</t>
  </si>
  <si>
    <t>crispyskin</t>
  </si>
  <si>
    <t>ty</t>
  </si>
  <si>
    <t>PendimBM</t>
  </si>
  <si>
    <t>Reeee</t>
  </si>
  <si>
    <t>Elisa Koraag</t>
  </si>
  <si>
    <t>317534678</t>
  </si>
  <si>
    <t>1310178245069819904</t>
  </si>
  <si>
    <t>77158111</t>
  </si>
  <si>
    <t>79994419</t>
  </si>
  <si>
    <t>499917610</t>
  </si>
  <si>
    <t>81503165</t>
  </si>
  <si>
    <t>236200461</t>
  </si>
  <si>
    <t>1111169582406893569</t>
  </si>
  <si>
    <t>1298965664233791490</t>
  </si>
  <si>
    <t>2370540182</t>
  </si>
  <si>
    <t>1342070942281809920</t>
  </si>
  <si>
    <t>1420991242498842625</t>
  </si>
  <si>
    <t>174604135</t>
  </si>
  <si>
    <t>3171665917</t>
  </si>
  <si>
    <t>1318415550</t>
  </si>
  <si>
    <t>1124883783142887427</t>
  </si>
  <si>
    <t>3178790695</t>
  </si>
  <si>
    <t>1274159688</t>
  </si>
  <si>
    <t>2240096342</t>
  </si>
  <si>
    <t>1102497591634227201</t>
  </si>
  <si>
    <t>1379646502956494856</t>
  </si>
  <si>
    <t>72593445</t>
  </si>
  <si>
    <t>282125025</t>
  </si>
  <si>
    <t>1171085344021696512</t>
  </si>
  <si>
    <t>814739923</t>
  </si>
  <si>
    <t>491037863</t>
  </si>
  <si>
    <t>705627337</t>
  </si>
  <si>
    <t>2384764039</t>
  </si>
  <si>
    <t>292839210</t>
  </si>
  <si>
    <t>848614550</t>
  </si>
  <si>
    <t>18129942</t>
  </si>
  <si>
    <t>1393464667343785989</t>
  </si>
  <si>
    <t>1187284958370398209</t>
  </si>
  <si>
    <t>262026799</t>
  </si>
  <si>
    <t>1262941600642224129</t>
  </si>
  <si>
    <t>801864500</t>
  </si>
  <si>
    <t>255409050</t>
  </si>
  <si>
    <t>1252835716599443458</t>
  </si>
  <si>
    <t>1373343004795183106</t>
  </si>
  <si>
    <t>162326506</t>
  </si>
  <si>
    <t>1217690568609808384</t>
  </si>
  <si>
    <t>366987179</t>
  </si>
  <si>
    <t>1372794477861949443</t>
  </si>
  <si>
    <t>1120845396157198336</t>
  </si>
  <si>
    <t>1421507992197820417</t>
  </si>
  <si>
    <t>1325364675534467073</t>
  </si>
  <si>
    <t>1648045466</t>
  </si>
  <si>
    <t>1327548607319343104</t>
  </si>
  <si>
    <t>87632140</t>
  </si>
  <si>
    <t>102478633</t>
  </si>
  <si>
    <t>446017133</t>
  </si>
  <si>
    <t>1276794185425670144</t>
  </si>
  <si>
    <t>1341650025965735939</t>
  </si>
  <si>
    <t>101753823</t>
  </si>
  <si>
    <t>1304434990373957632</t>
  </si>
  <si>
    <t>1503250820</t>
  </si>
  <si>
    <t>1378405819117539329</t>
  </si>
  <si>
    <t>874841900</t>
  </si>
  <si>
    <t>1311154851775094786</t>
  </si>
  <si>
    <t>1287273887269412866</t>
  </si>
  <si>
    <t>1280478854197329920</t>
  </si>
  <si>
    <t>923542279905619969</t>
  </si>
  <si>
    <t>1406782117</t>
  </si>
  <si>
    <t>1360137664825987072</t>
  </si>
  <si>
    <t>76647722</t>
  </si>
  <si>
    <t>2251935936</t>
  </si>
  <si>
    <t>605369771</t>
  </si>
  <si>
    <t>296621294</t>
  </si>
  <si>
    <t>76581510</t>
  </si>
  <si>
    <t>1161263264015118336</t>
  </si>
  <si>
    <t>795222883916136448</t>
  </si>
  <si>
    <t>1273209103</t>
  </si>
  <si>
    <t>1143546332499496960</t>
  </si>
  <si>
    <t>1294466535566712832</t>
  </si>
  <si>
    <t>927481868919771136</t>
  </si>
  <si>
    <t>1143085007193329664</t>
  </si>
  <si>
    <t>1247887947602341891</t>
  </si>
  <si>
    <t>1192706001037717504</t>
  </si>
  <si>
    <t>1195657607177834496</t>
  </si>
  <si>
    <t>1201506681374380038</t>
  </si>
  <si>
    <t>1199938310065442817</t>
  </si>
  <si>
    <t>1195218533770096641</t>
  </si>
  <si>
    <t>1250388291045576704</t>
  </si>
  <si>
    <t>40639450</t>
  </si>
  <si>
    <t>1275336645017886720</t>
  </si>
  <si>
    <t>120968478</t>
  </si>
  <si>
    <t>109543367</t>
  </si>
  <si>
    <t>1179718333605658624</t>
  </si>
  <si>
    <t>1102138622222819329</t>
  </si>
  <si>
    <t>1294096974</t>
  </si>
  <si>
    <t>1296469327609131008</t>
  </si>
  <si>
    <t>1156392603396407297</t>
  </si>
  <si>
    <t>1258028640958156800</t>
  </si>
  <si>
    <t>1669629217</t>
  </si>
  <si>
    <t>40380971</t>
  </si>
  <si>
    <t>1329453455921082368</t>
  </si>
  <si>
    <t>1225700746395435010</t>
  </si>
  <si>
    <t>1066301173445980160</t>
  </si>
  <si>
    <t>1419559436163584001</t>
  </si>
  <si>
    <t>923209415418720257</t>
  </si>
  <si>
    <t>1317082746171240449</t>
  </si>
  <si>
    <t>574493037</t>
  </si>
  <si>
    <t>811897280563290112</t>
  </si>
  <si>
    <t>177848697</t>
  </si>
  <si>
    <t>3184723542</t>
  </si>
  <si>
    <t>1145270952617340929</t>
  </si>
  <si>
    <t>81319624</t>
  </si>
  <si>
    <t>1424954670649266180</t>
  </si>
  <si>
    <t>1252222427267907586</t>
  </si>
  <si>
    <t>1112047522543886336</t>
  </si>
  <si>
    <t>2470396172</t>
  </si>
  <si>
    <t>543294959</t>
  </si>
  <si>
    <t>1232377301125328896</t>
  </si>
  <si>
    <t>187171638</t>
  </si>
  <si>
    <t>713309636690976769</t>
  </si>
  <si>
    <t>1257256586793213952</t>
  </si>
  <si>
    <t>1274937219568959489</t>
  </si>
  <si>
    <t>1263835856</t>
  </si>
  <si>
    <t>80204488</t>
  </si>
  <si>
    <t>740530619264819200</t>
  </si>
  <si>
    <t>2422762921</t>
  </si>
  <si>
    <t>1244597361826885636</t>
  </si>
  <si>
    <t>1360642529838813185</t>
  </si>
  <si>
    <t>1123001845482344448</t>
  </si>
  <si>
    <t>1307096460031193088</t>
  </si>
  <si>
    <t>1358744234</t>
  </si>
  <si>
    <t>1316071879</t>
  </si>
  <si>
    <t>222740463</t>
  </si>
  <si>
    <t>108860923</t>
  </si>
  <si>
    <t>1013716555111149568</t>
  </si>
  <si>
    <t>59327489</t>
  </si>
  <si>
    <t>101995429</t>
  </si>
  <si>
    <t>1330441969852563457</t>
  </si>
  <si>
    <t>94004278</t>
  </si>
  <si>
    <t>1466450377</t>
  </si>
  <si>
    <t>1419453954342080516</t>
  </si>
  <si>
    <t>1272494372513148928</t>
  </si>
  <si>
    <t>1305076157516099590</t>
  </si>
  <si>
    <t>1104355370506477569</t>
  </si>
  <si>
    <t>1318356423550496768</t>
  </si>
  <si>
    <t>1206148923686969347</t>
  </si>
  <si>
    <t>1343520719825641472</t>
  </si>
  <si>
    <t>1384353546737356808</t>
  </si>
  <si>
    <t>1436168580412829697</t>
  </si>
  <si>
    <t>3300521847</t>
  </si>
  <si>
    <t>940178423380451328</t>
  </si>
  <si>
    <t>1087588796479070208</t>
  </si>
  <si>
    <t>1410273169307365376</t>
  </si>
  <si>
    <t>1399437305572577280</t>
  </si>
  <si>
    <t>1197877799119249409</t>
  </si>
  <si>
    <t>3232823192</t>
  </si>
  <si>
    <t>1367640544738832389</t>
  </si>
  <si>
    <t>375922893</t>
  </si>
  <si>
    <t>1266577795271979009</t>
  </si>
  <si>
    <t>1189727230009602048</t>
  </si>
  <si>
    <t>1248004419720888322</t>
  </si>
  <si>
    <t>3236035404</t>
  </si>
  <si>
    <t>1104937766587052032</t>
  </si>
  <si>
    <t>1104612441151832064</t>
  </si>
  <si>
    <t>892245663106211846</t>
  </si>
  <si>
    <t>433996822</t>
  </si>
  <si>
    <t>291037444</t>
  </si>
  <si>
    <t>195333272</t>
  </si>
  <si>
    <t>214577481</t>
  </si>
  <si>
    <t>947257669</t>
  </si>
  <si>
    <t>1353314385494642688</t>
  </si>
  <si>
    <t>1425331096422547457</t>
  </si>
  <si>
    <t>1101326696576245760</t>
  </si>
  <si>
    <t>49559189</t>
  </si>
  <si>
    <t>1379644010570993667</t>
  </si>
  <si>
    <t>841004114</t>
  </si>
  <si>
    <t>609998771</t>
  </si>
  <si>
    <t>1431004248221704193</t>
  </si>
  <si>
    <t>1550997859</t>
  </si>
  <si>
    <t>1356409759</t>
  </si>
  <si>
    <t>1434875140836188167</t>
  </si>
  <si>
    <t>2262537074</t>
  </si>
  <si>
    <t>273486666</t>
  </si>
  <si>
    <t>1104783172200329216</t>
  </si>
  <si>
    <t>1232850054425317379</t>
  </si>
  <si>
    <t>1291750712628531201</t>
  </si>
  <si>
    <t>354188131</t>
  </si>
  <si>
    <t>2521685576</t>
  </si>
  <si>
    <t>1294115840577507329</t>
  </si>
  <si>
    <t>1225732038700883968</t>
  </si>
  <si>
    <t>1330078499588218882</t>
  </si>
  <si>
    <t>843474575270719488</t>
  </si>
  <si>
    <t>155162218</t>
  </si>
  <si>
    <t>3237042488</t>
  </si>
  <si>
    <t>614421259</t>
  </si>
  <si>
    <t>86728042</t>
  </si>
  <si>
    <t>1114360624362844161</t>
  </si>
  <si>
    <t>1978790995</t>
  </si>
  <si>
    <t>116378447</t>
  </si>
  <si>
    <t>112046241</t>
  </si>
  <si>
    <t>1396456336729141258</t>
  </si>
  <si>
    <t>1231969720548511746</t>
  </si>
  <si>
    <t>894907328004202497</t>
  </si>
  <si>
    <t>2759158997</t>
  </si>
  <si>
    <t>1311453038897369090</t>
  </si>
  <si>
    <t>843825549218787329</t>
  </si>
  <si>
    <t>809962255</t>
  </si>
  <si>
    <t>935665352121335809</t>
  </si>
  <si>
    <t>919616833002512385</t>
  </si>
  <si>
    <t>1353210126</t>
  </si>
  <si>
    <t>94805910</t>
  </si>
  <si>
    <t>990157084560850944</t>
  </si>
  <si>
    <t>1426414572953432064</t>
  </si>
  <si>
    <t>1317480533614497794</t>
  </si>
  <si>
    <t>1432597593113071619</t>
  </si>
  <si>
    <t>1041164584537677824</t>
  </si>
  <si>
    <t>3406386620</t>
  </si>
  <si>
    <t>470610439</t>
  </si>
  <si>
    <t>1362263032768864260</t>
  </si>
  <si>
    <t>1113028266657382401</t>
  </si>
  <si>
    <t>1258001903742414848</t>
  </si>
  <si>
    <t>1257933954490839040</t>
  </si>
  <si>
    <t>1314849969837285377</t>
  </si>
  <si>
    <t>1118312830313222144</t>
  </si>
  <si>
    <t>1313335806002561024</t>
  </si>
  <si>
    <t>1167614748801695744</t>
  </si>
  <si>
    <t>886387892544651264</t>
  </si>
  <si>
    <t>241714476</t>
  </si>
  <si>
    <t>1028032070365282304</t>
  </si>
  <si>
    <t>4021180481</t>
  </si>
  <si>
    <t>736399098350206979</t>
  </si>
  <si>
    <t>99032398</t>
  </si>
  <si>
    <t>2740864564</t>
  </si>
  <si>
    <t>4184979312</t>
  </si>
  <si>
    <t>1251448960314556416</t>
  </si>
  <si>
    <t>1204678401002311680</t>
  </si>
  <si>
    <t>173084069</t>
  </si>
  <si>
    <t>1155223921</t>
  </si>
  <si>
    <t>1085902292866322432</t>
  </si>
  <si>
    <t>336922164</t>
  </si>
  <si>
    <t>1239124024061382659</t>
  </si>
  <si>
    <t>120022469</t>
  </si>
  <si>
    <t>535164981</t>
  </si>
  <si>
    <t>1274018160262311938</t>
  </si>
  <si>
    <t>1341569129690501120</t>
  </si>
  <si>
    <t>1380075181666828289</t>
  </si>
  <si>
    <t>786611227262726144</t>
  </si>
  <si>
    <t>625381641</t>
  </si>
  <si>
    <t>1321589830552150017</t>
  </si>
  <si>
    <t>96372867</t>
  </si>
  <si>
    <t>1137725006115291136</t>
  </si>
  <si>
    <t>513873317</t>
  </si>
  <si>
    <t>189887329</t>
  </si>
  <si>
    <t>268150984</t>
  </si>
  <si>
    <t>2833909830</t>
  </si>
  <si>
    <t>125294713</t>
  </si>
  <si>
    <t>1151022687117963264</t>
  </si>
  <si>
    <t>1204835129257947137</t>
  </si>
  <si>
    <t>1218959023489204224</t>
  </si>
  <si>
    <t>716964703977623552</t>
  </si>
  <si>
    <t>1050898867435098112</t>
  </si>
  <si>
    <t>1328184797764616194</t>
  </si>
  <si>
    <t>2995331047</t>
  </si>
  <si>
    <t>1242856221238898693</t>
  </si>
  <si>
    <t>1399346632039157768</t>
  </si>
  <si>
    <t>183718365</t>
  </si>
  <si>
    <t>599263994</t>
  </si>
  <si>
    <t>859675038</t>
  </si>
  <si>
    <t>892679027109933056</t>
  </si>
  <si>
    <t>1108541522679480320</t>
  </si>
  <si>
    <t>389734890</t>
  </si>
  <si>
    <t>1202242821824008192</t>
  </si>
  <si>
    <t>831453292408381440</t>
  </si>
  <si>
    <t>1530017335</t>
  </si>
  <si>
    <t>1447944139</t>
  </si>
  <si>
    <t>193623463</t>
  </si>
  <si>
    <t>1219502069834379264</t>
  </si>
  <si>
    <t>1047768018</t>
  </si>
  <si>
    <t>161282276</t>
  </si>
  <si>
    <t>301911173</t>
  </si>
  <si>
    <t>1395106981271117825</t>
  </si>
  <si>
    <t>1370239672291446787</t>
  </si>
  <si>
    <t>1191387008012189699</t>
  </si>
  <si>
    <t>1313515557073776641</t>
  </si>
  <si>
    <t>1244633731580583936</t>
  </si>
  <si>
    <t>82334337</t>
  </si>
  <si>
    <t>68630385</t>
  </si>
  <si>
    <t>1050727225866125312</t>
  </si>
  <si>
    <t>361645956</t>
  </si>
  <si>
    <t>1011676878157983744</t>
  </si>
  <si>
    <t>1383385375721201666</t>
  </si>
  <si>
    <t>1359503684627927045</t>
  </si>
  <si>
    <t>2178009847</t>
  </si>
  <si>
    <t>1259462422592516103</t>
  </si>
  <si>
    <t>332253511</t>
  </si>
  <si>
    <t>2554019484</t>
  </si>
  <si>
    <t>162027051</t>
  </si>
  <si>
    <t>1376697702973501440</t>
  </si>
  <si>
    <t>863892793</t>
  </si>
  <si>
    <t>172631887</t>
  </si>
  <si>
    <t>322496417</t>
  </si>
  <si>
    <t>326691663</t>
  </si>
  <si>
    <t>1374772512580542464</t>
  </si>
  <si>
    <t>1360950344629411841</t>
  </si>
  <si>
    <t>1344218267477368833</t>
  </si>
  <si>
    <t>273613295</t>
  </si>
  <si>
    <t>987709378194108416</t>
  </si>
  <si>
    <t>715582430552272899</t>
  </si>
  <si>
    <t>1358800019873099777</t>
  </si>
  <si>
    <t>76353242</t>
  </si>
  <si>
    <t>811259867310616576</t>
  </si>
  <si>
    <t>209910234</t>
  </si>
  <si>
    <t>1008157689258565632</t>
  </si>
  <si>
    <t>144097739</t>
  </si>
  <si>
    <t>1004873472626122752</t>
  </si>
  <si>
    <t>1282507197142798336</t>
  </si>
  <si>
    <t>3272585988</t>
  </si>
  <si>
    <t>1232687029474844673</t>
  </si>
  <si>
    <t>1373599934277058562</t>
  </si>
  <si>
    <t>154390739</t>
  </si>
  <si>
    <t>1220996978932244481</t>
  </si>
  <si>
    <t>1273833386960797698</t>
  </si>
  <si>
    <t>2785772216</t>
  </si>
  <si>
    <t>788783677366870016</t>
  </si>
  <si>
    <t>109724070</t>
  </si>
  <si>
    <t>907928837534605312</t>
  </si>
  <si>
    <t>2886012872</t>
  </si>
  <si>
    <t>1004435160</t>
  </si>
  <si>
    <t>561771859</t>
  </si>
  <si>
    <t>1198979671771074568</t>
  </si>
  <si>
    <t>1331860484371279873</t>
  </si>
  <si>
    <t>1424932965071482890</t>
  </si>
  <si>
    <t>1409085167440781312</t>
  </si>
  <si>
    <t>232229656</t>
  </si>
  <si>
    <t>1066761591830458368</t>
  </si>
  <si>
    <t>1387368674030325763</t>
  </si>
  <si>
    <t>1163405270405353475</t>
  </si>
  <si>
    <t>877920366001217538</t>
  </si>
  <si>
    <t>1343101021837398019</t>
  </si>
  <si>
    <t>3277393543</t>
  </si>
  <si>
    <t>72789272</t>
  </si>
  <si>
    <t>868702621699162113</t>
  </si>
  <si>
    <t>75519605</t>
  </si>
  <si>
    <t>842783275</t>
  </si>
  <si>
    <t>1128830401529561088</t>
  </si>
  <si>
    <t>1373489495941677059</t>
  </si>
  <si>
    <t>1313353701373878272</t>
  </si>
  <si>
    <t>241966405</t>
  </si>
  <si>
    <t>17702848</t>
  </si>
  <si>
    <t>1318412621389864962</t>
  </si>
  <si>
    <t>1298646277387771904</t>
  </si>
  <si>
    <t>784069006042935297</t>
  </si>
  <si>
    <t>1220524874667454464</t>
  </si>
  <si>
    <t>1257333301116878851</t>
  </si>
  <si>
    <t>1255837567737401351</t>
  </si>
  <si>
    <t>1338413501841195008</t>
  </si>
  <si>
    <t>799338488</t>
  </si>
  <si>
    <t>735444618515353601</t>
  </si>
  <si>
    <t>471747068</t>
  </si>
  <si>
    <t>991717810437931013</t>
  </si>
  <si>
    <t>996567254614425603</t>
  </si>
  <si>
    <t>1952783474</t>
  </si>
  <si>
    <t>315927303</t>
  </si>
  <si>
    <t>1083253856027332608</t>
  </si>
  <si>
    <t>73299530</t>
  </si>
  <si>
    <t>1236208918478458880</t>
  </si>
  <si>
    <t>1054398541915803648</t>
  </si>
  <si>
    <t>2617566708</t>
  </si>
  <si>
    <t>1340270259408793607</t>
  </si>
  <si>
    <t>723813028580335616</t>
  </si>
  <si>
    <t>831537612141703172</t>
  </si>
  <si>
    <t>3257415062</t>
  </si>
  <si>
    <t>305375879</t>
  </si>
  <si>
    <t>1231087591757246464</t>
  </si>
  <si>
    <t>408396727</t>
  </si>
  <si>
    <t>1440290893748076549</t>
  </si>
  <si>
    <t>1401164252455444484</t>
  </si>
  <si>
    <t>1407179488425877504</t>
  </si>
  <si>
    <t>1177929358121390081</t>
  </si>
  <si>
    <t>1026377827828957185</t>
  </si>
  <si>
    <t>975708287344635905</t>
  </si>
  <si>
    <t>850296967</t>
  </si>
  <si>
    <t>941014423</t>
  </si>
  <si>
    <t>304294941</t>
  </si>
  <si>
    <t>765761609134379008</t>
  </si>
  <si>
    <t>1330815770</t>
  </si>
  <si>
    <t>1145892176133419008</t>
  </si>
  <si>
    <t>1158272167353581569</t>
  </si>
  <si>
    <t>2889531644</t>
  </si>
  <si>
    <t>2385532567</t>
  </si>
  <si>
    <t>1383726511081943058</t>
  </si>
  <si>
    <t>1204757954727006208</t>
  </si>
  <si>
    <t>1213727348568162304</t>
  </si>
  <si>
    <t>1280919290225364992</t>
  </si>
  <si>
    <t>1266186208444444672</t>
  </si>
  <si>
    <t>2270005266</t>
  </si>
  <si>
    <t>183707977</t>
  </si>
  <si>
    <t>2154476719</t>
  </si>
  <si>
    <t>720861002036682753</t>
  </si>
  <si>
    <t>552034110</t>
  </si>
  <si>
    <t>2603769768</t>
  </si>
  <si>
    <t>3860613620</t>
  </si>
  <si>
    <t>1321881156460007424</t>
  </si>
  <si>
    <t>1250677223134134273</t>
  </si>
  <si>
    <t>925203720</t>
  </si>
  <si>
    <t>824530718</t>
  </si>
  <si>
    <t>71163516</t>
  </si>
  <si>
    <t>4475017399</t>
  </si>
  <si>
    <t>1405798427284303874</t>
  </si>
  <si>
    <t>124526660</t>
  </si>
  <si>
    <t>1180444704137105408</t>
  </si>
  <si>
    <t>820861098</t>
  </si>
  <si>
    <t>900997200888463364</t>
  </si>
  <si>
    <t>846743971934089216</t>
  </si>
  <si>
    <t>2299594304</t>
  </si>
  <si>
    <t>413007959</t>
  </si>
  <si>
    <t>1247735888756404226</t>
  </si>
  <si>
    <t>186015342</t>
  </si>
  <si>
    <t>75209118</t>
  </si>
  <si>
    <t>131356606</t>
  </si>
  <si>
    <t>556897823</t>
  </si>
  <si>
    <t>2843374512</t>
  </si>
  <si>
    <t>61529191</t>
  </si>
  <si>
    <t>1057957886859468800</t>
  </si>
  <si>
    <t>1017711237893795841</t>
  </si>
  <si>
    <t>1372230992132403201</t>
  </si>
  <si>
    <t>1059551194853429248</t>
  </si>
  <si>
    <t>36042037</t>
  </si>
  <si>
    <t>922033730230689792</t>
  </si>
  <si>
    <t>1220155335656136705</t>
  </si>
  <si>
    <t>939086633755742208</t>
  </si>
  <si>
    <t>993505542</t>
  </si>
  <si>
    <t>1267107310603612160</t>
  </si>
  <si>
    <t>1435557159761170435</t>
  </si>
  <si>
    <t>878662313925935104</t>
  </si>
  <si>
    <t>1327783382386806784</t>
  </si>
  <si>
    <t>348993885</t>
  </si>
  <si>
    <t>1208170671261372416</t>
  </si>
  <si>
    <t>1332004839493025793</t>
  </si>
  <si>
    <t>1259359767681613824</t>
  </si>
  <si>
    <t>1135373910126391297</t>
  </si>
  <si>
    <t>181899953</t>
  </si>
  <si>
    <t>1322520246</t>
  </si>
  <si>
    <t>3225876000</t>
  </si>
  <si>
    <t>1401814503172362252</t>
  </si>
  <si>
    <t>1051794871</t>
  </si>
  <si>
    <t>1318463375723044864</t>
  </si>
  <si>
    <t>712590240</t>
  </si>
  <si>
    <t>898125353092120578</t>
  </si>
  <si>
    <t>177991318</t>
  </si>
  <si>
    <t>2295884162</t>
  </si>
  <si>
    <t>245703647</t>
  </si>
  <si>
    <t>1048030513959555072</t>
  </si>
  <si>
    <t>1170550073542901760</t>
  </si>
  <si>
    <t>398798880</t>
  </si>
  <si>
    <t>1280793932436103168</t>
  </si>
  <si>
    <t>122028263</t>
  </si>
  <si>
    <t>2780349457</t>
  </si>
  <si>
    <t>759057872982384640</t>
  </si>
  <si>
    <t>2354672233</t>
  </si>
  <si>
    <t>104115890</t>
  </si>
  <si>
    <t>1426865230034866176</t>
  </si>
  <si>
    <t>817160478</t>
  </si>
  <si>
    <t>730334887358566400</t>
  </si>
  <si>
    <t>3178765945</t>
  </si>
  <si>
    <t>59782436</t>
  </si>
  <si>
    <t>1523935057</t>
  </si>
  <si>
    <t>738388175987441665</t>
  </si>
  <si>
    <t>84071290</t>
  </si>
  <si>
    <t>339427267</t>
  </si>
  <si>
    <t>1436986479914323971</t>
  </si>
  <si>
    <t>94570461</t>
  </si>
  <si>
    <t>1198890921732886530</t>
  </si>
  <si>
    <t>1107821150082469890</t>
  </si>
  <si>
    <t>912169262097219584</t>
  </si>
  <si>
    <t>1331931236428783617</t>
  </si>
  <si>
    <t>370552673</t>
  </si>
  <si>
    <t>2909948138</t>
  </si>
  <si>
    <t>75065497</t>
  </si>
  <si>
    <t>100541385</t>
  </si>
  <si>
    <t>981788475744665600</t>
  </si>
  <si>
    <t>1415660262657462281</t>
  </si>
  <si>
    <t>112751156</t>
  </si>
  <si>
    <t>73084689</t>
  </si>
  <si>
    <t>1436043910611030018</t>
  </si>
  <si>
    <t>243177995</t>
  </si>
  <si>
    <t>426321924</t>
  </si>
  <si>
    <t>286472930</t>
  </si>
  <si>
    <t>168903780</t>
  </si>
  <si>
    <t>1401345210</t>
  </si>
  <si>
    <t>1211819988538904576</t>
  </si>
  <si>
    <t>3705891138</t>
  </si>
  <si>
    <t>2572466240</t>
  </si>
  <si>
    <t>1224226622959603712</t>
  </si>
  <si>
    <t>744588576</t>
  </si>
  <si>
    <t>1110531453522046976</t>
  </si>
  <si>
    <t>115583821</t>
  </si>
  <si>
    <t>1015589444819156993</t>
  </si>
  <si>
    <t>742005172054806528</t>
  </si>
  <si>
    <t>54790441</t>
  </si>
  <si>
    <t>3284988079</t>
  </si>
  <si>
    <t>2940127513</t>
  </si>
  <si>
    <t>273236182</t>
  </si>
  <si>
    <t>4184303294</t>
  </si>
  <si>
    <t>1371652293490176001</t>
  </si>
  <si>
    <t>1433815655023734785</t>
  </si>
  <si>
    <t>68899374</t>
  </si>
  <si>
    <t>1363071374122655746</t>
  </si>
  <si>
    <t>1086161295206797312</t>
  </si>
  <si>
    <t>434135495</t>
  </si>
  <si>
    <t>1422351739026513921</t>
  </si>
  <si>
    <t>1154308056605286400</t>
  </si>
  <si>
    <t>144442728</t>
  </si>
  <si>
    <t>1001810207960256513</t>
  </si>
  <si>
    <t>909762911970631680</t>
  </si>
  <si>
    <t>1415264117099679745</t>
  </si>
  <si>
    <t>22126902</t>
  </si>
  <si>
    <t>4672110926</t>
  </si>
  <si>
    <t>1297828819</t>
  </si>
  <si>
    <t>1695962251</t>
  </si>
  <si>
    <t>1409709354</t>
  </si>
  <si>
    <t>1073283329531789314</t>
  </si>
  <si>
    <t>1301215511649243136</t>
  </si>
  <si>
    <t>3348945079</t>
  </si>
  <si>
    <t>1105695938096463872</t>
  </si>
  <si>
    <t>443403184</t>
  </si>
  <si>
    <t>1342356422533627905</t>
  </si>
  <si>
    <t>983683705049833473</t>
  </si>
  <si>
    <t>1393087700102565894</t>
  </si>
  <si>
    <t>1420802520901767169</t>
  </si>
  <si>
    <t>1367077458705453058</t>
  </si>
  <si>
    <t>743367423168913408</t>
  </si>
  <si>
    <t>2281727816</t>
  </si>
  <si>
    <t>1103506519851589633</t>
  </si>
  <si>
    <t>702876432175763456</t>
  </si>
  <si>
    <t>241018848</t>
  </si>
  <si>
    <t>1436256071669088260</t>
  </si>
  <si>
    <t>333356020</t>
  </si>
  <si>
    <t>1164380027917463557</t>
  </si>
  <si>
    <t>1428937004796940288</t>
  </si>
  <si>
    <t>976737708721631232</t>
  </si>
  <si>
    <t>45568375</t>
  </si>
  <si>
    <t>97168995</t>
  </si>
  <si>
    <t>1321049766688550915</t>
  </si>
  <si>
    <t>165764339</t>
  </si>
  <si>
    <t>1359017410406150148</t>
  </si>
  <si>
    <t>115592547</t>
  </si>
  <si>
    <t>1301553397049434112</t>
  </si>
  <si>
    <t>57633045</t>
  </si>
  <si>
    <t>1383673326183141383</t>
  </si>
  <si>
    <t>271818771</t>
  </si>
  <si>
    <t>101178286</t>
  </si>
  <si>
    <t>1212271527212666881</t>
  </si>
  <si>
    <t>843153072</t>
  </si>
  <si>
    <t>1278613515234758656</t>
  </si>
  <si>
    <t>3045656083</t>
  </si>
  <si>
    <t>310379237</t>
  </si>
  <si>
    <t>1441036497965092868</t>
  </si>
  <si>
    <t>1338688002109788161</t>
  </si>
  <si>
    <t>1092419323820298240</t>
  </si>
  <si>
    <t>1458617708</t>
  </si>
  <si>
    <t>29725195</t>
  </si>
  <si>
    <t>733197375825534976</t>
  </si>
  <si>
    <t>2483905332</t>
  </si>
  <si>
    <t>1397071135364161539</t>
  </si>
  <si>
    <t>297278854</t>
  </si>
  <si>
    <t>1044729392537075712</t>
  </si>
  <si>
    <t>1109462556425388033</t>
  </si>
  <si>
    <t>953598262006595586</t>
  </si>
  <si>
    <t>947068003450994688</t>
  </si>
  <si>
    <t>1322009046921011203</t>
  </si>
  <si>
    <t>1005741026735079425</t>
  </si>
  <si>
    <t>3001433010</t>
  </si>
  <si>
    <t>1420785344241274886</t>
  </si>
  <si>
    <t>997497340800860160</t>
  </si>
  <si>
    <t>43037226</t>
  </si>
  <si>
    <t>14567197</t>
  </si>
  <si>
    <t>1629276300</t>
  </si>
  <si>
    <t>1353957662367522816</t>
  </si>
  <si>
    <t>1318707323842392066</t>
  </si>
  <si>
    <t>1420584146175336450</t>
  </si>
  <si>
    <t>165715566</t>
  </si>
  <si>
    <t>139709636</t>
  </si>
  <si>
    <t>895211760327708672</t>
  </si>
  <si>
    <t>1347125859769962496</t>
  </si>
  <si>
    <t>2512889018</t>
  </si>
  <si>
    <t>2937905079</t>
  </si>
  <si>
    <t>1372474748819570689</t>
  </si>
  <si>
    <t>1197351375341944832</t>
  </si>
  <si>
    <t>286796683</t>
  </si>
  <si>
    <t>286541504</t>
  </si>
  <si>
    <t>3171520362</t>
  </si>
  <si>
    <t>382065654</t>
  </si>
  <si>
    <t>1436511259726204932</t>
  </si>
  <si>
    <t>1277236269991391232</t>
  </si>
  <si>
    <t>72293042</t>
  </si>
  <si>
    <t>1016898041205280768</t>
  </si>
  <si>
    <t>1287330624043278337</t>
  </si>
  <si>
    <t>1257595106200150016</t>
  </si>
  <si>
    <t>851990316337029120</t>
  </si>
  <si>
    <t>819827111406010368</t>
  </si>
  <si>
    <t>965958672797978629</t>
  </si>
  <si>
    <t>109762193</t>
  </si>
  <si>
    <t>839857283400024064</t>
  </si>
  <si>
    <t>1052599208870432769</t>
  </si>
  <si>
    <t>1096619601008316416</t>
  </si>
  <si>
    <t>138290629</t>
  </si>
  <si>
    <t>1064920757656932352</t>
  </si>
  <si>
    <t>1310193120609357825</t>
  </si>
  <si>
    <t>590728065</t>
  </si>
  <si>
    <t>400668661</t>
  </si>
  <si>
    <t>4675565540</t>
  </si>
  <si>
    <t>1251275802047475712</t>
  </si>
  <si>
    <t>1227577752988946437</t>
  </si>
  <si>
    <t>928308639315648512</t>
  </si>
  <si>
    <t>38863671</t>
  </si>
  <si>
    <t>1377636766954360832</t>
  </si>
  <si>
    <t>72488008</t>
  </si>
  <si>
    <t>981191339596398592</t>
  </si>
  <si>
    <t>1016528521705881600</t>
  </si>
  <si>
    <t>1173119399516987397</t>
  </si>
  <si>
    <t>1378945965399240705</t>
  </si>
  <si>
    <t>1217157136486035456</t>
  </si>
  <si>
    <t>1296541814246092800</t>
  </si>
  <si>
    <t>2849577974</t>
  </si>
  <si>
    <t>1161807341919977472</t>
  </si>
  <si>
    <t>793819177563803648</t>
  </si>
  <si>
    <t>1430781308406427649</t>
  </si>
  <si>
    <t>1409318493174976513</t>
  </si>
  <si>
    <t>1284436147486068737</t>
  </si>
  <si>
    <t>67357765</t>
  </si>
  <si>
    <t>119950276</t>
  </si>
  <si>
    <t>1062509373614780416</t>
  </si>
  <si>
    <t>1035174989752750080</t>
  </si>
  <si>
    <t>2392460208</t>
  </si>
  <si>
    <t>1187607469972869121</t>
  </si>
  <si>
    <t>1400804785045995520</t>
  </si>
  <si>
    <t>1002642500207534081</t>
  </si>
  <si>
    <t>1217996995370967040</t>
  </si>
  <si>
    <t>1304015307896287232</t>
  </si>
  <si>
    <t>2591641388</t>
  </si>
  <si>
    <t>964836561027084288</t>
  </si>
  <si>
    <t>1662879620</t>
  </si>
  <si>
    <t>1220601385713946625</t>
  </si>
  <si>
    <t>1204556398320705536</t>
  </si>
  <si>
    <t>1102628978223804416</t>
  </si>
  <si>
    <t>1261410053598273536</t>
  </si>
  <si>
    <t>78237612</t>
  </si>
  <si>
    <t>1117990249806721024</t>
  </si>
  <si>
    <t>898245640768995328</t>
  </si>
  <si>
    <t>1265143521876381696</t>
  </si>
  <si>
    <t>3699915674</t>
  </si>
  <si>
    <t>1440619050426454023</t>
  </si>
  <si>
    <t>94532085</t>
  </si>
  <si>
    <t>1406216669702148100</t>
  </si>
  <si>
    <t>759692754985242625</t>
  </si>
  <si>
    <t>1248084638993547266</t>
  </si>
  <si>
    <t>1843222734</t>
  </si>
  <si>
    <t>43273385</t>
  </si>
  <si>
    <t>1298643476972597249</t>
  </si>
  <si>
    <t>1363087723</t>
  </si>
  <si>
    <t>1438691227117834240</t>
  </si>
  <si>
    <t>52312358</t>
  </si>
  <si>
    <t>1086775267257794560</t>
  </si>
  <si>
    <t>61485162</t>
  </si>
  <si>
    <t>2834013109</t>
  </si>
  <si>
    <t>1363108375123255299</t>
  </si>
  <si>
    <t>1132290734046892032</t>
  </si>
  <si>
    <t>1441944173158879239</t>
  </si>
  <si>
    <t>795954039049420800</t>
  </si>
  <si>
    <t>1207741978487578624</t>
  </si>
  <si>
    <t>764905099</t>
  </si>
  <si>
    <t>1033551472158367744</t>
  </si>
  <si>
    <t>1395686466068443138</t>
  </si>
  <si>
    <t>112374006</t>
  </si>
  <si>
    <t>1185928558524289024</t>
  </si>
  <si>
    <t>506515085</t>
  </si>
  <si>
    <t>83979098</t>
  </si>
  <si>
    <t>2916804137</t>
  </si>
  <si>
    <t>2497472294</t>
  </si>
  <si>
    <t>357495196</t>
  </si>
  <si>
    <t>201554665</t>
  </si>
  <si>
    <t>1164373059211448320</t>
  </si>
  <si>
    <t>4863077292</t>
  </si>
  <si>
    <t>290249213</t>
  </si>
  <si>
    <t>768928848</t>
  </si>
  <si>
    <t>1132879057761124352</t>
  </si>
  <si>
    <t>1334438964854317056</t>
  </si>
  <si>
    <t>709010634</t>
  </si>
  <si>
    <t>731957088</t>
  </si>
  <si>
    <t>2832479755</t>
  </si>
  <si>
    <t>1173949073365200897</t>
  </si>
  <si>
    <t>3355049599</t>
  </si>
  <si>
    <t>1108660837349122048</t>
  </si>
  <si>
    <t>1082269851190587397</t>
  </si>
  <si>
    <t>992722050396516353</t>
  </si>
  <si>
    <t>1361907678008668167</t>
  </si>
  <si>
    <t>1316076744676319233</t>
  </si>
  <si>
    <t>558516132</t>
  </si>
  <si>
    <t>1308982074443993094</t>
  </si>
  <si>
    <t>1235271909635317760</t>
  </si>
  <si>
    <t>4875390783</t>
  </si>
  <si>
    <t>1441944263416156160</t>
  </si>
  <si>
    <t>74138178</t>
  </si>
  <si>
    <t>361928081</t>
  </si>
  <si>
    <t>1270409850258784256</t>
  </si>
  <si>
    <t>942931892898209792</t>
  </si>
  <si>
    <t>1170228733917032448</t>
  </si>
  <si>
    <t>1432891152185786369</t>
  </si>
  <si>
    <t>1398244594546925575</t>
  </si>
  <si>
    <t>99127135</t>
  </si>
  <si>
    <t>2275275290</t>
  </si>
  <si>
    <t>734288932368584709</t>
  </si>
  <si>
    <t>94959994</t>
  </si>
  <si>
    <t>1032677966424076288</t>
  </si>
  <si>
    <t>481039005</t>
  </si>
  <si>
    <t>474836414</t>
  </si>
  <si>
    <t>1152510363344101376</t>
  </si>
  <si>
    <t>1315819202033315840</t>
  </si>
  <si>
    <t>1189195077836398592</t>
  </si>
  <si>
    <t>2809209216</t>
  </si>
  <si>
    <t>1243494712033439744</t>
  </si>
  <si>
    <t>1174134337584844801</t>
  </si>
  <si>
    <t>1427473863932215299</t>
  </si>
  <si>
    <t>3303130106</t>
  </si>
  <si>
    <t>1053960694897369088</t>
  </si>
  <si>
    <t>1311885948683087872</t>
  </si>
  <si>
    <t>1368193494</t>
  </si>
  <si>
    <t>1273640899</t>
  </si>
  <si>
    <t>1249004237004009474</t>
  </si>
  <si>
    <t>1159748841576361984</t>
  </si>
  <si>
    <t>1440930966587908104</t>
  </si>
  <si>
    <t>2711563154</t>
  </si>
  <si>
    <t>56383093</t>
  </si>
  <si>
    <t>1074165436944547840</t>
  </si>
  <si>
    <t>217112496</t>
  </si>
  <si>
    <t>1413399309337333763</t>
  </si>
  <si>
    <t>1323165276049793024</t>
  </si>
  <si>
    <t>306551745</t>
  </si>
  <si>
    <t>1279804428724211712</t>
  </si>
  <si>
    <t>711717568734748676</t>
  </si>
  <si>
    <t>1421514992415694851</t>
  </si>
  <si>
    <t>1393751130983698435</t>
  </si>
  <si>
    <t>1213298383886024704</t>
  </si>
  <si>
    <t>1398849952881668099</t>
  </si>
  <si>
    <t>1038852574378582017</t>
  </si>
  <si>
    <t>102978388</t>
  </si>
  <si>
    <t>1361294716172525569</t>
  </si>
  <si>
    <t>1358285435756179457</t>
  </si>
  <si>
    <t>189414934</t>
  </si>
  <si>
    <t>433472137</t>
  </si>
  <si>
    <t>121640063</t>
  </si>
  <si>
    <t>180696019</t>
  </si>
  <si>
    <t>1156798991331295239</t>
  </si>
  <si>
    <t>1309332727972339713</t>
  </si>
  <si>
    <t>2753228456</t>
  </si>
  <si>
    <t>1206829256338100225</t>
  </si>
  <si>
    <t>1400316386707087362</t>
  </si>
  <si>
    <t>886545902</t>
  </si>
  <si>
    <t>41088831</t>
  </si>
  <si>
    <t>1168446893765976064</t>
  </si>
  <si>
    <t>1012326155351875585</t>
  </si>
  <si>
    <t>1376752161137197056</t>
  </si>
  <si>
    <t>1439206735118405638</t>
  </si>
  <si>
    <t>716677939723546624</t>
  </si>
  <si>
    <t>1130448444282232832</t>
  </si>
  <si>
    <t>2892183325</t>
  </si>
  <si>
    <t>1343172369787961344</t>
  </si>
  <si>
    <t>1416501028753604611</t>
  </si>
  <si>
    <t>240460194</t>
  </si>
  <si>
    <t>1438495070961889285</t>
  </si>
  <si>
    <t>1436091596</t>
  </si>
  <si>
    <t>1105850452631916549</t>
  </si>
  <si>
    <t>1084367034148806657</t>
  </si>
  <si>
    <t>2431560648</t>
  </si>
  <si>
    <t>251628740</t>
  </si>
  <si>
    <t>1359106242757627905</t>
  </si>
  <si>
    <t>1374003015082930182</t>
  </si>
  <si>
    <t>212506085</t>
  </si>
  <si>
    <t>Penghuni @CN_PERSIJA ,&amp; Penghuni barisan Ultras Gadungan @MilanistiOrId</t>
  </si>
  <si>
    <t>Makin Tahu Indonesia | Instagram : GNFI | Facebook Page : Good News From Indonesia</t>
  </si>
  <si>
    <t>Unavailable, and counting the days.
Ramah di mention tapi cenderung sering lupa balas dm. Bukan sengaja tapi lupa lol.</t>
  </si>
  <si>
    <t>Gusdurian, football, music.</t>
  </si>
  <si>
    <t>kadang hidup tak senikmat kopi</t>
  </si>
  <si>
    <t>Kamu mau tau info loker Terkini? Kenapa ga Follow @SentraLoker | Loker CPNS, BANK, BUMN, Perusahaan Swasta Lainya. Mau Ebooknya juga? Cek FAV!!</t>
  </si>
  <si>
    <t>Mantan tapol jaman Suharto | PlayBooks https://t.co/IPPpsVhMLz | Storial https://t.co/AHTE15nGXV | Karya Karsa https://t.co/5aadQ8Rmqq</t>
  </si>
  <si>
    <t>CEO Opal | https://t.co/4AJpFfxPsz | #RecehkanTwitter | Kader PSI | Mendukung Cuti Melahirkan yang lebih Panjang</t>
  </si>
  <si>
    <t>Masih Magang di PT. Mencari Cinta Sejati || mencoba menjadi periang nan jenaka || Sejarah itu bisa dipelajari, tapi manusia tidak bisa kembali ke masa lalu</t>
  </si>
  <si>
    <t>Gadih Minang | quirkyalone | interested in Mental Health🍃 &amp; Photography📷</t>
  </si>
  <si>
    <t>Twit awur awuran,kalo ngga suka yaudah || jangan lupa follow akunku satunya @ibuperimu</t>
  </si>
  <si>
    <t>try to be easy going.. its a hard life!</t>
  </si>
  <si>
    <t>salah satu ratu dari 32 raja² 🐒</t>
  </si>
  <si>
    <t>•✧˖*°࿐«sbt &amp; FA for æ❀࿔₊°                                                                                    open jastip paket, jastip freeong🍊</t>
  </si>
  <si>
    <t>Ww? Ok!</t>
  </si>
  <si>
    <t>Bukan akun @penyegaranemosi yang bertujuan untuk menemani anak muda @saatistirahat. Submit konten via DM.</t>
  </si>
  <si>
    <t>Pengaduan dan info lainnya @infobanjarbase</t>
  </si>
  <si>
    <t>akun suka suka</t>
  </si>
  <si>
    <t>ilustrator yg hobi nulis</t>
  </si>
  <si>
    <t>Mantan 02, Oposisi &amp; Anti Kecebong.</t>
  </si>
  <si>
    <t>Terkadang terasa_x000D_
pesimis,namun_x000D_
bangkitkanlah dengan_x000D_
bayangkan euforia yg_x000D_
nanti kalian raih.</t>
  </si>
  <si>
    <t>Bayar apapun ya #pakeOVOaja</t>
  </si>
  <si>
    <t>kalo ditanya cita-citanya apa, bakal kujawab jadi raja bajak laut⛵ # current watch : one piece</t>
  </si>
  <si>
    <t>Hayyin, Layyin, Qoribin, Sahlin</t>
  </si>
  <si>
    <t>Official Twitter of https://t.co/qldGGYWfHu. redaksi@detik.com | promosi@detik.com | Android: https://t.co/l5tQVBgqbD iPhone: https://t.co/NleJXySGkT</t>
  </si>
  <si>
    <t>SumSel Terkini merupakan media digital yang segmentasi berita nya sebagian besar di khususkan untuk wilayah sumatera selatan.</t>
  </si>
  <si>
    <t>password akun ini: dinibahagia.aamiin</t>
  </si>
  <si>
    <t>penulis buku #BincangAkhlak (2019), #sobatsakit (2020)▪️business: 081222147512 - Barlie.ve@gmail.com ▪️punya @umkmdotco</t>
  </si>
  <si>
    <t>My way my life...</t>
  </si>
  <si>
    <t>All Is Well</t>
  </si>
  <si>
    <t>Yang sejati tak akan berdalih
#HalaMadrid #HalaMadrid #HalaMadrid
Tangerang🏠
Sragen🐣</t>
  </si>
  <si>
    <t>| Accountant by profession | Offshore Crewing |
Auditing background | 
Learning about health and nutrition |
Travel enthusiast | Anything i can help?</t>
  </si>
  <si>
    <t>Mahasiswa Program Doktor Honoris Causa - Monas University (Gambir-JKT). Advokat. NoBody. Maaf jika tweet tidak berkenan. Dilarang kutip tweet tanpa izin #YNWA</t>
  </si>
  <si>
    <t>Allah SWT
| #Matcha addict 🍵
| 🇰🇷 addicts
| @SJofficial x #ELF x #규 🐧
| @ENHYPEN x @ENHYPEN_members x #ENGENE x #선우 🦊
| #케이 🌟</t>
  </si>
  <si>
    <t>Official Twitter of Radio Suara Surabaya. 
We put forward solutions to citizens and empower the public through radio journalism. 
News,Interactive,Solutive</t>
  </si>
  <si>
    <t>Official Twitter account of Tempo Media Group. Follow us for breaking news, current events, special reports, and something more from https://t.co/aR6kgV38kn.</t>
  </si>
  <si>
    <t>👍👍</t>
  </si>
  <si>
    <t>🔺she/her 🌼 | 🔺tweets mostly about manga/anime | 🔺only read manga | 🔺favorite genre: mystery, horror, thriller, action 👀</t>
  </si>
  <si>
    <t>You all need to check our pinned tweet and likes tab! Trigger: "-ness" for daily, "-infoness" for share info, lost/found &amp; "-dearness" for your dearest</t>
  </si>
  <si>
    <t>All New MSN Indonesia- previously known as @UMSNID and @PlasaMSN</t>
  </si>
  <si>
    <t>Telkomsel #BukaSemuaPeluang</t>
  </si>
  <si>
    <t>Night Sky Enthusiasts~</t>
  </si>
  <si>
    <t>Official IndiHome Twitter Account. Untuk pengaduan layanan silakan melalui @indihomecare</t>
  </si>
  <si>
    <t>Akun Resmi Kejaksaan RI. Dikelola oleh Pusat Penerangan Hukum Kejaksaan RI.  Kunjungi Media Sosial Kami Lainnya:</t>
  </si>
  <si>
    <t>Kejaksaan Hebat Indonesia Lebih Hebat</t>
  </si>
  <si>
    <t>20代 | she/her | eng id 日本語 | my ult is Shiraishi but currently simping for Megumi |</t>
  </si>
  <si>
    <t>Juventus FC bapuk but I still love them very much</t>
  </si>
  <si>
    <t>One in Million || Watashi ga Kita!</t>
  </si>
  <si>
    <t>Retired from sad, new career in public health | Mostly shitposts</t>
  </si>
  <si>
    <t>Petualang Nusantara #NetizenProNKRI</t>
  </si>
  <si>
    <t>Akun Twitter resmi Presiden Republik Indonesia Joko Widodo 🇮🇩. 
#MenujuIndonesiaMaju</t>
  </si>
  <si>
    <t>Saling menyapa</t>
  </si>
  <si>
    <t>persambatan duniawi</t>
  </si>
  <si>
    <t>rps. suka mengeluh kerjaan. kpop concert go-ers, all pic cr to owner</t>
  </si>
  <si>
    <t>official rant twitter account of amiw or lissie</t>
  </si>
  <si>
    <t>★___★ 𓈒 𓈒 🧃  j-hope luv bot⁷ ɞ</t>
  </si>
  <si>
    <t>HIDUP ADALAH KESEMPATAN || 
NKRI HARGA MATI 🇲🇨🇲🇨🇲🇨 Akun Alternatif @Wantahgdn
FOLLOW LANGSUNG FOLLBACK</t>
  </si>
  <si>
    <t>NO Khilafah, No Rasis, Bhinneka Tunggal Ika
NKRI 🇲🇨https://t.co/idDYZauukI</t>
  </si>
  <si>
    <t>Hanya Seorang Manusia Biasa</t>
  </si>
  <si>
    <t>Pustakawan di Sekolah Menengah Atas. FutsalHolic. Tinggal di Kota Pahlawan.</t>
  </si>
  <si>
    <t>Penikmat ketinggian gunung di Indonesia. 🙂
Kebenaran harus secerah sinar mentari.</t>
  </si>
  <si>
    <t>Akun @AnakLolina masih cuci otak... Masih seperti yg dulu Chelsea fans, Pancasilais anti makluk GURUN.</t>
  </si>
  <si>
    <t>they/them</t>
  </si>
  <si>
    <t>``Every lie contains Truth &amp; every truth contains a Lie.``</t>
  </si>
  <si>
    <t>dowoon's soft stan</t>
  </si>
  <si>
    <t>adminnya ada banyak.</t>
  </si>
  <si>
    <t>LOYALIS SOEKARNO | PANCASILA | BHINEKA TUNGGAL IKA</t>
  </si>
  <si>
    <t>I'm the prince of Namazu Kingdom!
My father is King Namazu VIII and my mother is Queen Koi II
Live in the human world to study "humanity"</t>
  </si>
  <si>
    <t>maneuver or game over</t>
  </si>
  <si>
    <t>1997 — Engga usah di follow, ini akun cuma buat ngehype Inter Milan sama baca au doang. 👍</t>
  </si>
  <si>
    <t>Thallasophile, Cymophile &amp; Pluviophile</t>
  </si>
  <si>
    <t>demi apa pun. bukan penganut iluminati...</t>
  </si>
  <si>
    <t>⚠️RULES DI LINK BIO⚠️ BASE KITA BERSAMA || AUTOBase untuk sambat, curhat, dan berkirim pesan || Pengaduan: @halloUltramin ||PP/Medpar : unsmenfess@gmail.com</t>
  </si>
  <si>
    <t>Baik-baik saja</t>
  </si>
  <si>
    <t>#NetizenForNegeri.
#LaskarBerbagiKasih.
#GerakCepatVaksinasiCovid
MILANISTI SEJATI,</t>
  </si>
  <si>
    <t>hanya sebuah garis yg mencoba lurus</t>
  </si>
  <si>
    <t>Official Account of Multimedia, Telematics &amp; Public Health Expert
DPR-RI K-1 2009-2019, 11th RI Youth &amp; Sport Minister 2013-2014.
(Substitute for @KRMTRoySuryo)</t>
  </si>
  <si>
    <t>Mention fotomu di @lawangsewuSMG | Silahkan Cek Favorit untuk info seputar #lawangsewu !</t>
  </si>
  <si>
    <t>paling suka traveling</t>
  </si>
  <si>
    <t>Traffic Management Center Jakarta Metropolitan Police Telp: 021-52960770</t>
  </si>
  <si>
    <t>ㅡ 𝘸𝘩𝘺 𝘢𝘳𝘦 𝘭𝘰𝘴𝘦𝘳𝘴 𝘴𝘰 𝘴𝘦𝘯𝘴𝘪𝘵𝘪𝘷𝘦 𝘵𝘩𝘦𝘴𝘦 𝘥𝘢𝘺?</t>
  </si>
  <si>
    <t>𝐇𝐚𝐛𝐚𝐝𝐚 𝐇𝐚𝐦𝐚𝐧𝐚𝐧𝐚 𝐆𝐚𝐛𝐚𝐝𝐚 𝐆𝐚𝐦𝐚𝐧𝐚𝐧𝐚. ET translates what I just said, 𝘏𝘦𝘭𝘭𝘰, 𝘪𝘵'𝘴 𝘯𝘪𝘤𝘦 𝘵𝘰 𝘮𝘦𝘦𝘵 𝘺𝘰𝘶.</t>
  </si>
  <si>
    <t>Penikmat Film dan Turunannya -</t>
  </si>
  <si>
    <t>man in pain</t>
  </si>
  <si>
    <t>akun jual beli, @nccit_kimjw main acc. kolektor nya jungwoo renjun yuta sungchan dll SOALNYA GANTENG GAKKK KUAT</t>
  </si>
  <si>
    <t>💕FAN ACCOUNT @x1official101 @LES_BNM @treasuremembers💕
🍒이은상🍓- LEE EUN SANG 20021026
🐰김도영🐰- KIM DO YOUNG 20031204
🐮소정환🐮- SO JUNGHWAN 20050218</t>
  </si>
  <si>
    <t>for sell-buy-trade purpose only • 거래 계정 • slooooowly collecting #나재민 #정윤호 #박우진 • 🇮🇩 • currently looking for jaemin we boom we ver photocard and jaemin yb card</t>
  </si>
  <si>
    <t>this account helps you to sell, buy, and trade all about #NCT and #WayV (indonesia) only. Managed by @cizeuni and operated by @suvpen | ON : 07.00 - 23.00 (WIB)</t>
  </si>
  <si>
    <t>Certified Tourist Guide | Certified Tour Leader | Travel Consultant | Tour Organizer | Part of Jakarta Good Guide 
✉: javandalas.hs@gmail.com</t>
  </si>
  <si>
    <t>• was hyunskiest • Currently all china services are OFF ‼️ open date will be announce after i can make a new alipay account📨 mention for fast response</t>
  </si>
  <si>
    <t>BASE for `SELL/BUY/TRADE/ASK/SHARING { BTS &amp; TXT } ✎ . . ꒰ USE /amj /amb /amn /amt /ams ꒱ • 💜 — @jajanbhlabels @adm_jajanbighit • 🤖 @suvpen</t>
  </si>
  <si>
    <t>The official account of GYU JIN TEPPAN ❤️ FRESH || FAST || TEPPAN #TemanYuJin 🐮</t>
  </si>
  <si>
    <t>Anything is good
#laskarBerbagiKasih.
#NetizenForNegeri
#Batakdoau</t>
  </si>
  <si>
    <t>Twitter cuma buat jelajah trending aja. Jarang komen...</t>
  </si>
  <si>
    <t>Partai Gelombang Rakyat Indonesia yg bersama semua elemen masyarakat akan mengantarkan Indonesia bertransformasi dari entitas politik menjadi entitas peradaban.</t>
  </si>
  <si>
    <t>PARTAI GELOMBANG RAKYAT INDONESIA KALIMANTAN SELATAN</t>
  </si>
  <si>
    <t>Dewan Pimpinan Wilayah
Partai Gelora Indonesia
Provinsi Sumatera Barat</t>
  </si>
  <si>
    <t>Official account DPD Partai Gelombang Rakyat Indonesia Kota Jambi</t>
  </si>
  <si>
    <t>Akun Resmi Partai DPD Gelombang Rakyat Indonesia (GELORA) Kota Cirebon.</t>
  </si>
  <si>
    <t>Akun resmi DPW Partai Gelora Indonesia DKI Jakarta, dikelola oleh Bidang Komunikasi | FB, IG, Youtube @GeloraJKT | https://t.co/MNXKrDzdNv</t>
  </si>
  <si>
    <t>DigiMarketing Enthusiast | Saiber Dunia Imaji | @lokalpunyacomm groomer | MUI | Books Author | @istanbulstartup Ambassador | DPN #geloraindonesia | #jember</t>
  </si>
  <si>
    <t>Sekretaris Jenderal Partai Gelora Indonesia</t>
  </si>
  <si>
    <t>Indonesian Politician, 1998 Member of The Assembly (MPR), 2004-2014 The House (DPR), 2014-2019 Speaker of The House💡akun dipegang sendiri untuk silaturahim💡.</t>
  </si>
  <si>
    <t>Senyum penuh gelora terkembang untuk Indonesia
.
Klik tautan ini untuk bergabung: https://t.co/Aod8qPe2mS</t>
  </si>
  <si>
    <t>Gelorakan semangat Indonesia berkolaborasi &amp; kontribusi lahirkan para pemimpin yg membawa Indonesia menjadi kekuatan 5 besar dunia!
(CEK LINK di BIO)
👇</t>
  </si>
  <si>
    <t>Impunitas  !!!!</t>
  </si>
  <si>
    <t>𝐀𝐭𝐡𝐚𝐧𝐚𝐬𝐢𝐚 𝐩𝐮𝐧𝐲𝐚 𝐉𝐞𝐧𝐨                                                                          𝓐𝓽𝓱𝓲                              '𝙰𝚝𝚑𝚒'</t>
  </si>
  <si>
    <t>Menfess bot untuk membahas tentang rl ━ Pahami rules sebelum menggunakan ✨ Pengaduan/PP : @octobecr @thericherr┊Sub base : @tanyakanrl @drakorthings</t>
  </si>
  <si>
    <t>Ha ha ha ha</t>
  </si>
  <si>
    <t>Official IndiHome Care Twitter Account
☎️ : 147
📧 : customercare@telkom.co.id</t>
  </si>
  <si>
    <t>Official Account of Pos Indonesia</t>
  </si>
  <si>
    <t>jujur itu indah loh</t>
  </si>
  <si>
    <t>*an-ordinary-man*Jika kita diciptakan untuk dunia ini, Maka Allah tidak akan menciptakan kematian*#KataVaduka. *Life is a JOURNEY, From Allah to Allah.</t>
  </si>
  <si>
    <t>Seorang Hamba Allah | Tidak bergolongan | Tidak beraliran | Tidak Bermadzab | Tidak beragama tapi Berdinul Islam</t>
  </si>
  <si>
    <t>A GIRL WHO LIKE COOK ❤️
‏‏اللَّهُمَّ صَلِّ عَلَى مُحَمَّدٍ، وَعَلَى آلِ مُحَمَّدٍ
 ‎‎#sobatsakit</t>
  </si>
  <si>
    <t>Divisi editing @jek___</t>
  </si>
  <si>
    <t>Mom of two. Cinephile. Melophile. Logophile. Banjarese &amp; Sundanese, born-raised among Betawinese, married to Javanese.</t>
  </si>
  <si>
    <t>Prince🐙
Yuta is my angel and my morning star 🌟
ONE AND ONLY NAKAMOTO YUTA💕🌸🍒
#NCT127 i love everything about Yuta💖</t>
  </si>
  <si>
    <t>Testi #GATEHAYU DM me for sponsor | Claim hadiah ke @hcdy6612 Claim saldo/pulsa ke @jnsuhflower Max claim hadiah/saldo 1x24jam | #johnny</t>
  </si>
  <si>
    <t>𝘑𝘢𝘯𝘨𝘢𝘯 𝘴𝘦𝘯𝘺𝘶𝘮 𝘯𝘢𝘯𝘵𝘪 𝘢𝘬𝘶 𝘴𝘶𝘬𝘢</t>
  </si>
  <si>
    <t>us7's team</t>
  </si>
  <si>
    <t>Firsthand Korean Warehouse</t>
  </si>
  <si>
    <t>an autobase for sell or buy related to kpop stuffs (official/unofficial) based on any fandoms ㅡ report &amp; pp contact @siningadu ㅡ sub @dagangkr @boygroupzones</t>
  </si>
  <si>
    <t>☪️✝️⚛️🕉️☸️✡️☯️☮️</t>
  </si>
  <si>
    <t>Allah swt &amp; Rasulullah saw own my heart</t>
  </si>
  <si>
    <t>BUMN sebagai Agent of Development yang besar, kuat dan lincah
koranbumn@gmail.com</t>
  </si>
  <si>
    <t>Akun Resmi Kementerian Komunikasi dan Informatika RI | Ministry of Communication and Information Technology Indonesia | 021-3504024 | humas@kominfo.go.id</t>
  </si>
  <si>
    <t>Akun Twitter Resmi Kementerian BUMN | Jl. Medan Merdeka Selatan No.13 Jakarta | (021) 29935678 | https://t.co/ecmVuaYvjl</t>
  </si>
  <si>
    <t>I do wish we could chat longer, but ... clouds all around me so dark for you ... horror and movies addict.. youtube : WESUSHI</t>
  </si>
  <si>
    <t>don't follow me, i'm lost</t>
  </si>
  <si>
    <t>Auto menfess service gawe arek arek suroboyo | Trigger menfess: -cak / -ning / -rek | del: /unsend | pengaduan: @sbycare</t>
  </si>
  <si>
    <t>Event Management, Media Event , Digital Marketing, Creative Lab.</t>
  </si>
  <si>
    <t>Everything related to Website - SEO Tips, Website Creation, Hosting and Domain etc..</t>
  </si>
  <si>
    <t>𝒕𝒐𝒌𝒚𝒐 𝒓𝒆𝒗𝒆𝒏𝒈𝒆𝒓𝒔 𝒆𝒏𝒕𝒉𝒖 — ヨンジュン🦊</t>
  </si>
  <si>
    <t>Akun Resmi Kantor Wilayah Direktorat Jenderal Pajak Kalimantan Timur dan Utara.</t>
  </si>
  <si>
    <t>Akun Resmi DJP, Senin-Jumat 07.30-17.00 WIB | Informasi &amp; Pengaduan Wajib Pajak : @kring_pajak, 1500200, informasi@pajak.go.id, pengaduan@pajak.go.id, Live Chat</t>
  </si>
  <si>
    <t>Y x g sambat</t>
  </si>
  <si>
    <t>IG: faeuniverse. homophobes don't interact 🏳️‍🌈</t>
  </si>
  <si>
    <t>I'm shipping Hyukjae with tall men but Donghae can join. Oftenly simping over 2D characters.</t>
  </si>
  <si>
    <t>menfess bot for real life, dunia perbucinan, toxic relationship | backup account @menfesssyg | managed by @laporppsini | /cancel untuk hapus mfs</t>
  </si>
  <si>
    <t>KOSONG</t>
  </si>
  <si>
    <t>yang bener bener ajalah</t>
  </si>
  <si>
    <t>Mabok Makan</t>
  </si>
  <si>
    <t>jngn serius serius ah
https://t.co/3lK1rVCIAG</t>
  </si>
  <si>
    <t>Official account of Telkom Indonesia | Untuk layanan customer, silakan hubungi @IndiHome dan @TelkomSolution.</t>
  </si>
  <si>
    <t>ㅤ
a fictional character of Libertia Evangelina (2000); work as a designer include model. Affiliated with TheHouseJN &amp; femme_geniale.
ㅤ</t>
  </si>
  <si>
    <t>♥︎ ›› #JAEHYUN #JENO #JAKE :: 𝗒𝗈𝗎 𝗆𝖺𝗄𝖾 𝗆𝖾 𝗁𝖺𝗉𝗉𝗒 𝗂𝗇 𝖺 𝗐𝖺𝗒 𝗇𝗈 𝗈𝗇𝖾 𝖾𝗅𝗌𝖾 𝖼𝖺𝗇 . .✨🦋</t>
  </si>
  <si>
    <t>she/her 21 (bahasa/broken english) | manajemen | spread positivity | in love with WAYV &amp; BLACKPINK | a writer on @roccoceau</t>
  </si>
  <si>
    <t>Autobase/Menfess bot untuk berbagi informasi dan bertukar cerita yang berhubungan dengan pekerjaan | ADMIN/Paid Promote @magnitvde</t>
  </si>
  <si>
    <t>bismillah cuan banyak</t>
  </si>
  <si>
    <t>akun random berkedok sbt ||
hc mk yr collector</t>
  </si>
  <si>
    <t>♡ looking for another #런쥔 &amp; #예리 collection book peek a boo || if u r NOT SBT do not follow</t>
  </si>
  <si>
    <t>fan acc|| 
Mostly abt #HAECHAN #DOYOUNG #MARK #EAJ 
#Markhyuck</t>
  </si>
  <si>
    <t>Fan acc ||
i sun you</t>
  </si>
  <si>
    <t>Jangan penasaran, nanti suka sendiri kan riweh || 26 tahun ya udah bukan anak anak lagi, AKU GENDUT:)</t>
  </si>
  <si>
    <t>awake and unafraid</t>
  </si>
  <si>
    <t>Badminton addict🏸 Kdrama enthusiast🎬 HA:Neul☁ drimis💚
||
hei kamu temen rl mksdnya yg bukan kenalan lewat sosmed. gausah follow aku ya kalo nemu akun ku😉👌</t>
  </si>
  <si>
    <t>#JUNGKOOK to #JIMIN: you know my heart....no matter how much i think over, i love you.</t>
  </si>
  <si>
    <t>gembil pipine gembul,
gendut yo ben,
Mr.Kong half👬,</t>
  </si>
  <si>
    <t>too alien for earth, too human for outer space.
lovers or haters, welcome.</t>
  </si>
  <si>
    <t>Tourism - Business- Investment | Wisma El John Indonesia, Mal SKA Blok H-102 Pekanbaru, ID 28294 | Office : 0761851278 | SMS / WA : 081977686888</t>
  </si>
  <si>
    <t>(BUDAYAWAN MANDIRI CINTA FB) NKRI Harga mati, Bali selalu di hati</t>
  </si>
  <si>
    <t>Bocah Seribu Pulau🇮🇩 #FollowFirst FF-025
https://t.co/1QpNMyP9nG MOHON BANTU SUBSCRIBE
@UNIMOONnetwork
#GolputLebihTerhormat 🇮🇩</t>
  </si>
  <si>
    <t>Doa dan anugerah</t>
  </si>
  <si>
    <t>❤Ojo Dumeh❤
#NoDM🙏</t>
  </si>
  <si>
    <t>gak suka yang aneh aneh</t>
  </si>
  <si>
    <t>musuh kadrun dan pengasong khilafah</t>
  </si>
  <si>
    <t>CiptaRasaKarsa</t>
  </si>
  <si>
    <t>TAK ADA TAKDIR YANG TAK KITA BUAT.</t>
  </si>
  <si>
    <t>🇮🇩 NKRI harga mati 🇮🇩  cepat atau Lambat Karma akan datang juga, berbuatlah baik saat ini juga.</t>
  </si>
  <si>
    <t>🇮🇩🇮🇩❤~NU Lovers ❤
❤~NKRI Lovers ❤
🇮🇩🇮🇩
Hubbul Wathon Minal Iman</t>
  </si>
  <si>
    <t>Ngluruk tanpo bolo
1000% FB</t>
  </si>
  <si>
    <t>Be grateful for everythings</t>
  </si>
  <si>
    <t>Tetap mencintai NKRI dan Pancasila🇮🇩
Ini akun pertamaku, baru balik stlh kesuspend. 2nd account @syanazmaniz</t>
  </si>
  <si>
    <t>NKRI❣️❣️❣️⛔⛔⛔PORN</t>
  </si>
  <si>
    <t>Allah_islam _Quran 🇮🇩🇮🇩🇮🇩</t>
  </si>
  <si>
    <t>NKRI harga mati🇮🇩</t>
  </si>
  <si>
    <t>di bunuh karna kebenaran keyakinan kita lbh mulia drpd membunuh krna membenarkan keyakinan kita.</t>
  </si>
  <si>
    <t>Thawaflah pd hatimu sendiri sebelum kita thawaf pd Ka'bah....</t>
  </si>
  <si>
    <t>ngopi aja yuk...</t>
  </si>
  <si>
    <t>Tidak suka dengan orang jahat, pasti saya lawan</t>
  </si>
  <si>
    <t>No Kadrunz - Reserving Indonesia</t>
  </si>
  <si>
    <t>selalu optimis</t>
  </si>
  <si>
    <t>Jalan yg lurus💯🇮🇩🇮🇩</t>
  </si>
  <si>
    <t>Aku bukan Seorang ADALAH..tapi Aku cuma sekedar Seorang HANYALAH
#SahabatTanpaSekat
#FriendsWithoutABarrier</t>
  </si>
  <si>
    <t>A simple woman with a purpose. Easy going. I fall, I rise, I make mistakes, I learn, I'm not perfect, I'm human after all. I'm what I'm, who cares ....</t>
  </si>
  <si>
    <t>| PLANTERS | senang berkawan | 💯%fb | damai NKRI | mem-Percayai itu bukan hal mudah |</t>
  </si>
  <si>
    <t>Indonesian Geo-Sci. Subsurface exploration of: Java to South China sea; Borneo Rain Forest land; North slope Alaska Icy surface; Sahara desert Sandy ground.</t>
  </si>
  <si>
    <t>Kang cacii makii org yg BODOH dan MALAS Googling..😠
#MMA #BrazilianJiujitsu #MuayThai #Karate #Boxing..I Love CombatSport 💪👊🙏
🇮🇩GenkNKRI🇮🇩
HORAAS⛪🎅</t>
  </si>
  <si>
    <t>Gak perlu merasa spesial. Kamu manusia, bukan martabak.</t>
  </si>
  <si>
    <t>Previous life: https://t.co/PmpeOfXozV</t>
  </si>
  <si>
    <t>welcome to danish daily shit post.</t>
  </si>
  <si>
    <t>Biarkan Tuhan dari masing masing hati kita bicara. Kuil adalah tubuhmu, Imam adalah hatimu. Dan dari sinilah kesadaran itu dimulai.
❤️NKRI🇲🇨</t>
  </si>
  <si>
    <t>ℂ𝕠𝕗𝕗𝕖𝕖 𝕃𝕠𝕧𝕖𝕣☕  𝔽𝕒𝕟𝕤 ℂ𝕙𝕖𝕝𝕤𝕖𝕒  
🚫🅺︎🅰︎🅳︎🆁︎🆄︎🅽 🅾︎🆄︎🆃︎
🚫🚫Ⓟ︎Ⓞ︎Ⓡ︎Ⓝ︎🚫
🇮🇩🅰︎🅺︎🆄︎🅽︎ 🅽︎🅺︎🆁︎🅸︎
𝐅𝐨𝐥𝐥𝐨𝐰👉@TChelsky99</t>
  </si>
  <si>
    <t>Standing Firm On Justice</t>
  </si>
  <si>
    <t>Akun lm @ewin8923 dr 2012 ke suspend jd maaf kl bnyk yg blm ke follow soalnya mulai dr nol lg 😁🙏🙏♥️♥️</t>
  </si>
  <si>
    <t>I am,</t>
  </si>
  <si>
    <t>... Tukang RT dan FB ...</t>
  </si>
  <si>
    <t>Jika Kata Tak Lagi Bermakna Lebih Baik Diam Saja</t>
  </si>
  <si>
    <t>Teman2 yg belum aku folbek. silakan DM 🙏</t>
  </si>
  <si>
    <t>Bahagia itu sederhana</t>
  </si>
  <si>
    <t>A pacifist being. Let me be the audience so I let you sing. RT and Like what i like, believe, support or opposed.</t>
  </si>
  <si>
    <t>.. kegagalan adalah sukses yg enggak jadi ..</t>
  </si>
  <si>
    <t>#갓세븐🔗 ; #아이즈원💗 ; #엑소🪐 ; #세븐틴💎</t>
  </si>
  <si>
    <t>i do what i want to~</t>
  </si>
  <si>
    <t>To be happy, you don't have to think about changing the world, but just change the way you think...😎😃👍</t>
  </si>
  <si>
    <t>Nothing is worth it if you aren't happy ....</t>
  </si>
  <si>
    <t>💖LOVE NKRI💖
BUZZER GRETONGAN</t>
  </si>
  <si>
    <t>Keseriusan dalam usaha pasti ada jalan, jangan menyerah.</t>
  </si>
  <si>
    <t>Pro NKRI,
kadrun di larang follow</t>
  </si>
  <si>
    <t>lalalalaluv u</t>
  </si>
  <si>
    <t>Sub @FOODFESS2 @FOOD_FESS @foodie_id | Menfess bot for Foodies | Managed by @kamutuh.</t>
  </si>
  <si>
    <t>🦋🥀</t>
  </si>
  <si>
    <t>Bangbara Media, Konsisten memberikan informasi seputar Jawa Barat.</t>
  </si>
  <si>
    <t>funny</t>
  </si>
  <si>
    <t>#PANCASILA
#LaskarBerbagiKasih
*Kirim paket ( DM ) trf sesuai apk ojol.
Bekasi kota dan sekitarnya.</t>
  </si>
  <si>
    <t>Inspirator-Inovator-Author; Speaker event nas &amp; int, 2x T best Inovator Nas, penulis buku utama KPK RI&amp; Bbrp bk Best Seller Revolusi Mental, 7 Pilar Pemb Bangsa</t>
  </si>
  <si>
    <t>hanya akun receh tukang kuli. yg cinta NKRI🇮🇩</t>
  </si>
  <si>
    <t>NKRI harga mati🇮🇩🇮🇩🇮🇩🇮🇩🇮🇩🇮🇩🇮🇩🇮🇩🇮🇩🇮🇩🇮🇩🇮🇩🇮🇩🇮🇩🇮🇩🇮🇩🇮🇩🇮🇩🇮🇩🇮🇩🇮🇩🇮🇩🇮🇩🇮🇩🇮🇩🇮🇩🇮🇩🇮🇩AKU SUDAH VAKSIN YG KEDUA</t>
  </si>
  <si>
    <t>Indonesia damai NKRI harga mati</t>
  </si>
  <si>
    <t>Seorang bapak lemah yg pengen anak cucunya bahagia</t>
  </si>
  <si>
    <t>IG : kantorpos.jakartabarat11000</t>
  </si>
  <si>
    <t>Ra sah digowo mumet,, seng penting kerjo ikhlas lahir batin,, insyaallah berkah</t>
  </si>
  <si>
    <t>Akun resmi Karantina Pertanian Merauke.  Profesional Tangguh Terpercaya. Bagian dari @Barantan_RI</t>
  </si>
  <si>
    <t>Twilite Orchestra
Instagram: @addiems999 
WA: Budi:  +6281287432965_x000D_
-</t>
  </si>
  <si>
    <t>Fourth account 😎
Smiling and laughing keeps you younger! ☺️😁
#UUD45 #Pancasila #BhinnekaTunggalIka #NKRIHargaMati 
#IndonesiaMaju 👍☺️</t>
  </si>
  <si>
    <t>Cheese sticks,  Mie Bangka, Nasi Box , Granola's, Kue Kering 🤤
#pejuangreceh #sukaberbagi #taburtuai
#NKRI</t>
  </si>
  <si>
    <t>░P░r░o░f░e░s░s░i░o░n░a░l░ ░P░e░o░p░l░e░</t>
  </si>
  <si>
    <t>𝕀𝕟𝕕𝕠𝕟𝕖𝕤𝕚𝕒 𝕥𝕒𝕟𝕒𝕙 𝕒𝕚𝕣 𝕕𝕒𝕟 𝕥𝕦𝕞𝕡𝕒𝕙 𝕕𝕒𝕣𝕒𝕙𝕜𝕦.....🇲🇨🇲🇨🇲🇨</t>
  </si>
  <si>
    <t>seorang ayah dari 2 anak , buruh pabrik</t>
  </si>
  <si>
    <t>Jual baju, kaos, kutang bolong baru. Biar bolong nyang penting RASA NKRI. Kondom bolong juga sedia. maNUt marang dawuh Kyai. Bukan artis, colek kl mau mutualan</t>
  </si>
  <si>
    <t>─ AUTO BASE untuk membahas tentang Jogja dan bukan base untuk mencari jodoh.⠀ | Trigger JOG dan INFO | Pengaduan (Quote+Tag) @baksozhongli  @ajaenmin</t>
  </si>
  <si>
    <t>aku bangga menjadi warga negara Republik Indonesia. ❤✊🇮🇩😍</t>
  </si>
  <si>
    <t>...hayoooo...ngintip ya.....😜😜😜😜😜</t>
  </si>
  <si>
    <t>#Buat Apa Kolom Agama di KTP kalau hanya sumber diskriminasi?
#MDRCCT
@wicaksonobruno tumbang ....bikin lagi</t>
  </si>
  <si>
    <t>thanks for following me🙏</t>
  </si>
  <si>
    <t>🇮🇩
#BersatuLawanCovid19
#CabutSKB2Menteri
#No_DM_Please</t>
  </si>
  <si>
    <t>Anak Indonesia, cinta tanah air dan berbagai budayanya, cinta damai dan persatuan</t>
  </si>
  <si>
    <t>Warga DKI Jakarta, Marketer, Karateka</t>
  </si>
  <si>
    <t>Alam Takambang Jadikan Guru</t>
  </si>
  <si>
    <t>Software Programmer</t>
  </si>
  <si>
    <t>rakyat jelata biasa....</t>
  </si>
  <si>
    <t>am enjoying my life..☕☕</t>
  </si>
  <si>
    <t>Kau tak bisa memaksakan dunia seperti yg kau mau...
Tapi kau bisa merubah dirimu seperti yg dunia mau...</t>
  </si>
  <si>
    <t>❤️🇮🇩🇮🇩🇮🇩🇮🇩</t>
  </si>
  <si>
    <t>just an ordinary people,,aka,,rakyat jelata pejuang harapan,,</t>
  </si>
  <si>
    <t>✨나의 예쁜이✨
레드벨벳 조이 🐥
에스파 윈터 ❄⭐️🐰
배우 최예빈 ⭐️
김채원 🧚🏻‍♀️
있지 채령 🐱
| 보이스 1,2,3,4 팬 입니다
보이스 5 coming soon</t>
  </si>
  <si>
    <t>autotweet bot for MYs to support aespa . use /ae/ untuk mengirim menfess. back up account : @aespafess2_ report: @bunga2cantik. NOT PERSONAL ACCOUNT!!!</t>
  </si>
  <si>
    <t>Bismillahirrahmanirrahim</t>
  </si>
  <si>
    <t>Belajar berakal dengan nurani...</t>
  </si>
  <si>
    <t>lonassis@yahoo.com</t>
  </si>
  <si>
    <t>Setia#BuzzerNKRI#100%katolik-100%Indonesia</t>
  </si>
  <si>
    <t>❤️ Cinta  💪" NKRI " 🇮🇩💪</t>
  </si>
  <si>
    <t>NKRI❤️❤️❤️</t>
  </si>
  <si>
    <t>🎃 member of helloween indonesia, Islam Yes khilafah No, #NetizenProNKRI, #NKRIHargaMati 🇮🇩</t>
  </si>
  <si>
    <t>🇲🇨 NKRI 🇲🇨 Pancasila , Bhinneka Tunggal Ika 
Tukang pollow, like, reTweet
Jarang ngeTweet
🚫 No porn
🚫 No kadroen 
#LaskarBerbagiKasih</t>
  </si>
  <si>
    <t>Be creative... No matter who you are...</t>
  </si>
  <si>
    <t>terbang tinggi</t>
  </si>
  <si>
    <t>you play your drama(darma)...you'll get your karma</t>
  </si>
  <si>
    <t>hati hati dalam melangkah karena setiap langkah akan meninggalkan jejak..</t>
  </si>
  <si>
    <t>Follow atau engga sakarepmu 
#flurarmy  6️⃣5️⃣🎹 #SatoshiNakamoto
#TRON #TRX #BNB #DOGE</t>
  </si>
  <si>
    <t>I follow who I like to follow not on request to.</t>
  </si>
  <si>
    <t>everybody happy lah pokoknya
akun lama disuspend gak balik balik padahal sdh sejak 2009 klo gak salah....</t>
  </si>
  <si>
    <t>🍛🍴Pagit-Pagit|🍜|Tasak Telu|🍲|Lemang-Lemang|🍝|Bohan-Bohan|🍣|Cimpa Tuang|🍚|Cimpa Unung-Unung🍴🍛 #banditgang</t>
  </si>
  <si>
    <t>she/her • 99즈 • click the link below to see my Joshua photocards clearance sale!</t>
  </si>
  <si>
    <t>Simple itu lebih baik</t>
  </si>
  <si>
    <t>a woman who loves leyeh leyeh</t>
  </si>
  <si>
    <t>never give up #tigergang #banditgang #kimination
#Bitcoin
@UNIMOONnetwotk</t>
  </si>
  <si>
    <t>#LingkarOlahraga
#NetizenProNKRI
#JalinPersatuan          
'The fear of the Lord is the beginning of wisdom' - Psalms 111:10a</t>
  </si>
  <si>
    <t>Pengawal NKRI..🇲🇨🇲🇨🇲🇨</t>
  </si>
  <si>
    <t>terbitnya matahari</t>
  </si>
  <si>
    <t>Lembaga negara mandiri dengan mandat dalam: UU No. 39/1999, UU No. 26/2000, UU No. 40/2008, dan UU No.  7/2012</t>
  </si>
  <si>
    <t>The calmer you are, the more heated they get</t>
  </si>
  <si>
    <t>Emotional security</t>
  </si>
  <si>
    <t>(bukan akunt bayaran, beli quota sendiri), masih idealis dan semoga tetep idealis ....</t>
  </si>
  <si>
    <t>Brainy snob.. Love to brawlz...
Brawzl to the waalllzzzz.</t>
  </si>
  <si>
    <t>silent working</t>
  </si>
  <si>
    <t>jejak digital sangat kejam .... ingat anak cucu bakal terlibat .... jempol anda saksinya</t>
  </si>
  <si>
    <t>.: Berbagi rejeki :.
.: Cinta NKRI :.
.: Maju bersama untuk NKRI ber-Pancasila :.</t>
  </si>
  <si>
    <t>swasta asik</t>
  </si>
  <si>
    <t>#Tegar2024</t>
  </si>
  <si>
    <t>Animal, Football, and Visual Lover</t>
  </si>
  <si>
    <t>Selalu Berdoa dan Bersyukur🙏</t>
  </si>
  <si>
    <t>Biar sudah kakek tetap GARIS KERAS menyuarakan keadilan dan kebenaran.</t>
  </si>
  <si>
    <t>Hamemayu Hayuning Bawana</t>
  </si>
  <si>
    <t>Anak Benteng yg cinta persatuan dan kesatuan....(PRO NKRI)</t>
  </si>
  <si>
    <t>🇮🇩 NKRI HARGA MATI 
BHINNEKA TUNGGAL IKA.
💯% FB ...A.S.A.P</t>
  </si>
  <si>
    <t>TytydbisangeDJ</t>
  </si>
  <si>
    <t>Pemeran antagonis yg idealis namun skeptis.</t>
  </si>
  <si>
    <t>Kerja and Kerja</t>
  </si>
  <si>
    <t>Bagian dari rakyat jelata yang masih belajar. Saya adalah saya. Like &amp; Retweet tak berarti setuju.</t>
  </si>
  <si>
    <t>bukan siapa-siapa</t>
  </si>
  <si>
    <t>Paketmu aman di-Anteraja 📦🤗 // CS Anteraja via WA: 081196109367 // Tracking: https://t.co/CUIRtGBjYF // Jam operasional : Senin-Minggu | 10.00-20.00 WIB</t>
  </si>
  <si>
    <t>Ga ada yang ga mungkin karena semua akan baik-baik saja. Trust no one.</t>
  </si>
  <si>
    <t>Wong jowo</t>
  </si>
  <si>
    <t>Palugada.</t>
  </si>
  <si>
    <t>Cinta NKRI 🇮🇩
Pancasila
Bhinneka Tunggal Ika
Siap follback</t>
  </si>
  <si>
    <t>Mengikuti yg pantas di ikuti
tak berharap di ikuti kembali</t>
  </si>
  <si>
    <t>Sekretariat Nasional Relawan Indonesia</t>
  </si>
  <si>
    <t>#BigBozz : Jangan pernah lelah untuk selalu berbuat baik, apapun alasannya!</t>
  </si>
  <si>
    <t>dealings purpose…🗯</t>
  </si>
  <si>
    <t>Smart,,, and Behavior,,, Milanisti Indonesia sezione Sidoarjo 041-0002</t>
  </si>
  <si>
    <t>salah satu fungsi hidup untuk mengukir sejarah.
jasat kita takmampu untuk bertahan sampai ratusan tahun.
tapi prilaku kita bisa di kenang sampai ribuan tahun.</t>
  </si>
  <si>
    <t>Teacher.
Akun baru akun lama dihukum 😊</t>
  </si>
  <si>
    <t>Suro Diro Joyoningrat Lebur Dening Pangastuti</t>
  </si>
  <si>
    <t>unpredictable</t>
  </si>
  <si>
    <t>Nyaku Minahasa.
 🇮🇩 NKRI HARGA MATI !! 🇮🇩
I YAYAT U SANTI !!!
📰 Journalist | 📷 Photographer | ✈️ Traveller | 🤿 Scuba Diver</t>
  </si>
  <si>
    <t>Nrimo ing Pandum</t>
  </si>
  <si>
    <t>bersama berjuang demi negeri, NKRI, Dan pancasila.</t>
  </si>
  <si>
    <t>...tak perlu memaksakan diri untuk sempurna, jika didalam kesederhanaan itu bisa tercipta bahagia...</t>
  </si>
  <si>
    <t>NO BIO
NO DM
NO BAPER
NO CAPER
NO BULYING
AKUN PRIBADI,BEBAS BERKOMENTAR 
NGGA NGEFENS SAMA SIAPA PUN KCUALI,,FOLLOWERS BAIK😘LOVE
NO TAG ME GA🙏</t>
  </si>
  <si>
    <t>tetap bersabar dalam segala hal</t>
  </si>
  <si>
    <t>democrazy</t>
  </si>
  <si>
    <t>Free Man,Moeslim,Fans NKRI multi Etnic</t>
  </si>
  <si>
    <t>#programfolback Jumat Legi || 12 Ruwah - Jimakir 1954 Windu Sangara || 12 Sya'ban 1442 H || 26 Maret 2021.</t>
  </si>
  <si>
    <t>tipikal org hidup, lebih baik berkomentar daripada susah-susah merubah dunia</t>
  </si>
  <si>
    <t>tidak mewah sih,,,tetapi istimewa</t>
  </si>
  <si>
    <t>pro NKRI, 
no Kadrun, 
no FPI, 
no Bokep,
no PKS,
no Demokrat.</t>
  </si>
  <si>
    <t>Selalu berusaha berAgama dengan benar agar akal ini tetap sehat.. Nalar yang sehat mengikuti kebaikan 🙏</t>
  </si>
  <si>
    <t>is a lucky man who
simply follows his own feeling.</t>
  </si>
  <si>
    <t>becik ketitik olo ketoro
#DuniaFolback</t>
  </si>
  <si>
    <t>Akun dipake berdua. NKRI yes, Khilafah No</t>
  </si>
  <si>
    <t>Islam yg toleransi... Islam.yg menyejukan.. NKRI Harga mati</t>
  </si>
  <si>
    <t>Pengolah Kopi Gunung Malabar dari hulu sampai hilir</t>
  </si>
  <si>
    <t>Korupsi adalah kejahatan yang sangat menyengsarakan rakyat banyak.</t>
  </si>
  <si>
    <t>Info CPNS BUMN - icb memberi Informasi lowongan cpns bumn terbaru 2016 - 2017. Follow ICB untuk mendapatkan info Loker Terbaru Terupdate Setiap Hari</t>
  </si>
  <si>
    <t>cuek is the best</t>
  </si>
  <si>
    <t>ini akunnya Tassa, tapi kadang dipanggil Sasa. Ga penting pls jangan stalk.</t>
  </si>
  <si>
    <t>Automenfess Seputar Sastra | Sub Base Transaksi Buku @racunlitbase | Pengaduan/PP/Titip Menfess 📩 @laporanbase | Baca Rules Sebelum Submit Menfess👇🏽</t>
  </si>
  <si>
    <t>Kebenaran wajib disampaikan</t>
  </si>
  <si>
    <t>untuk senang senang</t>
  </si>
  <si>
    <t>lakukan yg terbaik yg kamu anggap baik</t>
  </si>
  <si>
    <t>Independent Property Agent / Realtor / Brokerage, I am A BELIEVER 🙏🏻🕉</t>
  </si>
  <si>
    <t>Malu bercanda sesat dijalan ✌🏻✌🏻                            
Harta Tahta Betina ||
❤️ SHOLAWAT NARIYAH
https://t.co/wQDComn7S9</t>
  </si>
  <si>
    <t>a progressor</t>
  </si>
  <si>
    <t>maka tiap tiap orang akan ada masanya</t>
  </si>
  <si>
    <t>perjalanan</t>
  </si>
  <si>
    <t>Insan biasa</t>
  </si>
  <si>
    <t>Have passion to learn ┃ Mencari Ridho Allah SWT ┃Salam NKRI 🇮🇩</t>
  </si>
  <si>
    <t>Tulen warga negara NKRI</t>
  </si>
  <si>
    <t>Never give up</t>
  </si>
  <si>
    <t>suka godain anak orang
touring untuk melihat indahnya Indonesia
jaga NKRI
pengagum Jokowi</t>
  </si>
  <si>
    <t>Jangan kau ragukan lagi cintaku terhadap bumi pertiwi ini. Islam Yes!!! Khilafah No!!🇲🇨🇺🇲🇬🇧</t>
  </si>
  <si>
    <t>💕no DM🚫 a Single Father with two beautiful daughters💕🌹</t>
  </si>
  <si>
    <t>نورني بالهدى والإستقامة</t>
  </si>
  <si>
    <t>Aku septi asli</t>
  </si>
  <si>
    <t>Anak semua bangsa</t>
  </si>
  <si>
    <t>Kepura-puraan bukanlah_x000D_solusi. || Tegurlah tapi jangan_x000D_menghina. _x000D_Marahlah tapi_x000D_jangan memaki. _x000D_Mintalah_x000D_tapi jangan memaksa. 
➡️ Bhineka Tunggal Ika ⬅️</t>
  </si>
  <si>
    <t>❤️NKRI🇲🇨</t>
  </si>
  <si>
    <t>Sleman Fans | #IndonesiaRaya</t>
  </si>
  <si>
    <t>NKRI 🇮🇩 ⭐️9</t>
  </si>
  <si>
    <t>🔧🔨🔩⚠⚡⚡⚡</t>
  </si>
  <si>
    <t>isinya aib</t>
  </si>
  <si>
    <t>Aller Anfang ist schwer</t>
  </si>
  <si>
    <t>pria</t>
  </si>
  <si>
    <t>an ethereal</t>
  </si>
  <si>
    <t>banyak jalan menuju ROMA</t>
  </si>
  <si>
    <t>Padamu Negri❤🇮🇩💪</t>
  </si>
  <si>
    <t>Warga biasa yg ingin negara ini dipimpin oleh orang2 baik yg amanah, kerja nyata dan jujur....😘😘</t>
  </si>
  <si>
    <t>I love you Indonesia
🇲🇨 auto follow back.</t>
  </si>
  <si>
    <t>Pikiran negatif tidak akan pernah memberimu kehidupan yang positif.
selalu#NKRI</t>
  </si>
  <si>
    <t>K🅰️FIR
SUMERIAN</t>
  </si>
  <si>
    <t>Dengan menyebut nama Allah yang Maha Pengasih dan Maha Penyayang</t>
  </si>
  <si>
    <t>Kos putri murah 5 menit dari UNDIP</t>
  </si>
  <si>
    <t>Base anak Undip | UNDIP! JAYA! | Trigger : -dips! (Setiap hari) / -creepydips! (Kamis Jumat) / -lovedips! (Sabtu Minggu) | Report/Curhat/PP : @undipwadul_ofc</t>
  </si>
  <si>
    <t>Berjuang mati ,diam pun pasti mati</t>
  </si>
  <si>
    <t>La Tahzan Innalloha ma ana 🧕 🙏
Wawlohu Alla Kulli Syai'in Shahid (85:9) 
Dunia sementara, Akhirat selamanya🙏 SAYA OPOSISI, BUKAN BUZZER🇲🇨🧕🙏</t>
  </si>
  <si>
    <t>‏‏‏‏‏‏‏‏‏اللهم احفظ إندونيسيا</t>
  </si>
  <si>
    <t>The 3rd acount</t>
  </si>
  <si>
    <t>Thx to Allah</t>
  </si>
  <si>
    <t>Mengawali, Menyertai, dan MengAkhiri</t>
  </si>
  <si>
    <t>Dengan menulis, kamu akan banyak membaca. Dengan membaca, kamu akan irit bicara. Dengan irit bicara, lisanmu terjaga dari perkara yg sia-sia. 
#AyoMenulis 📖🖊</t>
  </si>
  <si>
    <t>Sekelumit cahaya kan menyinarimu tiap hari..</t>
  </si>
  <si>
    <t>If you dont like yaoi or bxb content you can mute/unfollow/dont follow me. —
( wayv and dreamies ) — akun sambat dan random — Not following OT23zen</t>
  </si>
  <si>
    <t>suka pantai</t>
  </si>
  <si>
    <t>Olympus - Earth
85% Human</t>
  </si>
  <si>
    <t>akun receh yg coba meramaikan kancah pertwitteran di indonesia...😁</t>
  </si>
  <si>
    <t>Selalu Menjaga Persatuan dan Kesatuan Indonesia.</t>
  </si>
  <si>
    <t>Wujudkan kesejahteraan sosial masyarakat Indonesia | #KemensosHadir</t>
  </si>
  <si>
    <t>|||||||||||||||||||||--- بسم الله الرحم ن الرحيم. ١٩٨٦ Cara lain menikmati angkringan, angkringan untuk semua golongan , #angkringan_VIP
宜しくお願いします。</t>
  </si>
  <si>
    <t>Tukang sambat pake trigger -cuk! 
admin sering jb jb kalo gabut.</t>
  </si>
  <si>
    <t>Born special 😊</t>
  </si>
  <si>
    <t>I see your smile and I'll give mine too </t>
  </si>
  <si>
    <t>Always Beauty Forever Light</t>
  </si>
  <si>
    <t>July '98 || tempat sampah aja 🗑️ || mampir ke IG /nadnad.stuff</t>
  </si>
  <si>
    <t>ordinary mother n wife</t>
  </si>
  <si>
    <t>Tanah Basah</t>
  </si>
  <si>
    <t>No hoax news, no porn &amp; detest ignorant people who spread them.
Humanity above religion.
Love NKRI 🇮🇩</t>
  </si>
  <si>
    <t>berbuat baik selama kita masih bisa berbuat baik.</t>
  </si>
  <si>
    <t>Inyong biyen ora ana
saiki ana
mengko ora ana</t>
  </si>
  <si>
    <t>Akun saya @anto_ic kena patok burung biru😭😭😭.
akun ke 2 @IchwanaAnto1 #NKRIHargamati 
#PrayForIndonesia #JalinPersatuan
#PESANDALAMPUISI</t>
  </si>
  <si>
    <t>‧͙⁺˚*･༓☾brisik☽༓･*˚⁺‧͙</t>
  </si>
  <si>
    <t>diem</t>
  </si>
  <si>
    <t>Libertarian</t>
  </si>
  <si>
    <t>Damn  i  💗 Indonesia  🇮🇩       #BhinnekaTunggal Ika #jalinpersatuan #NKRI
( akun remahan rengginang .......bulukan pula )</t>
  </si>
  <si>
    <t>Calon anak leiden</t>
  </si>
  <si>
    <t>Saya Fria Kapir, Anti FKS &amp; FD dan Saya Bangga! Terus Kamu mau afa??  🇮🇩🇮🇩🇮🇩🇮🇩🇮🇩
NKRI harga mati. Belajar Satire.</t>
  </si>
  <si>
    <t>ROMANISTI</t>
  </si>
  <si>
    <t>Tua Itu Tentang Usia
Dewasa Itu Tentang Karakter
Semua Orang Pasti Tua
Tetapi, Gk Semua Orang Memiliki Karakter Yg Dewasa</t>
  </si>
  <si>
    <t>SIRRUL ASROR || NUR ALA' NUR ||
Rahasia Dibalik Rahasia || Cahaya Diatas Cahaya.</t>
  </si>
  <si>
    <t>i feel so care</t>
  </si>
  <si>
    <t>🇲🇨🇲🇨🇲🇨ind one sia🇲🇨🇲🇨🇲🇨</t>
  </si>
  <si>
    <t>fearless freak female</t>
  </si>
  <si>
    <t>berdiri tegak menantang,
tak pernah menyerah,
tak mau mengalah....
(SID)</t>
  </si>
  <si>
    <t>인스피릿 ∞ 인피니트 ♡ never ending story</t>
  </si>
  <si>
    <t>I'M ON THE PURSUIT OF HAPPINESS AND I KNOW EVERYTHING THAT SHINE AIN'T ALWAYS GONNA BE GOLD._x000D_
I'LL BE FINE ONCE I GET IT, I'LL BE GOOD.</t>
  </si>
  <si>
    <t>oi</t>
  </si>
  <si>
    <t>🎲tempat sambat/diskusi peserta diklat jurangmangu.🎲saring before sharing, bahasanya dijaga. BACA RULES DI 👇🏻</t>
  </si>
  <si>
    <t>‏ومحيايا ومماتى لله رب العالمين</t>
  </si>
  <si>
    <t>🅻̶🅸̶🅵̶🅴̶ ̶🅵̶🅾̶🆁̶ ̶🅻̶🅾̶🆅̶🅴̶,̶ &amp; ̶🅵̶🅸̶🅶̶🅷̶🆃̶ ̶🆃̶🅷̶🅴̶ ̶🅰̶🅽̶🅰̶🆁̶🅲̶🅷̶🅸̶🆂̶🅼̶ ̶+ ̶🆁̶🅰̶🅲̶🅸̶🅰̶🅻̶🅸̶🆂̶🅼̶</t>
  </si>
  <si>
    <t>Merdesa</t>
  </si>
  <si>
    <t>Menteri Desa PDTT || Ketua DPW PKB Jawa Timur || ada niat ada jalan</t>
  </si>
  <si>
    <t>Buzzer NKRI 🇲🇨</t>
  </si>
  <si>
    <t>Strangerian Gemblung - Social Traveler - Barista Gadungan - Accidental Photographer - 2 Steps Behind You</t>
  </si>
  <si>
    <t>trust</t>
  </si>
  <si>
    <t>SATU TEKAD JAGA NKRI❤❤🇮🇩🇮🇩
akun Back up MZ HANZ @hanjenif</t>
  </si>
  <si>
    <t>Beragamalah dgn akal sehat yg jernih n hati nurani yg sejuk
Jgn jadikan agama mu dagangan politik
Jgn jadikan dirimu buih dilautan
Jauhkan sifat benci n Dengki</t>
  </si>
  <si>
    <t>🇮🇩NKRI harga mati🇮🇩</t>
  </si>
  <si>
    <t>Penyintas covid 19 angkatan Mei-Juni 2020, penikmat kopi, teh dan senja, anggota masyarakat  biasa....</t>
  </si>
  <si>
    <t>I'm a big fans of juventus
|Graphics Design
|T-Shirt 
|Hoodie
|Football Jersey
visit My Instagram: @c4sport_jjstore</t>
  </si>
  <si>
    <t>— dealing acc and slow collector 😈 — for #런쥔 #윤호 #진영 🧚</t>
  </si>
  <si>
    <t>❗30 hari ga kirim menfess keunfoll otomatis❗• Autobase wtb/wts/wtt/wta kpop all fandom • Pengaduan &amp; PP ke @swgxyb • Sub @sellkpopdata • Shop: @jastipkonserkuy</t>
  </si>
  <si>
    <t>Ketika pintu fitnah dibuka hanya orang pintar yg tahu ketika awal pintu itu dibuka. 
Sedangkan orang bodoh mengetahuinya setelah semuanya hancur.</t>
  </si>
  <si>
    <t>Saya cinta berbangsa dan tanah air Indonesia, kalo kadal gurun jangan follow yah!!!
#SahabatTanpaSekat
#FriendsWithoutABarrier
#SatyaGaruda NKRI
#programfolbek</t>
  </si>
  <si>
    <t>something doesn't kill you, make you stronger</t>
  </si>
  <si>
    <t>Pecinta NKRI 🇮🇩🇮🇩</t>
  </si>
  <si>
    <t>Marketing Honda Motor SPS Lamongan</t>
  </si>
  <si>
    <t>kita rawat keberagaman no sara for NKRI forever</t>
  </si>
  <si>
    <t>Bosan dengan hoax dan fitnah</t>
  </si>
  <si>
    <t>Allah SWT yang menguasai semuanya dan kita harus berserah diri kepadaNya dan selalu mencari ridhoNya. NKRI-PANCASILA-HARGA MATI.</t>
  </si>
  <si>
    <t>Wanna chat..?	https://t.co/EMCaBUJtJe</t>
  </si>
  <si>
    <t>Allah Is My Strength , Allah Is My Destiny
👶 : Raka Mahendra Nugroho💞
Rizki Surya Nugroho</t>
  </si>
  <si>
    <t>OJOL2CEO</t>
  </si>
  <si>
    <t>#ItsOkayToNotBeOkay &amp; Travel Enthusiast</t>
  </si>
  <si>
    <t>Male</t>
  </si>
  <si>
    <t>Sluman Slumun Slamet
NKRI Harga Mati....Merdeka</t>
  </si>
  <si>
    <t>Bukan kader parpol apa pun</t>
  </si>
  <si>
    <t>JOKOWI ADALAH ANUGERAH UNTUK  INDONESIA</t>
  </si>
  <si>
    <t>#2019GantiPresiden</t>
  </si>
  <si>
    <t>Official Account Humas Karantina Tanjung Priok - Bersama Anda Melindungi Negeri</t>
  </si>
  <si>
    <t>TABIK PUN 
Tanggap, Berintegritas, dan Kompeten adalah Prioritas Utama Menuju Kesempurnaan
Telepon (0721) 261977
Whatsapp +62 87713441964</t>
  </si>
  <si>
    <t>love music n dance. i like some books, Deathly Hallows, Kite runner etc.</t>
  </si>
  <si>
    <t>Ikhlas Melayani Negeri | ☎️ 05116724712 | 📱 0811500830 (Layanan Informasi 24 jam) | 📩 kppbc.bjm@gmail.com (Kantor) | 📩</t>
  </si>
  <si>
    <t>This section intentionally left blank.</t>
  </si>
  <si>
    <t>Simple person..</t>
  </si>
  <si>
    <t>Akun resmi Kring Pajak 1500200 Contact Center DJP @ditjenpajakri | Informasi dan Aplikasi Pajak | Waktu Pelayanan :
Senin-Jumat : 08.00-16.00 WIB</t>
  </si>
  <si>
    <t>Do all things with love ☺</t>
  </si>
  <si>
    <t>Penulis</t>
  </si>
  <si>
    <t>Kel 4:12 // proud to be a bataknese. id line: nadyadaniar. #VisçaBarça</t>
  </si>
  <si>
    <t>This field required my bio? Why?</t>
  </si>
  <si>
    <t>suka musik</t>
  </si>
  <si>
    <t>Suka gaje</t>
  </si>
  <si>
    <t>Menjadi versi sendiri dan percaya diri</t>
  </si>
  <si>
    <t>Automenfess kanggo silaturahmi, banyol, bataros, babagi, diskusi, curhat jeung sajabana // Sub : @jawabaratfess // #Aa @Laporkeun</t>
  </si>
  <si>
    <t>nge-like tweet bukan berarti setuju.</t>
  </si>
  <si>
    <t>Info berlangganan Koran/E Koran ☎ 0853 4151 1157 Pengaduan Langganan: ☎ 0401 3126 513 ☎ 0812 4158 4763 ☎ 0811 4057 290</t>
  </si>
  <si>
    <t>~</t>
  </si>
  <si>
    <t>I think without the box when others think outside the box</t>
  </si>
  <si>
    <t>We dont talk anymore~</t>
  </si>
  <si>
    <t>🛒 for eric sangyeon ヾ๑♡ dnf !!</t>
  </si>
  <si>
    <t>@24LJH or @hyunilys backup acc</t>
  </si>
  <si>
    <t>i'm a woman, i over react, i under estimate, i over think everything, i dream big, and when i say i love u....i'm not lying ;)</t>
  </si>
  <si>
    <t>💯% FB (for Indonesian only 🙏🏼)</t>
  </si>
  <si>
    <t>They/Them - The natural rhythm of human life is routine punctuated by orgies.</t>
  </si>
  <si>
    <t>Akun official TINTAHIJAUCOM | Portal Berita Generasi Millenial | Partnership: red.tintahijau@gmail.com</t>
  </si>
  <si>
    <t>tempat kamu curhat tentang sesuatu yang gak kamu gak tahu atau tahu di Subang</t>
  </si>
  <si>
    <t>Informasi dari berbagai daerah di Jawa Barat. Disajikan secara cepat, tepat, dan akurat dalam 24 Jam nonstop.</t>
  </si>
  <si>
    <t>Tinjauan Berita terkini</t>
  </si>
  <si>
    <t>Pusat Informasi Subang Utara l follow kami untuk dapatkan informasi terupdate dalam sehari</t>
  </si>
  <si>
    <t>Aaaah sebut aja mawar🌹</t>
  </si>
  <si>
    <t>Akun di gembok tp gaada gerbangnya</t>
  </si>
  <si>
    <t>Surely this computer thing is a mistake. Assembly line worker for software.</t>
  </si>
  <si>
    <t>ASLI INDONESIA BUKAN KETURUNAN ARAB</t>
  </si>
  <si>
    <t>Cinta uang adalah akar kejahatan</t>
  </si>
  <si>
    <t>I wanna grow old with you.</t>
  </si>
  <si>
    <t>autobase ulun Lampung • sarana untuk cari informasi, teman, dan loker • gunakan geh! sbgeh! (UNTUK JUALAN) • Pengaduan : @baselpgcare</t>
  </si>
  <si>
    <t>maaf teman, aku bct mulu</t>
  </si>
  <si>
    <t>Let's be friends
😍😉</t>
  </si>
  <si>
    <t>banyak makan tidak gemuk-gemuk | Bill, Elle &amp; Bob | Mati Orep LFC | Not Ordinary Wools</t>
  </si>
  <si>
    <t>Rakjat djelata sewaktoe hidoepnja beloem pernah toeroet berperang</t>
  </si>
  <si>
    <t>Formerly B2uty now Light</t>
  </si>
  <si>
    <t>yolo.. 
part of 🏥  masih berproses</t>
  </si>
  <si>
    <t>#KeluargaRMP
#DisiniBanyakCinta</t>
  </si>
  <si>
    <t>her | 29 y.o. | married | 💭📷🚴‍♀️🌳🏙🍳🎨 | profile pic by @viermori💕</t>
  </si>
  <si>
    <t>Traveler</t>
  </si>
  <si>
    <t>Polri Polda Jateng Polres Cilacap Polsek Bantarsari</t>
  </si>
  <si>
    <t>teori 100 hasil 0 #capemiskin . Cita cita jadi crew film drama korea sama bisa ngambil foto di Okayama</t>
  </si>
  <si>
    <t>I'm Awesome</t>
  </si>
  <si>
    <t>akun depresi</t>
  </si>
  <si>
    <t>Bukan siapa2, belum jadi apa2 dan belum memenuhi kuota sebagai orang bertaqwa</t>
  </si>
  <si>
    <t>♊</t>
  </si>
  <si>
    <t>Auto Base Pertama di Sukabumi | Curhat, Humor, Bertanya dan Sharing | Trigger smi
Business : 081260064217 Aldi</t>
  </si>
  <si>
    <t>😊</t>
  </si>
  <si>
    <t>#ANIKPOP
@pledis_17 @GFRDofficial @bts_bighit @TXT_bighit @hf_dreamcatcher @officialD1CE enthusiast. love anime too.</t>
  </si>
  <si>
    <t>auto base segala hal tentang anime. SUBMIT menfess VIA DM 📩 Lapor/Paid Promote: @miminanimefess baseanimefess@gmail.com | other base: @anistruggles</t>
  </si>
  <si>
    <t>Akun Resmi Republika Online  Info Buku Republika? Cek @bukurepublika
#DariRepublika</t>
  </si>
  <si>
    <t>《Roleplayer》 Park Jinyoung 이라고 ㅡ JJProject x #GOT7 ㅡ an actor under BH Entertainment — loving ahgase wholeheartedly🐣 — #UANGKU</t>
  </si>
  <si>
    <t>： He is the oldest member, rapper, visual and the one of seven in @GOT7official who also currently in charge of being a CEO for Mark Tuan Studio in China. CAA.</t>
  </si>
  <si>
    <t>still standing even sooooo tired of life</t>
  </si>
  <si>
    <t>✨Leo'99</t>
  </si>
  <si>
    <t>tidak ada bio</t>
  </si>
  <si>
    <t>Lowongan kerja terbaru dan terpopuler | UPDATE SETIAP HARI</t>
  </si>
  <si>
    <t>doremifasolasiban</t>
  </si>
  <si>
    <t>Akun dengan layanan bot automenfess untuk warga Bogor dan sekitarnya.
Follow juga akun kedua kami @subbogorfess
☔ Kontak : @supportbgrfess ☔</t>
  </si>
  <si>
    <t>akun dikelola oleh seorang pemalas. MINOR.</t>
  </si>
  <si>
    <t>akun sambat, aku baca au, akun jualan #proof_haeppyharuenjen #testi_haeppyharuenjen, akun bucin #DONGHAE #동해 &amp; #JENO #제노</t>
  </si>
  <si>
    <t>Halo! Kita autobase untuk jual-beli all about Girlgroup's stuff | Cek rules sebelum mengirim menfess | Auto Base | Lapor, PP @GGSell_lapor | RULES ⬇️⬇️⬇️</t>
  </si>
  <si>
    <t>𝐌𝐀𝐑𝐄𝐋𝐘 𝐅𝐎𝐑 𝐑𝐏  :  #이희승 ✦ When everyone's eyes opened and realized that there was a handsome prince hidden in the ancient castle, 𝟮𝟬𝟬𝟭.</t>
  </si>
  <si>
    <t>To all Noble by soul, we'll get the glory we deserve. (2021)</t>
  </si>
  <si>
    <t>Berbagi Info Lowongan wilayah Sumatera
https://t.co/ZFdJvI7gpE</t>
  </si>
  <si>
    <t>Selling, buying, and trading place for Indonesian ATINY 🛒 More info and Rules : https://t.co/3jOAB1xAZn 🛒 admin : @atzmCS 🛒 Join LINE open chat👇🏼</t>
  </si>
  <si>
    <t>Welcome to INA GO SeoulutionID ❤️ 𝙎𝙚𝙡𝙡𝙞𝙣𝙜 𝙠𝙥𝙤𝙥 𝙜𝙤𝙤𝙙𝙨 (𝙖𝙡𝙗𝙪𝙢𝙨, 𝙥𝙝𝙤𝙩𝙤𝙘𝙖𝙧𝙙𝙨, 𝙚𝙩𝙘) 𝙖𝙣𝙙 𝙜𝙧𝙤𝙪𝙥 𝙤𝙧𝙙𝙚𝙧𝙨 𝙤𝙣 𝙡𝙞𝙣𝙚!</t>
  </si>
  <si>
    <t>Menteri Koordinator Bidang Politik, Hukum, dan Keamanan RI
Kabinet Indonesia Maju 2019-2024</t>
  </si>
  <si>
    <t>ca/fa you name it. 
caution : full of meme and broken english.</t>
  </si>
  <si>
    <t>#𝐂𝐘𝐁𝐄𝐑 ; double personalities</t>
  </si>
  <si>
    <t>#𝐂𝐘𝐁𝐄𝐑 ; not a good person</t>
  </si>
  <si>
    <t>akun twit dikelola 10 orang</t>
  </si>
  <si>
    <t>Tempat nongkrong &amp; diskusi Mahasiswa |Menfess BOT for college students| sub @collegemfs |Managed by @RektorColle| campaign/partnership: mahasiswa.base@gmail.com</t>
  </si>
  <si>
    <t>Im liana 😆</t>
  </si>
  <si>
    <t>I wanna be SHINee maknae for a while</t>
  </si>
  <si>
    <t>random</t>
  </si>
  <si>
    <t>kembali dalam rangka nyacati iklan di TV</t>
  </si>
  <si>
    <t>Wedding and Portrait Photographer and an Adjunct Faculty.</t>
  </si>
  <si>
    <t>Akun Sambat | M-944-UI | Suaminya @kirtupahlit |</t>
  </si>
  <si>
    <t>i am the ordinary people...</t>
  </si>
  <si>
    <t>gratitude turns what we have into enough and more</t>
  </si>
  <si>
    <t>Wadah ke-random-an diriku</t>
  </si>
  <si>
    <t>i am the story that will read you real.</t>
  </si>
  <si>
    <t>Official Account of ZALORA Indonesia 🇮🇩</t>
  </si>
  <si>
    <t>Tidak menerima pekerjaan buzzer.</t>
  </si>
  <si>
    <t>just living the life...</t>
  </si>
  <si>
    <t>ganteng</t>
  </si>
  <si>
    <t>btob skz + ggs ☆ mainly dealings</t>
  </si>
  <si>
    <t>tempat berbagi info lowongan kerja</t>
  </si>
  <si>
    <t>Akun Resmi Balai Pemasyarakatan Kelas I Makassar
Layanan Pengaduan : 081342931493</t>
  </si>
  <si>
    <t>don't expect anything from anyone</t>
  </si>
  <si>
    <t>Kind words don’t cost much yet it accomplished much</t>
  </si>
  <si>
    <t>24 y'o | 🇮🇩 | Anime Manga ❤️ | BL ❤️ | Corda | MLQC | ID7 | Mahoyaku | CrackPair addict 😄 Tenn x Tsumugi is my OTP! 💕 | 天紡 ❤ | BEWARE OF NSFW CONTENT!!! 🔞</t>
  </si>
  <si>
    <t>Yoon Dowoon Solo Debut 🦖
◕ She/Her ◕ 01l ◕ https://t.co/VvkTanV0CL ◕</t>
  </si>
  <si>
    <t>the highlight of my lowlife @day6official #DAY6</t>
  </si>
  <si>
    <t>citius, altius, fortius!</t>
  </si>
  <si>
    <t>Eccedentesiast'Ambivert.</t>
  </si>
  <si>
    <t>lg gamut main twitter</t>
  </si>
  <si>
    <t>Tak Harus Sedarah Untuk Bersaudara
❤️🇮🇩NKRI
GA Hunter
#KingFamily
#6️⃣5️⃣🎹
#iamcryptonning</t>
  </si>
  <si>
    <t>🔞↑腐 30+ -- FRB無言お気軽にどうぞ FUB free -- 日本語/ENG/ID ok (pxv 645340) -- sometimes i draw -- 2ha main, love shizun love yifu, ⚰️🕊🍽</t>
  </si>
  <si>
    <t>𝑳𝒐𝒗𝒊𝒏𝒈 𝒚𝒐𝒖 𝒏𝒆𝒗𝒆𝒓 𝒘𝒂𝒔 𝒂𝒏 𝒐𝒑𝒕𝒊𝒐𝒏. 𝑰𝒕 𝒘𝒂𝒔 𝒂 𝒏𝒆𝒄𝒆𝒔𝒔𝒊𝒕𝒚. / collectors 💙💚Personal Fan Acc. Read my carrd. ORDER = SABAR</t>
  </si>
  <si>
    <t>Those who write clearly have readers</t>
  </si>
  <si>
    <t>Official account of PT Clipan Finance Indonesia Tbk</t>
  </si>
  <si>
    <t>for sbt: tbz &amp; txt collector — trf/wd paypal (usd, euro, etc.) &amp; venmo — wh usa first hand ♡all infos on link♡</t>
  </si>
  <si>
    <t>Only for WTS, WTB, WTT and WTA. Pengaduan @cuitantheb | Unsend menfess: /unsend | Rules: 🔗</t>
  </si>
  <si>
    <t>Official Acc. IG Dinas Komunikasi dan Informatika Kabupaten Sragen 📲 Komunikasi Publik "GOTONG ROYONG SEMANGATE, GUYUB RUKUN SAKLAWASE"</t>
  </si>
  <si>
    <t>ex-Chairman of XI-XII IS 4 19.07.2016-19.07.2017-17.07.2018 | @JKT48Sukowati @officialJKT48 @N_ShaniJKT48 @Y_ChikaJKT48 | WA : 08985275605 | IG: Kurniatio99</t>
  </si>
  <si>
    <t>Veni, Vidi, Vetweet. I came, I saw, I bored everyone to death with endless meaningless tweets.</t>
  </si>
  <si>
    <t>ga tau deh</t>
  </si>
  <si>
    <t>So, what’s for dinner?</t>
  </si>
  <si>
    <t>Common people, family, work, music, mufc, etc</t>
  </si>
  <si>
    <t>likeuuu</t>
  </si>
  <si>
    <t>Life's short, don't waste it being sad. Be who you are, be happy, be free. Be whatever you want to be.</t>
  </si>
  <si>
    <t>a grumpy bitch - toxic account/agak nyaru</t>
  </si>
  <si>
    <t>(RP-96👶) ʏᴜ-ᴍᴏᴜꜱᴇ ᴛᴏᴋᴋɪ ᴄʜᴏɪ ʏᴜ ᴊɪɴ ᴜɴᴇxᴘᴇᴄᴛᴇᴅ 'ɴᴏ-ᴇxɪᴛ' ᴄʜᴀʀᴍꜱ! ᴀ ᴍᴀꜱᴛᴇʀ ᴏꜰ ᴀᴇɢʏᴏ ᴛʜᴇ ꜱᴡᴇᴇᴛᴇꜱᴛ ʟɪᴋᴇ ᴛᴛᴀʟɢɪ 🍓. 📝 #⃟지니가
•ᴘᴀʀᴛ ᴏꜰ @CUBECLC｡#GIRLSPLANET999</t>
  </si>
  <si>
    <t>⠀ʚ duplicate ; 🌺 ɞ ˚will be gazed deeply into 🧼 ៚ the .  most 🌷 bewitching visual of  ⋆  💨 ﹪ amazing girl ☆ ° who ｡ named heo jiwon 🥟 © 2OOO 𓄶 ⊹ 💮</t>
  </si>
  <si>
    <t>a multi but ava and header are my ults 💎💚</t>
  </si>
  <si>
    <t>Kill them with kindness</t>
  </si>
  <si>
    <t>Bisa Juara Transaksi Dimana Aja</t>
  </si>
  <si>
    <t>i'm a first timer. Suka nyambat dan ngeluh mulu.</t>
  </si>
  <si>
    <t>Base Bandung V2 | Curhat, Humor, Bertanya &amp; Sharing | Cek menu like | Trigger: euy | pengaduan/pp @rinysafa @tehAprill</t>
  </si>
  <si>
    <t>Tidak Buka Cabang</t>
  </si>
  <si>
    <t>Autobase untuk silaturahmi, sharing, curhat &amp; membahas tentang Magelang — Trigger: Leh — CP/Pengaduan? @lunateuic. Operated by @suvpen</t>
  </si>
  <si>
    <t>magelangnese, piye leh?</t>
  </si>
  <si>
    <t>❃ ﷽ ﺑِﺴْـــــــﻢِﺍﷲِﺍﻟﺮَّﺣْﻤَﻦِﺍﺍﺭَّﺣِﻴﻢ ﷽ ❃</t>
  </si>
  <si>
    <t>AKUN SAMBAT
kritik saran dan hujatan 👉
https://t.co/gtTGWeePmk</t>
  </si>
  <si>
    <t>Digital Media Editor and Researcher//Digital media literacy enthusiast/ Tweet in English and Bahasa// All posts and typos are personal/She-her</t>
  </si>
  <si>
    <t>Green thumbs by day, artist by night. Open for commissioned illustration works. Do check out my portfolio listed in the LinkTree below. Fluent in GIF and memes.</t>
  </si>
  <si>
    <t>Bangun tidur ngopi. Abis makan siang di kantor ngopi. Pulang kantor ngopi.
Urip kok isine ngopa-ngopi ae rabine kapan.</t>
  </si>
  <si>
    <t>a bookworm who wouldn't wanna miss the great outdoor</t>
  </si>
  <si>
    <t>living an illusion</t>
  </si>
  <si>
    <t>let people know more about you
NPNC I I'm slim and like slim too but that rule not effective if u want to be my friends.
i don't like old man chubby/ fat!</t>
  </si>
  <si>
    <t>volly</t>
  </si>
  <si>
    <t>Humas polsek sipirok</t>
  </si>
  <si>
    <t>Traveller..a father..OB/GYN.</t>
  </si>
  <si>
    <t>기현 - 셔누 Kibebe, Nubebe A VIP Monbebe, the joy that sparks in your life ㅋㅋㅋㅋㅋㅋㅋ</t>
  </si>
  <si>
    <t>Official Account | Instagram: @pajaklahat | Facebook: @PajakLahat | Youtube : https://t.co/b2mKWeV2R2 |Whatsapp 0811 78 03 309| ⬇️ Informasi lebih lanjut ⬇️</t>
  </si>
  <si>
    <t>https://t.co/AP5oZLTBjx
Read Before Dm 👉 Ask price, proof or codition 👉 Gone/ghost = 💯Block.
If you not going buy please said sorry or something☺️</t>
  </si>
  <si>
    <t>남성 🙇🏻‍♂️ | 190622 🏰 I MET TBZ 💛| 190903 🎢 I MET RV 🧡 | 200301 💚 TDS in Jkt | 𝙣𝙤𝙩 97𝙇 | my words are none of your business stfu</t>
  </si>
  <si>
    <t>akun fa berkedok sbt, kolek #예나 #고원 #제이유 #재희 #루이치</t>
  </si>
  <si>
    <t>Jadilah Pelopor Keselamatan Berlalu Lintas</t>
  </si>
  <si>
    <t>rp cakep, kadang jadi Kim Taehyung kadang jadi Jeon Jungkook. Tapi kayanya lebih sering jadi Jungkook.</t>
  </si>
  <si>
    <t>#𝐂𝐘𝐁𝐄𝐑—ant : Personification of sins</t>
  </si>
  <si>
    <t>★ Brilliant ★
I'll fight till the end and never give up</t>
  </si>
  <si>
    <t>Jika mata adalah jendela hati, maka perilaku adalah cermin kepribadian diri.</t>
  </si>
  <si>
    <t>Gedung Pos Ibukota lt. 3 - Jln Lapangan Banteng Utara No 1  Jakarta Pusat  Chat : https://t.co/iQ8kM7wxtK Email : bcpasarbaru@customs.go.id #BeaCukaiMakinBaik</t>
  </si>
  <si>
    <t>Official Account Bravo Bea Cukai, Partner of @BeacukaiRI and @KemenkeuRI. Please contact us in https://t.co/oxQoZlC6pN https://t.co/GrrnTkZJP2 #beacukaimakinbaik</t>
  </si>
  <si>
    <t>Akun Twitter Resmi PT PLN (Persero) 
Akun Twitter Resmi Pelayanan @pln_123</t>
  </si>
  <si>
    <t>Official Twitter of PT Pelayanan Listrik Nasional Batam || bright PLN Batam || Mandiri Tanpa Subsidi</t>
  </si>
  <si>
    <t>Saya seorang yg sederhana</t>
  </si>
  <si>
    <t>Fan acc✨| @BTS_twt</t>
  </si>
  <si>
    <t>#SelaluAdaSelaluBisa penuhi segala kebutuhanmu || Bantuan: @tokopediacare || Contact Us: https://t.co/0G5LhVFj2q</t>
  </si>
  <si>
    <t>7 Kings 👑
✦Bυƚ ɯҽ ԋαʋҽ ყσυ αʅʅ ɳσɯ✦</t>
  </si>
  <si>
    <t>•fa/ba • for more update about yt &amp; spo @Hobeworld18 • harsh words • sering bahas random. • army only</t>
  </si>
  <si>
    <t>akun jual beli</t>
  </si>
  <si>
    <t>Menuju Swasembada Pangan dan Kedaulatan Pangan.
Respon cepat sampaikan aduan dg menyertakan #jatenggayeng dan #kemalajateng / email :distanbun@jatengprov.go.id</t>
  </si>
  <si>
    <t>Wakil Gubernur Jawa Tengah 2018-2023 | IG &amp; Fb : @TajYasinMZ | Fanpage: @GusYasinMZ | Youtube https://t.co/hqZbFrlNBt</t>
  </si>
  <si>
    <t>Tuanku ya Rakyat, Gubernur cuma mandat ... ganjarpranowo@yahoo.com//ganjar_gub@jatengprov.go.id// IG: ganjar_pranowo</t>
  </si>
  <si>
    <t>Hotline Call Center Covid-19 Jateng
(024) 76442888
08112622000
📡🇮🇩📡👇 cekidot !
https://t.co/OJ1ji63HEq</t>
  </si>
  <si>
    <t>old account @LoRdDonQ
Padang-Ende-Bukittinggi-Pandau City-Yogyakarta-Wonosobo</t>
  </si>
  <si>
    <t>A proud stay-at-home mom, mbak admin Ngaji Ihya, baker at Dapur Mbak Admin dengan produk andalan #TiramisuMbakAdmin</t>
  </si>
  <si>
    <t>a happy father of 3.
penikmat kopi yg tidak bisa bedakan kopi sachet dgn kopi single origin</t>
  </si>
  <si>
    <t>Akun Resmi Divisi Humas Polri. IG:divisihumaspolri - FB:Divisi Humas Polri - YT:Divisi Humas Polri | Obyektif, Dipercaya, Partisipasi. https://t.co/ff41onTqcl</t>
  </si>
  <si>
    <t>Akun ke 7 mei
^ Hiburan . Viral . kriminal . budaya  ^</t>
  </si>
  <si>
    <t>tak ngene sek</t>
  </si>
  <si>
    <t>WAREHOUSE | CO WEB | PERSONAL ORDER | ที่อยู่อินโด | กดเว็บอินโด | EN/ไทย​⭕ | review: #reviewiswt / shopee (check carrd)</t>
  </si>
  <si>
    <t>Moslem;♡ Alloh, Rasul Muhammad, Ibu dan Ayah, All Fam;  forever learner</t>
  </si>
  <si>
    <t>Akun Resmi BPPTKG - PVMBG - Badan Geologi - Kementerian Energi dan Sumber Daya Mineral
#MerapiSiaga sejak 5 November 2020</t>
  </si>
  <si>
    <t>I am so sorry this is how I roll (unprofessionally)</t>
  </si>
  <si>
    <t>back to be rant acc ec exam.....; nowadays into nctdream (again) and thai and kpop in general wkakwakw btw admin orgil</t>
  </si>
  <si>
    <t>Pembaca &amp; Penikmat Berita..
Pecinta @Arsenal Fc Since 1996..
Pemilik Soto Seger Mbok Samiyem Berdiri Sejak Tangi Turu..
Suka Yg Lucu &amp; Action..</t>
  </si>
  <si>
    <t>akun gabut</t>
  </si>
  <si>
    <t>Let the joy of love give you an answer.
https://t.co/4AAqJlVtKw</t>
  </si>
  <si>
    <t>Submit DM with trigger warning Tea! (spill the tea), Dis! (discuss), Wdyt? (asking for opinions) | (WA) 085762947559 – KIM | @MbakKim | areajulid@gmail.com</t>
  </si>
  <si>
    <t>90s music | coklat | random tweet | julid secukupnya</t>
  </si>
  <si>
    <t>... and D's lover, françois fans</t>
  </si>
  <si>
    <t>was known as Phosphenedbydaylight - i do photographs with digital &amp; film format.</t>
  </si>
  <si>
    <t>@suarkanlah | Photographer | https://t.co/s1dqXAMfej</t>
  </si>
  <si>
    <t>That's not what I mean, sorry...</t>
  </si>
  <si>
    <t>Real account .. Tidak Terima DM yaa (No DM)  
Instagram 👉 stevanie Huang reborn     lI
Facebook 👉 Diandra Liza Zahara</t>
  </si>
  <si>
    <t>Liverpool</t>
  </si>
  <si>
    <t>김탶, 우꾸, 조스누
cw: 슬의2</t>
  </si>
  <si>
    <t>-a simple man who trying his best to spread happiness among others-</t>
  </si>
  <si>
    <t>A book lover VTuber who has a wish to go to isekai. ID/EN/JP (少しだけ). Art + Live2D: @AlphaArietisArt. Discord: https://t.co/vS4A6xr2E5</t>
  </si>
  <si>
    <t>FAKE IN REAL LIFE</t>
  </si>
  <si>
    <t>ig; _glngrzki</t>
  </si>
  <si>
    <t>akun baru bor</t>
  </si>
  <si>
    <t>Smantri '13 / Elektro Unand</t>
  </si>
  <si>
    <t>de Atjehers kunnen worden gedood, maar niet overwonnen! https://t.co/sr6WyOygWL</t>
  </si>
  <si>
    <t>Anak Tangsel</t>
  </si>
  <si>
    <t>Menelusuri jalan kehidupan</t>
  </si>
  <si>
    <t>Poek lain teu katingali, caang can puguh katempo..</t>
  </si>
  <si>
    <t>Akun resmi Radio PRFM | Radio Berita No 1 di Bandung | Part of Pikiran Rakyat Media Network | Tlp 022 4221075 | SMS/WA 0818811075 Email prfm@pikiran-rakyat.com</t>
  </si>
  <si>
    <t>sub &amp; back up account by @dagangkorea ㅡ pengaduan @siningadu</t>
  </si>
  <si>
    <t>safe place kalo kata orang mah</t>
  </si>
  <si>
    <t>carpe noctem | 
contact : ayuamalya1004@gmail.com |
✉️ : https://t.co/fqJyPpak7h</t>
  </si>
  <si>
    <t>Sometimes doing random things.</t>
  </si>
  <si>
    <t>Layanan Customer Service
Live Chat : https://t.co/RPJBaLN4mA
Email : info@linkaja.id
Download aplikasinya sekarang! https://t.co/G8GH9wz9Hz</t>
  </si>
  <si>
    <t>Kami perusahaan dengan basis kekuatan database liputan berita dan foto sejak 1971. Kami juga melayani jasa riset dan penerbitan buku</t>
  </si>
  <si>
    <t>#JOHNNY #HAECHAN #CHENLE 🐻🌻🐬
Ayo jajan bersamaku di : @xxxrlsxxx1 @xxxrlsxxx2  😚😚😚</t>
  </si>
  <si>
    <t>@jdeselling</t>
  </si>
  <si>
    <t>that would be happiness for us ♡ Love dear #Doyoung</t>
  </si>
  <si>
    <t>business account | #testiody | FAST RESP di line 👇</t>
  </si>
  <si>
    <t>Official Twitter Account Jawa Pos The Biggest Newspaper in Indonesia I Baca terus koran Jawa Pos, Klik https://t.co/zQIlbGPP2B</t>
  </si>
  <si>
    <t>Muaragembong Harus Lebih Baik</t>
  </si>
  <si>
    <t>Polsek binangun</t>
  </si>
  <si>
    <t>☁️☁️🎡𝕎𝕖𝕝𝕔𝕠𝕞𝕖 𝕥𝕠 𝕞𝕪 𝕡𝕝𝕒𝕪𝕘𝕣𝕠𝕦𝕟𝕕🎡☁️☁️☁️🌈✨𝙵𝚊𝚗 𝙰𝚌𝚌𝚘𝚞𝚗𝚝✨🌈 // Jeno👑 Jaehyun🍑</t>
  </si>
  <si>
    <t>AUTO BOT MENFESS kangge cah kediri
¦ Kirim menfess DM nggawe trigger -nda / peh / cah 
¦ lapor opo takok takok @KediriManeh
¦ hapus menfess /cancel</t>
  </si>
  <si>
    <t>Base kampung inggris raya. trigger : pare! atau peh /cancel untuk unsend.</t>
  </si>
  <si>
    <t>Bawa/kirim tumbuhan, hewan, dan produknya melalui bandara, pelabuhan, dan kantor pos? Hubungi kami</t>
  </si>
  <si>
    <t>Badan Karantina Pertanian RI
Jangan lupa #LaporKarantina saat akan melalulintaskan produk pertanian!
Daftar UPT: https://t.co/oZfZum1Jbf</t>
  </si>
  <si>
    <t>MBTI: SANI (kadang atiny kadang deobi tapi seringnya stress)</t>
  </si>
  <si>
    <t>#𝐆𝐲𝐮𝐩𝐢𝐭𝐞𝐫 : 𝘐𝘴 𝘢 𝘨𝘪𝘢𝘯𝘵 𝘣𝘢𝘣𝘺 𝘸𝘪𝘵𝘩 𝘴𝘵𝘳𝘰𝘯𝘨 𝘨𝘳𝘢𝘷𝘪𝘵𝘺 𝘪𝘯 𝘤𝘢𝘳𝘢𝘵𝘭𝘢𝘯𝘥. 🐶 || '00 - selective.</t>
  </si>
  <si>
    <t>Press F</t>
  </si>
  <si>
    <t>mau jadi t-rex</t>
  </si>
  <si>
    <t>Akun Utama, AutoBase Warga Semarang, ojo lali moco pinned tweet ndes. Trigger word : Ndes/Ndes! 
Lapor pelanggaran ke @fyeahAv / @lampubesar</t>
  </si>
  <si>
    <t>Jika itu benar beritakan lah, tapi jika salah simpan dan perbaikilah.</t>
  </si>
  <si>
    <t>Katakan yang benar walau pahit!
Gusur kebohongan dengan Akal Sehat</t>
  </si>
  <si>
    <t>Tukang Rituit &amp; Like TL pro NKRI</t>
  </si>
  <si>
    <t>✎ .  .  . @BTS_twt💜 . ˎˊ˗</t>
  </si>
  <si>
    <t>Base automenfess about anything • use trigger “ 🤍 / 💭 / 🗯️ / 💬” • 
Main base : @convomf • report @convolisi👮🏻‍♂️ • @convobusiness🤝</t>
  </si>
  <si>
    <t>Instagram : @polreskotatangerang
Facebook : Humas Polres Kota Tangerang</t>
  </si>
  <si>
    <t>#KingFamily #Sofialegit #Cutetesty #iamcryptonning #CashBroArmy #OttoSquad  #6️⃣5️⃣🎹</t>
  </si>
  <si>
    <t>🇮🇩Dm 4 Promotion| #Dana #Crypto #Gcash #Paypal ||•Admin @Ap8claims , @_maatcha •Terima Convert(CV) Crypto,Gcash,Paypal•Vouch: #Ap8testi •TG:@AP818</t>
  </si>
  <si>
    <t>@namusequoia ke-lock :(</t>
  </si>
  <si>
    <t>My life is monochrome, plz help me to make it colorful 😁</t>
  </si>
  <si>
    <t>Akun twitter Kantor Pos Tasikmalaya 46100 || Jl Otitsa no 6 no Telp (0265) 337766 || Akun ini melayani dari jam 07.00 - 17.00 WIB</t>
  </si>
  <si>
    <t>🏢Polsek Kediri Kota Jl. Hasanudin 31 Kota Kediri
Instagram/Facebook/Youtube▶polsekkdrkota</t>
  </si>
  <si>
    <t>98/she/scientist | 최🦊🐰🐻 | acc for selling &amp; loving 투모로우바이투게더 | +x+ 🦊210111 | en- 210122 | waiting for 🐣🐻</t>
  </si>
  <si>
    <t>main yuk?</t>
  </si>
  <si>
    <t>the Mûmakil in the room</t>
  </si>
  <si>
    <t>🧠,🫀,💅🏾, et al.</t>
  </si>
  <si>
    <t>teman yoongi a.k.a teman hidup xixixi</t>
  </si>
  <si>
    <t>Base automenfess about anything • use trigger “💙 / 💭 / 🗯️ / 💬” • 
Sub base : @convomfs • report @convolisi👮🏻‍♂️• @convobusiness🤝</t>
  </si>
  <si>
    <t>Gabole klemar klemer</t>
  </si>
  <si>
    <t>Welcome to Our Station! Slot? DM aja. No MT: Senin s/d Jumat 7-8pm</t>
  </si>
  <si>
    <t>DAY6</t>
  </si>
  <si>
    <t>simple and I ♥ peace \/</t>
  </si>
  <si>
    <t>Ahgase 🐥 || Dandanies 🌻 ||
Suka banget makan, tidur, keju, dan susu pisang</t>
  </si>
  <si>
    <t>⠀⠀     ✦ ﹟𝐛𝐮𝐥𝐥𝐞𝐭 ⠂𝐩𝐫𝐨𝐨𝐟 𖧧࣪    ତ</t>
  </si>
  <si>
    <t>I cook, I shoot, I eat</t>
  </si>
  <si>
    <t>I surround myself with cats, art, and books. But mostly cats. | Check out Podcast Main Mata &amp; Podluck Podcast on Spotify | IG: patricia.wulandari</t>
  </si>
  <si>
    <t>a regular millennial trying not to overshare on the internet on a daily basis. writer, curator, art director and anything in between.</t>
  </si>
  <si>
    <t>Berbagi sebisanya, membantu semampunya, kadang #shotbyphone
Part of https://t.co/4joaLdNr3v</t>
  </si>
  <si>
    <t>NKRI-luvthiscountry-
🇮🇩🇮🇩🇮🇩</t>
  </si>
  <si>
    <t>Buka gembok buat akun NKRI ♡ thok</t>
  </si>
  <si>
    <t>Kabeh kersaning gusthi Allah swt. 
Ketua DPD Pemuda 9.🇲🇨🇲🇨🇲🇨Ojo kaget, ojo digawe ati,Gareng wonge Nyenyess,
Humbel  man❤</t>
  </si>
  <si>
    <t>ya suka suka aku lah</t>
  </si>
  <si>
    <t>apa aja</t>
  </si>
  <si>
    <t>We will never know the real answer before we try.
emyu.</t>
  </si>
  <si>
    <t>Just Human not Hero</t>
  </si>
  <si>
    <t>Jesus Christ is Saviour I Le Coup De Foudre I History at Diponegoro University I Chelsea Football Club I July 25th I Reading I Writting I Discussion I Bekasi</t>
  </si>
  <si>
    <t>Demokrasi biang korupsi</t>
  </si>
  <si>
    <t>ga boleh ngestalk</t>
  </si>
  <si>
    <t>System Information Student</t>
  </si>
  <si>
    <t>𝙃𝙖𝙧𝙩𝙖, 𝙏𝙖𝙝𝙩𝙖, 𝙆𝙖𝙣𝙖
-🐼⚽️🐰☀️</t>
  </si>
  <si>
    <t>Tidak penting punya atau tidak follower.
Akun berdikari</t>
  </si>
  <si>
    <t>Official Twitter of Radio Betawi Punye Gaye Jl.Tarumanegara No.45 Pisangan Ciputat 15419 Tlp : 021-27599190  WA : 0811 886 1062</t>
  </si>
  <si>
    <t>Bekerja untuk Bekal Ibadah,
                    Ibadah untuk Bekal di Alam Barzah.
          ⛔Porn ⛔Judi ⛔Narkoba.</t>
  </si>
  <si>
    <t>#infomjkt #wisatamjkt #lalinmjkt #kulinermjkt #eventmjkt #lokermjkt | follow &amp; mention @infomjkt berbagi info/tanya | Email : kiriminfomojokerto@gmail.com</t>
  </si>
  <si>
    <t>if u don't know me, don't trust me easily, also don't expect too much ya.</t>
  </si>
  <si>
    <t>❄️🌎🛳️🌎❄️</t>
  </si>
  <si>
    <t>Guru Besar Fisip Unair. Mantan aktivis, pernah bekerja di sektor media, LSM dan beberapa lembaga. Ini akun pribadi yg bebas.</t>
  </si>
  <si>
    <t>Do you ever pretend you didn't know or didn't see something so other person doesn't feel embarrassed ?</t>
  </si>
  <si>
    <t>AKUN RESMI POLRES JEMBRANA Fb Page : @polresjembrana IG : @polres_jembrana Dikelola oleh Subbag Humas Polres Jembrana</t>
  </si>
  <si>
    <t>hanya mengikuti</t>
  </si>
  <si>
    <t>Master In Political Communication|Penulis Buku : Framing, Jurus Slick Menjebak Pembaca|WaSekjen @DPPGAASCENTRE(GAAS)|WaSekr @KomNasDikDKI</t>
  </si>
  <si>
    <t>Akun Resmi Forum Mahasiswa KIPK Universitas Siliwangi
|| 📩 Dm for question (max replied 3×24 hours)
|| 📧 rumahdiksiunsil18@gmail.com</t>
  </si>
  <si>
    <t>Official Account of Himpunan Mahasiswa Fisika FMIPA Universitas Riau | Ig: himafifmipaunri | Fb &amp; Yt: Himafi FMIPA UR</t>
  </si>
  <si>
    <t>Alhamdulillah 'ala kulli haall</t>
  </si>
  <si>
    <t>friendly, but i’m not your friend tho</t>
  </si>
  <si>
    <t>CS. (0281) 891277</t>
  </si>
  <si>
    <t>Sending my selfies to NASA because i'm a star</t>
  </si>
  <si>
    <t>Bot acc. Tweets are submissions and posted automatically. Retweet ≠ Endorsement. Not accepting paid promote tweets, only memes | Submit via Discord</t>
  </si>
  <si>
    <t>Akun Resmi Kantor Imigrasi Baubau Instagram: @imigrasi_baubau Facebook: Kantor Imigrasi Baubau email:kanim03.baubau@gmail.com</t>
  </si>
  <si>
    <t>Akun Resmi Twitter Graha Toyota
📍Jl.P Antasari No.22 Samarinda 
☎️ Call Center : 0541-769021
📷 Instagram : @grahatoyotaid
📌 Facebook : GrahaToyota ID</t>
  </si>
  <si>
    <t>Lembaga Pemerintah Pengawas Pemilu</t>
  </si>
  <si>
    <t>香港台湾中国から東南アジアへ興味が広がったパターン。現地採用でジャカルタ。日常の些末なこと呟いてます。
手仕事、レトロ古いもの、アジア中華系のモノゴトが好き。無言フォローお許しください🍀2019.4～ジャカルタ</t>
  </si>
  <si>
    <t>東南アジア住み9年目。仏像、寺、美術品に興味津々。物作り好き、旅行好き、語学マニアの浪速育ち。スナフキンのように地球上に神出鬼没を目論む。座右の銘は思い立ったが吉日！というわけで首都ジャカルタで奮闘中。</t>
  </si>
  <si>
    <t>Bersama Almamater Kami Ada</t>
  </si>
  <si>
    <t>Official Account of KPU Kabupaten Berau</t>
  </si>
  <si>
    <t>Bisa diem ga?</t>
  </si>
  <si>
    <t>Official account of PT PLN (Persero)</t>
  </si>
  <si>
    <t>Dream Catcher | Passionate |Life Traveller | simple person,The world can only be grasped by action not by only contemplation.</t>
  </si>
  <si>
    <t>ᴠᴇʀʏ ɪᴍᴘᴏʀᴛᴀɴᴛ ᴘᴇʀsᴏɴ *๑՞ ˎˊ˗ 🥢🍰🍡</t>
  </si>
  <si>
    <t>hi, stalker💙 Drpd ngestalk, sini chat aja, biar kenal aku lebih jauh😉</t>
  </si>
  <si>
    <t>Akun Resmi Twitter Humas Pemkot Bengkulu. (Humas Terbaik Kedua Kategori Humas Inspirasional Pemerintah Kota se-Indonesia)</t>
  </si>
  <si>
    <t>wangi wangi 🍀🍀🍀🍀🍀🍀
#imcryptonning
#kingfamily</t>
  </si>
  <si>
    <t>Menfess bot untuk membahas tentang rl things  ✨┆❝ Pengaduan : @octobecr &amp; @thericherr ❞ Operated by @suvpen ⸻ Status : OPEN DM ‼</t>
  </si>
  <si>
    <t>CSR, sustainability, seni intermedia, digital humanities, pemusik nanggung, penyair ngasal, penari pemula, penulis  KAIL SAJA TIDAK CUKUP, @jurnalsostek</t>
  </si>
  <si>
    <t>Account Resmi Himpunan Mahasiswa Pendidikan Matematika FKIP Universitas Riau | Memberi yang Terbaik dengan Cara Terbaik dan Benar</t>
  </si>
  <si>
    <t>Ma Fi Qalbi Ghairullah ❤</t>
  </si>
  <si>
    <t>no rain. no flower🌻</t>
  </si>
  <si>
    <t>Akun Resmi Bagian Humas Pemda DIY                                                                   
IG: humasjogja |  FB: Humas Pemda DIY #jogjaistimewa</t>
  </si>
  <si>
    <t>#레이븐 #시온 #채솔 #셀린 #문별 • slow collector / postcard hoarder • please mention after dm - proof check here #segalaproofnya_r 🔎</t>
  </si>
  <si>
    <t>Exo-l, &amp; Army</t>
  </si>
  <si>
    <t>Menulis, bermusik, merekam, berkelana / Album “20:20” sudah bisa didengarkan di platform musik digital / 085282747109 Ubay - kerjasamafiersa@gmail.com</t>
  </si>
  <si>
    <t>Dwoz🔥
.
.
@Dfb_Team and @JuventusFc
#Serui_Papua_Indonesia</t>
  </si>
  <si>
    <t>#𝐌𝐎𝐎𝐍𝐁𝐀𝐄 💭 ᵎ ˖  #𝐉𝐔𝐊𝐄𝐕🥛%
ㅤㅤㅤㅤㅤㅤ</t>
  </si>
  <si>
    <t>𝐮𝐫 𝐥𝐨𝐜𝐚𝐥 𝐡𝐚𝐩𝐩𝐲 𝐩𝐢𝐥𝐥 ₍ᐢ•ﻌ•ᐢ₎*･ﾟ｡ 𝗹𝗼𝘃𝗶𝗻𝗴 𝗮𝗻𝗱 𝗰𝗿𝘆𝗶𝗻𝗴 𝗼𝘃𝗲𝗿 𝘁𝗵𝗲 𝗯𝗼𝘆𝘇 𝟮𝟰/𝟳 | 𝗰𝗵𝗲𝗰𝗸 𝗰𝗮𝗿𝗿𝗱 𝗯𝘆𝗳~! ૮ ˶ᵔ ᵕ ᵔ˶ ა♡</t>
  </si>
  <si>
    <t>Nahdhiyin!!</t>
  </si>
  <si>
    <t>NAON SIA ?!? :((</t>
  </si>
  <si>
    <t>jangan panik, kepanikanmu tidak akan membuat keadaan baik-baik saja</t>
  </si>
  <si>
    <t>Perencana, pendukung klub sepak bola Liverpool, pencinta kopi susu, hobi baca manga dan main game, sukanya ngobrol ngalor ngidul</t>
  </si>
  <si>
    <t>Melancholy Pleghmatic 🎑✨</t>
  </si>
  <si>
    <t>Akun Resmi Himpunan Mahasiswa Komputer ㅡ Politeknik Negeri Bandung | Line@: @ajz9852x | Instagram: @himakompolban | Facebook/Youtube: HIMAKOM POLBAN</t>
  </si>
  <si>
    <t>Akun Resmi Pemkot Denpasar dikelola Diskominfos 
#DenpasarKota #ProDenpasar
Kanal media lainnya klik link ↓↓↓</t>
  </si>
  <si>
    <t>See U again in a better me✨</t>
  </si>
  <si>
    <t>@/noshiet.id at instagram!!</t>
  </si>
  <si>
    <t>menulislah prihal kejujuran yg kau rasa,sebab aksara tak bermakna meski kau gubah dgn jutaan metamorfosa yg kau paksa..</t>
  </si>
  <si>
    <t>hanya setitik debu dalam galaksi bimasaksi. 
|| mau liat2 jualanku? 
follow us 👉 @hauraallshops</t>
  </si>
  <si>
    <t>kyungsoo is my priority 🥰 🐧🐧
Dandanies</t>
  </si>
  <si>
    <t>INTP/INFP • @weareoneEXO @WayV_official @NCTsmtown @superm</t>
  </si>
  <si>
    <t>lapak coping mechanism • kalo ga donghan ya heeseung • contains 70% oversharing 30% halu</t>
  </si>
  <si>
    <t>Tempatnya Julid Agustid Septemberid Oktobrid Novembrid Desembrid.</t>
  </si>
  <si>
    <t>Jadilah manusia pembelajar (manusia yang aktif untuk menimba ilmu)</t>
  </si>
  <si>
    <t>Menyampaikan Informasi/Aspirasi dari Bogor untuk Bogor karena #BogorHarusMaju | Semua tentang Bogor - One Stop Place Information on Bogor</t>
  </si>
  <si>
    <t>kunjungi kami di 
Fanspage https://t.co/gWnwyrb2TI
Instagram https://t.co/NceSXFkwvc</t>
  </si>
  <si>
    <t>Akun Resmi PR IPM SMP Al - Qolam Muhammadiyah Gemolong
#PelajarBerkemajuan</t>
  </si>
  <si>
    <t>Twitter Resmi PDIPM Sragen | Media Dakwah dan Sosialisasi IPM Sragen |</t>
  </si>
  <si>
    <t>Official Twitter PW IPM Jawa Tengah, Massifikasi Pelajar Berdikari Menuju Pelajar Jawa Tengah Berkeadaban</t>
  </si>
  <si>
    <t>Hanya Manusia Biasa Yang Sedang Berusaha Meraih keridhoan Allah ta’ala
💗
Bank BRI  
094601051607532
A/N Yayasan Sahabat Gomil Peduli Yatim</t>
  </si>
  <si>
    <t>share some happiness</t>
  </si>
  <si>
    <t>gabisa follow orang, gabisa ritwit, makasi!</t>
  </si>
  <si>
    <t>Mari menjalin pertemanan halal</t>
  </si>
  <si>
    <t>Segalanya Akan Kembali Sunyi</t>
  </si>
  <si>
    <t>Female, Hotelier, College Student, Beginner Diver, Ex-Vespa Rider, Sun Seeker, Black Coffee Lover.</t>
  </si>
  <si>
    <t>It's kind of fun to do the impossible.
BUMN | International Olympic Committee | FIBA Central Board Member</t>
  </si>
  <si>
    <t>Ucapkan salam saat bertamu</t>
  </si>
  <si>
    <t>cie stalking, silahkan dilanjut.</t>
  </si>
  <si>
    <t>Homo Mendum</t>
  </si>
  <si>
    <t>caniago clan member(deposed and exiled). warcrime respecter. Funpilled(that means we ſhould go hang out some times)</t>
  </si>
  <si>
    <t>for @official_izone and soloist @JOYURI_offcl ♡♡</t>
  </si>
  <si>
    <t>panggil sy yona. collecting &amp; random acc, CURSE A LOT!!, typing gkjls sometimes --- yul collecting + ot12 IZONE , +note : suka twice n everglow juga</t>
  </si>
  <si>
    <t>Professional Photobomber</t>
  </si>
  <si>
    <t>Bayanganmu masih di bayangku | I was once lost, but now I'm found | Batman 🦇 ManUtd⚽</t>
  </si>
  <si>
    <t>what you give is what you get</t>
  </si>
  <si>
    <t>seperlunya</t>
  </si>
  <si>
    <t>Merapi, Event, Wisata, Bencana, Guyon, Tanpa Batas Area • IG: @merapi_uncover  • Status Merapi SIAGA</t>
  </si>
  <si>
    <t>fake박진영 actor, got7 &amp; miy. Yumi's Cells drama as Yoo Babi on going! (sometimes ooc)</t>
  </si>
  <si>
    <t>An ètoiles of 블랙핑크's sexy fairy, 𝐊𝐢𝐦 𝐉𝐞𝐧𝐧𝐢𝐞.</t>
  </si>
  <si>
    <t>hore !</t>
  </si>
  <si>
    <t>KETIDAK ADILAN YANG DIPERTONTONKAN IBARATKAN BOM WAKTU.
AVA ASLI.</t>
  </si>
  <si>
    <t>kalo mau tau gue lwt dm, jangan baca cuitan gue.</t>
  </si>
  <si>
    <t>she/her, ace | https://t.co/sQGUP5ymAe</t>
  </si>
  <si>
    <t>suka beduQ</t>
  </si>
  <si>
    <t>la vie est de la merde, tu t'y feras</t>
  </si>
  <si>
    <t>hidup sederhana</t>
  </si>
  <si>
    <t>Sang Pembelajar... trus n trus...TERASING!!! :-) 
#CHELSEA &amp; GARUDA FANS#KTBFFH#</t>
  </si>
  <si>
    <t>Official Twitter of Radio Elshinta | Phone: 021-5869000 &amp; SMS/WA: 0811-80-6543 | Email: redaksielshinta@gmail.com | Frequency 90.00 FM Jakarta</t>
  </si>
  <si>
    <t>Official Twitter Radio Sonora Jakarta - News,Traffic &amp; Music | SMS/WA: 0812 112 9200 | Streaming: https://t.co/CjwMRK2XCt</t>
  </si>
  <si>
    <t>KAMI BELUM SEMPURNA TAPI KAMI SELALU BERUSAHA</t>
  </si>
  <si>
    <t>STOP PELANGGARAN, STOP KECELAKAAN, KESELAMATAN UNTUK KEMANUSIAAN.
CALL CENTER NTMC (021) 1500669 SMS 9119</t>
  </si>
  <si>
    <t>Temukan Informasi Lowongan Kerja Terbaru, BANK BUMN CPNS SWASTA Dll, Follow IG: https://t.co/BBQH6e12La TELGRAM: https://t.co/7wtbJ38L9F</t>
  </si>
  <si>
    <t>infp-
i like movies &amp; series more than pizza</t>
  </si>
  <si>
    <t>http://t.co/wUzD2TxGhq
Pijat membuat peredaran darah lancar dan tubuh menjadi bugar
Hanya akun dagelan untuk cari info apa aja yang sedang viral di dunia maya sekarang</t>
  </si>
  <si>
    <t>Mikki, Ulzzang, Single, @YeppeoAhri's &amp; @YeppeoEunji's Twin, #UlzzangUnited, #ChineseRP</t>
  </si>
  <si>
    <t>Get yourself a lawyer and a gun</t>
  </si>
  <si>
    <t>Quantity Surveyor Yoga Learner Planner Geek Fiets Wife.</t>
  </si>
  <si>
    <t>Wadah bergerak dan berkarya untuk transportasi umum yg lebih baik di Metropolitan Surabaya. Affiliated to @tfjakarta</t>
  </si>
  <si>
    <t>Truth seeker</t>
  </si>
  <si>
    <t>a.k.a Gilavinyl</t>
  </si>
  <si>
    <t>¡hola, amigos! // this account might contain sensitive content and stuff, please be wise. what you need is right here 👇🏻 #JajandiSky</t>
  </si>
  <si>
    <t>Kantor Pos Karang Satria selalu Melayani Pembayaran : Tagihan, Cicilan, Kredit, PBB, Pulsa, Pengiriman Paket dan Dokumen, serta pembelian Materai 6000 dan 10000</t>
  </si>
  <si>
    <t>⠀⠀
⠀⠀⠀⠀⠀Don't be stupid when I'm on guard
⠀
⠀</t>
  </si>
  <si>
    <t>𝘋𝘰𝘯'𝘵 𝘨𝘦𝘵 𝘵𝘰𝘰 𝘱𝘢𝘴𝘴𝘪𝘰𝘯𝘢𝘵𝘦 𝘢𝘯𝘥 𝘴𝘵𝘢𝘳𝘵 𝘭𝘦𝘢𝘥𝘪𝘯𝘨 𝘮𝘦, 𝘰𝘬𝘢𝘺~? 
　　 「 MV ⚠️ R21+ 」 https://t.co/U7Bzynq8BQ / https://t.co/SrpFIc2rSx</t>
  </si>
  <si>
    <t>bucinnya ketua paguyuban brokoli @A_FionyJKT48</t>
  </si>
  <si>
    <t>Resembles a soothing symphony, the name is Fiony! 🤍 || https://t.co/oZiHbd2yIH</t>
  </si>
  <si>
    <t>RT Otomatis [Project V.1.2]
Kami selalu support idolamu!
Join partner? @RizkyyRZ DM!</t>
  </si>
  <si>
    <t>buying, selling account</t>
  </si>
  <si>
    <t>main!spl - 💙💜 - wemoon</t>
  </si>
  <si>
    <t>Pembela Kebetulan</t>
  </si>
  <si>
    <t>Memberikan Dan Menerima Info Seputar Lalu Lintas Dan Prasarananya Langsung Dari CCROOM ATCS Dinas Perhubungan Kota</t>
  </si>
  <si>
    <t>CYBUSS - @coffeections's best treasure</t>
  </si>
  <si>
    <t>𝐂yber; 𝐁usiness — 𝖂arm and full of gaiety, provide your affection desire. 𝕼uick chat, savor how the 𝙨𝙬𝙚𝙚𝙩 seconds pass in love taste.</t>
  </si>
  <si>
    <t>あっ…心臓止まります // simply call me Nana. Check my carrd below // Follow at your own risk.</t>
  </si>
  <si>
    <t>Yayasan Al-Mashum Kota Pekalongan</t>
  </si>
  <si>
    <t>มิวศุภศิษฏ์ | Mewlions | I’m not pureblood | Personal Account | Currently living in Thai | MewGulfBrightWin are my happiness ❤️ | Review jajanan Thai</t>
  </si>
  <si>
    <t>Guru TK tak sampai | food mad and insatiable | ultimate outsider | yes, DOEKA is my family name. thank you.</t>
  </si>
  <si>
    <t>data enthusiast</t>
  </si>
  <si>
    <t>Penerangan Kodim 0119 Bener Meriah</t>
  </si>
  <si>
    <t>Hi ! Ini Ree⚡
KULIAH NYAMBI JUALAN APP PREMIUM</t>
  </si>
  <si>
    <t>Lovely wife, Influencer Jokowi, MC  &amp;  Moderator. Contact me: elisa201165@gmail.com</t>
  </si>
  <si>
    <t>JAKARTA - INDONESIA</t>
  </si>
  <si>
    <t>Jakarta Barat, DKI Jakarta</t>
  </si>
  <si>
    <t>Nalarmu</t>
  </si>
  <si>
    <t>BSD</t>
  </si>
  <si>
    <t>di dalam hatinya</t>
  </si>
  <si>
    <t>Yogyakarta, Indonesia</t>
  </si>
  <si>
    <t>SEMARANG with everybody</t>
  </si>
  <si>
    <t>males di plagiat mulu</t>
  </si>
  <si>
    <t>⭕PEN JASTIP ⬇️</t>
  </si>
  <si>
    <t>we don't own content posted</t>
  </si>
  <si>
    <t>Kalimantan Selatan, Indonesia</t>
  </si>
  <si>
    <t>bgr</t>
  </si>
  <si>
    <t>Barcelona</t>
  </si>
  <si>
    <t>Jakarta Selatan, DKI Jakarta</t>
  </si>
  <si>
    <t>skypiea</t>
  </si>
  <si>
    <t>Tangerang, Banten</t>
  </si>
  <si>
    <t>Jakarta, Indonesia</t>
  </si>
  <si>
    <t>Palembang</t>
  </si>
  <si>
    <t>indonesia</t>
  </si>
  <si>
    <t>Jakarta city</t>
  </si>
  <si>
    <t>Tangerang, Indonesia</t>
  </si>
  <si>
    <t>Jakarta - Oxford - Liverpool</t>
  </si>
  <si>
    <t>Kota Surabaya, Jawa Timur</t>
  </si>
  <si>
    <t>She/her | 18+ | minors dnf!</t>
  </si>
  <si>
    <t>𝕷𝖆𝖚𝖌𝖍 𝕿𝖆𝖑𝖊</t>
  </si>
  <si>
    <t>Pelaporan &amp; Kerja Sama:</t>
  </si>
  <si>
    <t>Kota Sungai Penuh, Jambi</t>
  </si>
  <si>
    <t>warning spoiler ⚠️</t>
  </si>
  <si>
    <t>DKI Jakarta, Indonesia</t>
  </si>
  <si>
    <t>Shaf Paling Depan</t>
  </si>
  <si>
    <t>Jawa Timur, Indonesia</t>
  </si>
  <si>
    <t>Jakarta</t>
  </si>
  <si>
    <t>queendom</t>
  </si>
  <si>
    <t>she her</t>
  </si>
  <si>
    <t xml:space="preserve">🧸﹙she / her﹚8tEEn
         ⌗ angels ? bang✩tan!!
         ⌗ 방탄소년단 little universe 🪐🗯️
</t>
  </si>
  <si>
    <t>Jabar</t>
  </si>
  <si>
    <t>Harmonia</t>
  </si>
  <si>
    <t>Alam Indoneisa</t>
  </si>
  <si>
    <t>Jakarta Capital Region, Indone</t>
  </si>
  <si>
    <t>She/Her.</t>
  </si>
  <si>
    <t xml:space="preserve">mengalir sampai jauh, ke kamu </t>
  </si>
  <si>
    <t>Magelang, Jawa Tengah</t>
  </si>
  <si>
    <t>Surakarta, Central Java</t>
  </si>
  <si>
    <t>Instagram: @krmtroysuryo2</t>
  </si>
  <si>
    <t>Kota Semarang</t>
  </si>
  <si>
    <t>winnercity</t>
  </si>
  <si>
    <t>they/them ; 98년</t>
  </si>
  <si>
    <t>Denpasar Barat, Bali</t>
  </si>
  <si>
    <t>Bali, Indonesia</t>
  </si>
  <si>
    <t>Cloud</t>
  </si>
  <si>
    <t>she/her - 01s</t>
  </si>
  <si>
    <t>RULES 👉</t>
  </si>
  <si>
    <t xml:space="preserve">jakarta </t>
  </si>
  <si>
    <t>Rules &amp; How to use? 👉🏻</t>
  </si>
  <si>
    <t xml:space="preserve">Jakarta </t>
  </si>
  <si>
    <t>Kota Jambi</t>
  </si>
  <si>
    <t>Republic of Korea</t>
  </si>
  <si>
    <t>Tanjung Priok, Indonesia</t>
  </si>
  <si>
    <t>kirim no rekening</t>
  </si>
  <si>
    <t>Magelang Regency</t>
  </si>
  <si>
    <t>she/her</t>
  </si>
  <si>
    <t>Kota Bandung, Jawa Barat</t>
  </si>
  <si>
    <t xml:space="preserve">Sidoarjo, Jawa Timur </t>
  </si>
  <si>
    <t>n</t>
  </si>
  <si>
    <t>Ponorogo, Indonesia</t>
  </si>
  <si>
    <t>✈ Seoul to ✈ Tangerang</t>
  </si>
  <si>
    <t>RULES &amp; PUNISHMENT ⤵️</t>
  </si>
  <si>
    <t>Jakarta Indonesia</t>
  </si>
  <si>
    <t>Jakarta Pusat, DKI Jakarta</t>
  </si>
  <si>
    <t>DE ID</t>
  </si>
  <si>
    <t>Bandung, Jawa Barat</t>
  </si>
  <si>
    <t>Bandung</t>
  </si>
  <si>
    <t>India</t>
  </si>
  <si>
    <t>🇮🇩</t>
  </si>
  <si>
    <t>Balikpapan, Kalimantan Timur</t>
  </si>
  <si>
    <t>aro ace, not a soft stan</t>
  </si>
  <si>
    <t xml:space="preserve">Yogyakarta </t>
  </si>
  <si>
    <t>semua info dan rules disini ⬇️</t>
  </si>
  <si>
    <t>Jepang</t>
  </si>
  <si>
    <t>Depok, USA</t>
  </si>
  <si>
    <t>🗝️’s 161112556.
🦁 Griffin’s Land.
🎧 Part Time DJ.
🏷️ #Triangle_Series.
📍 Bandung — Singapore.
✍️ by #satúrn.</t>
  </si>
  <si>
    <t>she/her, 03l</t>
  </si>
  <si>
    <t>heaven</t>
  </si>
  <si>
    <t>ABOUT US &amp; RULES 👉🏻</t>
  </si>
  <si>
    <t>Surakarta, Jawa Tengah</t>
  </si>
  <si>
    <t>ina</t>
  </si>
  <si>
    <t>99!</t>
  </si>
  <si>
    <t xml:space="preserve"> 9teen| bxb</t>
  </si>
  <si>
    <t>BIGHIT STAN she/her 02</t>
  </si>
  <si>
    <t>💙💚</t>
  </si>
  <si>
    <t>kookmin🖤</t>
  </si>
  <si>
    <t>jauh dari tempatmu</t>
  </si>
  <si>
    <t>Wherever you are...</t>
  </si>
  <si>
    <t>Pekanbaru</t>
  </si>
  <si>
    <t>iPhone: -6.195890,106.894379</t>
  </si>
  <si>
    <t>Sabang-Merauke</t>
  </si>
  <si>
    <t>Kota Palembang, Sumatera Selat</t>
  </si>
  <si>
    <t>suatu tempat d pojok dunia</t>
  </si>
  <si>
    <t>Mojokerto, Jawa Timur</t>
  </si>
  <si>
    <t>djogdja</t>
  </si>
  <si>
    <t>Sabang sampai Merauke</t>
  </si>
  <si>
    <t>jaksel</t>
  </si>
  <si>
    <t>Regol, Indonesia</t>
  </si>
  <si>
    <t>Kepulauan Riau, Indonesia</t>
  </si>
  <si>
    <t>Lembah Damai Indonesia 🇮🇩</t>
  </si>
  <si>
    <t>jakarta</t>
  </si>
  <si>
    <t>Following the path of P-wave</t>
  </si>
  <si>
    <t>Indonesia, NKRI</t>
  </si>
  <si>
    <t>he/him.</t>
  </si>
  <si>
    <t>CP : Mandortoir</t>
  </si>
  <si>
    <t>Jakarta Capital Region</t>
  </si>
  <si>
    <t>Jawa Tengah</t>
  </si>
  <si>
    <t>Cikarang, Indonesia</t>
  </si>
  <si>
    <t>Batu, Indonesia</t>
  </si>
  <si>
    <t>Malalayang Manado</t>
  </si>
  <si>
    <t xml:space="preserve">Dieng Plateu </t>
  </si>
  <si>
    <t>he/him</t>
  </si>
  <si>
    <t xml:space="preserve">Singapore </t>
  </si>
  <si>
    <t>Yogyakarta</t>
  </si>
  <si>
    <t>ISFP-lil girl —petrichor add☔️</t>
  </si>
  <si>
    <t>pengaduan</t>
  </si>
  <si>
    <t>darjo</t>
  </si>
  <si>
    <t>bandung indonesia</t>
  </si>
  <si>
    <t>Jakarta Timur, DKI Jakarta</t>
  </si>
  <si>
    <t>Bekasi-Jawa Barat-Indonesia</t>
  </si>
  <si>
    <t>INDONRSIA</t>
  </si>
  <si>
    <t>Sawangan, Indonesia</t>
  </si>
  <si>
    <t>surabaya</t>
  </si>
  <si>
    <t xml:space="preserve">Merauke, Indonesia </t>
  </si>
  <si>
    <t>Jawa Barat, Indonesia</t>
  </si>
  <si>
    <t>Indonesia, Earth</t>
  </si>
  <si>
    <t>Klungkung, Indonesia</t>
  </si>
  <si>
    <t>Hwrarakadah</t>
  </si>
  <si>
    <t>RULES CEK LINK</t>
  </si>
  <si>
    <t xml:space="preserve">Indonesia </t>
  </si>
  <si>
    <t>Nusantara</t>
  </si>
  <si>
    <t>M a l a n g</t>
  </si>
  <si>
    <t>jogja-pemalang</t>
  </si>
  <si>
    <t>Kost Putri</t>
  </si>
  <si>
    <t>Jawa Tengah, Indonesia</t>
  </si>
  <si>
    <t>KWANGYA</t>
  </si>
  <si>
    <t>Surabaya, Indonesia</t>
  </si>
  <si>
    <t>Jawa Timur</t>
  </si>
  <si>
    <t>Pageruyung, Indonesia</t>
  </si>
  <si>
    <t>Hong Kong</t>
  </si>
  <si>
    <t>beyond the silver rainbow</t>
  </si>
  <si>
    <t>Setia Budi, Indonesia</t>
  </si>
  <si>
    <t>Karolingga, Ìđń Ŕĕpüblįkæ</t>
  </si>
  <si>
    <t>Surabaya, ID</t>
  </si>
  <si>
    <t>Kota Batam, Kepulauan Riau</t>
  </si>
  <si>
    <t>Rokan Hulu, Riau</t>
  </si>
  <si>
    <t>Buri ni Bakara</t>
  </si>
  <si>
    <t>Depok, Jawa Barat</t>
  </si>
  <si>
    <t>Jkt - Syd - Bali</t>
  </si>
  <si>
    <t>tidar pakuning jagad-indonesia</t>
  </si>
  <si>
    <t>muter muter terus</t>
  </si>
  <si>
    <t>Kota Bogor, Jawa Barat</t>
  </si>
  <si>
    <t>Anywhere</t>
  </si>
  <si>
    <t>Sidoarjo, Indonesia</t>
  </si>
  <si>
    <t>Malang, Indonesia</t>
  </si>
  <si>
    <t>she 15 — read carrd byf</t>
  </si>
  <si>
    <t>Biak Papua</t>
  </si>
  <si>
    <t>Medan Baru, Sumatera Utara</t>
  </si>
  <si>
    <t>Dhuwur bumi ngisor langit. Crb</t>
  </si>
  <si>
    <t>ÜT: -6.21756,106.84433</t>
  </si>
  <si>
    <t xml:space="preserve">DOHA QATAR </t>
  </si>
  <si>
    <t>Medan Tuntungan, Indonesia</t>
  </si>
  <si>
    <t>Bogor Indonesia</t>
  </si>
  <si>
    <t>west java</t>
  </si>
  <si>
    <t>Yogyakarta, Lantai 2</t>
  </si>
  <si>
    <t>Berpijak di bumi</t>
  </si>
  <si>
    <t>Surabaya</t>
  </si>
  <si>
    <t>Cengkareng, Indonesia</t>
  </si>
  <si>
    <t>Jakarta , ID</t>
  </si>
  <si>
    <t>Indonesia bagian sambat</t>
  </si>
  <si>
    <t>NKRI</t>
  </si>
  <si>
    <t>pindah</t>
  </si>
  <si>
    <t>Solo , Indonesia</t>
  </si>
  <si>
    <t>Bajawa_Flores_NTT NKRI 🇲🇨</t>
  </si>
  <si>
    <t>solo city, INDONESIA</t>
  </si>
  <si>
    <t>Pontianak, West Borneo</t>
  </si>
  <si>
    <t>Bikinni Bottom (MAROKO)</t>
  </si>
  <si>
    <t>Madiun, Indonesia</t>
  </si>
  <si>
    <t>Subang, Indonesia</t>
  </si>
  <si>
    <t>INDONESIA</t>
  </si>
  <si>
    <t>Kota Semarang, Jawa Tengah</t>
  </si>
  <si>
    <t>RULES etc.➡️</t>
  </si>
  <si>
    <t xml:space="preserve">Musajik </t>
  </si>
  <si>
    <t>Serpong, Indonesia</t>
  </si>
  <si>
    <t>Pakistan</t>
  </si>
  <si>
    <t>bandung</t>
  </si>
  <si>
    <t>banjarmasin</t>
  </si>
  <si>
    <t>Yotunhem</t>
  </si>
  <si>
    <t>Jagat Raya</t>
  </si>
  <si>
    <t>Skandinavia</t>
  </si>
  <si>
    <t>Banjarnegara</t>
  </si>
  <si>
    <t>jakarta-malang</t>
  </si>
  <si>
    <t>jkt</t>
  </si>
  <si>
    <t>Riau, Indonesia</t>
  </si>
  <si>
    <t>❤️‍🩹</t>
  </si>
  <si>
    <t xml:space="preserve">akun lawas gk keurus </t>
  </si>
  <si>
    <t>Nusa Tenggara Barat, Indonesia</t>
  </si>
  <si>
    <t xml:space="preserve">batavia barat </t>
  </si>
  <si>
    <t>Pomalaa</t>
  </si>
  <si>
    <t>tangerang</t>
  </si>
  <si>
    <t>ÜT: -6.319733,106.937698</t>
  </si>
  <si>
    <t>Pontianak</t>
  </si>
  <si>
    <t>Jurangmangu</t>
  </si>
  <si>
    <t>Bekasi Timur, Indonesia</t>
  </si>
  <si>
    <t>Antara Banjir KanaL</t>
  </si>
  <si>
    <t>Ngawi</t>
  </si>
  <si>
    <t>Bumi</t>
  </si>
  <si>
    <t>Rules👉🏻</t>
  </si>
  <si>
    <t>Bekasi Utara, Indonesia</t>
  </si>
  <si>
    <t>インドネシア</t>
  </si>
  <si>
    <t>ÜT: -6.940147,107.745924</t>
  </si>
  <si>
    <t>Bogor, Jawa Barat</t>
  </si>
  <si>
    <t>5°25'44.0"S 105°15'47.5"E</t>
  </si>
  <si>
    <t>South Borneo, Indonesia</t>
  </si>
  <si>
    <t>Jakarta Selatan</t>
  </si>
  <si>
    <t>Tangerang</t>
  </si>
  <si>
    <t>SUNDA EMPIRE</t>
  </si>
  <si>
    <t>GRAHA PENA, Jl. Malik Raya 50.</t>
  </si>
  <si>
    <t>dnf! ✰</t>
  </si>
  <si>
    <t>Sukabumi City</t>
  </si>
  <si>
    <t>cyber ft. rant</t>
  </si>
  <si>
    <t>She/her</t>
  </si>
  <si>
    <t>Jawa Barat</t>
  </si>
  <si>
    <t>Subang, Jawa Barat</t>
  </si>
  <si>
    <t xml:space="preserve"> Jabar </t>
  </si>
  <si>
    <t>Kabupaten Subang</t>
  </si>
  <si>
    <t>Semarang Barat, Indonesia</t>
  </si>
  <si>
    <t>/tmp/home</t>
  </si>
  <si>
    <t>Kosambi, Indonesia</t>
  </si>
  <si>
    <t>Lampung, Indonesia</t>
  </si>
  <si>
    <t>unknown</t>
  </si>
  <si>
    <t>Kadang di laut kadang di darat</t>
  </si>
  <si>
    <t xml:space="preserve">Kota Surabaya, Jawa Timur </t>
  </si>
  <si>
    <t>ÜT: -0.650358,100.760497</t>
  </si>
  <si>
    <t>Mako Polsek Bantarsari</t>
  </si>
  <si>
    <t>New York Central Park Zoo</t>
  </si>
  <si>
    <t>purwokerto - Jawa tengah</t>
  </si>
  <si>
    <t>Sukabumi, Indonesia</t>
  </si>
  <si>
    <t>Kota Sukabumi, Jawa Barat</t>
  </si>
  <si>
    <t>NYC, USA - Jakarta, Indonesia</t>
  </si>
  <si>
    <t>anikpop</t>
  </si>
  <si>
    <t>BACA RULES! :</t>
  </si>
  <si>
    <t>대한민국, 서울</t>
  </si>
  <si>
    <t>V, Sandra.</t>
  </si>
  <si>
    <t xml:space="preserve">Ngabean,boja </t>
  </si>
  <si>
    <t>Semarang Indonesia</t>
  </si>
  <si>
    <t>Central Java, Indonesia</t>
  </si>
  <si>
    <t>Mars, Milky Way</t>
  </si>
  <si>
    <t>di mana2</t>
  </si>
  <si>
    <t>Buitenzorg</t>
  </si>
  <si>
    <t>ENG-ID. ㅤㅤNon-Committal.</t>
  </si>
  <si>
    <t>D-44</t>
  </si>
  <si>
    <t>Sumatera, Indonesia</t>
  </si>
  <si>
    <t>she/her.</t>
  </si>
  <si>
    <t>Simalungun, Sumatera Utara</t>
  </si>
  <si>
    <t>sempu banten girang serang</t>
  </si>
  <si>
    <t>Surabaya Indonesia</t>
  </si>
  <si>
    <t>Kota Malang, Jawa Timur</t>
  </si>
  <si>
    <t>Rancho Cucamonga, CA</t>
  </si>
  <si>
    <t>Brebes, Indonesia</t>
  </si>
  <si>
    <t>Kota Surabaya</t>
  </si>
  <si>
    <t>they/them 20</t>
  </si>
  <si>
    <t>Jl. Hertasning No.1 Makassar</t>
  </si>
  <si>
    <t>At the corner</t>
  </si>
  <si>
    <t>𖧷 ℳ𝓎 𝒟𝒶𝓎 𖧷</t>
  </si>
  <si>
    <t>dowoon's</t>
  </si>
  <si>
    <t>Ravenclaw's tower</t>
  </si>
  <si>
    <t>Lookism</t>
  </si>
  <si>
    <t>ancient chinese gays</t>
  </si>
  <si>
    <t>221B Baker Street</t>
  </si>
  <si>
    <t>8:00am-1:00pm usually off!</t>
  </si>
  <si>
    <t>THE BOYZ</t>
  </si>
  <si>
    <t>Sragen, Indonesia</t>
  </si>
  <si>
    <t>Sragen, Jawa Tengah</t>
  </si>
  <si>
    <t>uʍop ǝpısdn, Indonesia</t>
  </si>
  <si>
    <t>Here, There, Nowhere</t>
  </si>
  <si>
    <t xml:space="preserve">Squidward Community College </t>
  </si>
  <si>
    <t>Diculik Dongwoon oppa 3 hari!! 😡
CUBEFAMS｡TheXCube
9OO6LE｡9I6ABYTE｡9EM6EL｡5EMAN6A7
K-9O9O｡LaFilles</t>
  </si>
  <si>
    <t>#FUNWORLD┇</t>
  </si>
  <si>
    <t>🇮🇩 (ID/ENG)</t>
  </si>
  <si>
    <t>pa</t>
  </si>
  <si>
    <t>Kota Magelang, Jawa Tengah</t>
  </si>
  <si>
    <t>Canberra and Jakarta</t>
  </si>
  <si>
    <t>at the back of your mind</t>
  </si>
  <si>
    <t>Denpasar, Bali</t>
  </si>
  <si>
    <t>Paris, France</t>
  </si>
  <si>
    <t>made in banten</t>
  </si>
  <si>
    <t>bekasi</t>
  </si>
  <si>
    <t>Disamping ibu hamil..</t>
  </si>
  <si>
    <t>𝕱𝖚𝖈𝖐 𝖎𝖙, 𝕴 𝖑𝖔𝖛𝖊 𝖞</t>
  </si>
  <si>
    <t>Lahat, Indonesia</t>
  </si>
  <si>
    <t>Bogor city</t>
  </si>
  <si>
    <t>nondating</t>
  </si>
  <si>
    <t>bojonegoro indonesia</t>
  </si>
  <si>
    <t>Jakarta Pusat, Indonesia</t>
  </si>
  <si>
    <t>Batam, Indonesia</t>
  </si>
  <si>
    <t>ovo, dana,pulsa (tsel)</t>
  </si>
  <si>
    <t>mainly skz</t>
  </si>
  <si>
    <t>Bengkulu, Indonesia</t>
  </si>
  <si>
    <t>Ungaran, Indonesia</t>
  </si>
  <si>
    <t>Sarang, Indonesia</t>
  </si>
  <si>
    <t>Jateng Hebat</t>
  </si>
  <si>
    <t>ÜT: -6.214443,106.904095</t>
  </si>
  <si>
    <t>Kaliwungu, kendal, Indonesia</t>
  </si>
  <si>
    <t>Jl. Cendana 15 Yogyakarta</t>
  </si>
  <si>
    <t>Kingdom by the sea</t>
  </si>
  <si>
    <t>dimana harus ku cariiii</t>
  </si>
  <si>
    <t xml:space="preserve">Jakarta Utara - Babelan </t>
  </si>
  <si>
    <t>Bogor</t>
  </si>
  <si>
    <t>INFP</t>
  </si>
  <si>
    <t>Kota Banda Aceh, Nangro Aceh D</t>
  </si>
  <si>
    <t>Kamar Kosan</t>
  </si>
  <si>
    <t xml:space="preserve">State of Atjeh Sumatra </t>
  </si>
  <si>
    <t>Bandung, West Java, Indonesia</t>
  </si>
  <si>
    <t>RULES &amp; PUNISHMENT 👇👇</t>
  </si>
  <si>
    <t xml:space="preserve"> ini akun bukan tempat wisata</t>
  </si>
  <si>
    <t>Palmerah, Indonesia</t>
  </si>
  <si>
    <t>Bandung, Indonesia</t>
  </si>
  <si>
    <t>her • 97</t>
  </si>
  <si>
    <t>carrd before using my service</t>
  </si>
  <si>
    <t>Gedung Graha Pena Lt.10, Jl. R</t>
  </si>
  <si>
    <t>ℕℂ𝕋𝕫𝕖𝕟🌱</t>
  </si>
  <si>
    <t>Diwoco disek 👉👉</t>
  </si>
  <si>
    <t>Pare, Indonesia</t>
  </si>
  <si>
    <t>Kota Makassar</t>
  </si>
  <si>
    <t>더비3기에이티니2기</t>
  </si>
  <si>
    <t>Kandang</t>
  </si>
  <si>
    <t>carat only</t>
  </si>
  <si>
    <t>Tidak Ada</t>
  </si>
  <si>
    <t>frh</t>
  </si>
  <si>
    <t xml:space="preserve">Dibumi Allah. </t>
  </si>
  <si>
    <t>kekoreaan.</t>
  </si>
  <si>
    <t>Jakarta Capital City.🇮🇩GMT+7</t>
  </si>
  <si>
    <t>moon</t>
  </si>
  <si>
    <t>⚽️ Emirates Stadium ⚽️</t>
  </si>
  <si>
    <t>Tasikmalaya , Jawa Barat</t>
  </si>
  <si>
    <t>Daegu</t>
  </si>
  <si>
    <t>Rakyate Pak Ganjar</t>
  </si>
  <si>
    <t>Open Hour: 24/7</t>
  </si>
  <si>
    <t>Tangerang Selatan, Indonesia</t>
  </si>
  <si>
    <t>Boyolali, Indonesia</t>
  </si>
  <si>
    <t>ÜT: -6.4059555,106.8374066</t>
  </si>
  <si>
    <t>Semarang,Indonesia</t>
  </si>
  <si>
    <t>Indonesia🇮🇩🇮🇩lampung</t>
  </si>
  <si>
    <t>readers, she/her</t>
  </si>
  <si>
    <t>indonesa</t>
  </si>
  <si>
    <t>Tembalang, Semarang</t>
  </si>
  <si>
    <t>Jogja</t>
  </si>
  <si>
    <t>Blue Sea</t>
  </si>
  <si>
    <t>Jembrana, Bali</t>
  </si>
  <si>
    <t>Kota Tasikmalaya, Jawa Barat</t>
  </si>
  <si>
    <t>Kota Pekanbaru Riau, indonesia</t>
  </si>
  <si>
    <t>Jember, Jawa Timur</t>
  </si>
  <si>
    <t>info loker disini :</t>
  </si>
  <si>
    <t xml:space="preserve">JL.MAYJEND SUNGKONO KM 2 </t>
  </si>
  <si>
    <t>konoha</t>
  </si>
  <si>
    <t>ur timeline</t>
  </si>
  <si>
    <t>Kota Baubau, Sulawesi Tenggara</t>
  </si>
  <si>
    <t>Kalimantan Timur, Indonesia</t>
  </si>
  <si>
    <t>Tanjungbalai, Sumut, Ind</t>
  </si>
  <si>
    <t>East Borneo, Indonesia</t>
  </si>
  <si>
    <t>East Java, Indonesia</t>
  </si>
  <si>
    <t>Pasadena, CA</t>
  </si>
  <si>
    <t>Bojonegoro</t>
  </si>
  <si>
    <t>Himapentika, Dihatiku~♥</t>
  </si>
  <si>
    <t>Kediri, Indonesia</t>
  </si>
  <si>
    <t xml:space="preserve">Medical Faculty </t>
  </si>
  <si>
    <t>9xliner</t>
  </si>
  <si>
    <t>Jambi, Indonesia</t>
  </si>
  <si>
    <t>simp4 kevin moon ⋆ TEENY!i</t>
  </si>
  <si>
    <t>bae’s</t>
  </si>
  <si>
    <t>Karawang, Jawa Barat</t>
  </si>
  <si>
    <t xml:space="preserve">Majalengka wetan , </t>
  </si>
  <si>
    <t>Majalengka, Indonesia</t>
  </si>
  <si>
    <t>Sudut Bumi</t>
  </si>
  <si>
    <t>East Jakarta</t>
  </si>
  <si>
    <t>exo planet rt 01L</t>
  </si>
  <si>
    <t>Bogor, West Java</t>
  </si>
  <si>
    <t>Penajam Paser Utara</t>
  </si>
  <si>
    <t>Gemolong, Sragen , Jawa Tengah</t>
  </si>
  <si>
    <t>Jl.Yos Sudarso No.6 Sragen</t>
  </si>
  <si>
    <t>Jawa Tengah | Indonesia</t>
  </si>
  <si>
    <t>Life is Hahaha</t>
  </si>
  <si>
    <t>Parepare</t>
  </si>
  <si>
    <t>Hogwarts</t>
  </si>
  <si>
    <t>Hyperborea</t>
  </si>
  <si>
    <t>ku mau gembokan mls liat notif</t>
  </si>
  <si>
    <t>Behind Enemy Lines</t>
  </si>
  <si>
    <t>Tertutup gelapnya malam</t>
  </si>
  <si>
    <t>BH ent</t>
  </si>
  <si>
    <t>Abu Dhabi</t>
  </si>
  <si>
    <t>dm aja</t>
  </si>
  <si>
    <t>Pelosok Indonesia.</t>
  </si>
  <si>
    <t>Luv Dhe-Phok</t>
  </si>
  <si>
    <t>ÜT: -6.187385,106.733011</t>
  </si>
  <si>
    <t>selective</t>
  </si>
  <si>
    <t>Usman Jaya Property Surabaya</t>
  </si>
  <si>
    <t>Jakarta 12:51</t>
  </si>
  <si>
    <t>ÜT: -6.241052,106.846601</t>
  </si>
  <si>
    <t>JKT, IDN</t>
  </si>
  <si>
    <t>Duren Jaya, Bekasi Timur</t>
  </si>
  <si>
    <t>2D
  𝙍𝘼𝙄𝘿𝙀𝙉’𝘴 𝘱𝘳𝘰𝘱𝘦𝘳𝘵𝘺.</t>
  </si>
  <si>
    <t xml:space="preserve">Jl.Cikeas, No.212 </t>
  </si>
  <si>
    <t>samarinda</t>
  </si>
  <si>
    <t>Yoi</t>
  </si>
  <si>
    <t xml:space="preserve">Kota Pekalongan </t>
  </si>
  <si>
    <t>ประเทศไทย</t>
  </si>
  <si>
    <t xml:space="preserve">telapak kaki emak </t>
  </si>
  <si>
    <t>My Parents' dream</t>
  </si>
  <si>
    <t>Open Source</t>
  </si>
  <si>
    <t>she/</t>
  </si>
  <si>
    <t>Open Twitter Page for This Person</t>
  </si>
  <si>
    <t>tigre12capitale
"Kantor pos ini, termaksud bangunan
eksrentik atau menarik pada zamannya
dengan desain Art deco. Bangunannya
kini masih asli, cuma mungkin ada
beberapa perubahan.</t>
  </si>
  <si>
    <t>gnfi
Berdasarkan penelusuran GNFI di
sekitar kawasan Cikini, masih terdapat
beberapa tempat legendaris, seperti
Gedung Kantor Pos, tempat kumpul
seperti kedai kopi Bakoel Koffie,
rumah Ida Kurani Soedibjo alias
Ibu Dibyo (pusat penjualan tiket
konser), sampai roti Tan Ek Tjoan.</t>
  </si>
  <si>
    <t>naila0125
Gue lupa berapa hari setelah bonyok
pulang gitu. Gue tetep stay di
Surabaya. Akhirnya gue kejarlah
buat daftar tes di kampus di Bandung.
Gue inget banget itu hari pendaftaran
terakhir. Buru2 nyiapin berkas,
pergi ke kantor pos buat dikirim.
Girigiri safe kalo kata orang Jepang.</t>
  </si>
  <si>
    <t>aliahali79
semalam adalah kali kesekian gue
tidur di kantor. dan selalu, kalo
malam dan paginya gue coba2 keliling
kantor termasuk gudang dan taman
belakang sampe ke pos satpam di
depan juga. dan selalu, satpam
yang jaga tidur lebih dulu dari
gue tapi bangun lebih lama daripada
gue.</t>
  </si>
  <si>
    <t>saya_icul
1) Kantor Pos Cikini Kantor Pos
ini dibangun pada 1920 dan saat
ini menjadi ikon utama Kawasan
Cikini. Selain itu, Kantor Pos
Cikini merupakan kantor pos pertama
yang menerapkan pelayanan 24 jam.
📷: Dok Pribadi https://t.co/DM4oBmIkJk</t>
  </si>
  <si>
    <t>berd_die
Lowongan Rekrutmen Kerja Kantor
Pos Karawang....Info lengkap...
https://t.co/EWiSimTms9</t>
  </si>
  <si>
    <t>sentraloker
Lowongan Rekrutmen Kantor Pos Palembang....Info
lengkap... https://t.co/h9kkoDo3aZ</t>
  </si>
  <si>
    <t>kenndaru
@Netijencupu @kokokdirgantoro Kiriman
uang melalui pos. Dari bahasa Belanda,
wiselle. Pengirim menyetor sejumlah
uang ke kantor pos, lalu kamu dikirimi
kupon (semacam kartu pos gitu)
yg bs ditukarkan dgn jumlah uang
yg sama di kantor pos.</t>
  </si>
  <si>
    <t xml:space="preserve">kokokdirgantoro
</t>
  </si>
  <si>
    <t>netijencupu
@Netijencupu @kokokdirgantoro Kiriman
uang melalui pos. Dari bahasa Belanda,
wiselle. Pengirim menyetor sejumlah
uang ke kantor pos, lalu kamu dikirimi
kupon (semacam kartu pos gitu)
yg bs ditukarkan dgn jumlah uang
yg sama di kantor pos.</t>
  </si>
  <si>
    <t>redvelvetice14
Oiya, nama aplikasinya SLOWLY.
Ini aplikasi yang mirip banget
kaya dulu korespondensi tuh melalui
Kantor Pos, nah ini versi onlinenya.
Durasi pengiriman suratnya mirip
kaya kita ngirim suratnya melalui
Kantor Pos, bahagia banget ketemu
aplikasi ini😍 Selamat mencoba…
https://t.co/fUMtHojV7p</t>
  </si>
  <si>
    <t>asubangetyaa
Oiya, nama aplikasinya SLOWLY.
Ini aplikasi yang mirip banget
kaya dulu korespondensi tuh melalui
Kantor Pos, nah ini versi onlinenya.
Durasi pengiriman suratnya mirip
kaya kita ngirim suratnya melalui
Kantor Pos, bahagia banget ketemu
aplikasi ini😍 Selamat mencoba…
https://t.co/fUMtHojV7p</t>
  </si>
  <si>
    <t>mamiaaja
di setiap kota yg dibangun Belanda,
sll ada kantor pos, bank, gereja.
itu nandain betapa urgennya ke3
hal tsb. yg msh jaga komunikasi
ma temennya, cung.... https://t.co/wVh9yOCPbF</t>
  </si>
  <si>
    <t>galaxydeah
guys kantor pos hri minggu gini
tutup apa.buka sih ??????</t>
  </si>
  <si>
    <t>bemaiae
@sellbuytrad3 Akuu bisa nder dom
indramayu jabar, deket sama berbagai
ekspedisi jne,jnt,sicept,anteraja,kantor
pos tinggal mgesot fee miring butuh
kerjaan gabut banget😭😭</t>
  </si>
  <si>
    <t xml:space="preserve">sellbuytrad3
</t>
  </si>
  <si>
    <t>zixmatrix
@saveurte @hibooran @unmanfaat
iya pasti sih, pernah sekali urus
tombak n keris. kirim beda pulau,
lewat kantor pos gitu. sore2 ke
kntr pos, sm petugas pos nya lngsng
di packing bubble warp trus masuk
deh ke truck yg mau brngkt ga pake
antri2 lg saya blng ke petugasnya,
“jgn dibanting ntar marah isinya”</t>
  </si>
  <si>
    <t xml:space="preserve">unmanfaat
</t>
  </si>
  <si>
    <t>agdesayang
@banjarbase Bjm, dm lawan dihiga
kantor pos</t>
  </si>
  <si>
    <t>banjarbase
Kfc yg di bjm parak kantor pos
tu kawa kah dine in? /wal</t>
  </si>
  <si>
    <t>manusiastress
@gaungromantis kantor pos</t>
  </si>
  <si>
    <t xml:space="preserve">gaungromantis
</t>
  </si>
  <si>
    <t>benjolbarotho
@N0N4m3_90 polisi mmng arogan2,
kmrn sy cr surat keterangan kehilangan,
sy g tahu kantor nya mau tny di
pos penjagaan dibentak2, emang
g ada aklak , gue doain tuh polisi
yg bentak sy ntar di adzab Allah.</t>
  </si>
  <si>
    <t xml:space="preserve">n0n4m3_90
</t>
  </si>
  <si>
    <t>edwardus4
@ovo_id aku pake apk twecha twitter
lite gak bisa DM, ya kalau ke alfa
gak bisa lagi ya susah juga mau
top up pake apalagi, bisa gak ya
top up via kantor pos.</t>
  </si>
  <si>
    <t xml:space="preserve">ovo_id
</t>
  </si>
  <si>
    <t>metalgarislucu
@cherysimilikiti Mau ketemu di
sency apa Kantor pos? U choose</t>
  </si>
  <si>
    <t xml:space="preserve">cherysimilikiti
</t>
  </si>
  <si>
    <t>srynbla
Utk Banjarbaru dan sekitarnya,
nasi goreng depan kantor pos adalah
yg paling enak. No debat. https://t.co/jEN1fjR9rw</t>
  </si>
  <si>
    <t>keitsukidate
nasgor lek di di depan gang sari
baru. kalo udh malem pasti nongkrong
di deket jembatan, rasanya enak
pol. kalo mau jam 12 ke atas nasgornya
ranto keliling dri depan rumah
sampe kantor pos kayanya. ENAK
SMUA https://t.co/29XEb5Oy8q</t>
  </si>
  <si>
    <t>ibnu_dumadi
@detikcom kerjasama aja dengan
unit2 kantor pos buat perbanyak
lokasi perpanjang sim sekalian
jg utk bayar pajak, paling gak
lebih bermanfaat karena utk fungsi
pengiriman barang sendiri PT. Pos
uda kalah bersaing sm swasta</t>
  </si>
  <si>
    <t xml:space="preserve">detikcom
</t>
  </si>
  <si>
    <t>sumselterkini
Perkuat Layanan Platform Digital
Courier PosAja!, Pos Indonesia
Kenalkan O-Ranger Mawar &amp;amp; Kurir
 Wanita - https://t.co/gAEpl5POfj
https://t.co/dkpbE92VCA</t>
  </si>
  <si>
    <t>dinibaik_aamiin
@jek___ mau ketemu di synce apa
kantor pos? u choose</t>
  </si>
  <si>
    <t xml:space="preserve">jek___
</t>
  </si>
  <si>
    <t>kha_ekha16
ada yg tau gk yah tmp jual perangko
kuno bekas pakai selain di kantor
pos??</t>
  </si>
  <si>
    <t>nadyatamara2
.Kantor pos tegal sampe interview,
admin dan ujian tertulis lolos
. Poltek ujian tertulis lolos sampe
interview . Belum perusahaan2 yg
kecil, ribuan bahkan ratusan 🥱
Masi dibilang usahanya blm seberapa?
Apalagi pengangguran duit terbatas
hrs jual kertas, ikutan lombas
nulis dll</t>
  </si>
  <si>
    <t>rezakrisna28
@enakmurahbanyaq Ywd lewat kantor
pos indonesia aja deh sekalian
kwkwkw</t>
  </si>
  <si>
    <t xml:space="preserve">enakmurahbanyaq
</t>
  </si>
  <si>
    <t>arekndeso79
@emerson_yuntho kl SAMSAT didaerah
saya sdh bagus bs bayar di Indomart
kantor pos dan bank. kl SIM masih
perlu dibenahi.</t>
  </si>
  <si>
    <t xml:space="preserve">emerson_yuntho
</t>
  </si>
  <si>
    <t>asj0203
17.04: Info awal #kebakaran ilalang
di Jalan Ketintang, dekat kantor
Telkom Ketintang. Aprilia dari
Command Center Surabaya mengatakan,
petugas dari Pos Jambangan sudah
menuju ke lokasi. (hm)</t>
  </si>
  <si>
    <t>e100ss
17.04: Info awal #kebakaran ilalang
di Jalan Ketintang, dekat kantor
Telkom Ketintang. Aprilia dari
Command Center Surabaya mengatakan,
petugas dari Pos Jambangan sudah
menuju ke lokasi. (hm)</t>
  </si>
  <si>
    <t>tempodotco
Menengok Sejarah di Kawasan Cikini,
Dari Kantor Pos Sampai Pabrik Roti
Tertua https://t.co/frQa2lE327
#TempoTravel</t>
  </si>
  <si>
    <t>reizapramudana1
17.04: Info awal #kebakaran ilalang
di Jalan Ketintang, dekat kantor
Telkom Ketintang. Aprilia dari
Command Center Surabaya mengatakan,
petugas dari Pos Jambangan sudah
menuju ke lokasi. (hm)</t>
  </si>
  <si>
    <t>joohawuf
@ciruruka Samaa kak udah empat
bulan lebih belum ada yang nyampe
sama sekalii😭 aku sampe nyamperin
ke kantor pos tapi gabisaa</t>
  </si>
  <si>
    <t>ciruruka
@joohawuf huhuhu samaan, udah 4
bulan lebih 😭 aku udah 2x ke kantor
pos, tapi masih aja nihil. sampai
pak pos daerah ku nawarin kalau
misal ada paketnya ntar langsung
dikabari, tapi nggak juga 😭 bikin
kepikiran, baru kali ini kejadian
kayak gini :"(</t>
  </si>
  <si>
    <t>unnesmenfess
-ness bayar indihome selain di
telkom &amp;amp; kantor pos dimana
ya?</t>
  </si>
  <si>
    <t>msnindonesia
Menengok Sejarah di Kawasan Cikini,
Dari Kantor Pos Sampai Pabrik Roti
Tertua https://t.co/K5X4xKWQJO</t>
  </si>
  <si>
    <t>djokomale
@glossyrush_ Dibawah bni pusat
seberang kantor pos besar pas</t>
  </si>
  <si>
    <t>baccood
@GhiffariYusuf @IndiHome @Telkomsel
yaudah gausah internetan. ntar
kalo mau kirim chat lewat kantor
pos aja 🤣🤌</t>
  </si>
  <si>
    <t xml:space="preserve">telkomsel
</t>
  </si>
  <si>
    <t xml:space="preserve">ghiffariyusuf
</t>
  </si>
  <si>
    <t xml:space="preserve">indihome
</t>
  </si>
  <si>
    <t>kejaksaanri
2. Tersangka lainnya dengan inisial
S selaku Direktur PT. Pos Finansial
Indonesia. Hal ini diduga berpotensi
merugikan keuangan negara sebesar
kurang lebih Rp. 52.612.200.000,-
dalam pengelolaan layanan Pospay
yang dilaksanakan oleh PT. Pos
Finansial Indonesia. #kejaksaanri</t>
  </si>
  <si>
    <t>kn_sungaipenuh
2. Tersangka lainnya dengan inisial
S selaku Direktur PT. Pos Finansial
Indonesia. Hal ini diduga berpotensi
merugikan keuangan negara sebesar
kurang lebih Rp. 52.612.200.000,-
dalam pengelolaan layanan Pospay
yang dilaksanakan oleh PT. Pos
Finansial Indonesia. #kejaksaanri</t>
  </si>
  <si>
    <t>fusyigur0
Anyway, paket batch Agustus udah
sampe di kantor pos kotaku ya.
Tinggal tunggu ntar cepetan mereka
kirim ke alamatku atau aku yg ambil
ke sana waktu day off Kamis nanti
wkwk Isinya ada shikishi SNK, onemutan
JJK vol 2 sama Chokorin JJK 🤗</t>
  </si>
  <si>
    <t>inisialtg
@wafaplayground @anonblobfish Nasgor
Gogon depan kantor pos Purwoyoso</t>
  </si>
  <si>
    <t xml:space="preserve">wafaplayground
</t>
  </si>
  <si>
    <t xml:space="preserve">anonblobfish
</t>
  </si>
  <si>
    <t>semupetualang
PT Pos Indonesia memperkuat layanan
platform digital PosAja! dengan
memperkenalkan kurir khusus perempuan
O-Ranger Mawar serta menggandeng
penyedia transportasi online Nusantara
Ojek. Kick off O-Ranger Mawar dilakukan
di Batu Malang, (17/9). @jokowi
https://t.co/tSeKxjBoIe</t>
  </si>
  <si>
    <t xml:space="preserve">jokowi
</t>
  </si>
  <si>
    <t>kardosony
PT Pos Indonesia memperkuat layanan
platform digital PosAja! dengan
memperkenalkan kurir khusus perempuan
O-Ranger Mawar serta menggandeng
penyedia transportasi online Nusantara
Ojek. Kick off O-Ranger Mawar dilakukan
di Batu Malang, (17/9). @jokowi
https://t.co/tSeKxjBoIe</t>
  </si>
  <si>
    <t>pieshugx
@anonblobfish buat yang dilampung,
cobain nasgor samping kantor pos
antasari ya tolong apalagi mi rebusnya
😭✋👍</t>
  </si>
  <si>
    <t>yeoldorado14
mana besok mau ke kantor pos. Dahlah</t>
  </si>
  <si>
    <t>amiwhama
@hopearlve dikirim@bsk lewat kantor
pos</t>
  </si>
  <si>
    <t xml:space="preserve">hopearlve
</t>
  </si>
  <si>
    <t>__wantankri
PT Pos Indonesia memperkuat layanan
platform digital PosAja! dengan
memperkenalkan kurir khusus perempuan
O-Ranger Mawar serta menggandeng
penyedia transportasi online Nusantara
Ojek. Kick off O-Ranger Mawar dilakukan
di Batu Malang, (17/9). @jokowi
https://t.co/tSeKxjBoIe</t>
  </si>
  <si>
    <t>_antaresh29
PT Pos Indonesia (Persero) memperkuat
layananan platform digital PosAja!
dengan memperkenalkan kurir khusus
perempuan O-Ranger Mawar serta
menggandeng penyedia transportasi
online Nusantara Ojek (Nujek).
@jokowi https://t.co/EGX1U59lv6</t>
  </si>
  <si>
    <t>reshtua
PT Pos Indonesia (Persero) memperkuat
layananan platform digital PosAja!
dengan memperkenalkan kurir khusus
perempuan O-Ranger Mawar serta
menggandeng penyedia transportasi
online Nusantara Ojek (Nujek).
@jokowi https://t.co/EGX1U59lv6</t>
  </si>
  <si>
    <t>paulus_willy
PT Pos Indonesia memperkuat layanan
platform digital PosAja! dengan
memperkenalkan kurir khusus perempuan
O-Ranger Mawar serta menggandeng
penyedia transportasi online Nusantara
Ojek. Kick off O-Ranger Mawar dilakukan
di Batu Malang, (17/9). @jokowi
https://t.co/tSeKxjBoIe</t>
  </si>
  <si>
    <t>pradanadika29
PT Pos Indonesia memperkuat layanan
platform digital PosAja! dengan
memperkenalkan kurir khusus perempuan
O-Ranger Mawar serta menggandeng
penyedia transportasi online Nusantara
Ojek (Nujek). https://t.co/x3DlH4nxQE</t>
  </si>
  <si>
    <t>ariefskie
PT Pos Indonesia memperkuat layanan
platform digital PosAja! dengan
memperkenalkan kurir khusus perempuan
O-Ranger Mawar serta menggandeng
penyedia transportasi online Nusantara
Ojek (Nujek). https://t.co/cxSDC2eA0U</t>
  </si>
  <si>
    <t>anaklolina2
PT Pos Indonesia memperkuat layanan
platform digital PosAja! dengan
memperkenalkan kurir khusus perempuan
O-Ranger Mawar serta menggandeng
penyedia transportasi online Nusantara
Ojek. Kick off O-Ranger Mawar dilakukan
di Batu Malang, (17/9). @jokowi
https://t.co/tSeKxjBoIe</t>
  </si>
  <si>
    <t>xnact
clinic-nya kayak kantor pos. https://t.co/NTRb2mgcqd</t>
  </si>
  <si>
    <t>nmblntsky
clinic-nya kayak kantor pos. https://t.co/NTRb2mgcqd</t>
  </si>
  <si>
    <t>dowoonscymbal
@nungoip Kirim surat lewat kantor
pos^^</t>
  </si>
  <si>
    <t xml:space="preserve">nungoip
</t>
  </si>
  <si>
    <t>greatofkratos
PT Pos Indonesia memperkuat layanan
platform digital PosAja! dengan
memperkenalkan kurir khusus perempuan
O-Ranger Mawar serta menggandeng
penyedia transportasi online Nusantara
Ojek. Kick off O-Ranger Mawar dilakukan
di Batu Malang, (17/9). @jokowi
https://t.co/tSeKxjBoIe</t>
  </si>
  <si>
    <t>chimimaki1
@eliserizu Terakhir gue kayaknya
sebelum PPKM deh, soalnya bisa
nitip ke temen gue yang rumahnya
sebelahan sama kantor pos. Tapi
terus gue ga dibales dong sama
yang gue kirimin :( sad</t>
  </si>
  <si>
    <t xml:space="preserve">eliserizu
</t>
  </si>
  <si>
    <t>imyuours
Dan ternyata alesan mereka bilang
gitu karena pkl mereka di kantor
pos gagal. Mereka di telpon kalo
kantor pos engga nerima pkl wkwkwkwkwk.</t>
  </si>
  <si>
    <t>ceritaeva
Selain nama2 yang kusebut tadi,
Roni terkadang pinjam KTP temannya
untuk diTF melalui kantor Pos,
pernah a.n Herman Doni, ktp Dharmasraya,
Sumbar, sebab bukan tidak mungkin
dia pinjam ktp tetangga atau temannya
yg lain ... waspada ya teman temin
..🙏🏻</t>
  </si>
  <si>
    <t>ageng_awe
@UNSfess_ alun alun, nder... ng
cedak per4an sg sebelah e kantor
pos...</t>
  </si>
  <si>
    <t>unsfess_
-11fess gais menurut kalian prefer
magang di kantor pos yg ada di
kota atau bps yg ada di kabupaten?</t>
  </si>
  <si>
    <t>kbrindns
PT Pos Indonesia (Persero) memperkuat
layanan platform digital PosAja!
dengan memperkenalkan kurir khusus
perempuan O-Ranger Mawar https://t.co/GcXB4P7rw9
@jokowi</t>
  </si>
  <si>
    <t>manoharasekar
PT Pos Indonesia memperkuat layanan
platform digital PosAja! dengan
memperkenalkan kurir khusus perempuan
O-Ranger Mawar serta menggandeng
penyedia transportasi online Nusantara
Ojek. Kick off O-Ranger Mawar dilakukan
di Batu Malang, (17/9). @jokowi
https://t.co/tSeKxjBoIe</t>
  </si>
  <si>
    <t>mata_hati19
@KRMTRoySuryo2 @Muly86054800 Jangan
kasih kendor, klo mereka minta
materei bilang aja stok di kantor
pos habis</t>
  </si>
  <si>
    <t xml:space="preserve">muly86054800
</t>
  </si>
  <si>
    <t xml:space="preserve">krmtroysuryo2
</t>
  </si>
  <si>
    <t>lawangsewusmg
#lawangsewu yang terletak di depan
Jalan Raya Pos Daendels ini digunakan
sebagai kantor pusat NIS dan tempat
tinggal pegawai Belanda.</t>
  </si>
  <si>
    <t>bukik_kapujan
LOKASI PELAYANAN #SIMKELILING Senin,
20 September 2021 Pukul 08.00 s/d
14.00 Wib : Jaktim : Mall Grand
Cakung. Jaksel : Kampus Trilogi
Kalibata &amp;amp; Jln M.Saidi Raya
Petukangan Jaksel. Jakbar : LTC
Glodok. Jakpus : Kantor Pos Lapangan
Banteng https://t.co/pG2wig4x1k</t>
  </si>
  <si>
    <t>tmcpoldametro
LOKASI PELAYANAN #SIMKELILING hari
Selasa, tanggal 28 September 2021
pukul 08.00 s/d 14.00 WIB : Jaktim
: Mall Grand Cakung. Jaksel : Kampus
Trilogi Kalibata &amp;amp; Jln M.Saidi
Raya Petukangan Jaksel. Jakbar
: LTC Glodok. Jakpus : Kantor Pos
Lapangan Banteng https://t.co/QxZixbtJ8T</t>
  </si>
  <si>
    <t>zeaawo
@skz_lino sebenernya untracked
kantor pos terima terima aja wkkwkw
udahlah untracked sj</t>
  </si>
  <si>
    <t xml:space="preserve">skz_lino
</t>
  </si>
  <si>
    <t>a_nggasetiawan
@ahendsss Ke kantor pos bisa</t>
  </si>
  <si>
    <t xml:space="preserve">ahendsss
</t>
  </si>
  <si>
    <t>deblenk29
@IndiHome kenapa mau bayar tagihan
aja susah.. dari kmrin gak bisa
sudah dicoba beberapa metode tidak
bisa juga... ATM, Kantor Pos, Alfa,
DANA, OVO.. semuanya gagal...</t>
  </si>
  <si>
    <t>avien_
Mode kantor pos mbalesie sedino
pisan</t>
  </si>
  <si>
    <t>renpiess
Kantor pos, jne, jnt deket banget
dari rumah. 🍊 ku udah bisa freeong
juga. Adm rekap juga bisa. Untuk
fee nanti kita deal dealannya di
dm yaa, Oh iya aku Belum megang
GO manapun sama sekali dan gak
sibuk juga (kecuali pagi jam 8-9).
aku dom indramayu kota.</t>
  </si>
  <si>
    <t>1085350_nel
Ini twit meresahkan .. 😭😭😭 Btw
yang tanya kirim pc keluar negeri.
For first aku gak tinggal di indonesia
. Kalau ketentuan disini Pack nya
pake amplop top loader trs tulis
alamat sama kaya selkor kasih kantor
pos bayar selesai 🙏🙏 https://t.co/Rf8v43XPqC</t>
  </si>
  <si>
    <t>wooniversa
@citizenstores pake semi registered
kantor pos 1800 won</t>
  </si>
  <si>
    <t xml:space="preserve">citizenstores
</t>
  </si>
  <si>
    <t>huans2huans
Nah, di minggu yang lalu sy bareng
teman2 media ikut acara "Media
Heritage Walk" di Cikini. Acaranya
short walking tour di jalan Cikini
raya. Mulai dari kantor pos Cikini
sampai Taman Ismail Marzuki. #jakarta_tourism
#walkingtourjakarta https://t.co/0b13Ep7QFQ</t>
  </si>
  <si>
    <t>baileysjimin
@jajanbighit Iyaa ke kantor pos</t>
  </si>
  <si>
    <t xml:space="preserve">jajanbighit
</t>
  </si>
  <si>
    <t>jeiyaaddict
@jajanbighit Iya nder ke kantor
pos, tinggal bilang aja mau kirim
paket ke ln</t>
  </si>
  <si>
    <t>gyujinteppan
Just posted a photo @ Kantor POS
Jakarta https://t.co/dTrRAKfCyN</t>
  </si>
  <si>
    <t>ranisor
PT Pos Indonesia memperkuat layanan
platform digital PosAja! dengan
memperkenalkan kurir khusus perempuan
O-Ranger Mawar serta menggandeng
penyedia transportasi online Nusantara
Ojek. Kick off O-Ranger Mawar dilakukan
di Batu Malang, (17/9). @jokowi
https://t.co/tSeKxjBoIe</t>
  </si>
  <si>
    <t>ichsaaannnnn
@Hendri_Mantis @partaigeloraid
@anismatta @Fahrihamzah @Mahfuzsidik_
@endykurniawan @GeloraJkt @geloracirebon
@gelorakotajambi @GeloraSumbar
@GeloraKalsel @gelorabanten Ah
katepe mah bukan barang umum, di
rt rw kelurahan juga banyak, bahkan
klo mau nebus sembako murah pakenya
KTP Berwarna, difoto mukanya. Ambil
bansos dari kantor pos, pegang
duit pegang ktp difoto close up</t>
  </si>
  <si>
    <t xml:space="preserve">gelorabanten
</t>
  </si>
  <si>
    <t xml:space="preserve">gelorakalsel
</t>
  </si>
  <si>
    <t xml:space="preserve">gelorasumbar
</t>
  </si>
  <si>
    <t xml:space="preserve">gelorakotajambi
</t>
  </si>
  <si>
    <t xml:space="preserve">geloracirebon
</t>
  </si>
  <si>
    <t xml:space="preserve">gelorajkt
</t>
  </si>
  <si>
    <t xml:space="preserve">endykurniawan
</t>
  </si>
  <si>
    <t xml:space="preserve">mahfuzsidik_
</t>
  </si>
  <si>
    <t xml:space="preserve">fahrihamzah
</t>
  </si>
  <si>
    <t xml:space="preserve">anismatta
</t>
  </si>
  <si>
    <t xml:space="preserve">partaigeloraid
</t>
  </si>
  <si>
    <t xml:space="preserve">hendri_mantis
</t>
  </si>
  <si>
    <t>crispyddalgiice
@bertanyarl Kamu ga mau coba pake
kantor pos?</t>
  </si>
  <si>
    <t xml:space="preserve">bertanyarl
</t>
  </si>
  <si>
    <t>rico_cicarixo
Halo @IndiHomeCare saya tadi mau
bayar Indi home saya sudah ke Indomaret,
Alfamart, kantor pos sampai ke
Plasa Telkom. Tapi semuanya bilang
lagi gangguan terus sekarang kan
tanggal 20 otomatis hari terakhir
pembayaran . Terus saya harus bagaimana
https://t.co/bg3DPzkmyQ</t>
  </si>
  <si>
    <t xml:space="preserve">indihomecare
</t>
  </si>
  <si>
    <t>edi45529961
@PosIndonesia maaaf admin mau tanya
kiriman paket di kantor pos pandeglang</t>
  </si>
  <si>
    <t xml:space="preserve">posindonesia
</t>
  </si>
  <si>
    <t>riyadizein
@ryofahri @KING__VADUKA nih alamat
gw pos 8 pel tj priok tanya aje
tkg kopi zein ! gw kgk bisa kamane
mane nih lg dipatok jagain kantor
bos kecil. Klo kgk ada yg datang
ntar gantian ye</t>
  </si>
  <si>
    <t xml:space="preserve">king__vaduka
</t>
  </si>
  <si>
    <t xml:space="preserve">ryofahri
</t>
  </si>
  <si>
    <t>nanisentyaa
@andikabp__ Sency aja apa kantor
pos mas</t>
  </si>
  <si>
    <t xml:space="preserve">andikabp__
</t>
  </si>
  <si>
    <t>yanahaudy
Me: "Kamar kita keren jg ya dicat
oranye." Hubby: "Iye tapi kyk ada
nyang aneh ye." Me: "Masa sih,
kagak ade, ah." Hubby: "Oranye
gini kok kyk kantor pos ye." 🤣🤣🤣🤣🤣</t>
  </si>
  <si>
    <t>nayutaishere
@jnsuhflower Kantor pos nya luas
bgt kayak bandara :') Aku pikir
bandara :'</t>
  </si>
  <si>
    <t xml:space="preserve">jnsuhflower
</t>
  </si>
  <si>
    <t>maulittyy
@00uchtea Kupang pak misari, marlung
marsus sidokare, bakso kantor pos,
bebek simayakho, sego sambel mb
siti, rawon gajah mada, angkringan
sebelah X2, kopisyop</t>
  </si>
  <si>
    <t xml:space="preserve">00uchtea
</t>
  </si>
  <si>
    <t>detoooool
@SudarmintoArif @IndiHomeCare Aku
td bayar lewat mbanking gabisa,
terus ke kantor pos deh</t>
  </si>
  <si>
    <t xml:space="preserve">sudarmintoarif
</t>
  </si>
  <si>
    <t>eonni_wh
@dagangkorea Ke kantor pos nder</t>
  </si>
  <si>
    <t xml:space="preserve">dagangkorea
</t>
  </si>
  <si>
    <t>_danraja
Masuk kantor pos langsung pada
ngeliatin kaya ngeliat artis</t>
  </si>
  <si>
    <t>chocolateyyni
@SudarmintoArif @IndiHomeCare this,
tadi ayahku abis ke kantor pos
terus belom bisa dibayar katanya.
padahal udah tanggal 20 takut bgt
internet nya diputusss :(</t>
  </si>
  <si>
    <t>hoelstfup
Hari ini yakin sekali bakal santuy
pulang kantor pos jam 12 barang
nggak banyak turn out now 16.04
and im still kada ketanganan</t>
  </si>
  <si>
    <t>koranbumn
Perkuat Layanan PosAja !, Pos Indonesia
Gandeng Nujek dan Perkenalkan O-Ranger
Mawar https://t.co/LSEetqovwh @PosIndonesia
@KemenBUMN @kemkominfo</t>
  </si>
  <si>
    <t xml:space="preserve">kemkominfo
</t>
  </si>
  <si>
    <t xml:space="preserve">kemenbumn
</t>
  </si>
  <si>
    <t>crimmminal
@AndrianDefri @sbyfess Pasti ono
sing lio Misale Mas sicepat jahat
Mas shopee imut Mas kantor pos
judes</t>
  </si>
  <si>
    <t xml:space="preserve">andriandefri
</t>
  </si>
  <si>
    <t xml:space="preserve">sbyfess
</t>
  </si>
  <si>
    <t>ronimputra
POSPAY is a digital financial platform
for PT Pos Indonesia, Flaga Media
Asia is trusted by PT Pos Indonesia
to handle and organize all activities
of Rahmat Erwin Abdullah as a brand
Ambassador for POSPAY 2021 Products
#Flagamediaasia #digitalmarketing
#eventorganizer https://t.co/zMvfadcD0D</t>
  </si>
  <si>
    <t>flagamedia
POSPAY is a digital financial platform
for PT Pos Indonesia, Flaga Media
Asia is trusted by PT Pos Indonesia
to handle and organize all activities
of Rahmat Erwin Abdullah as a brand
Ambassador for POSPAY 2021 Products
#Flagamediaasia #digitalmarketing
#eventorganizer https://t.co/zMvfadcD0D</t>
  </si>
  <si>
    <t>seotips_vanprob
POSPAY is a digital financial platform
for PT Pos Indonesia, Flaga Media
Asia is trusted by PT Pos Indonesia
to handle and organize all activities
of Rahmat Erwin Abdullah as a brand
Ambassador for POSPAY 2021 Products
#Flagamediaasia #digitalmarketing
#eventorganizer https://t.co/zMvfadcD0D</t>
  </si>
  <si>
    <t>daionysus203
kantor pos rame banget tumben</t>
  </si>
  <si>
    <t>pajakkaltimtara
Pengumuman kepada #KawanPajak di
wilayah Muara Wahau dan sekitarnya
📣 📣 Manfaatkan layanan perpajakan
Pos Pelayanan Pajak Muara Wahau
di Kantor CU Mitra Mandiri, Jalan
Poros Muara Wahau, Kutai Timur
pada hari Selasa-Kamis, 21 s.d
23 September 2021. @DitjenPajakRI
https://t.co/X3gQWghFQ9</t>
  </si>
  <si>
    <t xml:space="preserve">ditjenpajakri
</t>
  </si>
  <si>
    <t>novitaaak
Mbak mbak kantor pos bikin ga mood
:'(</t>
  </si>
  <si>
    <t>ann13nn
@hyukssii Iya ke cabang sih dulu
sebelum pandemi aku sering bayar
telpon sama listrik ke kantor pos
karena dekat rumah</t>
  </si>
  <si>
    <t xml:space="preserve">hyukssii
</t>
  </si>
  <si>
    <t>odhsbnsjhgg
@sygfess Kalo cod tanpa si oren
bisanya baru kantor pos kayaknya,
di jne/t bisanya pke si oren klo
mau cod soalnya dlu prnh tanya
lgs di jnt cmiiw</t>
  </si>
  <si>
    <t xml:space="preserve">sygfess
</t>
  </si>
  <si>
    <t>outak_udang
@sakmadik_ Masih ada kantor pos
utk ngirim surat</t>
  </si>
  <si>
    <t xml:space="preserve">sakmadik_
</t>
  </si>
  <si>
    <t>karantinapdg
@KarantinaPDG adakan coffee morning
yangdihadiri oleh Bea dan Cukai
Teluk Bayur, KSOP Pelabuhan Teluk
Bayur, BKSDA, Otoritas Bandara
Wilayah VI, Kantor Pos Padang,
PT ASDP dan Garuda Indonesia. https://t.co/SfTPrwJSJF</t>
  </si>
  <si>
    <t>udinbikul
@disss83186478 Ketik REG spasi
UNREG kirim ke kantor pos</t>
  </si>
  <si>
    <t xml:space="preserve">disss83186478
</t>
  </si>
  <si>
    <t>dkardiwanto
@IndiHomeCare Hari ini, dari pagi
tadi, pembayaran tagihan Indohome
gak bisa terus (Alfamart, Indomaret,
dan Kantor Pos). Mohon solusi</t>
  </si>
  <si>
    <t xml:space="preserve">telkomindonesia
</t>
  </si>
  <si>
    <t>kaakikkaki
ㅤ Libby menggunakan jasa Pigweon
untuk mengantarkan kedua paket
ke sebuah tempat yang dinamakan
kantor pos. Ia tidak ingin kedua
temannya terkejut jika menemukan
seekor burung hantu membawa hadiah
untuk mereka. ㅤ</t>
  </si>
  <si>
    <t>peachhpeachy_
@itsroccoce nanti aku kirim pake
kantor pos yhh</t>
  </si>
  <si>
    <t xml:space="preserve">itsroccoce
</t>
  </si>
  <si>
    <t>worksfess
Work! Mau nanya, kalo mau ngelamar
ngirimnya lewat kantor pos tu kita
harus lengkapin kaya fotcop KTP,ijazah
gtu apa hanya surat lamaran dan
kalo keterima baru bawa persyaratan
nya??</t>
  </si>
  <si>
    <t>jensom_
@milahyt09 @IndiHomeCare Kalo bayar
pake bca atau ke kantor pos bisa
gak kak?</t>
  </si>
  <si>
    <t>milahyt09
@jensom_ @IndiHomeCare Sepengalamanku
bca bisa kak, tp kalau kantor pos
kurang tau hehe</t>
  </si>
  <si>
    <t>haeyerichan
Tgl 27 agustus akhirnya dia bales
dm ku, dan dia bilang kalau dia
bakalan balik ke kantor pos buat
minta resi. Tapi sampe sekarang
dia gk ngasih respon ke aku, padahal
udah berulang kali di dm untuk
minta dikirim nomor resinya https://t.co/EAVqU2HVbL</t>
  </si>
  <si>
    <t>rennhyvck
Tgl 27 agustus akhirnya dia bales
dm ku, dan dia bilang kalau dia
bakalan balik ke kantor pos buat
minta resi. Tapi sampe sekarang
dia gk ngasih respon ke aku, padahal
udah berulang kali di dm untuk
minta dikirim nomor resinya https://t.co/EAVqU2HVbL</t>
  </si>
  <si>
    <t>reyochi
Tgl 27 agustus akhirnya dia bales
dm ku, dan dia bilang kalau dia
bakalan balik ke kantor pos buat
minta resi. Tapi sampe sekarang
dia gk ngasih respon ke aku, padahal
udah berulang kali di dm untuk
minta dikirim nomor resinya https://t.co/EAVqU2HVbL</t>
  </si>
  <si>
    <t>retaesung
Tgl 27 agustus akhirnya dia bales
dm ku, dan dia bilang kalau dia
bakalan balik ke kantor pos buat
minta resi. Tapi sampe sekarang
dia gk ngasih respon ke aku, padahal
udah berulang kali di dm untuk
minta dikirim nomor resinya https://t.co/EAVqU2HVbL</t>
  </si>
  <si>
    <t>sanahmaswi
@banjarbase Di muka kantor pos
tu, bila nya kdd datangi ke toko
nya amun nya masih di parak mana
leh kd ingat wkwk</t>
  </si>
  <si>
    <t>agakemosi
ini knp mas2 kantor pos caper sama
aku 😩</t>
  </si>
  <si>
    <t>rifkansaf
Keinget ngecat box kotak surat
kantor pos @jimintberry wkwkw https://t.co/5vDnznlQkX</t>
  </si>
  <si>
    <t xml:space="preserve">jimintberry
</t>
  </si>
  <si>
    <t>memangakugendut
@chubbified Kalo jam segini buryam
aja sebalah kantor pos</t>
  </si>
  <si>
    <t xml:space="preserve">chubbified
</t>
  </si>
  <si>
    <t>jcawu
LOKASI PELAYANAN #SIMKELILING Selasa,
21 September 2021 Pukul 08.00 s/d
14.00 Wib : Jaktim : Mall Grand
Cakung. Jaksel : Kampus Trilogi
Kalibata &amp;amp; Jln M.Saidi Raya
Petukangan Jaksel. Jakbar : LTC
Glodok. Jakpus : Kantor Pos Lapangan
Banteng https://t.co/z1umrd4Qw3</t>
  </si>
  <si>
    <t>eljohnfmpku
Sahabat El John, ikuti #SpecialTalkShow
POSPAY bersama PT. Pos Indonesia
dengan narasumber Bapak Teddy Kurniawan,
selaku Executive General Manager
KCU Pekanbaru, PT. Pos Indonesia
Wilayah Riau. Selasa, 21 September
2021, mulai jam 1 siang, hanya
di Radio El John 102.6 FM. https://t.co/5rIXVp0HbT</t>
  </si>
  <si>
    <t>sagita81774027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</si>
  <si>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 xml:space="preserve">posindo
</t>
  </si>
  <si>
    <t>ib_ost
@PosIndo @PosIndonesia ; mohon
pak pegawainya Kantor Pos Tohpati,
Denpasar Bali.</t>
  </si>
  <si>
    <t>jho_junior911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</si>
  <si>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imadesuarsa7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</si>
  <si>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listy9021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</si>
  <si>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lembuso36194672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</si>
  <si>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gjxx41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</si>
  <si>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lampahingurip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</si>
  <si>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boytanj95264248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</si>
  <si>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lewan_p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</si>
  <si>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wonk_jawi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</si>
  <si>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kuasaangin02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</si>
  <si>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fs_fms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</si>
  <si>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atha879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</si>
  <si>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syanazmanis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</si>
  <si>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mark_zepper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</si>
  <si>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telorfadar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</si>
  <si>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umbetik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</si>
  <si>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toddylauw1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</si>
  <si>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fahayabi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</si>
  <si>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boncusho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</si>
  <si>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hdayak1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</si>
  <si>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reemeora1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</si>
  <si>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nurcahy02969790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</si>
  <si>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reddytanubrata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</si>
  <si>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saukur1heureuy2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</si>
  <si>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anakmel53043582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</si>
  <si>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achzam_prabu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</si>
  <si>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debley11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</si>
  <si>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indrazustisi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</si>
  <si>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aw_astono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</si>
  <si>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dave_otek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</si>
  <si>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diptanotes
@rowoion @thenameofJake Udah ya
ris, trims dan jadi kantor pos</t>
  </si>
  <si>
    <t xml:space="preserve">thenameofjake
</t>
  </si>
  <si>
    <t xml:space="preserve">rowoion
</t>
  </si>
  <si>
    <t>pekaklonto67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</si>
  <si>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toni_chelsky88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</si>
  <si>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emastok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</si>
  <si>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ewinwinarti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</si>
  <si>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wisnukombot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</si>
  <si>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moekartho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</si>
  <si>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kartasaputra7
LOKASI PELAYANAN #SIMKELILING Selasa,
21 September 2021 Pukul 08.00 s/d
14.00 Wib : Jaktim : Mall Grand
Cakung. Jaksel : Kampus Trilogi
Kalibata &amp;amp; Jln M.Saidi Raya
Petukangan Jaksel. Jakbar : LTC
Glodok. Jakpus : Kantor Pos Lapangan
Banteng https://t.co/z1umrd4Qw3</t>
  </si>
  <si>
    <t>lennasjam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</si>
  <si>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agoessoesanto2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</si>
  <si>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bengkeltanah201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</si>
  <si>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fery_hyaken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</si>
  <si>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noni_nitha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</si>
  <si>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lilysatriah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</si>
  <si>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yan_to999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</si>
  <si>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deepfriedamer
@pupuyeol iyaap lewat kantor pos</t>
  </si>
  <si>
    <t xml:space="preserve">pupuyeol
</t>
  </si>
  <si>
    <t>bud1_f1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</si>
  <si>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lilianl92090469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</si>
  <si>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wisaksonowisak1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</si>
  <si>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osoekaryo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</si>
  <si>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trihart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</si>
  <si>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pekikmenoreh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</si>
  <si>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fransiscakwee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</si>
  <si>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subakgrl
@klikcrackers @FFOODFESS ooh janjiw
yang deket kantor pos/telkom itu
bukan?</t>
  </si>
  <si>
    <t xml:space="preserve">ffoodfess
</t>
  </si>
  <si>
    <t xml:space="preserve">klikcrackers
</t>
  </si>
  <si>
    <t>bangbara_pos
Gempur Terus, Ratusan Pelajar dan
Masyarakat Rela Antri Untuk Dapatkan
Vaksinasi di Kantor Desa Kertamulya
https://t.co/B7Pdjfreuc</t>
  </si>
  <si>
    <t>promildred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</si>
  <si>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laingenlisa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</si>
  <si>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dedimahardi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</si>
  <si>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ipram2010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</si>
  <si>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kangkuli171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</si>
  <si>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danimas19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</si>
  <si>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ernizanw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</si>
  <si>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suyitno6872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</si>
  <si>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taftxen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</si>
  <si>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a88ytjhan88
@KantorPosJKB kalo barang ketinggalan
di indonesia mau invoice dari mana?
Sulap?? Buat surat keterangan bahasa
inggris, emang yg kerja di kantor
pos bisa bahasa inggris?? Indonesia
ini aneh gak ada invoice malah
hrs menyiapkan “invoice palsu”</t>
  </si>
  <si>
    <t xml:space="preserve">kantorposjkb
</t>
  </si>
  <si>
    <t>joy_rantau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</si>
  <si>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karantinamrauke
Karantina Merauke menghadiri buka
puasa bersama yang diadakan oleh
Kantor Pos Merauke pada Selasa
(04/05). . "Dengan semangat kebersamaan
yang dibalut dalam buka puasa bersama,
semakin  menunjukkan kekompakkan
dalam bekerja" ungkap Sudirman,
Ka. UPT. #KarantinaPertanianMerauke
https://t.co/Q93PATRnCz</t>
  </si>
  <si>
    <t>sahabatsaber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</si>
  <si>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e2rdgunawan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</si>
  <si>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addiems
Bongkar surat2 dr Memes wkt jaman
pacaran. Blom ada internet, apalagi
videocall. Masukin surat ke kotak
pos di pinggir jalan utk diambil
o/ tukang pos yg akan mengantarnya
ke penerima setelah diatur di kantor
pos. Ribet ya? Ngga juga sih. Seru!
Excited tiap buka kotak pos 😊
https://t.co/tWNs9urbCG</t>
  </si>
  <si>
    <t>jhilyz91
Bongkar surat2 dr Memes wkt jaman
pacaran. Blom ada internet, apalagi
videocall. Masukin surat ke kotak
pos di pinggir jalan utk diambil
o/ tukang pos yg akan mengantarnya
ke penerima setelah diatur di kantor
pos. Ribet ya? Ngga juga sih. Seru!
Excited tiap buka kotak pos 😊
https://t.co/tWNs9urbCG</t>
  </si>
  <si>
    <t>leo12seventy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</si>
  <si>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yukemesh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</si>
  <si>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resharopro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</si>
  <si>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indopropeople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</si>
  <si>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amanalu02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</si>
  <si>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3ko_8udi_5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</si>
  <si>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kutang_bolong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</si>
  <si>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yourauroraaaaa
@jogmfs kantor pos</t>
  </si>
  <si>
    <t xml:space="preserve">jogmfs
</t>
  </si>
  <si>
    <t>feryy12343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</si>
  <si>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penggiatumkm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</si>
  <si>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lelucky99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</si>
  <si>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brunowicaksono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</si>
  <si>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tree_ofjuly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</si>
  <si>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0no_niha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</si>
  <si>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moedjiyanto2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</si>
  <si>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j3ffry_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</si>
  <si>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capenk4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</si>
  <si>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alatasindonesia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</si>
  <si>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cc_hanjaya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</si>
  <si>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evalaksmi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</si>
  <si>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akbarrudy1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</si>
  <si>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antoniuscdn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</si>
  <si>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dyanaawt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</si>
  <si>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fadjarpm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</si>
  <si>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ideapool_
@PosIndo @PosIndonesia ; mohon
pak pegawainya Kantor Pos Tohpati,
Denpasar Bali.</t>
  </si>
  <si>
    <t>ryo_wayan2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</si>
  <si>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babylyricist
@aespafess_ kantor POS kalik</t>
  </si>
  <si>
    <t xml:space="preserve">aespafess_
</t>
  </si>
  <si>
    <t>anti_qadrun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</si>
  <si>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savana_jiwa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</si>
  <si>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lonassis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</si>
  <si>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ignmrg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</si>
  <si>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jayengrono31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</si>
  <si>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kuntuldowo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</si>
  <si>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tiwah22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</si>
  <si>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cangkir_plastik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</si>
  <si>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andiris1die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</si>
  <si>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nenebuas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</si>
  <si>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hanstali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</si>
  <si>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kotamati1999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</si>
  <si>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jengsri_ss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</si>
  <si>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el_subiyanto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</si>
  <si>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linaandria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</si>
  <si>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mimelva_su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</si>
  <si>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rang_hoki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</si>
  <si>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iisinyo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</si>
  <si>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van_karonese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</si>
  <si>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gochimobsi
sampe lupa mau ke kantor pos mengantar
kak Shua pulang.. 👩🏻‍🦯</t>
  </si>
  <si>
    <t>solhot_beken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</si>
  <si>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puanmerdeka2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</si>
  <si>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miss_win69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</si>
  <si>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dijei_mc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</si>
  <si>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riaukalit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</si>
  <si>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aritononang
@Rizmaya__ @KomnasHAM Dibuatkan
aja kantor ham di situ kl bisa
agak ke pelosok jauh dari lingkungan
masyarakat dan pos penanganan keamanan👍</t>
  </si>
  <si>
    <t xml:space="preserve">komnasham
</t>
  </si>
  <si>
    <t xml:space="preserve">rizmaya__
</t>
  </si>
  <si>
    <t>swgkhofu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</si>
  <si>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agusprehadi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</si>
  <si>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dbrawzl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</si>
  <si>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cheese_02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</si>
  <si>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cangcingiss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</si>
  <si>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konconkri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</si>
  <si>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andreasnuryan2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</si>
  <si>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fauziah_sifa28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</si>
  <si>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ariefanarya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</si>
  <si>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sgrdamai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</si>
  <si>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kakekharam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</si>
  <si>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abbasciputabbas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</si>
  <si>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iichigoryota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</si>
  <si>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herusugiri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</si>
  <si>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tlbfrmnsyh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</si>
  <si>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djtytyd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</si>
  <si>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thomass90392754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</si>
  <si>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ariestuck26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</si>
  <si>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evadarma42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</si>
  <si>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arie_mdana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</si>
  <si>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festifiki
Biasanya pake jasa jnt, jne, sicepat,
kantor pos gak pernah kecewa. Ini
nyoba pake jasa @anteraja_id gilaaaa
lama bgt</t>
  </si>
  <si>
    <t xml:space="preserve">anteraja_id
</t>
  </si>
  <si>
    <t>laxyyta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</si>
  <si>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lovelostlustyou
Hal lain... Gw di Bali, dia di
Bogor, di rumah Ciputat cuma ada
emak ama nenek gw dan gw butuh
kirim barang agak besar. Dia dateng
ke rumah gw, bantuin emak gw packing,
dia kirimin ke kantor pos trus
balik ke Bogor🥲</t>
  </si>
  <si>
    <t>fandearb1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</si>
  <si>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hermandokang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</si>
  <si>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rodabambu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</si>
  <si>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boeluxs1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</si>
  <si>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putra_esbeye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</si>
  <si>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_seknas_ri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</si>
  <si>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kulinerbocah
@PosIndo @PosIndonesia ; mohon
pak pegawainya Kantor Pos Tohpati,
Denpasar Bali.</t>
  </si>
  <si>
    <t>santz_lee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</si>
  <si>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mybigbozz
Lowongan Kantor Pos Dumai September
2021 https://t.co/Pmcwh5YKEn https://t.co/OGb66iRjsG</t>
  </si>
  <si>
    <t>adoreliu
sumpah sy di kantor pos mrk blm
baless</t>
  </si>
  <si>
    <t>dinisatashya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</si>
  <si>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hirasnapitupulu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</si>
  <si>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abdoeh_abbiati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</si>
  <si>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grace_saa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</si>
  <si>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cahngarit14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</si>
  <si>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rudy30059411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</si>
  <si>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ewink_tie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</si>
  <si>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bennydjuwanda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</si>
  <si>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gathot57987929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</si>
  <si>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yoshyosh12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</si>
  <si>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hope4thebest6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</si>
  <si>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hendfry_gerard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</si>
  <si>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pakde_gatot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</si>
  <si>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ardieithink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</si>
  <si>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teguh19699297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</si>
  <si>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jhoe80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</si>
  <si>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d3v1s4_r3y4l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</si>
  <si>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nugroho99036078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</si>
  <si>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rbslgn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</si>
  <si>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bangben26616216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</si>
  <si>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meng_1234567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</si>
  <si>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qutu_qupret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</si>
  <si>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bendoll02708591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</si>
  <si>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tobatsaat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</si>
  <si>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ujkomar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</si>
  <si>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edyss05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</si>
  <si>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benny_moewi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</si>
  <si>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hadisang70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</si>
  <si>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fajarfirhadi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</si>
  <si>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to_w3lly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</si>
  <si>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didy_40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</si>
  <si>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rohmansyahsuja1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</si>
  <si>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aliusma83109423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</si>
  <si>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halopolsekraman
Personil Polsek Raman Utara laksanakan
Sambang di Kantor Pos Desa Kota
Raman kec Raman Utara , memberikan
himbauan Kamtibmas,agar masyarakat
lebih meningkatkan kewaspadaan
mencegah C3 dan mewujudkan situasi
yang kondusif. #Hallo polsek Raman
Utara #humas_polreslampungtimur
https://t.co/h4giK6SE5X</t>
  </si>
  <si>
    <t>budiatnogr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</si>
  <si>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lokerbumncpns
Lowongan Kerja Kantor Pos Dumai
- Info lengkap..buka sa...</t>
  </si>
  <si>
    <t>ndaru_wardani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</si>
  <si>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_____sasa
@literarybase Salah, suka2 kantor
pos...</t>
  </si>
  <si>
    <t xml:space="preserve">literarybase
</t>
  </si>
  <si>
    <t>tehmanispanas4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</si>
  <si>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budipra87870630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</si>
  <si>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daodibn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</si>
  <si>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sumaryo80184182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</si>
  <si>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rich146754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</si>
  <si>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gusary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</si>
  <si>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kevinfhyl_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</si>
  <si>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februuuzz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</si>
  <si>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meispm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</si>
  <si>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ciput84725571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</si>
  <si>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cinuuuul
@ChaxCha____ Kantor pos</t>
  </si>
  <si>
    <t xml:space="preserve">chaxcha____
</t>
  </si>
  <si>
    <t>cassarekayasa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</si>
  <si>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arif_fcr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</si>
  <si>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affanusman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</si>
  <si>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tumim_urim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</si>
  <si>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terpojoks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</si>
  <si>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lrahmadsyahj2p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</si>
  <si>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vonbron_ajah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</si>
  <si>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eandalusy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</si>
  <si>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detitik1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</si>
  <si>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masyarakatradio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</si>
  <si>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ariztkadju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</si>
  <si>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maximus_syukur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</si>
  <si>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ba_wcksn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</si>
  <si>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appellowj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</si>
  <si>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em2munawar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</si>
  <si>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mnqincognito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</si>
  <si>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clown_mui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</si>
  <si>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gunadi84380182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</si>
  <si>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dirmanrdl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</si>
  <si>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amiipoerwa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</si>
  <si>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ervan_jtm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</si>
  <si>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yussandrifikri
@bobbygr__ aku dulu gitu gak bob,
cuman bede e aku pake kantor pos
die wa dah</t>
  </si>
  <si>
    <t xml:space="preserve">bobbygr__
</t>
  </si>
  <si>
    <t>justin_899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</si>
  <si>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lizaariani5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</si>
  <si>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widiatis279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</si>
  <si>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nathanaelnugro1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</si>
  <si>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erosyad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</si>
  <si>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nogososroasli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</si>
  <si>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diana_harianti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</si>
  <si>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kahfihouse
@undipmenfess Hallo kak barangkali
berminat, kos putri daerah banjarsari
nirwanasari (deket kantor pos tembalang)
Kamar mandi luar 500k termasuk
listrik dan wifi 😁 https://t.co/1Lk198hbJZ</t>
  </si>
  <si>
    <t xml:space="preserve">undipmenfess
</t>
  </si>
  <si>
    <t>abisabarudin2
Depan kantor pos depok 2 https://t.co/VIOdQATsOq</t>
  </si>
  <si>
    <t>yaniarsim
Depan kantor pos depok 2 https://t.co/VIOdQATsOq</t>
  </si>
  <si>
    <t>surauid
Depan kantor pos depok 2 https://t.co/VIOdQATsOq</t>
  </si>
  <si>
    <t>kangcafebubar
Depan kantor pos depok 2 https://t.co/VIOdQATsOq</t>
  </si>
  <si>
    <t>ashabym
Depan kantor pos depok 2 https://t.co/VIOdQATsOq</t>
  </si>
  <si>
    <t>ftr1114
Ponzi menawarkan sebuah tawaran
menarik ke para calon investornya.
Dia ngeklaim bisa dapatkan perangko
dari luar negeri dengan harga jauh
lebih murah daripada aslinya. Yang
itu kelak bisa mereka tukarkan
dengan value US yg lebih tinggi
di kantor pos terdekat dan dapet
profit. https://t.co/faMN9Tu3tv</t>
  </si>
  <si>
    <t>widassatyo
Ponzi menawarkan sebuah tawaran
menarik ke para calon investornya.
Dia ngeklaim bisa dapatkan perangko
dari luar negeri dengan harga jauh
lebih murah daripada aslinya. Yang
itu kelak bisa mereka tukarkan
dengan value US yg lebih tinggi
di kantor pos terdekat dan dapet
profit. https://t.co/faMN9Tu3tv</t>
  </si>
  <si>
    <t>hendryxdwi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</si>
  <si>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yasariqbal9
Depan kantor pos depok 2 https://t.co/VIOdQATsOq</t>
  </si>
  <si>
    <t>danz51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</si>
  <si>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renjunions
Ponzi menawarkan sebuah tawaran
menarik ke para calon investornya.
Dia ngeklaim bisa dapatkan perangko
dari luar negeri dengan harga jauh
lebih murah daripada aslinya. Yang
itu kelak bisa mereka tukarkan
dengan value US yg lebih tinggi
di kantor pos terdekat dan dapet
profit. https://t.co/faMN9Tu3tv</t>
  </si>
  <si>
    <t>dehanoer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</si>
  <si>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eboondcah
@Lunatical9 parak kantor pos</t>
  </si>
  <si>
    <t>lunatical9
@eboondcah kantor pos bandung kah?</t>
  </si>
  <si>
    <t>omezh5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</si>
  <si>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putr4sj
Bantuan dalam program BST @KemensosRI
dicairkan dengan menggunakan beberapa
cara, antara lain melalui Kantor
Pos Indonesia dan beberapa bank.
Cek rekening siapa tahu dapat program
BST https://t.co/59OxOUsAlQ https://t.co/2VJ95BWmKY</t>
  </si>
  <si>
    <t xml:space="preserve">kemensosri
</t>
  </si>
  <si>
    <t>angkringanxyz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</si>
  <si>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lusi79039701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</si>
  <si>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menfesssambat
@undipmenfess Belakang Maskam,
Vandem juga enak, samping kantor
pos juga enak. 🤤</t>
  </si>
  <si>
    <t>senyumbahagia6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</si>
  <si>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nmoewn
@bertanyarl kantor pos ajaa</t>
  </si>
  <si>
    <t>teajuize
@bertanyarl kantor pos sjj</t>
  </si>
  <si>
    <t>ika_varizki
@bertanyarl Sebagai pengguna setia
kantor pos, aku menyarankan untuk
pake kantor pos aja yg lebih aman
buat ngirim dokumen</t>
  </si>
  <si>
    <t>nahdaalfi
Kalo gak D'kriuk ya nasi warteg
pake terong balado+kerang+teri.
Kalo lagi mau yg mahalan dikit
beli nasi Padang Elok Tando pakenya
ayam gulai. Kalo mau kuah2? Beli
soto babat depan kantor pos 😂
Ituuuu aja yg pesen kalo makan
siang. Jarang pilih yg lain kalo
gak kepengen banget.</t>
  </si>
  <si>
    <t>purwantisetia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</si>
  <si>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aliam36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</si>
  <si>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amadea312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</si>
  <si>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ahir9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</si>
  <si>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lordkrasak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</si>
  <si>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gdwi164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</si>
  <si>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ichwananto1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</si>
  <si>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mcflurryoreyou
ci lo hrs cba nasi goreng dpn kantor
pos @sienervt</t>
  </si>
  <si>
    <t xml:space="preserve">sienervt
</t>
  </si>
  <si>
    <t>bambangmoelyadi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</si>
  <si>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sibeseck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</si>
  <si>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laludatu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</si>
  <si>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telorayamjantan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</si>
  <si>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godjila526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</si>
  <si>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kranjilatif
Depan kantor pos depok 2 https://t.co/VIOdQATsOq</t>
  </si>
  <si>
    <t>shantymacika
@PosIndonesia gimana ini, pegawai
kantor pos kok gak mau pake masker?
https://t.co/vPcL1TzcSc</t>
  </si>
  <si>
    <t>addarul1
Depan kantor pos depok 2 https://t.co/VIOdQATsOq</t>
  </si>
  <si>
    <t>vian69633078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</si>
  <si>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zefry1974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</si>
  <si>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andianwar75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</si>
  <si>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katrnaaa14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</si>
  <si>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yswandi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</si>
  <si>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karyndwiyanita
Paket dtg tp mami mls turun kebawah
ywda alamat bsk ambil brg d kantor
pos 🤣🤣🤣🙊🙈</t>
  </si>
  <si>
    <t>heru_pu2111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</si>
  <si>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soim_maskur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</si>
  <si>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damendra78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</si>
  <si>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its_jakobus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</si>
  <si>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effhariadi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</si>
  <si>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julyas43
@stanmenfess Yaelah cuma ngumpulin
berkas aja kudu datengin kantor
tujuan? Hey Pos Indonesia didirikan
sebelum kamu lahir buat apa?</t>
  </si>
  <si>
    <t xml:space="preserve">stanmenfess
</t>
  </si>
  <si>
    <t>dewa13127757
Depan kantor pos depok 2 https://t.co/VIOdQATsOq</t>
  </si>
  <si>
    <t>bambam30424539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</si>
  <si>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jakartastar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</si>
  <si>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sujono_prawiro
@halimiskandarnu Bumdes Karya Mandiri
desa Rejuno Kec.Karangjati Kab.Ngawi
Jawa Timur bergerak pada sembako,kini
telah bergeliat bekerja sama dengan
kantor pos dan bank jatim,dalam
pembayaran on line pajak kendaraan
bermotor juga bisa.</t>
  </si>
  <si>
    <t xml:space="preserve">halimiskandarnu
</t>
  </si>
  <si>
    <t>luluk1683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</si>
  <si>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hutamarizky20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</si>
  <si>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omkodoq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</si>
  <si>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eoh_axela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</si>
  <si>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hanjenifd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</si>
  <si>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mohsyfri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</si>
  <si>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jayun72997066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</si>
  <si>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herwatoe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</si>
  <si>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juvestalker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</si>
  <si>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renjunsbun
@sellkpopfess keknya emg harus
ke kantor pos pusat yg gede gt
nder</t>
  </si>
  <si>
    <t xml:space="preserve">sellkpopfess
</t>
  </si>
  <si>
    <t>prihandono72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</si>
  <si>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anjaypisan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</si>
  <si>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hank_jkt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</si>
  <si>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aswa_13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</si>
  <si>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anthony888889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</si>
  <si>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naibahopahotan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</si>
  <si>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lia_yash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</si>
  <si>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jamescastello8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</si>
  <si>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kenarok10193945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</si>
  <si>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herui18740920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</si>
  <si>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dietzno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</si>
  <si>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iyat_jabbari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</si>
  <si>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ikhanovitsari
LOKASI PELAYANAN #SIMKELILING Rabu,
22 September 2021 Pukul 08.00 s/d
14.00 Wib : Jaktim : Mall Grand
Cakung. Jaksel : Kampus Trilogi
Kalibata &amp;amp; Jln M.Saidi Raya
Petukangan Jaksel. Jakbar : LTC
Glodok. Jakpus : Kantor Pos Lapangan
Banteng https://t.co/YYeDCJr3Cf</t>
  </si>
  <si>
    <t>lans2610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</si>
  <si>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galang01587086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</si>
  <si>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zonevenomwar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</si>
  <si>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mibalbuceo
@bubblygram Good luck dear! The
blu ray is waiting for you 💜 I
hope ‘mas/mbak kantor pos’ can
cooperate with you 🤗</t>
  </si>
  <si>
    <t xml:space="preserve">bubblygram
</t>
  </si>
  <si>
    <t>hgberry
@PosIndo @PosIndonesia ; mohon
pak pegawainya Kantor Pos Tohpati,
Denpasar Bali.</t>
  </si>
  <si>
    <t>sigitwaluyo02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</si>
  <si>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darmalik3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</si>
  <si>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kangawi1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</si>
  <si>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rudy_setyo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</si>
  <si>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cambah_dele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</si>
  <si>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bahronialmansur
Tak Dilengkapi Persyaratan Karantina,Ratusan
Paket Dimusnahkan Bekasi-Ribuan
paket dari luar negeri yg tak dilengkapi
persyaratan karantina yg dilalulintaskan
melalui Karantina Pertanian Tg
Priok wilayah kerja Kantor Pos
Jakarta dimusnahkan di Instalasi
Karantina Bekasi (21/09) https://t.co/o79viSXYAv</t>
  </si>
  <si>
    <t>karantinapriok
Tak Dilengkapi Persyaratan Karantina,Ratusan
Paket Dimusnahkan Bekasi-Ribuan
paket dari luar negeri yg tak dilengkapi
persyaratan karantina yg dilalulintaskan
melalui Karantina Pertanian Tg
Priok wilayah kerja Kantor Pos
Jakarta dimusnahkan di Instalasi
Karantina Bekasi (21/09) https://t.co/o79viSXYAv</t>
  </si>
  <si>
    <t>pajakblampung1
Sudah punya meterai yang baru?
Meterai Rp10.000,00 sudah bisa
#KawanPajak dapatkan di Kantor
Pos. 📸: @peniti #PajakKitaUntukKita
#PajakKuatIndonesiaMaju #BeaMeterai
https://t.co/6S2tn8aYrt</t>
  </si>
  <si>
    <t xml:space="preserve">peniti
</t>
  </si>
  <si>
    <t>dzeko_dimas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</si>
  <si>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bcbanjarmasin_
Sebagai tindaklanjut dari hasil
monitoring dan evaluasi yang telah
dilakukan, Kepala KPPBC TMP B Banjarmasin,
Kurnia Saktiyono, didampingi oleh
para pejabat di seksi Pelayanan
Kepabaeanan dan Cukai melaksanakan
kunjungan ke kantor Pos Lalu Bea
Banjarbaru.</t>
  </si>
  <si>
    <t>wwahyudi_
@PosIndonesia Maaf bertanya. Klo
paket statusnya “Departure from
inward OE (EMF) MPCJAKARTA” apakah
boleh diambil ke kantor pos?</t>
  </si>
  <si>
    <t>kangazzev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</si>
  <si>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kring_pajak
@sy74388394 @DitjenPajakRI @secop_io
Hai, Kak. Apakah yang Kakak maksud
email unit kerja Kantor Pajak?
Jika ya, untuk informasi resmi
mengenai pos elektronik atau email
KPP tempat Kakak terdaftar dapat
dicari dan dilihat pada laman berikut
https://t.co/W85tGFPlwp ya Kak.
Tks*Hlda</t>
  </si>
  <si>
    <t xml:space="preserve">ucieadinda
</t>
  </si>
  <si>
    <t xml:space="preserve">caktainkomari
</t>
  </si>
  <si>
    <t xml:space="preserve">nadyadaniar
</t>
  </si>
  <si>
    <t xml:space="preserve">enabling11
</t>
  </si>
  <si>
    <t xml:space="preserve">aelzaheera
</t>
  </si>
  <si>
    <t xml:space="preserve">secop_io
</t>
  </si>
  <si>
    <t xml:space="preserve">sy74388394
</t>
  </si>
  <si>
    <t>sundafess_
daks jam 1 siang nanti kantor pos
masih buka ga? nuhun</t>
  </si>
  <si>
    <t>ryanzoey_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</si>
  <si>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kendari_pos
Rp 1,3 Miliar Bangun Kantor BPS
https://t.co/vOaO4ZdBxS</t>
  </si>
  <si>
    <t>mbrputra_art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</si>
  <si>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fukusimax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</si>
  <si>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viraieo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</si>
  <si>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0606cokr
@milsuna udah. di sini ga ada kantor
pos lain. cuma itu aja. kalo mau
ke kantor pos pusat, harus pake
pesawat (beda daerah) atau kalo
pake mobil 18 jam 🥲 ga mungkin
aku bolak balik ke sana cuma buat
kirim barang :')</t>
  </si>
  <si>
    <t xml:space="preserve">milsuna
</t>
  </si>
  <si>
    <t>wuriihannd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</si>
  <si>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ferrywf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</si>
  <si>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snuwoon
@Revoiruna violet evergarden tentang
perempuan yang namanya violet evergarden,
jadi dia awalnya mantan prajurit
gituu. terus pas perang selesai,
dia kerja jadi kayak semacam orang
yang bantuin nulis surat di kantor
pos gitu deh. itu recommend banget!</t>
  </si>
  <si>
    <t xml:space="preserve">revoiruna
</t>
  </si>
  <si>
    <t>tintahijaucom
Asyik! BST Rp600 Ribu Kembali Cair,
Bisa Diambil via Rekening atau
Kantor Pos https://t.co/xwYsCEWHap</t>
  </si>
  <si>
    <t>zonasubang
Asyik! BST Rp600 Ribu Kembali Cair,
Bisa Diambil via Rekening atau
Kantor Pos https://t.co/V88EDEGp3n</t>
  </si>
  <si>
    <t>jabar24jam
Asyik! BST Rp600 Ribu Kembali Cair,
Bisa Diambil via Rekening atau
Kantor Pos https://t.co/1lf7fSSfUo</t>
  </si>
  <si>
    <t>subanghits
Asyik! BST Rp600 Ribu Kembali Cair,
Bisa Diambil via Rekening atau
Kantor Pos https://t.co/k2qmT6E8bL</t>
  </si>
  <si>
    <t>panturaterkini
Asyik! BST Rp600 Ribu Kembali Cair,
Bisa Diambil via Rekening atau
Kantor Pos https://t.co/Gg9ujVjddq</t>
  </si>
  <si>
    <t>mawardiah8
@najiberror1 Ntr q japri aja lewat
kantor pos</t>
  </si>
  <si>
    <t xml:space="preserve">najiberror1
</t>
  </si>
  <si>
    <t>_rizaldi_m_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</si>
  <si>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handersonchania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</si>
  <si>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ahmadjun889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</si>
  <si>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taufiqtpi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</si>
  <si>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yaelaaahlu
Dulu pas masih jarang yg punya
hp, klo pada ngantri di bank atau
di kantor pos dll org yg pada ngantri
itu pada sibuk ngapain yaa?</t>
  </si>
  <si>
    <t>aditya_psi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</si>
  <si>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kenanganmaniiss
@lampungbase Blkang kantor pos
mksdnyaa</t>
  </si>
  <si>
    <t xml:space="preserve">lampungbase
</t>
  </si>
  <si>
    <t>bbdoobe
@lampungbase Daerah kantor pos
itu</t>
  </si>
  <si>
    <t>dheea09
@lampungbase Pasar tengah, belakang
kantor pos</t>
  </si>
  <si>
    <t>cakdim
@_angky Temenan iki, nang ngarep
yakaya pojokan kantor pos</t>
  </si>
  <si>
    <t xml:space="preserve">_angky
</t>
  </si>
  <si>
    <t>dreamitb2uty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</si>
  <si>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isworo63
Tak Dilengkapi Persyaratan Karantina,Ratusan
Paket Dimusnahkan Bekasi-Ribuan
paket dari luar negeri yg tak dilengkapi
persyaratan karantina yg dilalulintaskan
melalui Karantina Pertanian Tg
Priok wilayah kerja Kantor Pos
Jakarta dimusnahkan di Instalasi
Karantina Bekasi (21/09) https://t.co/o79viSXYAv</t>
  </si>
  <si>
    <t>marimaasss
kenapa ketemunya random gak karu2an
dan tidak terduga. di indomaret,
atm, kantor pos 😂. disaat pengen
ketemu ga ketemu. lagi gaada niat
ketemu malah ketemu oyyy</t>
  </si>
  <si>
    <t>soe_dody
@PosIndo @PosIndonesia ; mohon
pak pegawainya Kantor Pos Tohpati,
Denpasar Bali.</t>
  </si>
  <si>
    <t>wulandarip17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</si>
  <si>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saudarisaki
Ke kantor pos ketemu pegawai yg
muirip buanget sama Odyu nya Komikamvret
😱😱😱 Odyu irl</t>
  </si>
  <si>
    <t>heri_aja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</si>
  <si>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pbantarsari
Personil Polsek Bantarsari melaksanakan
Djimat patroli sambung ke pemukiman
penduduk dan kantor pos di Desa
Rawajaya Bantarsari. antisipasi
GK dan TP. #polsek_bantarsari #polrescilacap
#poldajateng https://t.co/tYur4aRJl7</t>
  </si>
  <si>
    <t>panggilajaboboy
Padahal sering ke kantor pos, eh
taunya si bangsat kerja di pos.
Sono da.. https://t.co/hXKKNjG4Iz</t>
  </si>
  <si>
    <t>kanglex_
Siapin data kependudukan berupa,
KTP, KK &amp;amp; akta kelahiran terus
fotocopy &amp;amp; legalisir di kantor
pos, lalu buat permohonan (bermaterai)
yang ditujukan pada Pengadilan
Negeri tempat domisili, nanti di
permohonan tersebut diajukan via
Panitera PN yang dimaksud. https://t.co/qAL4luDv4L</t>
  </si>
  <si>
    <t>siakbarrrrr
@nasikemarennn Ke kantor pos aja</t>
  </si>
  <si>
    <t xml:space="preserve">nasikemarennn
</t>
  </si>
  <si>
    <t>mgpolsek
Bhabinkamtibmas Brontokusuman Polsek
Mergangsan Aiptu Muji widodo melaksanakan
sambang ke kantor pos Mergangsan
jln Sisingamangaraja kampung Karanganyar.
Rabu 22/09/2021 https://t.co/k9yFthsLyO</t>
  </si>
  <si>
    <t>cecepfm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</si>
  <si>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hantiww
@SukabumiiFess Sebrang kantor pos
?</t>
  </si>
  <si>
    <t xml:space="preserve">sukabumiifess
</t>
  </si>
  <si>
    <t>marlinbenyal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</si>
  <si>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wistereina
@animefess_ seru banget. tentang
cewek yg dijadikan senjata perang,
terus jatuh cinta sama atasannya.
setelah perang usai dia ngajar
di sekolah perempuan, juga jadi
pembuat surat di kantor pos</t>
  </si>
  <si>
    <t xml:space="preserve">animefess_
</t>
  </si>
  <si>
    <t>republikaonline
Saat ini Pos Indonesia menyediakan
pelayanan syariah dalam aplikasi
Pospay. https://t.co/TYNHjUWnuI</t>
  </si>
  <si>
    <t>ug94jinyoung
@marktauan Undang dong, sabar brou
undangnnya masi nyangkut di kantor
pos</t>
  </si>
  <si>
    <t xml:space="preserve">marktauan
</t>
  </si>
  <si>
    <t>iceeteaaaaa
@ohmyjhones @afebriannaaaaa @marthawidya4
@queenssambit Mau lewat kantor
pos men smestetik ono prangko ne</t>
  </si>
  <si>
    <t xml:space="preserve">queenssambit
</t>
  </si>
  <si>
    <t xml:space="preserve">marthawidya4
</t>
  </si>
  <si>
    <t xml:space="preserve">afebriannaaaaa
</t>
  </si>
  <si>
    <t xml:space="preserve">ohmyjhones
</t>
  </si>
  <si>
    <t>lokernesiaid
Lowongan Kerja Kantor Pos Makassar
September 2021 https://t.co/0ShU9dEXRX</t>
  </si>
  <si>
    <t>tedtood
@joohoneyw_ @bogorfess_ Yg di yonkes
apa dket kantor pos?</t>
  </si>
  <si>
    <t xml:space="preserve">bogorfess_
</t>
  </si>
  <si>
    <t>joohoneyw_
@tedtood @bogorfess_ dket kantor
pos</t>
  </si>
  <si>
    <t>haeppyharuenjen
@GGSell_fess Pake stamped aja nder,
kantor pos kotaku bisa kirim ke
luar negeri</t>
  </si>
  <si>
    <t xml:space="preserve">ggsell_fess
</t>
  </si>
  <si>
    <t>abdurrafialwan
@undipmenfess Visi Komputer di
belakang kantor pos banjarsari</t>
  </si>
  <si>
    <t>lheezseung
@NoblesInParis oke aku tunggu di
depan kantor pos ayang :*</t>
  </si>
  <si>
    <t xml:space="preserve">noblesinparis
</t>
  </si>
  <si>
    <t>lokersumatera1
Lowongan Kerja Palembang, PT. Pos
Indonesia (Persero) - Kantor Pos
30000 sebagai Oranger Antaran.
Deadline 25 September 2021 #lokersumatera
#lowongankerja #kurir #palembang
#lokerpalembang https://t.co/a1pI7GElz0</t>
  </si>
  <si>
    <t>ateezmart
atzm ALBUM ATEEZ ZERO : FEVER PART
3 BUNDLE (A ver, Z ver, Diary ver)
✅ 3 POB KTOWN4U sortir member ✅
3 poster ✅ barang sudah ada di
kantor pos indonesia ✅ ems tax
❌ packing Rp 800.000 dm @seoulutionid</t>
  </si>
  <si>
    <t>seoulutionid
WTS / WANT TO SELL ALBUM ATEEZ
ZERO : FEVER PART 3 BUNDLE (A ver,
Z ver, Diary ver) ✅ 3 POB KTOWN4U
sortir member ✅ 3 poster ✅ barang
sudah ada di kantor pos indonesia
✅ ems tax ❌ packing Rp 800.000</t>
  </si>
  <si>
    <t>widodo_harjono
@mohmahfudmd saya bayar pajak motor,
balik nama motor di samsat jakpus..lancar,
pas gesek no bodi ngasih uang tip
5 rp boleh, tdk jg gak apa2. perpanjangan
sim A+C di kantor pos jakpus...lancar...</t>
  </si>
  <si>
    <t xml:space="preserve">mohmahfudmd
</t>
  </si>
  <si>
    <t>fallinstaar
WTS / WANT TO SELL ALBUM ATEEZ
ZERO : FEVER PART 3 BUNDLE (A ver,
Z ver, Diary ver) ✅ 3 POB KTOWN4U
sortir member ✅ 3 poster ✅ barang
sudah ada di kantor pos indonesia
✅ ems tax ❌ packing Rp 800.000</t>
  </si>
  <si>
    <t>thetarasu
@xxsalsakyl Ketik reg spasi tarazen
kirim ke kantor pos</t>
  </si>
  <si>
    <t xml:space="preserve">xxsalsakyl
</t>
  </si>
  <si>
    <t>dahcapekya
@collegemenfess kantor pos</t>
  </si>
  <si>
    <t xml:space="preserve">collegemenfess
</t>
  </si>
  <si>
    <t>beritappat
#Kantor Pertanahan Ngada Canangkan
Pembangunan Zona Integritas Menuju
WBK dan WBBM - https://t.co/Ba0ROPJEHq:
https://t.co/xqly5QLOam #PPAT #IPPAT</t>
  </si>
  <si>
    <t>minosyahmadi
06.23 LOKASI PELAYANAN #SIMKELILING
Kamis, 23 September 2021 Pukul
08.00 s/d 14.00 Wib : Jaktim :
Mall Grand Cakung. Jaksel : Kampus
Trilogi Kalibata &amp;amp; Jln M.Saidi
Raya Petukangan Jaksel. Jakbar
: LTC Glodok. Jakpus : Kantor Pos
Lapangan Banteng https://t.co/A5uCJppCs4</t>
  </si>
  <si>
    <t>lianajust4you
bengen koh yek kite ngedeleng pertama
kali komputer kuen kaye ngedeleng
kantor pos 😆 sing pertama kali
sing paling mengalihkan duniaku
😕 who are you di dalamnya ? 😅😂😁😆😌😞
iku yek kantor pos e bae tak keponi
kudu bilah 😌 pikiran kite koh
yek sepire privasi ne konon 😅😌😋</t>
  </si>
  <si>
    <t>czwolo
2 kali terima paket by ems dan
all harus ngambil sendiri di kantor
pos udah cukup bikin kecewa ya
that's why ku pake dhl. At least
I don't hv bad experience with
dhl even I hv to spend 2x or 3x
for the shipping fee</t>
  </si>
  <si>
    <t>cikanovika
@bertanyarl kalo udh semingguan
mending ambil ke kantor nya nder,
aku juga gitu dikirain bakal dikirim
via pos udh 2 bulan g dateng² yaudh
diambil langsung ke kantornya</t>
  </si>
  <si>
    <t>p4ndemin
@yusufgunawan @dishub_mlgkota bolak
balik usul,gimana kalo sistemnya
dibalik,masyarakat bayarnya pake
karcis yang bisa dibeli satu bendel
di minimarket,kalo sudah terkumpul
sehari,tukang parkir nukarin karcisnya
dengan uang ke (misal) kantor pos.
Karcis 2000,tkg parkir dpt 1000,dispenda
dapet 1000</t>
  </si>
  <si>
    <t xml:space="preserve">dishub_mlgkota
</t>
  </si>
  <si>
    <t xml:space="preserve">yusufgunawan
</t>
  </si>
  <si>
    <t>jjherlambang
5. Where. Kemana harus melaporkan?
1. Basarnas punya hotline 115 (tapi
gatau aktif atau engga) 2. Bisa
juga datang langsung ke Kantor
SAR/Pos SAR/Unit Siaga SAR terdekat
di daerah masing-masing. 3. Masing
Masing Kantor SAR punya nomor telpon
Sendiri, beberapa juga ada WA.</t>
  </si>
  <si>
    <t>bustanulis
5. Where. Kemana harus melaporkan?
1. Basarnas punya hotline 115 (tapi
gatau aktif atau engga) 2. Bisa
juga datang langsung ke Kantor
SAR/Pos SAR/Unit Siaga SAR terdekat
di daerah masing-masing. 3. Masing
Masing Kantor SAR punya nomor telpon
Sendiri, beberapa juga ada WA.</t>
  </si>
  <si>
    <t>rzk_bunga
@cunggit_ @snvleur gaaass keuns
nang cidek kantor pos besar 🚀</t>
  </si>
  <si>
    <t xml:space="preserve">snvleur
</t>
  </si>
  <si>
    <t xml:space="preserve">cunggit_
</t>
  </si>
  <si>
    <t>imattuadniw
Hi @PosIndonesia mau tanya nih,
untuk pengembalian barang gratis
dari @zaloraidn itu hanya bisa
di kantor pos tertentu ya? Soalnya
tadi saya return barang lewat kantor
pos tetep dikenakan biaya.</t>
  </si>
  <si>
    <t xml:space="preserve">zaloraidn
</t>
  </si>
  <si>
    <t>ko2w
Book Depository gak nyampe itu
salah Kantor Pos Indonesia bukan
ya?</t>
  </si>
  <si>
    <t>saiahunk
@ko2w Ga tau kak 2019 kemarin pesan
buku, sampe sekarnag ga nyampe
Tiap di email bilang bakal kirim
baru dan minta cek ke kantor pos
Ya gimana, resinya aja ga ada Ga
mau lagi pesan sama bookdep</t>
  </si>
  <si>
    <t>res_okus
Kanit Patroli Bripka didit melaksanakan
patroli di kantor pos Muaradua...antisifasi
gangguan kamtibmas https://t.co/m153LHCsxI</t>
  </si>
  <si>
    <t>oecsik
haii kakk, msh sama, kalo ga isi
cds gitu bisa gak kak? kayak misal
nya langsung ke kantor pos untuk
isi form nya… — mungkin bisa minta
petugasnya isiin (?) tapi lebih
enak isi sendiri sih biar crosscheck
sendiri, soalnya sekarang… https://t.co/OPIX0hfOTG</t>
  </si>
  <si>
    <t>portalkalbar1
Lowongan Kerja PT POS Indonesia
(Persero) ditempatkan diwilayah
kerja kantor pos palembang https://t.co/8zG6UCBU2q
https://t.co/lN2nx7onqY</t>
  </si>
  <si>
    <t>bapas_makassar
Monev yang dilaksanakan di ruang
sidang kantor Bapas Kelas I Makassar
ini, bertujuan untuk peningkatan
pelaksanaan tugas dan fungsi (Tusi)
Pembimbing Kemasyarakatan (PK)
pada pos Bapas Bulukumba.</t>
  </si>
  <si>
    <t>wafaarhmn
@rizkicgmlr @daenerystgrnn Iki
mesti ngetwit nitip kantor pos
mergo rung ono internet to daerahmu</t>
  </si>
  <si>
    <t xml:space="preserve">daenerystgrnn
</t>
  </si>
  <si>
    <t xml:space="preserve">rizkicgmlr
</t>
  </si>
  <si>
    <t>rain_bow80
kita dimana??? yep, di kantor pos
wkwkwk karena kencan pun gak harus
ditempat makan, cuma ngirim paket
klo berdua tuh mesranya jg kerasa
😌💕 /y https://t.co/vraiE0d5sH</t>
  </si>
  <si>
    <t>dounsedap
@dwoonyyy Ywda ntar gw paketan
ke kantor pos</t>
  </si>
  <si>
    <t>dwoonyyy
@dounsedap kerumah q lah knp ke
kantor pos</t>
  </si>
  <si>
    <t>ayayyawae
@insecuretard Ini yg dulunya kantor
pos gede itu bukan?</t>
  </si>
  <si>
    <t>insecuretard
@ayayyawae Ya bener bgt, dulunya
kantor pos gede</t>
  </si>
  <si>
    <t>hottieboobies
@chiki666_ kantor pos HAHAHAHAH</t>
  </si>
  <si>
    <t xml:space="preserve">chiki666_
</t>
  </si>
  <si>
    <t>fcks_
@banjarbase Bayar denda ja dipengadilan/kejaksaan/kantor
pos</t>
  </si>
  <si>
    <t>solitaire_evil
@pMoch88 Sebelah kantor Pos sebelum
pertigaan Pilar....</t>
  </si>
  <si>
    <t xml:space="preserve">pmoch88
</t>
  </si>
  <si>
    <t>atanalerectida
yg lucu dr tukang pos ini adlh,
klo buat tukang ngirim, dia cm
ktemu gw pas gw mampir kantor pos
doang jd dia ga bnyk komplen. tp
krn gw org impulsive spender, tukang
nganter sering ktemu gw.</t>
  </si>
  <si>
    <t>tys1004
Mas kantor pos capek ama gw kek
nya wkwkwk</t>
  </si>
  <si>
    <t>berkepribadian
Aku baca berita-berita pengkultusan
kanan-kiri yang kamu beli dari
Pak Tua di depan Kantor Pos Pusat
di Kota. Aku dengar revolusi dari
pemuda berjaket Gucci saat kita
jalan di Pasar Baru.</t>
  </si>
  <si>
    <t>azherbaizane
@Clipan_Finance HARDCOMPLAINT!!!
Mohon bantuan nya PEMBAYARAN BLM
UPDATE Atas nama : Azher Baijan
No hp : 081285663904 No kontrak
: 81410491711 Saya sudah bayar
Cicilan yang ke - 47 Rp.2.320.000.
Metode : Kantor Pos Tanggal : 13
September 2021.</t>
  </si>
  <si>
    <t xml:space="preserve">clipan_finance
</t>
  </si>
  <si>
    <t>karanavany
@ctbzale aku ada mihwa take sama
satu set inclusions mau? 275k udah
harga bersih ina. udah ready ina
cuma tinggal di pickup dari kantor
pos ajaa</t>
  </si>
  <si>
    <t xml:space="preserve">ctbzale
</t>
  </si>
  <si>
    <t>kominfo_srg
Mari bayar PBB sekarang juga 🤗
manfaatkan PROGRAM yg akan berakhir
tanggal 30 September 2021 mendatang
!! Bayar PBB bisa melalui Bank
Jateng, BKK Karangmalang, Kantor
Pos, Shopee, Gopay, Tokopedia,
Alfamart, Indomart, QRIS, Petugas
Pemungut / Bayan dan di semua E-Wallet
https://t.co/7iSsUI8zwu</t>
  </si>
  <si>
    <t>kurniawanricho
Mari bayar PBB sekarang juga 🤗
manfaatkan PROGRAM yg akan berakhir
tanggal 30 September 2021 mendatang
!! Bayar PBB bisa melalui Bank
Jateng, BKK Karangmalang, Kantor
Pos, Shopee, Gopay, Tokopedia,
Alfamart, Indomart, QRIS, Petugas
Pemungut / Bayan dan di semua E-Wallet
https://t.co/7iSsUI8zwu</t>
  </si>
  <si>
    <t>dianonno
@okyonline @noisette_douce @sunnycunnyy
Saya kayanya akhir bulan ke NTT
deh nanti dikirimin dari kantor
pos sana aja hehe DM alamat! Kalau
saya gak ke NTT juga gpp atuh kan
udah janji mau kirim.</t>
  </si>
  <si>
    <t xml:space="preserve">sunnycunnyy
</t>
  </si>
  <si>
    <t xml:space="preserve">noisette_douce
</t>
  </si>
  <si>
    <t xml:space="preserve">okyonline
</t>
  </si>
  <si>
    <t>hatteeuu
@bertanyarl western union nder
di kantor pos gampang juga tinggal
bawa kk sma ktp</t>
  </si>
  <si>
    <t>imandangodaan
Setelah sekian lama vakum, mari
mulai lagi. Terima kasih kantor
pos telah memberikan drama drama
gak penting, padahal dulu gak pernah
seribet ini kalo belanja dari AUS
https://t.co/KpiPaVsFWk</t>
  </si>
  <si>
    <t>rapangkatdua
@bertanyarl Biasa pake western
union. Ntar tinggal ambil di kantor
pos</t>
  </si>
  <si>
    <t>clcyoojiin
@JIWON00FC Ketik Reg (spasi) coba
kirim ke kantor pos terdekat!</t>
  </si>
  <si>
    <t xml:space="preserve">jiwon00fc
</t>
  </si>
  <si>
    <t>vacantspice
Yey nanti ke kantor pos rada jauh
jadi bisa sepik dandan 😁</t>
  </si>
  <si>
    <t>donita_xena
@pospay_official 1. Soeharto 2.
Pos Pay</t>
  </si>
  <si>
    <t xml:space="preserve">pospay_official
</t>
  </si>
  <si>
    <t>savaalesha
@bdngfess mau beli seblak, mau
vaksin, mau ke kantor pos dan lain
lain</t>
  </si>
  <si>
    <t xml:space="preserve">bdngfess
</t>
  </si>
  <si>
    <t>ardhiantopan
@MGLFESS Seblah kantor pos</t>
  </si>
  <si>
    <t xml:space="preserve">mglfess
</t>
  </si>
  <si>
    <t>zalorjal
@MGLFESS deket kantor pos alun
alun leh</t>
  </si>
  <si>
    <t>spwidii
@MGLFESS Sebelah kantor pos</t>
  </si>
  <si>
    <t>ftsprm
@MGLFESS Sebelahan sama kantor
pos alun alun nder</t>
  </si>
  <si>
    <t>ariemega
@ms_atiek @miund nabungnya dulu
di sini. ke kantor pos https://t.co/aKV8QXgoWT</t>
  </si>
  <si>
    <t xml:space="preserve">miund
</t>
  </si>
  <si>
    <t xml:space="preserve">ms_atiek
</t>
  </si>
  <si>
    <t>karinaartie
Daftar online utk pilih jenis vaksin,
hari &amp;amp; jam lalu lengkapi persyaratannya.
Datang sejam sebelum waktunya,
antri registrasi di tenda besar.
Parkirnya di Gedung Kantor Pos.
https://t.co/6jfsxV5Lwe</t>
  </si>
  <si>
    <t>mavieestnoire
Working space ku di meja makan
soalnya kalo di kamar suka dikira
gabut ditanyain "lagi ngapain"
mulu terus disuruh ke warung beli
telor atau ga disuruh nganterin
ke kantor pos😡😡</t>
  </si>
  <si>
    <t>polsektinggi
Personil Polsek Tebing Tinggi,
Aipda . S. Gea. Melaksankan Pos
padat pagi di Depan Mako Polsek
Tebing Tinggi dan Depan Kantor
Camat Tebing Tinggi* https://t.co/RlMrS9s0hP</t>
  </si>
  <si>
    <t>dochil97
@VChristyano Mau lewat mana JNE
apa TIKI apa KANTOR POS apa SICEPAT</t>
  </si>
  <si>
    <t xml:space="preserve">vchristyano
</t>
  </si>
  <si>
    <t>humas_sipirok
Kamis tanggal 23 September 2021
pukul 09.00 Wib, KSPK C Polsek
Sipirok AIPDA ERWINSYAH SIREGAR
Melaksanakan giat Pengamanan Petugas
Medis UPT . PUSKESMAS DANAU MARSABUT
di halaman kantor PT. Pos Sipirok
untuk melaksanakan Swab Anti Gen
Covid - 19, kepada warga masyarakat
https://t.co/T6s1mwkd1S</t>
  </si>
  <si>
    <t>lutfimove
Perencanaan Pembangunan Los Relokasi
Pedagang Exs Depan Kantor Pos Tais
ke Lokasi Jalan Dua Jalur (24/Sep)
#tender #lelang #LPSE #data https://t.co/SocE4M9xUf</t>
  </si>
  <si>
    <t>dickquake
@daydaydonat Karena dianggap ga
ada resiko penularan dari pasiennya.
Jadi ga dianggap perlu dapet booster
ke 3. Dianggap seperti pegawai
publik lain (Bank, kantor pos,
pajak, dll) yang resiko paparan
tidak tinggi. Yg pasti sudah dapat
2 dosis.</t>
  </si>
  <si>
    <t xml:space="preserve">daydaydonat
</t>
  </si>
  <si>
    <t>pajaklahat309
Halo, #KawanPajak! Pada hari Kamis
(23/9), KPP Pratama Lahat menerima
kunjungan dari Kepala Kantor Pos
Kabupaten Lahat, Bapak Eko Pradinata,
beserta jajarannya. Kunjungan dilaksanakan
dalam rangka silaturrahmi dan mempererat
kerja sama. #PajakKuatIndonesiaMaju
https://t.co/OfYec0bjev</t>
  </si>
  <si>
    <t>jajan2311
@citizenstores kalo ems kantor
pos indo ke kr sekitar 300an deh/kg
Hitungannya misal 500 gram kayanya
bakal tetetp dihitung 1 kg</t>
  </si>
  <si>
    <t>sherlock_ed97
Mau menjemput Juyeon mecucu di
kantor pos duluuu wkwkwk https://t.co/89Ncozpu3b</t>
  </si>
  <si>
    <t>bon_amicf
Kantor Pos tengah Kota emang paling
enak kalo buat nongkrong, apalagi
kalo malem! https://t.co/Pmdi1CRAMe</t>
  </si>
  <si>
    <t>httpjeyu
Jam 3 ke kantor pos</t>
  </si>
  <si>
    <t>polantastaput
Giat gatur pagi di Simpang Kantor
Pos Tarutung Kab.Tapanuli Utara
https://t.co/Bcoh0If1HF</t>
  </si>
  <si>
    <t>przesdir
@whitefwine Aku bertengkar di kantor
pos hari ini, aku mencoba mengirimkan
cintaku. Tapi mereka bilang gapunya
kotak sebesar itu</t>
  </si>
  <si>
    <t xml:space="preserve">whitefwine
</t>
  </si>
  <si>
    <t>faiznaputri
Hari ini pas pulang, mampirlah
ke kantor pos nanyain. Alhamdulillah
strnya masi di kantor pos dong
hahha. Memang khusus str diambil
di kantor pos krn barang penting
&amp;amp; pribadi, trus siapa penerima
kemaren? Tnyt beliau bu ade (orang
kantor pos yg khusus ngurusin str),
healaahㅋㅋㅋ</t>
  </si>
  <si>
    <t>ichihoony
@bcpasarbaru @bravobeacukai no.
Awb EG285167463KR. Bisa minta tolong
dipercepat untuk proses pembetulannya
gak,kak. Soalnya barangnya sudah
di kantor pos dari 4 hari yang
lalu, karena proses pembetulan
jadi belum bisa di ambil. Takutnya
kalau kelamaan barang rusak/hilang</t>
  </si>
  <si>
    <t xml:space="preserve">bcpasarbaru
</t>
  </si>
  <si>
    <t>bravobeacukai
@for__DY jika menggunakan jasa
EMS/ pos indonesia silakan konfirmasi
ke call center 1500161 kak, karena
mereka yg menentukan akan proses
clearence ke kantor beacukai yg
mana. ~dnp</t>
  </si>
  <si>
    <t>_pln_id
Yuk Bayar Listrik Tiap Awal Bulan
Repost @bright_plnbatam Brightizen
👋, Sekarang bayar tagihan listrik
bisa dimana saja lho. Bisa melalui
ATM, minimarket, Kantor Pos, online
shop dan M-banking. #brightplnbatam
#ListrikUntukSemua #ListrikUntukRakyat
#BUMNuntukIndonesia https://t.co/Eg5aTNTnQb</t>
  </si>
  <si>
    <t xml:space="preserve">bright_plnbatam
</t>
  </si>
  <si>
    <t>bennyhutabarat_
Yuk Bayar Listrik Tiap Awal Bulan
Repost @bright_plnbatam Brightizen
👋, Sekarang bayar tagihan listrik
bisa dimana saja lho. Bisa melalui
ATM, minimarket, Kantor Pos, online
shop dan M-banking. #brightplnbatam
#ListrikUntukSemua #ListrikUntukRakyat
#BUMNuntukIndonesia https://t.co/Eg5aTNTnQb</t>
  </si>
  <si>
    <t>sellysellycat
@Kim073008 @Pipelpotatotae @luvmyxjm
@tokopedia Ini ada kok dibilang
bisa lewat gerai? Pas aku cek bisa
lewat alfa atau kantor pos buat
bayar https://t.co/ePB3RbmvV3</t>
  </si>
  <si>
    <t xml:space="preserve">tokopedia
</t>
  </si>
  <si>
    <t xml:space="preserve">luvmyxjm
</t>
  </si>
  <si>
    <t xml:space="preserve">pipelpotatotae
</t>
  </si>
  <si>
    <t xml:space="preserve">kim073008
</t>
  </si>
  <si>
    <t>innieino
Di parkiran kantor pos sambil denger
domino mana ujan pula</t>
  </si>
  <si>
    <t>lilboyhongjoong
Adakah orang yang bisa dititipin
surat ke kantor pos buat ke LN?
Soalnya kantor pos di kotaku ga
waras 🥲 Tapi kantor posnya yang
'waras' 🙂</t>
  </si>
  <si>
    <t>bpkp_bengkulu
Kepala Perwakilan BPKP Provinsi
Bengkulu Iskandar Novianto didampingi
pejabat struktural, korwas dan
Dharma Wanita meresmikan pos keamanan
yang baru di kantor BPKP Bengkulu
(23/9). https://t.co/NJ68I7w1XK</t>
  </si>
  <si>
    <t>distanbunjateng
@ElhajjMunir @provjateng @ganjarpranowo
@TajYasinMZ Den, Monggo dirembug
dg admin Kartu Tani di kantor BPP
Kecamatan setempat atau hubungi
kontak pos layanan pupuk kabupaten
Pati di nomor berikut ini.. https://t.co/v25nqS2iZq</t>
  </si>
  <si>
    <t xml:space="preserve">tajyasinmz
</t>
  </si>
  <si>
    <t xml:space="preserve">ganjarpranowo
</t>
  </si>
  <si>
    <t xml:space="preserve">provjateng
</t>
  </si>
  <si>
    <t xml:space="preserve">elhajjmunir
</t>
  </si>
  <si>
    <t>hafizsp2
@tsuroiya biasanya untuk daerah
pelosok, kurir kantor pos yg lebih
ahli untuk mencari arah sumber
: ig pos indo https://t.co/x1djjLwzJ9</t>
  </si>
  <si>
    <t xml:space="preserve">tsuroiya
</t>
  </si>
  <si>
    <t>akukula3
@Mei2Namaku @DivHumas_Polri Kalo
ginian CC nya ke kantor pos</t>
  </si>
  <si>
    <t xml:space="preserve">divhumas_polri
</t>
  </si>
  <si>
    <t xml:space="preserve">mei2namaku
</t>
  </si>
  <si>
    <t>rizwiky
@akunbermanfaat Bisa titip lewat
kantor pos mas 🤝</t>
  </si>
  <si>
    <t xml:space="preserve">akunbermanfaat
</t>
  </si>
  <si>
    <t>insarinwetrust
@dagangkorea cek estimasi ongkir
https://t.co/t906mBBUh8 isi form
https://t.co/tztuECT8xz print pdf
nya pergi ke kantor pos bayar ongkir
dapet resi pulang</t>
  </si>
  <si>
    <t>a_wuri
Ikuti informasi resmi aktivitas
Gunung #Merapi melalui Pos Pengamatan
#Merapi terdekat, radio komunikasi
pada frekuensi 165.075 MHz, website
https://t.co/IuVwujh7yV, media
sosial BPPTKG, atau ke kantor BPPTKG,
Jalan Cendana No. 15 Yogyakarta,
telepon (0274) 514180-514192.</t>
  </si>
  <si>
    <t>bpptkg
Ikuti informasi resmi aktivitas
Gunung #Merapi melalui Pos Pengamatan
#Merapi terdekat, radio komunikasi
pada frekuensi 165.075 MHz, website
https://t.co/IuVwujh7yV, media
sosial BPPTKG, atau ke kantor BPPTKG,
Jalan Cendana No. 15 Yogyakarta,
telepon (0274) 514180-514192.</t>
  </si>
  <si>
    <t>yesbutwhyyy
@niuwvbs Aku jg mbatin gt bajunya
kyk baju mbahku ambil pensiunan
di kantor pos</t>
  </si>
  <si>
    <t xml:space="preserve">niuwvbs
</t>
  </si>
  <si>
    <t>felixsandian
Ikuti informasi resmi aktivitas
Gunung #Merapi melalui Pos Pengamatan
#Merapi terdekat, radio komunikasi
pada frekuensi 165.075 MHz, website
https://t.co/IuVwujh7yV, media
sosial BPPTKG, atau ke kantor BPPTKG,
Jalan Cendana No. 15 Yogyakarta,
telepon (0274) 514180-514192.</t>
  </si>
  <si>
    <t>maswah_
@fo108x @naaangggg @AREAJULID klo
ga harus d nazegelen d kantor pos
dulu</t>
  </si>
  <si>
    <t xml:space="preserve">naaangggg
</t>
  </si>
  <si>
    <t xml:space="preserve">fo108x
</t>
  </si>
  <si>
    <t xml:space="preserve">areajulid
</t>
  </si>
  <si>
    <t>greyzone9
@augtocab Bukan. Ini di Jalan Kantor
Pos, bukan di Bina Marga.</t>
  </si>
  <si>
    <t xml:space="preserve">soerja
</t>
  </si>
  <si>
    <t xml:space="preserve">augtocab
</t>
  </si>
  <si>
    <t>chancethegrain
@AlvChrist Cedak polsek karo kantor
pos, sate kambing sambele sambel
kacang</t>
  </si>
  <si>
    <t xml:space="preserve">alvchrist
</t>
  </si>
  <si>
    <t>nius77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</si>
  <si>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petarung_0404
@basalemax @Stevaniehuangg Gua
bayangi kalo tiba2 poto yg dibawa
itu diubah ama dia berupa kritikan
dan kalung yg dia pakai berisi
curhatan dan keluh kesah rakyat.....
Pasti gagal tayang ni film. 😹😹😹😹
dan si kawan berakhir di kantor
pos.</t>
  </si>
  <si>
    <t xml:space="preserve">stevaniehuangg
</t>
  </si>
  <si>
    <t xml:space="preserve">basalemax
</t>
  </si>
  <si>
    <t>ajussideul_exe
tersokhyong sokhyong dan akhirnya
coba cover intro depan kantor pos
https://t.co/BKgEN3Id4X</t>
  </si>
  <si>
    <t>ayramyoui
@MineRose_id Emang ga boleh buka
PO Box selama PPKM? untuk bukanya
kan bisa ajuin permohonan ke kantor
pos.</t>
  </si>
  <si>
    <t xml:space="preserve">minerose_id
</t>
  </si>
  <si>
    <t>mantulbarang
@godsdraken @ggggggilang Kantor
pos aja kk😂</t>
  </si>
  <si>
    <t xml:space="preserve">ggggggilang
</t>
  </si>
  <si>
    <t xml:space="preserve">godsdraken
</t>
  </si>
  <si>
    <t>yutas_yosa
@deAtjehers yg d gambar itu kantor
camat lama yang dipakai TNI untuk
jadi pos Abri Masuk Desa, Tepat
dsebelah kanan ada simpang 3 ada
Polsek Kuta Makmur</t>
  </si>
  <si>
    <t xml:space="preserve">deatjehers
</t>
  </si>
  <si>
    <t>broari6
LOKASI PELAYANAN #SIMKELILING Sabtu,
25 September 2021 Pukul 08.00 s/d
12.00 Wib : Jaktim : Mall Grand
Cakung. Jaksel : Kampus Trilogi
Kalibata &amp;amp; Jln M.Saidi Raya
Petukangan Jaksel. Jakbar : LTC
Glodok. Jakpus : Kantor Pos Lapangan
Banteng https://t.co/iEEhJfKVZw</t>
  </si>
  <si>
    <t>gandrick50
@cahyowibb Dulu di sebelah kantor
Pos ada Gedung Tua yang dipakai
untuk Asrama Polisi saya pernah
ikut Paman disana..Ada Bakso Pak
Min yg legendaris di Losmenan</t>
  </si>
  <si>
    <t xml:space="preserve">cahyowibb
</t>
  </si>
  <si>
    <t>mopoek
@PRFMnews Assalamu'alaikum, wilujeng
enjing... Min, punten laporan ah..
di perempatan Jl. Riau-Jl. Banda
(tepatnya sebrang Kantor Pos) aya
spanduk HUT Kota Bandung ngahalangan
lampu merah... Ngaganggu pisan...
Punten teu sempat ngambil foto,
sieun ditilang, aya Pa Pol 🤭🙏</t>
  </si>
  <si>
    <t xml:space="preserve">prfmnews
</t>
  </si>
  <si>
    <t>dagangkr
💸 ada yg buka jasa kirim paket
via rln ga? soalnya kantor pos
deket rumah ga bisa</t>
  </si>
  <si>
    <t>bubblegumroyals
@dagangkr Nder aku di bandung barat
kalo mau boleh nder deket kantor
pos juga</t>
  </si>
  <si>
    <t>chocosve
@bertanyarl sdg di kantor pos https://t.co/zlhdHKl8EJ</t>
  </si>
  <si>
    <t>eisiou
di dekat sini ada kantor pos kecil,
kedai dimsum, kedai es teh, tempat
menjemur terbuka yang memastikan
bajumu kering semua, toserba di
kanan kiri, seorang bapak yang
akan menyapamu di pagi hari. Dan
dua hari ini untuk merenungi, apa
yang harus dilakukan terlebih dulu.</t>
  </si>
  <si>
    <t>mahdia_89
@linkaja Lebih tepatnya ditolak
karyawannya sih, katanya sudah
tidak kerjasama. Berhubung tidak
ada Alfamart, jd tadi saya ke kantor
POS itu pun maksimal isi saldo
200K.</t>
  </si>
  <si>
    <t xml:space="preserve">linkaja
</t>
  </si>
  <si>
    <t>datatempo
Tahun 1983 pengiriman dari Yogyakarta
mencapai Rp Rp 1,8 milyar sedang
wesel yang dibayar Rp 16,8 milyar.
Menurut Kantor Pos Besar angka
itu melebihi pengiriman dari Jakarta.
#threaddatatempo</t>
  </si>
  <si>
    <t>roobiatul
Deket kantor pos ini mah awk awk
ayo nge 🤡 @jaedoenthu @doiecemong
https://t.co/RAPfmY4cIV</t>
  </si>
  <si>
    <t xml:space="preserve">jaedoenthu
</t>
  </si>
  <si>
    <t>doiecemong
@roobiatul @jaedoenthu Deket kantor
pos kayanya yaaa</t>
  </si>
  <si>
    <t>cottoncollects
nah karena ini, aku saranin kalian
dm sellernya, minta tlg dia untuk
hubungi pihak kurir agar bisa direturn
ke sellernya dulu aja sampe selesai
isolasi. daripada nunggu satu bulan
tanpa kepastian kan😔 apalagi kalau
ujung2nya ditahan di kantor pos
terlalu lama takutnya ilang</t>
  </si>
  <si>
    <t>jawapos
Launching Kantor Baru Jawa Pos
Radar Lamongan https://t.co/zZq6iGbkDf</t>
  </si>
  <si>
    <t>pmuaragembong
PERSONEL POLSEK MUARAGEMBONG Melaksanakan
Patroli kewilayahan yaitu pemantauan
Kantor Pos koordinasi dengan petugas,
serta memberikan himbauan kepada
petugas kantor pos untuk selalu
menjalani protokol kesehatan -Memakai
Masker, -Mencuci Tangan, dan -Menjaga
Jarak https://t.co/HKpR7tfdmh</t>
  </si>
  <si>
    <t>binanguncilacap
Kegiatan Patroli Sambung BLP sore
Polsek Binangun di Kantor Pos Binangun.
https://t.co/6RcVfwHeIL</t>
  </si>
  <si>
    <t>jenoogotjam
Seneng bgt hari ini gue me time
bgt ketemu temen, ke cafe Kpop,
ngambil paket ke kantor pos beneran
seneng bgtt🥰 capek sih tp hari
ini bebas bgt</t>
  </si>
  <si>
    <t>kedirifess
Angkringan kidule kantor pos pare
bukak e jam piro cah</t>
  </si>
  <si>
    <t>parefess
Angkringan kidule kantor pos pare
bukak e jam piro cah peh</t>
  </si>
  <si>
    <t>karantinamks
Kegiatan yang dibuka oleh Lutfie
Natsir, Kepala Karantina Pertanian
Makassar, juga turut menghadirkan
saksi-saksi dari Bea Cukai Makassar,
Kantor Pos Baddoka, serta Polsek
Tamalanrea dan Biringkanaya. https://t.co/ZHskuZ10TU</t>
  </si>
  <si>
    <t>barantan_ri
Jumat (24/09) @karantinamks lakukan
pemusnahan media pembawa tak bersertifikat
dari negara asal. Kegiatan yang
dibuka oleh Lutfie Natsir, Kepala
@karantinamks, juga turut hadirkan
saksi-saksi dari Bea Cukai Makassar,
Kantor Pos Baddoka, serta Polsek
Tamalanrea dan Biringkanaya. https://t.co/YOuABFq6lV</t>
  </si>
  <si>
    <t>cepetwaras
hari ini aku udah ke kantor pos,
udah grocery, udah beresin kamar,
udah main sama meng, sekarang mau
peeling</t>
  </si>
  <si>
    <t>_bananaorange
Pergi ke kantor pos Di depannya
ada tukang bunga Cakeep</t>
  </si>
  <si>
    <t>kochengcoklat
@gyupiter406_ @AREAJULID Sama banget.
Gue pernah tuh di jambret, trus
langsung lapor ke pos polisi terdekat.
Eh malah diketawain sama polisi2
disitu. Trus karna yg ilang hp
kantor terpaksa bikin surat kehilangan,
dan malah disuruh bayar 50k. Korban
jambret lagi ngelapor malah dipalakin.
Kan setan ya.</t>
  </si>
  <si>
    <t xml:space="preserve">gyupiter406_
</t>
  </si>
  <si>
    <t>p3psodent
@bukanfahiraa Kantor Pusat PT POS
Indonesia, Jalan Cilaki no 73 Bandung,
Jawa Barat https://t.co/JLXrsRGubQ</t>
  </si>
  <si>
    <t xml:space="preserve">bukanfahiraa
</t>
  </si>
  <si>
    <t>smgmenfess2
Ndes kantor pos erlangga tuh buka
sampe malem kan ya? Atau sekarang
tutup jam segini? Terima kasih
yg udah jawab✨</t>
  </si>
  <si>
    <t>dianaafff
@SmgMenfess2 Buat aja di kacamata
Hartono samping kantor pos pasar
Johar, aku buat itu hbs 300an kyknya</t>
  </si>
  <si>
    <t>rvnff
@jogmfs Laporan tiap bulan dikirimi
surat lewat internet, ga pake kantor
pos.</t>
  </si>
  <si>
    <t>polsekadipala2
Patroli kantor Pos Adipala situasi
aman #poldajateng #polrescilacap
#polsekadipala https://t.co/D3eY3uCxZV</t>
  </si>
  <si>
    <t>wa_one1904
@2020_STMJ @msaid_didu Semangat
buat fitnah nya, sepeda menanti
kalian. Silahkan ambil di kantor
pos terdekat https://t.co/YRNAFT2XmF</t>
  </si>
  <si>
    <t xml:space="preserve">msaid_didu
</t>
  </si>
  <si>
    <t xml:space="preserve">2020_stmj
</t>
  </si>
  <si>
    <t>perindubangtan
@convomfs Mie ayam depan kantor
pos, pecel lele</t>
  </si>
  <si>
    <t xml:space="preserve">convomfs
</t>
  </si>
  <si>
    <t>polrestatanger1
Personil Satlantas Polresta Tangerang
melaksanakan sosialisasi Ops Patuh
Maung 2021, Minggu (26/9/2021).
Sosialisasi dan himbauan serta
edukasi prokes kepada masyarakat
di depan Kantor Pos Tigaraksa.
Mengajak masyarakat agar selalu
patuh dan tertib berlalu lintas
https://t.co/J3YzXT6vPC</t>
  </si>
  <si>
    <t>ajijavajava
@A100888 kantor pos</t>
  </si>
  <si>
    <t xml:space="preserve">a100888
</t>
  </si>
  <si>
    <t>kbigwinsoon
@A100888 kantor pos</t>
  </si>
  <si>
    <t>zumeww
@KantorposTSM hari minggu kantor
pos tasik buka ga min?</t>
  </si>
  <si>
    <t xml:space="preserve">kantorpostsm
</t>
  </si>
  <si>
    <t>polsekkdrkota2
Antisipasi balap liar simp 3 kantor
pos https://t.co/HzeSjku2MM</t>
  </si>
  <si>
    <t>kumparan
Satbrimobda Riau akan ditempatkan
di Pos pengamanan PON SP 2, Kantor
Polres Pelayanan Mimika dan di
Terminal Lama Bandara UPBU Mozes
Kilangin Timika. #publisherstory
https://t.co/pabqJSfEFO</t>
  </si>
  <si>
    <t>913verse
Kesekian kalinya kejebak ujan di
kantor pos.....</t>
  </si>
  <si>
    <t>jegermeyeer
aa barista sbux kantor pos riau
apron hitam, semangat yaa kerjanya💐
https://t.co/2kiZJDBEIP</t>
  </si>
  <si>
    <t>adiadaadi
@notendrases Sadly iyes, cm dianter
1x tanpa notif dll kalau ga diterima/ditebus
lgsg masuk kantor pos SPP sesuai
domisili (bukan kantor pos yg kicik).
Kalau 3 bulan harusnya udah nyampe,
cm nanti pak petugas ngelacak storagenya
super manual via memori manusia
jd sabar sj 👌</t>
  </si>
  <si>
    <t xml:space="preserve">notendrases
</t>
  </si>
  <si>
    <t>minbunaa
@convomf Kantor pos</t>
  </si>
  <si>
    <t xml:space="preserve">convomf
</t>
  </si>
  <si>
    <t>skyprisoner1
@jalusatria_ taro di kantor pos
aja bege lu ambil dewek</t>
  </si>
  <si>
    <t xml:space="preserve">jalusatria_
</t>
  </si>
  <si>
    <t>stationxca
@eaJJ92 Ibun siap jadi kantor pos
https://t.co/mpRKakCSFh</t>
  </si>
  <si>
    <t xml:space="preserve">eajj92
</t>
  </si>
  <si>
    <t>ermaamalia
Tadinya nunggu di jemput kan eh
udah reda hujannya jadi ga jadi.
Bentar lagi otw pulang. Dan bsk
libur trus mau ke kantor pos trus
leha lehaa wkwk</t>
  </si>
  <si>
    <t>daisycantikkk
@fiaqrta @undipmenfess Di gang
seberang kantor pos ada laundry
sebelah kanan jalan kayaknya 5k/kg
deh. Di gang seberang indomaret
timoho juga banyaakkk laundry under
5k/kg kokk</t>
  </si>
  <si>
    <t xml:space="preserve">fiaqrta
</t>
  </si>
  <si>
    <t>putrisoesilo
Tempat hype terbaru di Jakarta
Pusat! Mbloc cabang Ex Kantor Pos
Pasar Baru! Whoop whoop. Anak Jaksel
transmigrasi ke sini https://t.co/5rw3fhSxei</t>
  </si>
  <si>
    <t>patipatigulipat
@nindysm wua. kalo ky gitu berarti
mesti kroscek ke kantor pos nin?
:O</t>
  </si>
  <si>
    <t>nindysm
@Patipatigulipat Email CS dulu
aja, biasanya mereka masih bisa
tau bukunya udah sampe lokasi negara
tujuan atau belum. Terus mungkin
baru kroscek ke kantor pos ya (ini
aku juga belum pernah coba sih)</t>
  </si>
  <si>
    <t>almqst
@undipmenfess Rekomendasi bengkel
di jln mulawarman sebelum kuburan
dkt canofee, trus depan kantor
pos banjarsari, sm depan paltrow
setelah terowongan klo dr ngesrep</t>
  </si>
  <si>
    <t>darthvader7007
@jazzy867 @GarengHallu @SarahDrAcad
Kandani kui nomer telp sak kode
pos, ambe ekstension ndek kntre
. Dadi lek ditelp, hp, kantor pos,
sak ruang praktek muni kabeh</t>
  </si>
  <si>
    <t xml:space="preserve">sarahdracad
</t>
  </si>
  <si>
    <t xml:space="preserve">garenghallu
</t>
  </si>
  <si>
    <t xml:space="preserve">jazzy867
</t>
  </si>
  <si>
    <t>mooncerries
besok ingetin aku pengen beli donat
di samping kantor pos</t>
  </si>
  <si>
    <t>dinbaww
@diemwoi belakang kantor pos</t>
  </si>
  <si>
    <t xml:space="preserve">diemwoi
</t>
  </si>
  <si>
    <t>hazzelnutcoklat
@sbyfess Angel wes ngene iki..
. . Kate dm nang kantor pos a</t>
  </si>
  <si>
    <t>robertoromario6
Era masih berkirim surat lewat
kantor pos https://t.co/J0aWdkzPD1</t>
  </si>
  <si>
    <t>daqwatulhaq
Dipilih... Dipilih... Dipilih...
😂😂 Jadi ingat tukang obat depan
kantor Pos Medan dulu. 🤣🤣 https://t.co/LC58rfj0tX</t>
  </si>
  <si>
    <t>nexrtar
hadeuh tp males ke kantor pos</t>
  </si>
  <si>
    <t>dinie_ys
LOKASI PELAYANAN #SIMKELILING Senin,
27 September 2021 Pukul 08.00 s/d
14.00 Wib : Jaktim : Mall Grand
Cakung. Jaksel : Kampus Trilogi
Kalibata &amp;amp; Jln M.Saidi Raya
Petukangan Jaksel. Jakbar : LTC
Glodok. Jakpus : Kantor Pos Lapangan
Banteng https://t.co/nyrstHdEh9</t>
  </si>
  <si>
    <t>daramudaaa
Gue kan ngirim ke kantor, ni semua
kurir w bilangin klo ada paketan
taroh di pos satpam aja. Dia nylonong
ke kantor "Pakettt, atas nama Pak
Nauf" Bgsd. 🤗 https://t.co/TjuYAPOGSj
https://t.co/dLUra1KHqr</t>
  </si>
  <si>
    <t>komprosdimedjo
Tiap akhir September yg keinget
ya cerita dr ortu soal kejamnya
rezim. Simbah yg cm sempat dititipin
perkakas dapur PKI, juga kl ada
event tari jd penonton aja kena
label ET di KTP. Sampai bulek ngelamar
jd pegawai kantor pos tidak bisa.</t>
  </si>
  <si>
    <t>bensradio1062fm
LOKASI PELAYANAN #SIMKELILING Senin,
27 September 2021 Pukul 08.00 s/d
14.00 Wib : Jaktim : Mall Grand
Cakung. Jaksel : Kampus Trilogi
Kalibata &amp;amp; Jln M.Saidi Raya
Petukangan Jaksel. Jakbar : LTC
Glodok. Jakpus : Kantor Pos Lapangan
Banteng https://t.co/nyrstHdEh9</t>
  </si>
  <si>
    <t>syahmoedra_ren
2. Akhirnya saya anter ibu2 ke
Kantor Pos, walau nafas ngos2an
kaki rasanya keju kemeng. Dilain
hari temenku cewek mau ngajak dolan,
kebetulan ketemu dijalan aku bawa
becak, kuajak puter2, gak taunya
dikuntit ama juragan becak, ditanya
Sukri(koncoku) kemana.?! Sedang
istirahat.</t>
  </si>
  <si>
    <t>infomjkt
Memperingati Hari Bakti Postel
Indonesia ke 76. Kantor Pos Mojokerto
mengadakan pemeriksaan mata gratis
&amp;amp; kegiatan donor darah, bekerjasama
dengan Palang Merah Indonesia.
Senin 27 September 2021. Info lengkap
cek poster #infomjkt #eventmjkt
#infomojokerto #eventmojokerto
https://t.co/NyGgLByLkE</t>
  </si>
  <si>
    <t>masdoddd
Memperingati Hari Bakti Postel
Indonesia ke 76. Kantor Pos Mojokerto
mengadakan pemeriksaan mata gratis
&amp;amp; kegiatan donor darah, bekerjasama
dengan Palang Merah Indonesia.
Senin 27 September 2021. Info lengkap
cek poster #infomjkt #eventmjkt
#infomojokerto #eventmojokerto
https://t.co/NyGgLByLkE</t>
  </si>
  <si>
    <t>theo73plori
Hari ini 27 September 76 th lalu,
para pemuda, Sutoko, Nawawi, Hasan,
Suwondo, Mas Suharto dkk, bersama
rakyat merebut kantor Jawatan Pos
Telepon dan Telegrap di Bandung.
Saat itu kantor tsb dikuasai Jepang.
Mk hari itu diperingati sbg Hari
Bakti Postel. https://t.co/v5VDfU6h37</t>
  </si>
  <si>
    <t>henrysubiakto
Hari ini 27 September 76 th lalu,
para pemuda, Sutoko, Nawawi, Hasan,
Suwondo, Mas Suharto dkk, bersama
rakyat merebut kantor Jawatan Pos
Telepon dan Telegrap di Bandung.
Saat itu kantor tsb dikuasai Jepang.
Mk hari itu diperingati sbg Hari
Bakti Postel. https://t.co/v5VDfU6h37</t>
  </si>
  <si>
    <t>everwqnny
Setelah beberapa bulan nganggur,
aku masukin lamaran di kantor pos,
dan dari awal ga berekspektasi
lolos, terbukti, masukin lamran
sept 2014, di panggil interview
nya malah jan 2015 😂 keburu lupa
pernah masukin lamaran disana</t>
  </si>
  <si>
    <t>bawaslutator
#SahabatBawaslu sejarah Hari Bhakti
Postel 27 September adalah dilatarbelakangi
peristiwa perebutan kantor Jawatan
Pos, Telegraf, dan Telepon, pada
era pemerintah Jepang. Peristiwa
itu terjadi sesaat setelah deklarasi
kemerdekaan Indonesia. #BawasluTanaToraja
#CegahAwasiTindak https://t.co/2XHTI8lZUK</t>
  </si>
  <si>
    <t>polresjembrana
Guna Mencegah Penyebaran Covid-19
Personil Sat Polairud Polres Jembrana
Pos Gilimanuk Laksanakan Bersih-Bersih Kantor.
https://t.co/Sz7UlkLIpJ</t>
  </si>
  <si>
    <t>setiant_d
Hari ini 27 September 76 th lalu,
para pemuda, Sutoko, Nawawi, Hasan,
Suwondo, Mas Suharto dkk, bersama
rakyat merebut kantor Jawatan Pos
Telepon dan Telegrap di Bandung.
Saat itu kantor tsb dikuasai Jepang.
Mk hari itu diperingati sbg Hari
Bakti Postel. https://t.co/v5VDfU6h37</t>
  </si>
  <si>
    <t>trisnadody
Hari ini 27 September 76 th lalu,
para pemuda, Sutoko, Nawawi, Hasan,
Suwondo, Mas Suharto dkk, bersama
rakyat merebut kantor Jawatan Pos
Telepon dan Telegrap di Bandung.
Saat itu kantor tsb dikuasai Jepang.
Mk hari itu diperingati sbg Hari
Bakti Postel. https://t.co/v5VDfU6h37</t>
  </si>
  <si>
    <t>mkomeliya
Hari ini 27 September 76 th lalu,
para pemuda, Sutoko, Nawawi, Hasan,
Suwondo, Mas Suharto dkk, bersama
rakyat merebut kantor Jawatan Pos
Telepon dan Telegrap di Bandung.
Saat itu kantor tsb dikuasai Jepang.
Mk hari itu diperingati sbg Hari
Bakti Postel. https://t.co/v5VDfU6h37</t>
  </si>
  <si>
    <t>rumahkipkunsil
Hari Bhakti Postel 27 September
jadi momentum peringatan pengambilalihan
Kantor Pusat Jawatan Pos, Telegraf,
dan Telepon (PTT) di Bandung oleh
pemuda Indonesia dari kekuasaan
kekuasaan Jepang. Perebutan kendali
Jawatan PTT itu dipelopori oleh
Angkatan Muda Pos, Telegrap, dan</t>
  </si>
  <si>
    <t>himafifmipaunri
Hari Bhakti Postel 27 September
jadi momentum peringatan pengambilalihan
Kantor Pusat Jawatan Pos, Telegraf,
dan Telepon (PTT) di Bandung oleh
pemuda Indonesia dari kekuasaan
kekuasaan Jepang. Perebutan kendali
Jawatan PTT itu dipelopori oleh
Angkatan Muda Pos, Telegrap, dan</t>
  </si>
  <si>
    <t>nandaceka
@winonafritziee Depan kantor pos
mayang buka 24 jam</t>
  </si>
  <si>
    <t xml:space="preserve">winonafritziee
</t>
  </si>
  <si>
    <t>lowongankerjalu
Lowongan Kerja SMA Sederajat Kantor
Pos Indonesia  Oranger Loket Kualifikasi
: Diutamakan Berpenampilan menarik,
Sopan &amp;amp; Rapi Belum menikah,
Usia minimal 18-35 tahun Pendidikan
minimal SLTA atau sederajat Menguasai
komputer (Micro…https://t.co/pbIeDo2E2t
https://t.co/9H19CZ8Z6a</t>
  </si>
  <si>
    <t>sonimsi07
Hari ini 27 September 76 th lalu,
para pemuda, Sutoko, Nawawi, Hasan,
Suwondo, Mas Suharto dkk, bersama
rakyat merebut kantor Jawatan Pos
Telepon dan Telegrap di Bandung.
Saat itu kantor tsb dikuasai Jepang.
Mk hari itu diperingati sbg Hari
Bakti Postel. https://t.co/v5VDfU6h37</t>
  </si>
  <si>
    <t>samsat_pbg
Hari ini pelayanan smsat keliling
di: Kantor kec.rembang Alun2 purbalingga
(pos kemitraan) Kantor kec. kejobong.
🙏🙏</t>
  </si>
  <si>
    <t>mo0nstarrr
@memefess Kantor pos https://t.co/swoMj9qpHR</t>
  </si>
  <si>
    <t xml:space="preserve">memefess
</t>
  </si>
  <si>
    <t>imigrasibaubau
Kepala Kantor bersama seluruh Jajaran
Kantor Imigrasi Baubau mengucapkan
selamat Hari Bhakti Pos &amp;amp; Telekomunikasi
Ke-76 https://t.co/1eaiEy5t2D</t>
  </si>
  <si>
    <t>grahatoyota
Dengan adanya teknologi yang semakin
canggih, mungkin hanya sedikit
dari keluarga yang masih meluangkan
waktu untuk pergi ke Kantor Pos.
Namun demikian, jangan sampai melupakan
alat telekomunikasi yang sempat
menjadi primadona yaaa✨</t>
  </si>
  <si>
    <t>bawaslu_tanbe
#SahabatBawaslu, Selamat Hari Pos
Telekomunikasi Telegraf (PTT) 27
September 2021. Sebuah hari yang
memperingati perjuangan para pahlawan
yg dengan gagah berani merebut
dan menduduki secara paksa kantor
jawatan Pos, Telepon dan Telegraf
dari pemerintahan Jepang. . . #HariPTT2021
https://t.co/DE2dKyenoA</t>
  </si>
  <si>
    <t>rino52650304
@yagora628 関税じゃなくて、所得税？kantor posで？？
私も今発送待ちのモノがあるから戦々恐々だわ…</t>
  </si>
  <si>
    <t xml:space="preserve">yagora628
</t>
  </si>
  <si>
    <t>busbypkp
@kring_pajak udah sebulan lebih
daftar npwp dan dapat no nowp diemail...tapi
kartu aslinya blm keterima...apakah
harus di ambil ke kantor atau nunggu
di kirim pos</t>
  </si>
  <si>
    <t>kpuberau
Hai #TemanPemilih, KPU Kabupaten
Berau mengucapkan Selamat Hari
Pos Telekomunikasi Telegraf (PTT).
Mari kita peringati perjuangan
para pahlawan yang gagah berani
merebut kantor jawatan Pos, Telepon
dan Telegraf (PTT) dari pemerintahan
Jepang. https://t.co/uHcF0uW0Hp</t>
  </si>
  <si>
    <t>gatauuserius
@undipmenfess Depan kantor pos
yg gang iwenisari itu,ada eyang
eyang sol sepatu kasiann :(</t>
  </si>
  <si>
    <t>pln_123
@adiputradana Selamat siang Kak
Aditya. Sebagai informasi, pembayaran
resmi PLN menggunakan nomor register
dan dilakukan melalui loket mitra
PLN (contoh: Kantor Pos) atau ATM
Bank yang telah bekerjasama dengan
PLN (tidak dengan petugas di lokasi).
Thanks. -Tari</t>
  </si>
  <si>
    <t xml:space="preserve">anissaherdian
</t>
  </si>
  <si>
    <t xml:space="preserve">husaiiin
</t>
  </si>
  <si>
    <t xml:space="preserve">adiputradana
</t>
  </si>
  <si>
    <t>achmad_zaenizen
Selanjutnya langsung ke kantor
SATPAS. Sebelum masuk, diminta
meninggalkan ktp di pos dan diberi
id tamu/pemohon oleh petugas. Masuk
kantor kemudian mengisi formulir
permohonan perpanjangan dan membayar
Rp. 155.000 untuk SIM A&amp;amp;C</t>
  </si>
  <si>
    <t>polsekkuala2
Kegiatan Kapolsek Kuala Akp Bevan
Raga Utama, Sik yang diwakili oleh
Ba. Pos Pol Kec. Sirapit menghadiri
acara pisah sambut Camat Sirapit
kepada PLT Camat Sirapit di Aula
Kantor Camat Sirapit, selama kegiatan
situasi aman dan lancar. https://t.co/ryf9Zvrawi</t>
  </si>
  <si>
    <t>heynona94
ini mas mas kantor pos wangi bgt,
dia mandi minyak wangi apa minum
minyak wangi sih yak. buseeet dah
semerbak bgt udh kya kuburan baru
🥲</t>
  </si>
  <si>
    <t>meiirandimeii
Trs tbtb ngirim ss chat sama temennya
yg ada di kantor pos, bilang nek
bisa nuker uang di kantor pos.
Trs sebelum aku bilang "kan dibilangin
ga percaya, aku itu makan nasi
1 bulan lebih lama dr kamu" dia
udah blg "udah aku titip temenku
besok, gabole bilang kan, maaf
ya" wkwk</t>
  </si>
  <si>
    <t>humaspemkotbkl
Wakil Walikota Bengkulu Dedy Wahyudi
menghadiri Peringatan Hari Bhakti
Pos dan Telekomunikasi (Postel)
Nasional ke-76, Senin (27/09/2021),
di halaman Kantor Balai Monitor
Spektrum Frekuensi Radio Kelas
II Bengkulu. https://t.co/sVLhfRVj1h</t>
  </si>
  <si>
    <t>godfortunaa
@tanyakanrl bisa pake EMS nder.
itu macem kantor pos tapi bisa
internasional. gue ga pernah sih
tapi pernah tau aja coba gugling
aja</t>
  </si>
  <si>
    <t xml:space="preserve">tanyakanrl
</t>
  </si>
  <si>
    <t>harrynuriman
(14) Karena orang lebih suka menggunakan
instant messenger di HP masing2,
apakah Pak Pos dan infrastruktur
layanan pos dengan ribuan kantor
@PosIndonesia juga harus ikut 'tewas'?
#27Sept .</t>
  </si>
  <si>
    <t>himapentikaunri
Hari ini tepat pada tanggal 27
September merupakan sebuah hari
yang memperingati perjuangan para
pahlawan yang dengan gagah berani
merebut dan menduduki secara paksa
kantor jawatan Pos, Telepon  dan
Telegraf (PTT) dari pemerintahan
Jepang. Yakni, Hari Pos Telekomunikasi
Telegraf</t>
  </si>
  <si>
    <t>prakasitams
@qonitawn Padahal masih bisa untung
300k an ++ misal dikirim pake kantor
pos 🤣 wkwk kalau ada yg ribet
kenapa harus mudah.---.</t>
  </si>
  <si>
    <t xml:space="preserve">qonitawn
</t>
  </si>
  <si>
    <t>humas_jogja
GKR Hemas pada kesempatan tersebut
mengutarakan bahwa kegiatan transaksi
jual beli UKM DIY dapat terus meningkat.
Apalagi transpor (ongkos kirim)
juga sudah dibantu oleh Pemda sehingga
bisa gratis atau bisa juga difasilitasi
kantor pos. #GKRHemas #UMKMNaikKelas
#Sibakul</t>
  </si>
  <si>
    <t>muwiosigu
maaf slowresp ges aku lg ke kantor
pos dulu ambil box wh 🥲</t>
  </si>
  <si>
    <t>windykurniawa16
Masih sama dgn agenda seperti biasa
ketika obat ayah habis ... - cusss
Rntu pnjg - beli obat - kantor
pos - and yg terakhir makan mie
ayam ceker 😂😂</t>
  </si>
  <si>
    <t>stwnhendra_
@FiersaBesari Kukira kau rumah
ternyata kantor pos. Nyaman sih
tapi cuma sekedar menitip pesan,
bukan berbagi masa depan.</t>
  </si>
  <si>
    <t xml:space="preserve">fiersabesari
</t>
  </si>
  <si>
    <t>dinomilosauruss
@FiersaBesari Kukira kau rumah
ternyata kantor pos. Nyaman sih
tapi cuma sekedar menitip pesan,
bukan berbagi masa depan.</t>
  </si>
  <si>
    <t>moonkevicn
@dubideobidump Pake kantor pos</t>
  </si>
  <si>
    <t xml:space="preserve">dubideobidump
</t>
  </si>
  <si>
    <t>bonie_cool
Gini amat pelayanan kantor pos</t>
  </si>
  <si>
    <t>anakbulela
@karawangfess ada di dpn kantor
pos alun2, kalo pagi2 ada di depan
barberbox sadamalun. sekalian nitip
beliin buat gua</t>
  </si>
  <si>
    <t xml:space="preserve">karawangfess
</t>
  </si>
  <si>
    <t>dhe_nasihin
@friskas__ Abi di depan kantor
pos uy..</t>
  </si>
  <si>
    <t xml:space="preserve">friskas__
</t>
  </si>
  <si>
    <t>hafizatria
Ya Tuhan, halangilah generasi hamba,
jika sudah saatnya nanti, dari
menjadi PNS Senior yg kerjanya
cuma kantor pos, terima arahan
atasan-perintah bawahan. Amin.</t>
  </si>
  <si>
    <t>deepperx
Sepenggal pesan tanpa penerima.
Jika ada yang berkenan, hubungi
saya lewat kantor pos yang pengirimannya
dikirim langsung oleh dua burung
merpati hitam https://t.co/nplQn109j1</t>
  </si>
  <si>
    <t>himakompolban
[HARI BAKTI POSTEL] Selamat Hari
Bakti Postel! Hari Bakti Postel
adalah hari untuk memperingati
pengambilalihan Kantor Pusat Jawatan
Pos, Telegraf, dan Telepon (PTT)
oleh Angkatan Muda Pos, Telegraf,
dan Telepon (AMPTT) dari kekuasaan
Jepang pada 27 September 1945.
https://t.co/yHa4ZPOSC1</t>
  </si>
  <si>
    <t>denpasarkota
Selamat Hari Bakti PT Pos Indonesia
Hari Bhakti Postel pada 27 September
jadi momentum peringatan sejarah
pengambilalihan Kantor Pusat Jawatan
Pos, Telegraf, dan Telepon (PTT)
di Bandung oleh pemuda Indonesia
dari kekuasaan penjajah Jepang.
Perebutan kendali Jawatan PTT itu</t>
  </si>
  <si>
    <t>jejengjet_
@ntakisback Pakai surat saja, kn
kantor pos juga masih ada kl instagram
buatan orang US. &amp;amp;Km tinggal
di Indo bukan di US,,,,paham???</t>
  </si>
  <si>
    <t xml:space="preserve">ntakisback
</t>
  </si>
  <si>
    <t>fattireyz
Tumben JNE kosong.. Jd bisa foto
dulu 😅. Beres JNE lanjut kantor
pos sama J&amp;amp;T.. https://t.co/ChNOHqQ1ZS</t>
  </si>
  <si>
    <t>zomet13
Tumben JNE kosong.. Jd bisa foto
dulu 😅. Beres JNE lanjut kantor
pos sama J&amp;amp;T.. https://t.co/ChNOHqQ1ZS</t>
  </si>
  <si>
    <t>squishyteddy12
@sbyfess Bayar pajak kendaraan
di kantor pos bisa kok. Kemaren
aku waktu beli materai ditawarin
ama petugasnya. Di indo/alfa juga
bisa tapi harus ngeprint sendiri.</t>
  </si>
  <si>
    <t>chittaprrrna
@iBiteDonghan Di jomas :)))) aku
kira teh di yg deket kantor pos
taunya yg deket bip😭😭😭</t>
  </si>
  <si>
    <t xml:space="preserve">ibitedonghan
</t>
  </si>
  <si>
    <t>rifqi_frido
Kantor Pos ngecit. https://t.co/dIbMn1zoCQ</t>
  </si>
  <si>
    <t>ide2nesia
Tumben JNE kosong.. Jd bisa foto
dulu 😅. Beres JNE lanjut kantor
pos sama J&amp;amp;T.. https://t.co/ChNOHqQ1ZS</t>
  </si>
  <si>
    <t>ayobogor
Sjak 1920an kantor pos dan telegraph
mnempati bangunan bekas Gereja
Simultan/ekumene yg sdh tdk terpakai
lagi di Groote Pos Weg #CeritaBogor</t>
  </si>
  <si>
    <t>bawasluppu
Setiap tanggal 27 September diperingati
sebagai Hari Pos Telekomunikasi
Telegraf. "Sebuah hari yang memperingati
perjuangan para pahlawan yang dengan
gagah berani merwbut dan menduduki
secara paksa kantor jawatan Pos,
Telepon dan Telwgraf (PTT) dari
pemerintahan Jepang". https://t.co/yWvwUSw2NK</t>
  </si>
  <si>
    <t>ipm_smpalqolam
Selamat hari Pos Telekomunikasi
Telegraf (PTT) ~Sebuah hari yang
memperingati perjuangan para pahlawan
yang dengan gagah berani merebut
dan menduduki secara paksa kantor
jawatan Pos, Telepon dan Telegraf
(PTT) dari pemerintahan Jepang.
@ipm_smpalqolam @ipmjateng @IPMSragen
https://t.co/mPwQvseGc5</t>
  </si>
  <si>
    <t xml:space="preserve">ipmsragen
</t>
  </si>
  <si>
    <t xml:space="preserve">ipmjateng
</t>
  </si>
  <si>
    <t>gojekmilitan
Tumben JNE kosong.. Jd bisa foto
dulu 😅. Beres JNE lanjut kantor
pos sama J&amp;amp;T.. https://t.co/ChNOHqQ1ZS</t>
  </si>
  <si>
    <t>notyours_k
ketika kerjaan numpuk :)) senin
masang wallpaper , Selasa jemput
bocil + nganter surat ke rs , rabu
ke gedung olahraga + nunggu kurir
nganter mesin cuci , kamis tea
time + ke kantor pos + bank 😂😂😂
trs gua packingnya kpn bangke</t>
  </si>
  <si>
    <t>tiniebubss
@candyyupiii Gak tau, biasanya
beli di foto copyan tapi lebih
mahal, kalo mau sesuai nominal
beli di kantor pos aja</t>
  </si>
  <si>
    <t>candyyupiii
Kantor pos jam segini udh buka
blm si?</t>
  </si>
  <si>
    <t>negarakecil
Tumben JNE kosong.. Jd bisa foto
dulu 😅. Beres JNE lanjut kantor
pos sama J&amp;amp;T.. https://t.co/ChNOHqQ1ZS</t>
  </si>
  <si>
    <t>dwinoerk
@erickthohir Jadi inget dulu tiap
mau Lebaran, ke kantor pos kirim
kartu pos ke saudara dan teman2
🥲</t>
  </si>
  <si>
    <t xml:space="preserve">erickthohir
</t>
  </si>
  <si>
    <t>acengnurhid
@mnahiarn Masa lewat kantor pos</t>
  </si>
  <si>
    <t xml:space="preserve">mnahiarn
</t>
  </si>
  <si>
    <t>rmdharmasetia
Beberapa kali setiap berkunjung
ke kantor POS Tohpati, Denpasar,
saya melihat pemandangan ini, berkali-kali
sudah saya ingatnkan untuk memakai
masker masa ppkm, tapi gak perduli,
terpaksa saya colek @PosIndo agar
diingatkan pegawainya. Kami taat...
anda juga taat. https://t.co/3Rhl2SjRuN</t>
  </si>
  <si>
    <t>wicaksono_pe
@MinangGermanic How is catholic
church, a mere part of the whole
system, a successor of Rome? Like
if Indonesia dissolve and the only
thing that survive is Kantor Pos
that doesn't mean it is its succesor.
Its just a vestigial part of it
that somehow survive the cataclysm.</t>
  </si>
  <si>
    <t>minanggermanic
Kantor Pos is the Second Indonesia
confirmed(they're staffed by pureblood
Javanese) https://t.co/efkMfOBuzn</t>
  </si>
  <si>
    <t>kwangjoobi
@HiiYulHee Biasanya kalo mau cepet
sampe bayar ke kantor pos nya langsung
bawa resi dan kode buat bayar pajak
nya itu, trs nanti tanya brg nya
udh di kantor pos wilayahmu atau
blm kalo blm nanti bisa diantar
lgsg kerumah mu.. udah deh</t>
  </si>
  <si>
    <t xml:space="preserve">hiiyulhee
</t>
  </si>
  <si>
    <t>ardanisbergas
@namakubayangan Yaelah rusuh apaaan
sorong sorongan sampe ga sengaja
ngerubuhin pager DPRD wkwkwk, intelnya
sama pengamanan paling advance
di belakang aja adem adem bae di
deket kantor pos, malah mereka
ngobrol ke temen medis sambil bagi
air soalnya akses air minum kejauhan
🤣🤣🤣</t>
  </si>
  <si>
    <t xml:space="preserve">namakubayangan
</t>
  </si>
  <si>
    <t>msucn_
@avwwt @merapi_uncover @Mei2Namaku
Oh iya ya... Nek ngerti, mase saiki
posisi dimana? Hehe hooh gedi gedi,
rasa yo mayann.. tp dadi larang
saiki wkwk Ngarep kantor pos kae
enak jg hahaha</t>
  </si>
  <si>
    <t>avwwt
@msucn_ @merapi_uncover @Mei2Namaku
Aku rareti sih mas. Kantor pos
godean? Iyo enak, ono nasi uduk
e kan? Tp enak dan murah meneh
neng lor lapangan sawo mas</t>
  </si>
  <si>
    <t xml:space="preserve">merapi_uncover
</t>
  </si>
  <si>
    <t>94jinyoungfey
@96JENNIEfey Udah lewat kantor
pos belum</t>
  </si>
  <si>
    <t xml:space="preserve">96jenniefey
</t>
  </si>
  <si>
    <t>mantovanintens
@sbyfess kirim kirimam surat lewat
kantor pos lek aku</t>
  </si>
  <si>
    <t>3andalas
Tumben JNE kosong.. Jd bisa foto
dulu 😅. Beres JNE lanjut kantor
pos sama J&amp;amp;T.. https://t.co/ChNOHqQ1ZS</t>
  </si>
  <si>
    <t>hmmribet
@bertanyarl gabisa,minimal 50k,tpi
waktu itu pernah nanya di kantor
pos katanya minimanl 25k nder</t>
  </si>
  <si>
    <t>merthurslove
@literarybase gila pengen marah
rasanya uda kantor pos ga nganter
pos dgn benar dihubungi aja ga
bisa WKWKWK bye</t>
  </si>
  <si>
    <t>alkecilsaja
Tumben JNE kosong.. Jd bisa foto
dulu 😅. Beres JNE lanjut kantor
pos sama J&amp;amp;T.. https://t.co/ChNOHqQ1ZS</t>
  </si>
  <si>
    <t>yanguning2
Tumben JNE kosong.. Jd bisa foto
dulu 😅. Beres JNE lanjut kantor
pos sama J&amp;amp;T.. https://t.co/ChNOHqQ1ZS</t>
  </si>
  <si>
    <t>danicdanic
kantor pos di UK ternyata kaya
jne yaa.. kaga sempet foto2 soalnya
udah bingung sndiri wkkwk. Td sih
lbh jelek dr ini wkwkwk, trs sbelahnya
ada yg jual ATK gtu https://t.co/AAmt3eIMaV</t>
  </si>
  <si>
    <t>camelaila1
Tumben JNE kosong.. Jd bisa foto
dulu 😅. Beres JNE lanjut kantor
pos sama J&amp;amp;T.. https://t.co/ChNOHqQ1ZS</t>
  </si>
  <si>
    <t>punyanyongrote
@collegemenfess Kudu punya, supaya
pas Minggu kantor pos tutup lu
ga bingung gmna caranya narik uang
kiriman ortu. Kalau lu anak rantau
sih</t>
  </si>
  <si>
    <t>deddyhariadi
LOKASI PELAYANAN #SIMKELILING hari
Selasa, tanggal 28 September 2021
pukul 08.00 s/d 14.00 WIB : Jaktim
: Mall Grand Cakung. Jaksel : Kampus
Trilogi Kalibata &amp;amp; Jln M.Saidi
Raya Petukangan Jaksel. Jakbar
: LTC Glodok. Jakpus : Kantor Pos
Lapangan Banteng https://t.co/QxZixbtJ8T</t>
  </si>
  <si>
    <t>helmybobo
LOKASI PELAYANAN #SIMKELILING hari
Selasa, tanggal 28 September 2021
pukul 08.00 s/d 14.00 WIB : Jaktim
: Mall Grand Cakung. Jaksel : Kampus
Trilogi Kalibata &amp;amp; Jln M.Saidi
Raya Petukangan Jaksel. Jakbar
: LTC Glodok. Jakpus : Kantor Pos
Lapangan Banteng https://t.co/QxZixbtJ8T</t>
  </si>
  <si>
    <t>radioelshinta
LOKASI PELAYANAN #SIMKELILING hari
Selasa, tanggal 28 September 2021
pukul 08.00 s/d 14.00 WIB : Jaktim
: Mall Grand Cakung. Jaksel : Kampus
Trilogi Kalibata &amp;amp; Jln M.Saidi
Raya Petukangan Jaksel. Jakbar
: LTC Glodok. Jakpus : Kantor Pos
Lapangan Banteng https://t.co/QxZixbtJ8T</t>
  </si>
  <si>
    <t>sonorafm92
07.37 #LalinSONORA LOKASI PELAYANAN
#SIMKELILING hari Selasa, tanggal
28 September 2021 pukul 08.00 s/d
14.00 WIB : Jaktim : Mall Grand
Cakung. Jaksel : Kampus Trilogi
Kalibata &amp;amp; Jln M.Saidi Raya
Petukangan Jaksel. Jakbar : LTC
Glodok. Jakpus : Kantor Pos Lapangan
Banteng</t>
  </si>
  <si>
    <t>satpasmetrojaya
LOKASI PELAYANAN #SIMKELILING hari
Selasa, tanggal 28 September 2021
pukul 08.00 s/d 14.00 WIB : Jaktim
: Mall Grand Cakung. Jaksel : Kampus
Trilogi Kalibata &amp;amp; Jln M.Saidi
Raya Petukangan Jaksel. Jakbar
: LTC Glodok. Jakpus : Kantor Pos
Lapangan Banteng. https://t.co/sSPr2Z0UfJ</t>
  </si>
  <si>
    <t>ntmc_info
Lokasi SIM Keliling Jakarta pada
hari ini Selasa, 28 September 2021
mulai pukul 08.00 s / d 14.00 WIB.
Jaktim : Mall Grand Cakung Jaksel
: Kampus Trilogi Kalibata &amp;amp;
Jln M.Saidi Raya Petukangan Jaksel
Jakbar : LTC Glodok Jakpus : Kantor
Pos Lapangan Banteng https://t.co/6lANm2wQlQ</t>
  </si>
  <si>
    <t>openkerja
Lowongan Kerja Kantor Pos Indonesia
Batas Lamaran: 30 September 2021
Posisi, Lokasi, Kualifikasi dan
Panduan melamar buka link: https://t.co/SKiGXXW4ht
• "GABUNG DI CHANNEL TELEGRAM 👉
https://t.co/SfaaWgxZ1h (GRATIS)"</t>
  </si>
  <si>
    <t>peninggidosa
@bertanyarl kantor pos?</t>
  </si>
  <si>
    <t>sange_bo
Direktur Jenderal Pos Amerika Serikat
• Kementerian Kehakiman Amerika
Serikat • Biro Investigasi Federal
• Kantor Pos Amerika Serikat •
Donald Trump</t>
  </si>
  <si>
    <t>yeppeomikki
Layanan menfess kilat? go follow
kantor_pos '-'</t>
  </si>
  <si>
    <t>ekiiiiw
@bravobeacukai Apa harus datang
ke kantor pasar baru? Gabisa yg
lain? waktu nya sulit. Nanti keburu
dikirim pos indo ke rumah. Saya
udah punya npwp, dan ingin memangkas
pph. Karena setiap paket yg datang
belum dipangkas npwp</t>
  </si>
  <si>
    <t>for__dy
@bravobeacukai Kalo di bandung
kan biasanya ada kantor pos yg
khusus untuk penerimaaan barang
dari luar itu di mpc bandung soeta,
nah kalo di tasikmalaya itu ada
juga gak ya</t>
  </si>
  <si>
    <t>penggariskala
@wahyuacum Iya mas. Sarkem skrg
spti ini. Nyaman buat jalan kaki
dr stasiun smp Malioboro. Ato bahkan
kalo mau jalan sampe kantor pos
juga nyaman 😄</t>
  </si>
  <si>
    <t xml:space="preserve">tfsurabaya
</t>
  </si>
  <si>
    <t xml:space="preserve">rizkiadrian
</t>
  </si>
  <si>
    <t xml:space="preserve">wahyuacum
</t>
  </si>
  <si>
    <t>rroxsky
@citizenstores Bahkan biasanya
ada yg 2 bulan nder :’) sabar nder
tp ttp coba di follow up ke kantor
pos gitu misalnya gatau juga si
aku gak pernah tp pernah liat ada
org yg sampe 2 bulanan</t>
  </si>
  <si>
    <t>karangpos
KantorPos KarangSatria Menyediakan
Materai 6000 dan 10000 Ingin Bayar
Tagihan - Cicilan - Iuran BPJS
pakai POS INDONESIA sedia POSFIN
untuk melayani segala pembayaran
Pengiriman Tetap Jalan KilatKhusus-
Ekonomi- Express https://t.co/4uGxkk6vVU
https://t.co/D7wv91aftN</t>
  </si>
  <si>
    <t>_sarcomere
@DEVIOUDESSA ㅤㅤTak mempersalahkan
mengenai sepatu tumit tinggi, bagaimanapun
hak perempuan ini untuk memakainya.
ㅤㅤ"Kalau begitu saya antarkan ke
pos, ada tempat duduk di sana,"
Menunjuk pos-ruang jaga yang menjadi
kantor sementaranya. &amp;gt;</t>
  </si>
  <si>
    <t xml:space="preserve">devioudessa
</t>
  </si>
  <si>
    <t>printsu_k
Jangan lupa senyum ya Ce @A_FionyJKT48
aku pagi2 udh dikasih emot senyum
nih sama kantor pos.</t>
  </si>
  <si>
    <t xml:space="preserve">a_fionyjkt48
</t>
  </si>
  <si>
    <t>chscproject
Jangan lupa senyum ya Ce @A_FionyJKT48
aku pagi2 udh dikasih emot senyum
nih sama kantor pos.</t>
  </si>
  <si>
    <t>xuxilion_
@hanxuei @citizenstores Syukur
deh klo ga bakal ilang:( Tapi ka
klo misal udh sampe ini nanti dianterin
ke rmh atau kita ditelfon suruh
ngambil ke kantor pos nya?</t>
  </si>
  <si>
    <t xml:space="preserve">hanxuei
</t>
  </si>
  <si>
    <t>laskarnasbung
LOKASI PELAYANAN #SIMKELILING hari
Selasa, tanggal 28 September 2021
pukul 08.00 s/d 14.00 WIB : Jaktim
: Mall Grand Cakung. Jaksel : Kampus
Trilogi Kalibata &amp;amp; Jln M.Saidi
Raya Petukangan Jaksel. Jakbar
: LTC Glodok. Jakpus : Kantor Pos
Lapangan Banteng https://t.co/QxZixbtJ8T</t>
  </si>
  <si>
    <t>atcs_samarinda
11.40 Simpang Kantor Pos : Situasi
arus lalulintas lancar diketiga
kaki simpang https://t.co/pMOdxChHnx</t>
  </si>
  <si>
    <t>athreksa
@kiwsah Gapapa dan sini belajar
surat menyurat saya pegawai kantor
pos</t>
  </si>
  <si>
    <t xml:space="preserve">kiwsah
</t>
  </si>
  <si>
    <t>ckurnia_k
@fearnaughtb Tak kirim lewat kantor
pos ea xixixixixi 😆</t>
  </si>
  <si>
    <t xml:space="preserve">fearnaughtb
</t>
  </si>
  <si>
    <t>almashumorg
Hari Bhakti Postel 27 September,
dilatarbelakangi peristiwa perebutan
kantor Jawatan Pos, Telegraf, dan
Telepon, pada era pemerintah Jepang.
#HariBhaktiPostel #AlMashum2021
#AlMashumPekalongan #AlMashumMelayaniUmat
#pekalonganinfo #pekalongan #pekalonganhits
https://t.co/phJkcnKwah</t>
  </si>
  <si>
    <t>natcha_jong
Happy birthday papa! Haha big thanks
to Agus yg udah bantuin kirim kado,
dibelain ke kantor pos gondal gandul
gapake sempak 😂🤣🤣 https://t.co/E6PJjMnpa5</t>
  </si>
  <si>
    <t>dzunotnewacc
ini lebih gede2 drpd yg di kantor
pos ya @mathildanita https://t.co/SRE0w41H03</t>
  </si>
  <si>
    <t>mathildanita
@DzunotNewAcc iyaaa tapi aku suka
yang di kantor pos :(</t>
  </si>
  <si>
    <t>caaankk
@thyy_94 Yang bermasalah bukan
dananya, lebih ke topup agentnya,
kalau mau langsung masuk ya setor
tunai ke bank atau kantor pos</t>
  </si>
  <si>
    <t xml:space="preserve">thyy_94
</t>
  </si>
  <si>
    <t>pendimbm
Babinsa Pos Ramil Bukit Serda Akbar
Menghadiri Acara Musrenbangdes
Tahun Anggaran 2022 Yang Bertempat
Di Aula Masjid Istiqamah Kantor
Desa Bale Atu Kec. Bukit Kab. Bener
Meriah" Selasa 28/09/2021 https://t.co/5NGa04LRWe</t>
  </si>
  <si>
    <t>sgrskless
Kantor pos ada masalah apa siiii
sampai ngetik nama ku typo 😭🤌
Padahal di mapnya udah jelassss
pake bgt avshsjsbsbxxej 🤌</t>
  </si>
  <si>
    <t>mamavanenbas
PT Pos Indonesia (Persero) memperkuat
layanan platform digital PosAja!
dengan memperkenalkan kurir khusus
perempuan O-Ranger Mawar serta
menggandeng penyedia transportasi
online Nusantara Ojek (Nujek).
#BUMNMaju https://t.co/Z9fEMxlVmv</t>
  </si>
  <si>
    <t>GraphSource░TwitterSearch▓GraphTerm░pospay OR posaja OR kantor pos▓ImportDescription░The graph represents a network of 988 Twitter users whose recent tweets contained "pospay OR posaja OR kantor pos", or who were replied to or mentioned in those tweets, taken from a data set limited to a maximum of 18.000 tweets.  The network was obtained from Twitter on Tuesday, 28 September 2021 at 05:53 UTC._x000D_
_x000D_
The tweets in the network were tweeted over the 9-day, 9-hour, 35-minute period from Saturday, 18 September 2021 at 19:58 UTC to Tuesday, 28 September 2021 at 05:34 UTC._x000D_
_x000D_
Additional tweets that were mentioned in this data set were also collected from prior time periods.  These tweets may expand the complete time period of the data._x000D_
_x000D_
There is an edge for each "replies-to" relationship in a tweet, an edge for each "mentions" relationship in a tweet, and a self-loop edge for each tweet that is not a "replies-to" or "mentions".▓ImportSuggestedTitle░pospay OR posaja OR kantor pos Twitter NodeXL SNA Map and Report for Tuesday, 28 September 2021 at 05:51 UTC▓ImportSuggestedFileNameNoExtension░2021-09-28 05-51-38 NodeXL Twitter Search pospay OR posaja OR kantor pos</t>
  </si>
  <si>
    <t>Directed</t>
  </si>
  <si>
    <t>&lt;?xml version="1.0" encoding="utf-8"?&gt;_x000D_
&lt;configuration&gt;_x000D_
  &lt;configSections&gt;_x000D_
    &lt;sectionGroup name="userSettings" type="System.Configuration.UserSettingsGroup, System, Version=2.0.0.0, Culture=neutral, PublicKeyToken=b77a5c561934e089"&gt;_x000D_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name="PlugInUserSettings" type="System.Configuration.ClientSettingsSection, System, Version=2.0.0.0, Culture=neutral, PublicKeyToken=b77a5c561934e089" allowExeDefinition="MachineToLocalUser" requirePermission="false" /&gt;_x000D_
    &lt;/sectionGroup&gt;_x000D_
  &lt;/configSections&gt;_x000D_
  &lt;userSettings&gt;_x000D_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&lt;PlugInUserSettings&gt;_x000D_
      &lt;setting name="PlugInFolderPath" serializeAs="String"&gt;_x000D_
        &lt;value /&gt;_x000D_
      &lt;/setting&gt;_x000D_
    &lt;/PlugInUserSettings&gt;_x000D_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</si>
</sst>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08">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Alignment="1"/>
    <xf numFmtId="0" fontId="13" fillId="0" borderId="0" xfId="9" applyFill="1" applyAlignment="1"/>
    <xf numFmtId="0" fontId="0" fillId="0" borderId="0" xfId="0" quotePrefix="1" applyAlignment="1"/>
    <xf numFmtId="0" fontId="0" fillId="0" borderId="0" xfId="0" quotePrefix="1" applyFill="1" applyAlignment="1"/>
    <xf numFmtId="14" fontId="0" fillId="0" borderId="0" xfId="0" applyNumberFormat="1" applyAlignment="1"/>
    <xf numFmtId="14" fontId="0" fillId="0" borderId="0" xfId="0" applyNumberFormat="1" applyFill="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0" fillId="0" borderId="0" xfId="2" applyNumberFormat="1" applyFont="1" applyBorder="1" applyAlignment="1"/>
    <xf numFmtId="0" fontId="13" fillId="5" borderId="1" xfId="9" applyNumberFormat="1" applyFill="1" applyBorder="1" applyAlignment="1"/>
    <xf numFmtId="0" fontId="13" fillId="5" borderId="11" xfId="9" applyNumberFormat="1" applyFill="1" applyBorder="1" applyAlignment="1"/>
  </cellXfs>
  <cellStyles count="10">
    <cellStyle name="Hyperlink" xfId="9" builtinId="8"/>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62">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61"/>
      <tableStyleElement type="headerRow" dxfId="160"/>
    </tableStyle>
    <tableStyle name="NodeXL Table" pivot="0" count="1" xr9:uid="{00000000-0011-0000-FFFF-FFFF01000000}">
      <tableStyleElement type="headerRow" dxfId="15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Metrics'!$E$2:$E$41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2050-4206-A1E2-AF65739925E9}"/>
            </c:ext>
          </c:extLst>
        </c:ser>
        <c:dLbls>
          <c:showLegendKey val="0"/>
          <c:showVal val="0"/>
          <c:showCatName val="0"/>
          <c:showSerName val="0"/>
          <c:showPercent val="0"/>
          <c:showBubbleSize val="0"/>
        </c:dLbls>
        <c:gapWidth val="0"/>
        <c:axId val="1490199200"/>
        <c:axId val="1490191584"/>
      </c:barChart>
      <c:catAx>
        <c:axId val="1490199200"/>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490191584"/>
        <c:crosses val="autoZero"/>
        <c:auto val="1"/>
        <c:lblAlgn val="ctr"/>
        <c:lblOffset val="100"/>
        <c:noMultiLvlLbl val="0"/>
      </c:catAx>
      <c:valAx>
        <c:axId val="14901915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92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Metrics'!$G$2:$G$41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91D7-4EAD-A15D-E46031671AEF}"/>
            </c:ext>
          </c:extLst>
        </c:ser>
        <c:dLbls>
          <c:showLegendKey val="0"/>
          <c:showVal val="0"/>
          <c:showCatName val="0"/>
          <c:showSerName val="0"/>
          <c:showPercent val="0"/>
          <c:showBubbleSize val="0"/>
        </c:dLbls>
        <c:gapWidth val="0"/>
        <c:axId val="1490188320"/>
        <c:axId val="1490192128"/>
      </c:barChart>
      <c:catAx>
        <c:axId val="1490188320"/>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490192128"/>
        <c:crosses val="autoZero"/>
        <c:auto val="1"/>
        <c:lblAlgn val="ctr"/>
        <c:lblOffset val="100"/>
        <c:noMultiLvlLbl val="0"/>
      </c:catAx>
      <c:valAx>
        <c:axId val="14901921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883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Metrics'!$I$2:$I$41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15A1-401C-93D9-DBD91A0C81CC}"/>
            </c:ext>
          </c:extLst>
        </c:ser>
        <c:dLbls>
          <c:showLegendKey val="0"/>
          <c:showVal val="0"/>
          <c:showCatName val="0"/>
          <c:showSerName val="0"/>
          <c:showPercent val="0"/>
          <c:showBubbleSize val="0"/>
        </c:dLbls>
        <c:gapWidth val="0"/>
        <c:axId val="1490200832"/>
        <c:axId val="1490189952"/>
      </c:barChart>
      <c:catAx>
        <c:axId val="149020083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490189952"/>
        <c:crosses val="autoZero"/>
        <c:auto val="1"/>
        <c:lblAlgn val="ctr"/>
        <c:lblOffset val="100"/>
        <c:noMultiLvlLbl val="0"/>
      </c:catAx>
      <c:valAx>
        <c:axId val="14901899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20083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Metrics'!$K$2:$K$41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F177-4EA4-9F14-4C1CDEE4E087}"/>
            </c:ext>
          </c:extLst>
        </c:ser>
        <c:dLbls>
          <c:showLegendKey val="0"/>
          <c:showVal val="0"/>
          <c:showCatName val="0"/>
          <c:showSerName val="0"/>
          <c:showPercent val="0"/>
          <c:showBubbleSize val="0"/>
        </c:dLbls>
        <c:gapWidth val="0"/>
        <c:axId val="1490188864"/>
        <c:axId val="1490192672"/>
      </c:barChart>
      <c:catAx>
        <c:axId val="149018886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490192672"/>
        <c:crosses val="autoZero"/>
        <c:auto val="1"/>
        <c:lblAlgn val="ctr"/>
        <c:lblOffset val="100"/>
        <c:noMultiLvlLbl val="0"/>
      </c:catAx>
      <c:valAx>
        <c:axId val="14901926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888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Metrics'!$M$2:$M$41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6A7D-47DF-B78F-4D6B1A1E6F58}"/>
            </c:ext>
          </c:extLst>
        </c:ser>
        <c:dLbls>
          <c:showLegendKey val="0"/>
          <c:showVal val="0"/>
          <c:showCatName val="0"/>
          <c:showSerName val="0"/>
          <c:showPercent val="0"/>
          <c:showBubbleSize val="0"/>
        </c:dLbls>
        <c:gapWidth val="0"/>
        <c:axId val="1490194848"/>
        <c:axId val="1490201920"/>
      </c:barChart>
      <c:catAx>
        <c:axId val="14901948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490201920"/>
        <c:crosses val="autoZero"/>
        <c:auto val="1"/>
        <c:lblAlgn val="ctr"/>
        <c:lblOffset val="100"/>
        <c:noMultiLvlLbl val="0"/>
      </c:catAx>
      <c:valAx>
        <c:axId val="149020192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48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Metrics'!$O$2:$O$41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C0A4-4B70-96E9-1FE54719246D}"/>
            </c:ext>
          </c:extLst>
        </c:ser>
        <c:dLbls>
          <c:showLegendKey val="0"/>
          <c:showVal val="0"/>
          <c:showCatName val="0"/>
          <c:showSerName val="0"/>
          <c:showPercent val="0"/>
          <c:showBubbleSize val="0"/>
        </c:dLbls>
        <c:gapWidth val="0"/>
        <c:axId val="1490195936"/>
        <c:axId val="1490202464"/>
      </c:barChart>
      <c:catAx>
        <c:axId val="149019593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490202464"/>
        <c:crosses val="autoZero"/>
        <c:auto val="1"/>
        <c:lblAlgn val="ctr"/>
        <c:lblOffset val="100"/>
        <c:noMultiLvlLbl val="0"/>
      </c:catAx>
      <c:valAx>
        <c:axId val="14902024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593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Metrics'!$S$2:$S$41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594C-4194-B47A-7A9A3D4A499B}"/>
            </c:ext>
          </c:extLst>
        </c:ser>
        <c:dLbls>
          <c:showLegendKey val="0"/>
          <c:showVal val="0"/>
          <c:showCatName val="0"/>
          <c:showSerName val="0"/>
          <c:showPercent val="0"/>
          <c:showBubbleSize val="0"/>
        </c:dLbls>
        <c:gapWidth val="0"/>
        <c:axId val="1490193216"/>
        <c:axId val="1490198112"/>
      </c:barChart>
      <c:catAx>
        <c:axId val="1490193216"/>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490198112"/>
        <c:crosses val="autoZero"/>
        <c:auto val="1"/>
        <c:lblAlgn val="ctr"/>
        <c:lblOffset val="100"/>
        <c:noMultiLvlLbl val="0"/>
      </c:catAx>
      <c:valAx>
        <c:axId val="14901981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321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Metrics'!$Q$2:$Q$41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701D-4124-AF90-615F2C71C66C}"/>
            </c:ext>
          </c:extLst>
        </c:ser>
        <c:dLbls>
          <c:showLegendKey val="0"/>
          <c:showVal val="0"/>
          <c:showCatName val="0"/>
          <c:showSerName val="0"/>
          <c:showPercent val="0"/>
          <c:showBubbleSize val="0"/>
        </c:dLbls>
        <c:gapWidth val="0"/>
        <c:axId val="1490199744"/>
        <c:axId val="1490197024"/>
      </c:barChart>
      <c:catAx>
        <c:axId val="149019974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490197024"/>
        <c:crosses val="autoZero"/>
        <c:auto val="1"/>
        <c:lblAlgn val="ctr"/>
        <c:lblOffset val="100"/>
        <c:noMultiLvlLbl val="0"/>
      </c:catAx>
      <c:valAx>
        <c:axId val="149019702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4901997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Metrics'!$U$2:$U$41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3D64-44F0-B1BE-391D9C449F12}"/>
            </c:ext>
          </c:extLst>
        </c:ser>
        <c:dLbls>
          <c:showLegendKey val="0"/>
          <c:showVal val="0"/>
          <c:showCatName val="0"/>
          <c:showSerName val="0"/>
          <c:showPercent val="0"/>
          <c:showBubbleSize val="0"/>
        </c:dLbls>
        <c:gapWidth val="0"/>
        <c:axId val="1490189408"/>
        <c:axId val="1490190496"/>
      </c:barChart>
      <c:catAx>
        <c:axId val="1490189408"/>
        <c:scaling>
          <c:orientation val="minMax"/>
        </c:scaling>
        <c:delete val="1"/>
        <c:axPos val="b"/>
        <c:numFmt formatCode="#,##0.00" sourceLinked="1"/>
        <c:majorTickMark val="out"/>
        <c:minorTickMark val="none"/>
        <c:tickLblPos val="none"/>
        <c:crossAx val="1490190496"/>
        <c:crosses val="autoZero"/>
        <c:auto val="1"/>
        <c:lblAlgn val="ctr"/>
        <c:lblOffset val="100"/>
        <c:noMultiLvlLbl val="0"/>
      </c:catAx>
      <c:valAx>
        <c:axId val="1490190496"/>
        <c:scaling>
          <c:orientation val="minMax"/>
        </c:scaling>
        <c:delete val="1"/>
        <c:axPos val="l"/>
        <c:numFmt formatCode="General" sourceLinked="1"/>
        <c:majorTickMark val="out"/>
        <c:minorTickMark val="none"/>
        <c:tickLblPos val="none"/>
        <c:crossAx val="1490189408"/>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58</xdr:row>
      <xdr:rowOff>38100</xdr:rowOff>
    </xdr:from>
    <xdr:to>
      <xdr:col>1</xdr:col>
      <xdr:colOff>918209</xdr:colOff>
      <xdr:row>65</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72</xdr:row>
      <xdr:rowOff>38100</xdr:rowOff>
    </xdr:from>
    <xdr:to>
      <xdr:col>1</xdr:col>
      <xdr:colOff>918209</xdr:colOff>
      <xdr:row>79</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86</xdr:row>
      <xdr:rowOff>28575</xdr:rowOff>
    </xdr:from>
    <xdr:to>
      <xdr:col>1</xdr:col>
      <xdr:colOff>918209</xdr:colOff>
      <xdr:row>93</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100</xdr:row>
      <xdr:rowOff>9525</xdr:rowOff>
    </xdr:from>
    <xdr:to>
      <xdr:col>1</xdr:col>
      <xdr:colOff>918210</xdr:colOff>
      <xdr:row>107</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114</xdr:row>
      <xdr:rowOff>19050</xdr:rowOff>
    </xdr:from>
    <xdr:to>
      <xdr:col>2</xdr:col>
      <xdr:colOff>0</xdr:colOff>
      <xdr:row>121</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128</xdr:row>
      <xdr:rowOff>19050</xdr:rowOff>
    </xdr:from>
    <xdr:to>
      <xdr:col>1</xdr:col>
      <xdr:colOff>918210</xdr:colOff>
      <xdr:row>135</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156</xdr:row>
      <xdr:rowOff>9525</xdr:rowOff>
    </xdr:from>
    <xdr:to>
      <xdr:col>1</xdr:col>
      <xdr:colOff>918210</xdr:colOff>
      <xdr:row>163</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142</xdr:row>
      <xdr:rowOff>0</xdr:rowOff>
    </xdr:from>
    <xdr:to>
      <xdr:col>1</xdr:col>
      <xdr:colOff>918210</xdr:colOff>
      <xdr:row>149</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BB1320" totalsRowShown="0" headerRowDxfId="158" dataDxfId="97">
  <autoFilter ref="A2:BB1320" xr:uid="{00000000-0009-0000-0100-000001000000}"/>
  <tableColumns count="54">
    <tableColumn id="1" xr3:uid="{00000000-0010-0000-0000-000001000000}" name="Vertex 1" dataDxfId="73" dataCellStyle="NodeXL Required"/>
    <tableColumn id="2" xr3:uid="{00000000-0010-0000-0000-000002000000}" name="Vertex 2" dataDxfId="71" dataCellStyle="NodeXL Required"/>
    <tableColumn id="3" xr3:uid="{00000000-0010-0000-0000-000003000000}" name="Color" dataDxfId="72" dataCellStyle="NodeXL Visual Property"/>
    <tableColumn id="4" xr3:uid="{00000000-0010-0000-0000-000004000000}" name="Width" dataDxfId="107" dataCellStyle="NodeXL Visual Property"/>
    <tableColumn id="11" xr3:uid="{00000000-0010-0000-0000-00000B000000}" name="Style" dataDxfId="106" dataCellStyle="NodeXL Visual Property"/>
    <tableColumn id="5" xr3:uid="{00000000-0010-0000-0000-000005000000}" name="Opacity" dataDxfId="105" dataCellStyle="NodeXL Visual Property"/>
    <tableColumn id="6" xr3:uid="{00000000-0010-0000-0000-000006000000}" name="Visibility" dataDxfId="104" dataCellStyle="NodeXL Visual Property"/>
    <tableColumn id="10" xr3:uid="{00000000-0010-0000-0000-00000A000000}" name="Label" dataDxfId="103" dataCellStyle="NodeXL Label"/>
    <tableColumn id="12" xr3:uid="{00000000-0010-0000-0000-00000C000000}" name="Label Text Color" dataDxfId="102" dataCellStyle="NodeXL Label"/>
    <tableColumn id="13" xr3:uid="{00000000-0010-0000-0000-00000D000000}" name="Label Font Size" dataDxfId="101" dataCellStyle="NodeXL Label"/>
    <tableColumn id="14" xr3:uid="{00000000-0010-0000-0000-00000E000000}" name="Reciprocated?" dataDxfId="100" dataCellStyle="NodeXL Graph Metric"/>
    <tableColumn id="7" xr3:uid="{00000000-0010-0000-0000-000007000000}" name="ID" dataDxfId="99" dataCellStyle="NodeXL Do Not Edit"/>
    <tableColumn id="9" xr3:uid="{00000000-0010-0000-0000-000009000000}" name="Dynamic Filter" dataDxfId="98" dataCellStyle="NodeXL Do Not Edit"/>
    <tableColumn id="8" xr3:uid="{00000000-0010-0000-0000-000008000000}" name="Add Your Own Columns Here" dataDxfId="70" dataCellStyle="NodeXL Other Column"/>
    <tableColumn id="15" xr3:uid="{9D35AD9C-4FAE-4E55-B0A4-513E92934B9D}" name="Relationship" dataDxfId="69" dataCellStyle="Normal"/>
    <tableColumn id="16" xr3:uid="{A1A50FCE-6A34-4FA2-861F-70AA8FEE7A66}" name="Relationship Date (UTC)" dataDxfId="68" dataCellStyle="Normal"/>
    <tableColumn id="17" xr3:uid="{95584E90-5EC7-475F-94C7-F1C30C8F1D72}" name="Tweet" dataDxfId="67" dataCellStyle="Normal"/>
    <tableColumn id="18" xr3:uid="{C2E2DE97-EE51-45AA-B452-55D9DCCDD4C5}" name="URLs in Tweet" dataDxfId="66" dataCellStyle="Normal"/>
    <tableColumn id="19" xr3:uid="{613C38E0-D1F0-46D4-8337-604C97A10FEA}" name="Domains in Tweet" dataDxfId="65" dataCellStyle="Normal"/>
    <tableColumn id="20" xr3:uid="{B561A5CD-3248-4F4D-A9F0-55A6BE63419B}" name="Hashtags in Tweet" dataDxfId="64" dataCellStyle="Normal"/>
    <tableColumn id="21" xr3:uid="{8BFEE290-EB11-41EF-B701-A6B3ECA4C4BF}" name="Media in Tweet" dataDxfId="63" dataCellStyle="Normal"/>
    <tableColumn id="22" xr3:uid="{73C5B623-B764-438F-AC9B-B783FC94910D}" name="Tweet Image File" dataDxfId="62" dataCellStyle="Normal"/>
    <tableColumn id="23" xr3:uid="{54FC8D50-6680-4971-BC9E-F3AC21B5BBF9}" name="Tweet Date (UTC)" dataDxfId="61" dataCellStyle="Normal"/>
    <tableColumn id="24" xr3:uid="{F5D5349A-7EDC-4F33-B5B8-C5FF09227676}" name="Date" dataDxfId="60" dataCellStyle="Normal"/>
    <tableColumn id="25" xr3:uid="{39D83AE4-5832-4854-99B4-D7A99847D648}" name="Time" dataDxfId="59" dataCellStyle="Normal"/>
    <tableColumn id="26" xr3:uid="{28FD5324-2F6D-402C-8ED8-F1F9B0D1FC0C}" name="Twitter Page for Tweet" dataDxfId="58" dataCellStyle="Normal"/>
    <tableColumn id="27" xr3:uid="{D1E12BAF-BDE2-4C92-87A3-B77581BD67DD}" name="Latitude" dataDxfId="57" dataCellStyle="Normal"/>
    <tableColumn id="28" xr3:uid="{24D66F9E-AB95-4AED-A2C3-09A830A356A8}" name="Longitude" dataDxfId="56" dataCellStyle="Normal"/>
    <tableColumn id="29" xr3:uid="{72AF76D8-F2D7-4824-B75E-F1D02921E41B}" name="Imported ID" dataDxfId="55" dataCellStyle="Normal"/>
    <tableColumn id="30" xr3:uid="{6B0DAFD8-1440-41A5-A3C4-5F9DF04D6B92}" name="In-Reply-To Tweet ID" dataDxfId="54" dataCellStyle="Normal"/>
    <tableColumn id="31" xr3:uid="{CCE9D9ED-C23D-4139-8AC8-80F2E8F184E1}" name="Favorited" dataDxfId="53" dataCellStyle="Normal"/>
    <tableColumn id="32" xr3:uid="{F6804A5F-A0BD-470A-81FC-C8D1CEC8154E}" name="Favorite Count" dataDxfId="52" dataCellStyle="Normal"/>
    <tableColumn id="33" xr3:uid="{2905B7E8-A90A-441F-9207-04E04364ADDB}" name="In-Reply-To User ID" dataDxfId="51" dataCellStyle="Normal"/>
    <tableColumn id="34" xr3:uid="{DF00AAD9-7467-40F9-BE41-8EDD703B4917}" name="Is Quote Status" dataDxfId="50" dataCellStyle="Normal"/>
    <tableColumn id="35" xr3:uid="{DE772B64-0BB9-45B6-B568-25B3BF0CC965}" name="Language" dataDxfId="49" dataCellStyle="Normal"/>
    <tableColumn id="36" xr3:uid="{083F34CC-BBC3-4638-9159-D49D512D3035}" name="Possibly Sensitive" dataDxfId="48" dataCellStyle="Normal"/>
    <tableColumn id="37" xr3:uid="{0F9CF11E-1A6E-4B7D-BBA1-000252B07B9A}" name="Quoted Status ID" dataDxfId="47" dataCellStyle="Normal"/>
    <tableColumn id="38" xr3:uid="{477F9EDA-23B8-4B13-9E90-A42189667F75}" name="Retweeted" dataDxfId="46" dataCellStyle="Normal"/>
    <tableColumn id="39" xr3:uid="{B3D71B01-E5E4-4D46-BFA3-BE7F7FECF368}" name="Retweet Count" dataDxfId="45" dataCellStyle="Normal"/>
    <tableColumn id="40" xr3:uid="{1AE836E9-5EF9-4F06-AE30-9CEB441F00B0}" name="Retweet ID" dataDxfId="44" dataCellStyle="Normal"/>
    <tableColumn id="41" xr3:uid="{D28EF18F-7853-4448-B07C-08F90D6331AC}" name="Source" dataDxfId="43" dataCellStyle="Normal"/>
    <tableColumn id="42" xr3:uid="{5171B202-C553-4056-AFB7-5A1D24EF2D47}" name="Truncated" dataDxfId="42" dataCellStyle="Normal"/>
    <tableColumn id="43" xr3:uid="{6E6A70E8-59DB-48E9-A61B-72FCB891D92F}" name="Unified Twitter ID" dataDxfId="41" dataCellStyle="Normal"/>
    <tableColumn id="44" xr3:uid="{C686F92E-11FE-414E-B88B-C2B8705EEF51}" name="Imported Tweet Type" dataDxfId="40" dataCellStyle="Normal"/>
    <tableColumn id="45" xr3:uid="{78499A93-ED59-4CA4-AF5B-28CDA15D30F4}" name="Added By Extended Analysis" dataDxfId="39" dataCellStyle="Normal"/>
    <tableColumn id="46" xr3:uid="{000086FA-1287-47FC-9FD9-82ADFEDB49A4}" name="Corrected By Extended Analysis" dataDxfId="38" dataCellStyle="Normal"/>
    <tableColumn id="47" xr3:uid="{D6DFBBE3-4E14-47FE-BD70-C9EAAAB640BF}" name="Place Bounding Box" dataDxfId="37" dataCellStyle="Normal"/>
    <tableColumn id="48" xr3:uid="{04A736C5-1CB2-49CD-B37F-5349BE9B1023}" name="Place Country" dataDxfId="36" dataCellStyle="Normal"/>
    <tableColumn id="49" xr3:uid="{85DCE287-A125-4F86-86B5-F8D1E2D6FACA}" name="Place Country Code" dataDxfId="35" dataCellStyle="Normal"/>
    <tableColumn id="50" xr3:uid="{C7871159-5C70-4A0E-915D-4D2433892149}" name="Place Full Name" dataDxfId="34" dataCellStyle="Normal"/>
    <tableColumn id="51" xr3:uid="{2259C445-8966-46FB-A01F-972F68B64268}" name="Place ID" dataDxfId="33" dataCellStyle="Normal"/>
    <tableColumn id="52" xr3:uid="{10EB12A3-AE95-48C1-B20F-E5D3C0F83E39}" name="Place Name" dataDxfId="32" dataCellStyle="Normal"/>
    <tableColumn id="53" xr3:uid="{07ECFBC0-B034-49A1-B9C3-7200ED843F74}" name="Place Type" dataDxfId="31" dataCellStyle="Normal"/>
    <tableColumn id="54" xr3:uid="{30242145-E2C8-4726-AB64-BD6C4DEEF4AD}" name="Place URL" dataDxfId="30" dataCellStyle="Normal"/>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108">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Z990" totalsRowShown="0" headerRowDxfId="157" dataDxfId="74">
  <autoFilter ref="A2:AZ990" xr:uid="{00000000-0009-0000-0100-000002000000}"/>
  <tableColumns count="52">
    <tableColumn id="1" xr3:uid="{00000000-0010-0000-0100-000001000000}" name="Vertex" dataDxfId="96" dataCellStyle="NodeXL Required"/>
    <tableColumn id="2" xr3:uid="{00000000-0010-0000-0100-000002000000}" name="Color" dataDxfId="95" dataCellStyle="NodeXL Visual Property"/>
    <tableColumn id="5" xr3:uid="{00000000-0010-0000-0100-000005000000}" name="Shape" dataDxfId="94" dataCellStyle="NodeXL Visual Property"/>
    <tableColumn id="6" xr3:uid="{00000000-0010-0000-0100-000006000000}" name="Size" dataDxfId="93" dataCellStyle="NodeXL Visual Property"/>
    <tableColumn id="4" xr3:uid="{00000000-0010-0000-0100-000004000000}" name="Opacity" dataDxfId="9" dataCellStyle="NodeXL Visual Property"/>
    <tableColumn id="7" xr3:uid="{00000000-0010-0000-0100-000007000000}" name="Image File" dataDxfId="7" dataCellStyle="NodeXL Visual Property"/>
    <tableColumn id="3" xr3:uid="{00000000-0010-0000-0100-000003000000}" name="Visibility" dataDxfId="8" dataCellStyle="NodeXL Visual Property"/>
    <tableColumn id="10" xr3:uid="{00000000-0010-0000-0100-00000A000000}" name="Label" dataDxfId="92" dataCellStyle="NodeXL Label"/>
    <tableColumn id="16" xr3:uid="{00000000-0010-0000-0100-000010000000}" name="Label Fill Color" dataDxfId="91" dataCellStyle="NodeXL Label"/>
    <tableColumn id="9" xr3:uid="{00000000-0010-0000-0100-000009000000}" name="Label Position" dataDxfId="2" dataCellStyle="NodeXL Label"/>
    <tableColumn id="8" xr3:uid="{00000000-0010-0000-0100-000008000000}" name="Tooltip" dataDxfId="0" dataCellStyle="NodeXL Label"/>
    <tableColumn id="18" xr3:uid="{00000000-0010-0000-0100-000012000000}" name="Layout Order" dataDxfId="1" dataCellStyle="NodeXL Layout"/>
    <tableColumn id="13" xr3:uid="{00000000-0010-0000-0100-00000D000000}" name="X" dataDxfId="90" dataCellStyle="NodeXL Layout"/>
    <tableColumn id="14" xr3:uid="{00000000-0010-0000-0100-00000E000000}" name="Y" dataDxfId="89" dataCellStyle="NodeXL Layout"/>
    <tableColumn id="12" xr3:uid="{00000000-0010-0000-0100-00000C000000}" name="Locked?" dataDxfId="88" dataCellStyle="NodeXL Layout"/>
    <tableColumn id="19" xr3:uid="{00000000-0010-0000-0100-000013000000}" name="Polar R" dataDxfId="87" dataCellStyle="NodeXL Layout"/>
    <tableColumn id="20" xr3:uid="{00000000-0010-0000-0100-000014000000}" name="Polar Angle" dataDxfId="86" dataCellStyle="NodeXL Layout"/>
    <tableColumn id="21" xr3:uid="{00000000-0010-0000-0100-000015000000}" name="Degree" dataDxfId="85" dataCellStyle="NodeXL Graph Metric"/>
    <tableColumn id="22" xr3:uid="{00000000-0010-0000-0100-000016000000}" name="In-Degree" dataDxfId="84" dataCellStyle="NodeXL Graph Metric"/>
    <tableColumn id="23" xr3:uid="{00000000-0010-0000-0100-000017000000}" name="Out-Degree" dataDxfId="83" dataCellStyle="NodeXL Graph Metric"/>
    <tableColumn id="24" xr3:uid="{00000000-0010-0000-0100-000018000000}" name="Betweenness Centrality" dataDxfId="82" dataCellStyle="NodeXL Graph Metric"/>
    <tableColumn id="25" xr3:uid="{00000000-0010-0000-0100-000019000000}" name="Closeness Centrality" dataDxfId="81" dataCellStyle="NodeXL Graph Metric"/>
    <tableColumn id="26" xr3:uid="{00000000-0010-0000-0100-00001A000000}" name="Eigenvector Centrality" dataDxfId="80" dataCellStyle="NodeXL Graph Metric"/>
    <tableColumn id="15" xr3:uid="{00000000-0010-0000-0100-00000F000000}" name="PageRank" dataDxfId="79" dataCellStyle="NodeXL Graph Metric"/>
    <tableColumn id="27" xr3:uid="{00000000-0010-0000-0100-00001B000000}" name="Clustering Coefficient" dataDxfId="78" dataCellStyle="NodeXL Graph Metric"/>
    <tableColumn id="29" xr3:uid="{00000000-0010-0000-0100-00001D000000}" name="Reciprocated Vertex Pair Ratio" dataDxfId="77" dataCellStyle="NodeXL Graph Metric"/>
    <tableColumn id="11" xr3:uid="{00000000-0010-0000-0100-00000B000000}" name="ID" dataDxfId="76" dataCellStyle="NodeXL Do Not Edit"/>
    <tableColumn id="28" xr3:uid="{00000000-0010-0000-0100-00001C000000}" name="Dynamic Filter" dataDxfId="75" dataCellStyle="NodeXL Do Not Edit"/>
    <tableColumn id="17" xr3:uid="{00000000-0010-0000-0100-000011000000}" name="Add Your Own Columns Here" dataDxfId="29" dataCellStyle="NodeXL Other Column"/>
    <tableColumn id="30" xr3:uid="{FB1D7274-5472-4B6E-A514-6C42E459A033}" name="Name" dataDxfId="28" dataCellStyle="Normal"/>
    <tableColumn id="31" xr3:uid="{5D6ECD42-E832-4E5A-84E3-E72C91EA58DE}" name="User ID" dataDxfId="27" dataCellStyle="Normal"/>
    <tableColumn id="32" xr3:uid="{AD841801-2562-4595-A28C-23ABE6D4FE07}" name="Followed" dataDxfId="26" dataCellStyle="Normal"/>
    <tableColumn id="33" xr3:uid="{4319CF10-CBE8-406C-9053-C13160BFF4B8}" name="Followers" dataDxfId="25" dataCellStyle="Normal"/>
    <tableColumn id="34" xr3:uid="{63E51161-86A4-4165-AC31-675E24F5D2B7}" name="Tweets" dataDxfId="24" dataCellStyle="Normal"/>
    <tableColumn id="35" xr3:uid="{290FB6A2-67FB-4D93-B0EE-FEC05795E797}" name="Favorites" dataDxfId="23" dataCellStyle="Normal"/>
    <tableColumn id="36" xr3:uid="{8F264DBB-DBAF-4CEB-9708-5B09C2B20910}" name="Time Zone UTC Offset (Seconds)" dataDxfId="22" dataCellStyle="Normal"/>
    <tableColumn id="37" xr3:uid="{EF6DF1A1-DC02-481A-B276-2E1D83B92758}" name="Description" dataDxfId="21" dataCellStyle="Normal"/>
    <tableColumn id="38" xr3:uid="{01308692-4358-4ED6-929D-997F6B338EA9}" name="Location" dataDxfId="20" dataCellStyle="Normal"/>
    <tableColumn id="39" xr3:uid="{ABF73CBC-AD1F-4EFE-9270-1563EF0A1F9C}" name="Web" dataDxfId="19" dataCellStyle="Normal"/>
    <tableColumn id="40" xr3:uid="{33EC6F3A-504B-4BFB-B901-B4D935447B9C}" name="Time Zone" dataDxfId="18" dataCellStyle="Normal"/>
    <tableColumn id="41" xr3:uid="{D20B3B59-FEC6-4021-8DD3-9DDF57E1849D}" name="Joined Twitter Date (UTC)" dataDxfId="17" dataCellStyle="Normal"/>
    <tableColumn id="42" xr3:uid="{EBC0A349-849A-49C8-BB9C-D694419ADFDB}" name="Profile Banner Url" dataDxfId="16" dataCellStyle="Normal"/>
    <tableColumn id="43" xr3:uid="{A67FDD85-1465-4A11-A629-4C9D729E7D37}" name="Default Profile" dataDxfId="15" dataCellStyle="Normal"/>
    <tableColumn id="44" xr3:uid="{FE47D3BA-83C6-4122-BF02-D7058477D1C4}" name="Default Profile Image" dataDxfId="14" dataCellStyle="Normal"/>
    <tableColumn id="45" xr3:uid="{89BD28FF-C555-40B2-9258-2D0A8DF724B1}" name="Geo Enabled" dataDxfId="13" dataCellStyle="Normal"/>
    <tableColumn id="46" xr3:uid="{99A5C6D9-8047-4C82-9F8F-9D1272BCDC1A}" name="Language" dataDxfId="12" dataCellStyle="Normal"/>
    <tableColumn id="47" xr3:uid="{8DB3D281-5A8A-4C63-ABCC-5929FFC43A48}" name="Listed Count" dataDxfId="11" dataCellStyle="Normal"/>
    <tableColumn id="48" xr3:uid="{223AF9CC-2ECF-4A63-968C-B11C46D2D35B}" name="Profile Background Image Url" dataDxfId="10" dataCellStyle="Normal"/>
    <tableColumn id="49" xr3:uid="{341097A9-391C-4818-AE20-68F21D8DAEC5}" name="Verified" dataDxfId="6" dataCellStyle="Normal"/>
    <tableColumn id="50" xr3:uid="{EDD88753-88B5-48FD-922F-D5F5884B15B9}" name="Custom Menu Item Text" dataDxfId="5" dataCellStyle="Normal"/>
    <tableColumn id="51" xr3:uid="{8073A9BE-F5B2-45C2-9638-9837A8FA0976}" name="Custom Menu Item Action" dataDxfId="4" dataCellStyle="Normal"/>
    <tableColumn id="52" xr3:uid="{9F8D8C43-90C6-4384-B49E-8CC8FFAA7C90}" name="Tweeted Search Term?" dataDxfId="3" dataCellStyle="Normal"/>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156">
  <autoFilter ref="A2:X3" xr:uid="{00000000-0009-0000-0100-000004000000}"/>
  <tableColumns count="24">
    <tableColumn id="1" xr3:uid="{00000000-0010-0000-0200-000001000000}" name="Group" dataDxfId="155" dataCellStyle="NodeXL Required"/>
    <tableColumn id="2" xr3:uid="{00000000-0010-0000-0200-000002000000}" name="Vertex Color" dataDxfId="154" dataCellStyle="NodeXL Visual Property"/>
    <tableColumn id="3" xr3:uid="{00000000-0010-0000-0200-000003000000}" name="Vertex Shape" dataDxfId="153" dataCellStyle="NodeXL Visual Property"/>
    <tableColumn id="22" xr3:uid="{00000000-0010-0000-0200-000016000000}" name="Visibility" dataDxfId="152" dataCellStyle="NodeXL Visual Property"/>
    <tableColumn id="4" xr3:uid="{00000000-0010-0000-0200-000004000000}" name="Collapsed?" dataCellStyle="NodeXL Visual Property"/>
    <tableColumn id="18" xr3:uid="{00000000-0010-0000-0200-000012000000}" name="Label" dataDxfId="151"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150" dataCellStyle="NodeXL Do Not Edit"/>
    <tableColumn id="19" xr3:uid="{00000000-0010-0000-0200-000013000000}" name="Collapsed Properties" dataDxfId="149" dataCellStyle="NodeXL Do Not Edit"/>
    <tableColumn id="5" xr3:uid="{00000000-0010-0000-0200-000005000000}" name="Vertices" dataDxfId="148" dataCellStyle="NodeXL Graph Metric"/>
    <tableColumn id="7" xr3:uid="{00000000-0010-0000-0200-000007000000}" name="Unique Edges" dataDxfId="147" dataCellStyle="NodeXL Graph Metric"/>
    <tableColumn id="8" xr3:uid="{00000000-0010-0000-0200-000008000000}" name="Edges With Duplicates" dataDxfId="146" dataCellStyle="NodeXL Graph Metric"/>
    <tableColumn id="9" xr3:uid="{00000000-0010-0000-0200-000009000000}" name="Total Edges" dataDxfId="145" dataCellStyle="NodeXL Graph Metric"/>
    <tableColumn id="10" xr3:uid="{00000000-0010-0000-0200-00000A000000}" name="Self-Loops" dataDxfId="144" dataCellStyle="NodeXL Graph Metric"/>
    <tableColumn id="24" xr3:uid="{00000000-0010-0000-0200-000018000000}" name="Reciprocated Vertex Pair Ratio" dataDxfId="143" dataCellStyle="NodeXL Graph Metric"/>
    <tableColumn id="25" xr3:uid="{00000000-0010-0000-0200-000019000000}" name="Reciprocated Edge Ratio" dataDxfId="142" dataCellStyle="NodeXL Graph Metric"/>
    <tableColumn id="11" xr3:uid="{00000000-0010-0000-0200-00000B000000}" name="Connected Components" dataDxfId="141" dataCellStyle="NodeXL Graph Metric"/>
    <tableColumn id="12" xr3:uid="{00000000-0010-0000-0200-00000C000000}" name="Single-Vertex Connected Components" dataDxfId="140" dataCellStyle="NodeXL Graph Metric"/>
    <tableColumn id="13" xr3:uid="{00000000-0010-0000-0200-00000D000000}" name="Maximum Vertices in a Connected Component" dataDxfId="139" dataCellStyle="NodeXL Graph Metric"/>
    <tableColumn id="14" xr3:uid="{00000000-0010-0000-0200-00000E000000}" name="Maximum Edges in a Connected Component" dataDxfId="138" dataCellStyle="NodeXL Graph Metric"/>
    <tableColumn id="15" xr3:uid="{00000000-0010-0000-0200-00000F000000}" name="Maximum Geodesic Distance (Diameter)" dataDxfId="137" dataCellStyle="NodeXL Graph Metric"/>
    <tableColumn id="16" xr3:uid="{00000000-0010-0000-0200-000010000000}" name="Average Geodesic Distance" dataDxfId="136" dataCellStyle="NodeXL Graph Metric"/>
    <tableColumn id="17" xr3:uid="{00000000-0010-0000-0200-000011000000}" name="Graph Density" dataDxfId="135"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134" dataDxfId="133">
  <autoFilter ref="A1:C2" xr:uid="{00000000-0009-0000-0100-000005000000}"/>
  <tableColumns count="3">
    <tableColumn id="1" xr3:uid="{00000000-0010-0000-0300-000001000000}" name="Group" dataDxfId="132"/>
    <tableColumn id="2" xr3:uid="{00000000-0010-0000-0300-000002000000}" name="Vertex" dataDxfId="131"/>
    <tableColumn id="3" xr3:uid="{00000000-0010-0000-0300-000003000000}" name="Vertex ID" dataDxfId="130"/>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 insertRow="1" totalsRowShown="0" dataCellStyle="NodeXL Graph Metric">
  <autoFilter ref="A1:B2" xr:uid="{00000000-0009-0000-0100-000006000000}"/>
  <tableColumns count="2">
    <tableColumn id="1" xr3:uid="{00000000-0010-0000-0400-000001000000}" name="Graph Metric" dataDxfId="129" dataCellStyle="NodeXL Graph Metric"/>
    <tableColumn id="2" xr3:uid="{00000000-0010-0000-0400-000002000000}" name="Value" dataDxfId="128"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36" totalsRowShown="0">
  <autoFilter ref="D1:U36" xr:uid="{00000000-0009-0000-0100-000003000000}"/>
  <tableColumns count="18">
    <tableColumn id="1" xr3:uid="{00000000-0010-0000-0500-000001000000}" name="Degree Bin" dataDxfId="127"/>
    <tableColumn id="2" xr3:uid="{00000000-0010-0000-0500-000002000000}" name="Degree Frequency" dataDxfId="126">
      <calculatedColumnFormula>COUNTIF(Vertices[Degree], "&gt;= " &amp; D2) - COUNTIF(Vertices[Degree], "&gt;=" &amp; D3)</calculatedColumnFormula>
    </tableColumn>
    <tableColumn id="3" xr3:uid="{00000000-0010-0000-0500-000003000000}" name="In-Degree Bin" dataDxfId="125"/>
    <tableColumn id="4" xr3:uid="{00000000-0010-0000-0500-000004000000}" name="In-Degree Frequency" dataDxfId="124">
      <calculatedColumnFormula>COUNTIF(Vertices[In-Degree], "&gt;= " &amp; F2) - COUNTIF(Vertices[In-Degree], "&gt;=" &amp; F3)</calculatedColumnFormula>
    </tableColumn>
    <tableColumn id="5" xr3:uid="{00000000-0010-0000-0500-000005000000}" name="Out-Degree Bin" dataDxfId="123"/>
    <tableColumn id="6" xr3:uid="{00000000-0010-0000-0500-000006000000}" name="Out-Degree Frequency" dataDxfId="122">
      <calculatedColumnFormula>COUNTIF(Vertices[Out-Degree], "&gt;= " &amp; H2) - COUNTIF(Vertices[Out-Degree], "&gt;=" &amp; H3)</calculatedColumnFormula>
    </tableColumn>
    <tableColumn id="7" xr3:uid="{00000000-0010-0000-0500-000007000000}" name="Betweenness Centrality Bin" dataDxfId="121"/>
    <tableColumn id="8" xr3:uid="{00000000-0010-0000-0500-000008000000}" name="Betweenness Centrality Frequency" dataDxfId="120">
      <calculatedColumnFormula>COUNTIF(Vertices[Betweenness Centrality], "&gt;= " &amp; J2) - COUNTIF(Vertices[Betweenness Centrality], "&gt;=" &amp; J3)</calculatedColumnFormula>
    </tableColumn>
    <tableColumn id="9" xr3:uid="{00000000-0010-0000-0500-000009000000}" name="Closeness Centrality Bin" dataDxfId="119"/>
    <tableColumn id="10" xr3:uid="{00000000-0010-0000-0500-00000A000000}" name="Closeness Centrality Frequency" dataDxfId="118">
      <calculatedColumnFormula>COUNTIF(Vertices[Closeness Centrality], "&gt;= " &amp; L2) - COUNTIF(Vertices[Closeness Centrality], "&gt;=" &amp; L3)</calculatedColumnFormula>
    </tableColumn>
    <tableColumn id="11" xr3:uid="{00000000-0010-0000-0500-00000B000000}" name="Eigenvector Centrality Bin" dataDxfId="117"/>
    <tableColumn id="12" xr3:uid="{00000000-0010-0000-0500-00000C000000}" name="Eigenvector Centrality Frequency" dataDxfId="116">
      <calculatedColumnFormula>COUNTIF(Vertices[Eigenvector Centrality], "&gt;= " &amp; N2) - COUNTIF(Vertices[Eigenvector Centrality], "&gt;=" &amp; N3)</calculatedColumnFormula>
    </tableColumn>
    <tableColumn id="18" xr3:uid="{00000000-0010-0000-0500-000012000000}" name="PageRank Bin" dataDxfId="115"/>
    <tableColumn id="17" xr3:uid="{00000000-0010-0000-0500-000011000000}" name="PageRank Frequency" dataDxfId="114">
      <calculatedColumnFormula>COUNTIF(Vertices[Eigenvector Centrality], "&gt;= " &amp; P2) - COUNTIF(Vertices[Eigenvector Centrality], "&gt;=" &amp; P3)</calculatedColumnFormula>
    </tableColumn>
    <tableColumn id="13" xr3:uid="{00000000-0010-0000-0500-00000D000000}" name="Clustering Coefficient Bin" dataDxfId="113"/>
    <tableColumn id="14" xr3:uid="{00000000-0010-0000-0500-00000E000000}" name="Clustering Coefficient Frequency" dataDxfId="112">
      <calculatedColumnFormula>COUNTIF(Vertices[Clustering Coefficient], "&gt;= " &amp; R2) - COUNTIF(Vertices[Clustering Coefficient], "&gt;=" &amp; R3)</calculatedColumnFormula>
    </tableColumn>
    <tableColumn id="15" xr3:uid="{00000000-0010-0000-0500-00000F000000}" name="Dynamic Filter Bin" dataDxfId="111"/>
    <tableColumn id="16" xr3:uid="{00000000-0010-0000-0500-000010000000}" name="Dynamic Filter Frequency" dataDxfId="110">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53:B54" insertRow="1" totalsRowShown="0" dataCellStyle="NodeXL Graph Metric">
  <autoFilter ref="A53:B54"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8" totalsRowShown="0" headerRowDxfId="109">
  <autoFilter ref="J1:K8"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B1320"/>
  <sheetViews>
    <sheetView tabSelected="1" workbookViewId="0">
      <pane xSplit="2" ySplit="2" topLeftCell="C3" activePane="bottomRight" state="frozen"/>
      <selection pane="topRight" activeCell="C1" sqref="C1"/>
      <selection pane="bottomLeft" activeCell="A3" sqref="A3"/>
      <selection pane="bottomRight" activeCell="Q10" sqref="Q10"/>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hidden="1" customWidth="1"/>
    <col min="12" max="12" width="11" hidden="1" customWidth="1"/>
    <col min="13" max="13" width="10.81640625" hidden="1" customWidth="1"/>
    <col min="14" max="14" width="16" bestFit="1" customWidth="1"/>
    <col min="15" max="15" width="12.26953125" bestFit="1" customWidth="1"/>
    <col min="16" max="16" width="13.36328125" bestFit="1" customWidth="1"/>
    <col min="17" max="17" width="8.1796875" bestFit="1" customWidth="1"/>
    <col min="18" max="18" width="9.08984375" bestFit="1" customWidth="1"/>
    <col min="19" max="19" width="12.453125" bestFit="1" customWidth="1"/>
    <col min="20" max="20" width="12.6328125" bestFit="1" customWidth="1"/>
    <col min="21" max="21" width="10.36328125" bestFit="1" customWidth="1"/>
    <col min="22" max="22" width="13.7265625" bestFit="1" customWidth="1"/>
    <col min="23" max="23" width="12.54296875" bestFit="1" customWidth="1"/>
    <col min="24" max="24" width="7" bestFit="1" customWidth="1"/>
    <col min="25" max="25" width="7.1796875" bestFit="1" customWidth="1"/>
    <col min="26" max="26" width="13.36328125" bestFit="1" customWidth="1"/>
    <col min="27" max="27" width="9.81640625" bestFit="1" customWidth="1"/>
    <col min="28" max="28" width="11.26953125" bestFit="1" customWidth="1"/>
    <col min="29" max="29" width="13.1796875" bestFit="1" customWidth="1"/>
    <col min="30" max="30" width="12.6328125" bestFit="1" customWidth="1"/>
    <col min="31" max="31" width="10.90625" bestFit="1" customWidth="1"/>
    <col min="32" max="32" width="9.81640625" bestFit="1" customWidth="1"/>
    <col min="33" max="33" width="12.6328125" bestFit="1" customWidth="1"/>
    <col min="34" max="34" width="10.08984375" bestFit="1" customWidth="1"/>
    <col min="35" max="35" width="10.90625" bestFit="1" customWidth="1"/>
    <col min="36" max="36" width="10.36328125" bestFit="1" customWidth="1"/>
    <col min="37" max="37" width="10.453125" bestFit="1" customWidth="1"/>
    <col min="38" max="38" width="12" bestFit="1" customWidth="1"/>
    <col min="39" max="39" width="9.90625" bestFit="1" customWidth="1"/>
    <col min="40" max="40" width="12.1796875" bestFit="1" customWidth="1"/>
    <col min="42" max="42" width="11.54296875" bestFit="1" customWidth="1"/>
    <col min="43" max="43" width="11.26953125" bestFit="1" customWidth="1"/>
    <col min="44" max="44" width="12.6328125" bestFit="1" customWidth="1"/>
    <col min="45" max="45" width="19.453125" bestFit="1" customWidth="1"/>
    <col min="46" max="46" width="18.1796875" bestFit="1" customWidth="1"/>
    <col min="47" max="47" width="15.81640625" bestFit="1" customWidth="1"/>
    <col min="48" max="48" width="9.7265625" bestFit="1" customWidth="1"/>
    <col min="49" max="49" width="14.453125" bestFit="1" customWidth="1"/>
    <col min="50" max="50" width="10.7265625" bestFit="1" customWidth="1"/>
    <col min="51" max="51" width="9.6328125" bestFit="1" customWidth="1"/>
    <col min="52" max="52" width="8" bestFit="1" customWidth="1"/>
    <col min="53" max="53" width="7.36328125" bestFit="1" customWidth="1"/>
    <col min="54" max="54" width="11" bestFit="1" customWidth="1"/>
  </cols>
  <sheetData>
    <row r="1" spans="1:54" x14ac:dyDescent="0.35">
      <c r="C1" s="18" t="s">
        <v>39</v>
      </c>
      <c r="D1" s="19"/>
      <c r="E1" s="19"/>
      <c r="F1" s="19"/>
      <c r="G1" s="18"/>
      <c r="H1" s="16" t="s">
        <v>43</v>
      </c>
      <c r="I1" s="54"/>
      <c r="J1" s="54"/>
      <c r="K1" s="35" t="s">
        <v>42</v>
      </c>
      <c r="L1" s="20" t="s">
        <v>40</v>
      </c>
      <c r="M1" s="20"/>
      <c r="N1" s="17" t="s">
        <v>41</v>
      </c>
    </row>
    <row r="2" spans="1:54" ht="30" customHeight="1" x14ac:dyDescent="0.3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c r="AA2" s="13" t="s">
        <v>189</v>
      </c>
      <c r="AB2" s="13" t="s">
        <v>190</v>
      </c>
      <c r="AC2" s="13" t="s">
        <v>191</v>
      </c>
      <c r="AD2" s="13" t="s">
        <v>192</v>
      </c>
      <c r="AE2" s="13" t="s">
        <v>193</v>
      </c>
      <c r="AF2" s="13" t="s">
        <v>194</v>
      </c>
      <c r="AG2" s="13" t="s">
        <v>195</v>
      </c>
      <c r="AH2" s="13" t="s">
        <v>196</v>
      </c>
      <c r="AI2" s="13" t="s">
        <v>197</v>
      </c>
      <c r="AJ2" s="13" t="s">
        <v>198</v>
      </c>
      <c r="AK2" s="13" t="s">
        <v>199</v>
      </c>
      <c r="AL2" s="13" t="s">
        <v>200</v>
      </c>
      <c r="AM2" s="13" t="s">
        <v>201</v>
      </c>
      <c r="AN2" s="13" t="s">
        <v>202</v>
      </c>
      <c r="AO2" s="13" t="s">
        <v>203</v>
      </c>
      <c r="AP2" s="13" t="s">
        <v>204</v>
      </c>
      <c r="AQ2" s="13" t="s">
        <v>205</v>
      </c>
      <c r="AR2" s="13" t="s">
        <v>206</v>
      </c>
      <c r="AS2" s="13" t="s">
        <v>207</v>
      </c>
      <c r="AT2" s="13" t="s">
        <v>208</v>
      </c>
      <c r="AU2" s="13" t="s">
        <v>209</v>
      </c>
      <c r="AV2" s="13" t="s">
        <v>210</v>
      </c>
      <c r="AW2" s="13" t="s">
        <v>211</v>
      </c>
      <c r="AX2" s="13" t="s">
        <v>212</v>
      </c>
      <c r="AY2" s="13" t="s">
        <v>213</v>
      </c>
      <c r="AZ2" s="13" t="s">
        <v>214</v>
      </c>
      <c r="BA2" s="13" t="s">
        <v>215</v>
      </c>
      <c r="BB2" s="13" t="s">
        <v>216</v>
      </c>
    </row>
    <row r="3" spans="1:54" ht="15" customHeight="1" x14ac:dyDescent="0.35">
      <c r="A3" s="66" t="s">
        <v>993</v>
      </c>
      <c r="B3" s="66" t="s">
        <v>993</v>
      </c>
      <c r="C3" s="67"/>
      <c r="D3" s="68"/>
      <c r="E3" s="69"/>
      <c r="F3" s="70"/>
      <c r="G3" s="67"/>
      <c r="H3" s="71"/>
      <c r="I3" s="72"/>
      <c r="J3" s="72"/>
      <c r="K3" s="36"/>
      <c r="L3" s="73"/>
      <c r="M3" s="73"/>
      <c r="N3" s="74"/>
      <c r="O3" s="80" t="s">
        <v>179</v>
      </c>
      <c r="P3" s="82">
        <v>44457.84269675926</v>
      </c>
      <c r="Q3" s="13" t="s">
        <v>1720</v>
      </c>
      <c r="R3" s="84" t="str">
        <f>HYPERLINK("https://kerjha.com/pos-indonesia-gandeng-nujek-dan-perkenalkan-o-ranger-mawar/")</f>
        <v>https://kerjha.com/pos-indonesia-gandeng-nujek-dan-perkenalkan-o-ranger-mawar/</v>
      </c>
      <c r="S3" s="80" t="s">
        <v>1735</v>
      </c>
      <c r="T3" s="86" t="s">
        <v>1790</v>
      </c>
      <c r="U3" s="80"/>
      <c r="V3" s="84" t="str">
        <f>HYPERLINK("https://pbs.twimg.com/profile_images/1103610784930619393/Sr97_Oib_normal.jpg")</f>
        <v>https://pbs.twimg.com/profile_images/1103610784930619393/Sr97_Oib_normal.jpg</v>
      </c>
      <c r="W3" s="82">
        <v>44457.84269675926</v>
      </c>
      <c r="X3" s="88">
        <v>44457</v>
      </c>
      <c r="Y3" s="86" t="s">
        <v>2710</v>
      </c>
      <c r="Z3" s="84" t="str">
        <f>HYPERLINK("https://twitter.com/mamavanenbas/status/1439321699283976194")</f>
        <v>https://twitter.com/mamavanenbas/status/1439321699283976194</v>
      </c>
      <c r="AA3" s="80"/>
      <c r="AB3" s="80"/>
      <c r="AC3" s="86" t="s">
        <v>3640</v>
      </c>
      <c r="AD3" s="80"/>
      <c r="AE3" s="80" t="b">
        <v>0</v>
      </c>
      <c r="AF3" s="80">
        <v>0</v>
      </c>
      <c r="AG3" s="86" t="s">
        <v>3875</v>
      </c>
      <c r="AH3" s="80" t="b">
        <v>0</v>
      </c>
      <c r="AI3" s="80" t="s">
        <v>4092</v>
      </c>
      <c r="AJ3" s="80"/>
      <c r="AK3" s="86" t="s">
        <v>3875</v>
      </c>
      <c r="AL3" s="80" t="b">
        <v>0</v>
      </c>
      <c r="AM3" s="80">
        <v>0</v>
      </c>
      <c r="AN3" s="86" t="s">
        <v>3875</v>
      </c>
      <c r="AO3" s="86" t="s">
        <v>4109</v>
      </c>
      <c r="AP3" s="80" t="b">
        <v>0</v>
      </c>
      <c r="AQ3" s="86" t="s">
        <v>3640</v>
      </c>
      <c r="AR3" s="80" t="s">
        <v>179</v>
      </c>
      <c r="AS3" s="80">
        <v>0</v>
      </c>
      <c r="AT3" s="80">
        <v>0</v>
      </c>
      <c r="AU3" s="80"/>
      <c r="AV3" s="80"/>
      <c r="AW3" s="80"/>
      <c r="AX3" s="80"/>
      <c r="AY3" s="80"/>
      <c r="AZ3" s="80"/>
      <c r="BA3" s="80"/>
      <c r="BB3" s="80"/>
    </row>
    <row r="4" spans="1:54" ht="15" customHeight="1" x14ac:dyDescent="0.35">
      <c r="A4" s="66" t="s">
        <v>217</v>
      </c>
      <c r="B4" s="66" t="s">
        <v>285</v>
      </c>
      <c r="C4" s="67"/>
      <c r="D4" s="68"/>
      <c r="E4" s="69"/>
      <c r="F4" s="70"/>
      <c r="G4" s="67"/>
      <c r="H4" s="71"/>
      <c r="I4" s="72"/>
      <c r="J4" s="72"/>
      <c r="K4" s="36"/>
      <c r="L4" s="79"/>
      <c r="M4" s="79"/>
      <c r="N4" s="74"/>
      <c r="O4" s="81" t="s">
        <v>1205</v>
      </c>
      <c r="P4" s="83">
        <v>44457.934201388889</v>
      </c>
      <c r="Q4" s="81" t="s">
        <v>1209</v>
      </c>
      <c r="R4" s="81"/>
      <c r="S4" s="81"/>
      <c r="T4" s="81"/>
      <c r="U4" s="85" t="str">
        <f>HYPERLINK("https://pbs.twimg.com/media/E_ka53YUcAI5YAw.jpg")</f>
        <v>https://pbs.twimg.com/media/E_ka53YUcAI5YAw.jpg</v>
      </c>
      <c r="V4" s="85" t="str">
        <f>HYPERLINK("https://pbs.twimg.com/media/E_ka53YUcAI5YAw.jpg")</f>
        <v>https://pbs.twimg.com/media/E_ka53YUcAI5YAw.jpg</v>
      </c>
      <c r="W4" s="83">
        <v>44457.934201388889</v>
      </c>
      <c r="X4" s="89">
        <v>44457</v>
      </c>
      <c r="Y4" s="87" t="s">
        <v>1791</v>
      </c>
      <c r="Z4" s="85" t="str">
        <f>HYPERLINK("https://twitter.com/tigre12capitale/status/1439354862349651968")</f>
        <v>https://twitter.com/tigre12capitale/status/1439354862349651968</v>
      </c>
      <c r="AA4" s="81"/>
      <c r="AB4" s="81"/>
      <c r="AC4" s="87" t="s">
        <v>2711</v>
      </c>
      <c r="AD4" s="81"/>
      <c r="AE4" s="81" t="b">
        <v>0</v>
      </c>
      <c r="AF4" s="81">
        <v>0</v>
      </c>
      <c r="AG4" s="87" t="s">
        <v>3875</v>
      </c>
      <c r="AH4" s="81" t="b">
        <v>0</v>
      </c>
      <c r="AI4" s="81" t="s">
        <v>4092</v>
      </c>
      <c r="AJ4" s="81"/>
      <c r="AK4" s="87" t="s">
        <v>3875</v>
      </c>
      <c r="AL4" s="81" t="b">
        <v>0</v>
      </c>
      <c r="AM4" s="81">
        <v>3</v>
      </c>
      <c r="AN4" s="87" t="s">
        <v>2790</v>
      </c>
      <c r="AO4" s="87" t="s">
        <v>4109</v>
      </c>
      <c r="AP4" s="81" t="b">
        <v>0</v>
      </c>
      <c r="AQ4" s="87" t="s">
        <v>2790</v>
      </c>
      <c r="AR4" s="81" t="s">
        <v>179</v>
      </c>
      <c r="AS4" s="81">
        <v>0</v>
      </c>
      <c r="AT4" s="81">
        <v>0</v>
      </c>
      <c r="AU4" s="81"/>
      <c r="AV4" s="81"/>
      <c r="AW4" s="81"/>
      <c r="AX4" s="81"/>
      <c r="AY4" s="81"/>
      <c r="AZ4" s="81"/>
      <c r="BA4" s="81"/>
      <c r="BB4" s="81"/>
    </row>
    <row r="5" spans="1:54" x14ac:dyDescent="0.35">
      <c r="A5" s="66" t="s">
        <v>217</v>
      </c>
      <c r="B5" s="66" t="s">
        <v>285</v>
      </c>
      <c r="C5" s="67"/>
      <c r="D5" s="68"/>
      <c r="E5" s="69"/>
      <c r="F5" s="70"/>
      <c r="G5" s="67"/>
      <c r="H5" s="71"/>
      <c r="I5" s="72"/>
      <c r="J5" s="72"/>
      <c r="K5" s="36"/>
      <c r="L5" s="79"/>
      <c r="M5" s="79"/>
      <c r="N5" s="74"/>
      <c r="O5" s="81" t="s">
        <v>1205</v>
      </c>
      <c r="P5" s="83">
        <v>44457.934247685182</v>
      </c>
      <c r="Q5" s="81" t="s">
        <v>1210</v>
      </c>
      <c r="R5" s="81"/>
      <c r="S5" s="81"/>
      <c r="T5" s="81"/>
      <c r="U5" s="81"/>
      <c r="V5" s="85" t="str">
        <f>HYPERLINK("https://pbs.twimg.com/profile_images/1379940782132453376/WAPxRo-5_normal.jpg")</f>
        <v>https://pbs.twimg.com/profile_images/1379940782132453376/WAPxRo-5_normal.jpg</v>
      </c>
      <c r="W5" s="83">
        <v>44457.934247685182</v>
      </c>
      <c r="X5" s="89">
        <v>44457</v>
      </c>
      <c r="Y5" s="87" t="s">
        <v>1792</v>
      </c>
      <c r="Z5" s="85" t="str">
        <f>HYPERLINK("https://twitter.com/tigre12capitale/status/1439354877868605442")</f>
        <v>https://twitter.com/tigre12capitale/status/1439354877868605442</v>
      </c>
      <c r="AA5" s="81"/>
      <c r="AB5" s="81"/>
      <c r="AC5" s="87" t="s">
        <v>2712</v>
      </c>
      <c r="AD5" s="81"/>
      <c r="AE5" s="81" t="b">
        <v>0</v>
      </c>
      <c r="AF5" s="81">
        <v>0</v>
      </c>
      <c r="AG5" s="87" t="s">
        <v>3875</v>
      </c>
      <c r="AH5" s="81" t="b">
        <v>0</v>
      </c>
      <c r="AI5" s="81" t="s">
        <v>4092</v>
      </c>
      <c r="AJ5" s="81"/>
      <c r="AK5" s="87" t="s">
        <v>3875</v>
      </c>
      <c r="AL5" s="81" t="b">
        <v>0</v>
      </c>
      <c r="AM5" s="81">
        <v>2</v>
      </c>
      <c r="AN5" s="87" t="s">
        <v>2789</v>
      </c>
      <c r="AO5" s="87" t="s">
        <v>4109</v>
      </c>
      <c r="AP5" s="81" t="b">
        <v>0</v>
      </c>
      <c r="AQ5" s="87" t="s">
        <v>2789</v>
      </c>
      <c r="AR5" s="81" t="s">
        <v>179</v>
      </c>
      <c r="AS5" s="81">
        <v>0</v>
      </c>
      <c r="AT5" s="81">
        <v>0</v>
      </c>
      <c r="AU5" s="81"/>
      <c r="AV5" s="81"/>
      <c r="AW5" s="81"/>
      <c r="AX5" s="81"/>
      <c r="AY5" s="81"/>
      <c r="AZ5" s="81"/>
      <c r="BA5" s="81"/>
      <c r="BB5" s="81"/>
    </row>
    <row r="6" spans="1:54" x14ac:dyDescent="0.35">
      <c r="A6" s="66" t="s">
        <v>218</v>
      </c>
      <c r="B6" s="66" t="s">
        <v>218</v>
      </c>
      <c r="C6" s="67"/>
      <c r="D6" s="68"/>
      <c r="E6" s="69"/>
      <c r="F6" s="70"/>
      <c r="G6" s="67"/>
      <c r="H6" s="71"/>
      <c r="I6" s="72"/>
      <c r="J6" s="72"/>
      <c r="K6" s="36"/>
      <c r="L6" s="79"/>
      <c r="M6" s="79"/>
      <c r="N6" s="74"/>
      <c r="O6" s="81" t="s">
        <v>179</v>
      </c>
      <c r="P6" s="83">
        <v>44457.93990740741</v>
      </c>
      <c r="Q6" s="81" t="s">
        <v>1211</v>
      </c>
      <c r="R6" s="81"/>
      <c r="S6" s="81"/>
      <c r="T6" s="81"/>
      <c r="U6" s="81"/>
      <c r="V6" s="85" t="str">
        <f>HYPERLINK("https://pbs.twimg.com/profile_images/1363454089988689922/Lj7MTGRr_normal.jpg")</f>
        <v>https://pbs.twimg.com/profile_images/1363454089988689922/Lj7MTGRr_normal.jpg</v>
      </c>
      <c r="W6" s="83">
        <v>44457.93990740741</v>
      </c>
      <c r="X6" s="89">
        <v>44457</v>
      </c>
      <c r="Y6" s="87" t="s">
        <v>1793</v>
      </c>
      <c r="Z6" s="85" t="str">
        <f>HYPERLINK("https://twitter.com/naila0125/status/1439356931118747653")</f>
        <v>https://twitter.com/naila0125/status/1439356931118747653</v>
      </c>
      <c r="AA6" s="81"/>
      <c r="AB6" s="81"/>
      <c r="AC6" s="87" t="s">
        <v>2713</v>
      </c>
      <c r="AD6" s="87" t="s">
        <v>3641</v>
      </c>
      <c r="AE6" s="81" t="b">
        <v>0</v>
      </c>
      <c r="AF6" s="81">
        <v>1</v>
      </c>
      <c r="AG6" s="87" t="s">
        <v>3876</v>
      </c>
      <c r="AH6" s="81" t="b">
        <v>0</v>
      </c>
      <c r="AI6" s="81" t="s">
        <v>4092</v>
      </c>
      <c r="AJ6" s="81"/>
      <c r="AK6" s="87" t="s">
        <v>3875</v>
      </c>
      <c r="AL6" s="81" t="b">
        <v>0</v>
      </c>
      <c r="AM6" s="81">
        <v>0</v>
      </c>
      <c r="AN6" s="87" t="s">
        <v>3875</v>
      </c>
      <c r="AO6" s="87" t="s">
        <v>4110</v>
      </c>
      <c r="AP6" s="81" t="b">
        <v>0</v>
      </c>
      <c r="AQ6" s="87" t="s">
        <v>3641</v>
      </c>
      <c r="AR6" s="81" t="s">
        <v>179</v>
      </c>
      <c r="AS6" s="81">
        <v>0</v>
      </c>
      <c r="AT6" s="81">
        <v>0</v>
      </c>
      <c r="AU6" s="81"/>
      <c r="AV6" s="81"/>
      <c r="AW6" s="81"/>
      <c r="AX6" s="81"/>
      <c r="AY6" s="81"/>
      <c r="AZ6" s="81"/>
      <c r="BA6" s="81"/>
      <c r="BB6" s="81"/>
    </row>
    <row r="7" spans="1:54" x14ac:dyDescent="0.35">
      <c r="A7" s="66" t="s">
        <v>219</v>
      </c>
      <c r="B7" s="66" t="s">
        <v>219</v>
      </c>
      <c r="C7" s="67"/>
      <c r="D7" s="68"/>
      <c r="E7" s="69"/>
      <c r="F7" s="70"/>
      <c r="G7" s="67"/>
      <c r="H7" s="71"/>
      <c r="I7" s="72"/>
      <c r="J7" s="72"/>
      <c r="K7" s="36"/>
      <c r="L7" s="79"/>
      <c r="M7" s="79"/>
      <c r="N7" s="74"/>
      <c r="O7" s="81" t="s">
        <v>179</v>
      </c>
      <c r="P7" s="83">
        <v>44458.024178240739</v>
      </c>
      <c r="Q7" s="81" t="s">
        <v>1212</v>
      </c>
      <c r="R7" s="81"/>
      <c r="S7" s="81"/>
      <c r="T7" s="81"/>
      <c r="U7" s="81"/>
      <c r="V7" s="85" t="str">
        <f>HYPERLINK("https://pbs.twimg.com/profile_images/1420426693294968832/rM1Fg8jX_normal.jpg")</f>
        <v>https://pbs.twimg.com/profile_images/1420426693294968832/rM1Fg8jX_normal.jpg</v>
      </c>
      <c r="W7" s="83">
        <v>44458.024178240739</v>
      </c>
      <c r="X7" s="89">
        <v>44458</v>
      </c>
      <c r="Y7" s="87" t="s">
        <v>1794</v>
      </c>
      <c r="Z7" s="85" t="str">
        <f>HYPERLINK("https://twitter.com/aliahali79/status/1439387468365635586")</f>
        <v>https://twitter.com/aliahali79/status/1439387468365635586</v>
      </c>
      <c r="AA7" s="81"/>
      <c r="AB7" s="81"/>
      <c r="AC7" s="87" t="s">
        <v>2714</v>
      </c>
      <c r="AD7" s="81"/>
      <c r="AE7" s="81" t="b">
        <v>0</v>
      </c>
      <c r="AF7" s="81">
        <v>4</v>
      </c>
      <c r="AG7" s="87" t="s">
        <v>3875</v>
      </c>
      <c r="AH7" s="81" t="b">
        <v>0</v>
      </c>
      <c r="AI7" s="81" t="s">
        <v>4092</v>
      </c>
      <c r="AJ7" s="81"/>
      <c r="AK7" s="87" t="s">
        <v>3875</v>
      </c>
      <c r="AL7" s="81" t="b">
        <v>0</v>
      </c>
      <c r="AM7" s="81">
        <v>0</v>
      </c>
      <c r="AN7" s="87" t="s">
        <v>3875</v>
      </c>
      <c r="AO7" s="87" t="s">
        <v>4111</v>
      </c>
      <c r="AP7" s="81" t="b">
        <v>0</v>
      </c>
      <c r="AQ7" s="87" t="s">
        <v>2714</v>
      </c>
      <c r="AR7" s="81" t="s">
        <v>179</v>
      </c>
      <c r="AS7" s="81">
        <v>0</v>
      </c>
      <c r="AT7" s="81">
        <v>0</v>
      </c>
      <c r="AU7" s="81"/>
      <c r="AV7" s="81"/>
      <c r="AW7" s="81"/>
      <c r="AX7" s="81"/>
      <c r="AY7" s="81"/>
      <c r="AZ7" s="81"/>
      <c r="BA7" s="81"/>
      <c r="BB7" s="81"/>
    </row>
    <row r="8" spans="1:54" x14ac:dyDescent="0.35">
      <c r="A8" s="66" t="s">
        <v>220</v>
      </c>
      <c r="B8" s="66" t="s">
        <v>285</v>
      </c>
      <c r="C8" s="67"/>
      <c r="D8" s="68"/>
      <c r="E8" s="69"/>
      <c r="F8" s="70"/>
      <c r="G8" s="67"/>
      <c r="H8" s="71"/>
      <c r="I8" s="72"/>
      <c r="J8" s="72"/>
      <c r="K8" s="36"/>
      <c r="L8" s="79"/>
      <c r="M8" s="79"/>
      <c r="N8" s="74"/>
      <c r="O8" s="81" t="s">
        <v>1205</v>
      </c>
      <c r="P8" s="83">
        <v>44458.075243055559</v>
      </c>
      <c r="Q8" s="81" t="s">
        <v>1209</v>
      </c>
      <c r="R8" s="81"/>
      <c r="S8" s="81"/>
      <c r="T8" s="81"/>
      <c r="U8" s="85" t="str">
        <f>HYPERLINK("https://pbs.twimg.com/media/E_ka53YUcAI5YAw.jpg")</f>
        <v>https://pbs.twimg.com/media/E_ka53YUcAI5YAw.jpg</v>
      </c>
      <c r="V8" s="85" t="str">
        <f>HYPERLINK("https://pbs.twimg.com/media/E_ka53YUcAI5YAw.jpg")</f>
        <v>https://pbs.twimg.com/media/E_ka53YUcAI5YAw.jpg</v>
      </c>
      <c r="W8" s="83">
        <v>44458.075243055559</v>
      </c>
      <c r="X8" s="89">
        <v>44458</v>
      </c>
      <c r="Y8" s="87" t="s">
        <v>1795</v>
      </c>
      <c r="Z8" s="85" t="str">
        <f>HYPERLINK("https://twitter.com/saya_icul/status/1439405974842855431")</f>
        <v>https://twitter.com/saya_icul/status/1439405974842855431</v>
      </c>
      <c r="AA8" s="81"/>
      <c r="AB8" s="81"/>
      <c r="AC8" s="87" t="s">
        <v>2715</v>
      </c>
      <c r="AD8" s="81"/>
      <c r="AE8" s="81" t="b">
        <v>0</v>
      </c>
      <c r="AF8" s="81">
        <v>0</v>
      </c>
      <c r="AG8" s="87" t="s">
        <v>3875</v>
      </c>
      <c r="AH8" s="81" t="b">
        <v>0</v>
      </c>
      <c r="AI8" s="81" t="s">
        <v>4092</v>
      </c>
      <c r="AJ8" s="81"/>
      <c r="AK8" s="87" t="s">
        <v>3875</v>
      </c>
      <c r="AL8" s="81" t="b">
        <v>0</v>
      </c>
      <c r="AM8" s="81">
        <v>3</v>
      </c>
      <c r="AN8" s="87" t="s">
        <v>2790</v>
      </c>
      <c r="AO8" s="87" t="s">
        <v>4109</v>
      </c>
      <c r="AP8" s="81" t="b">
        <v>0</v>
      </c>
      <c r="AQ8" s="87" t="s">
        <v>2790</v>
      </c>
      <c r="AR8" s="81" t="s">
        <v>179</v>
      </c>
      <c r="AS8" s="81">
        <v>0</v>
      </c>
      <c r="AT8" s="81">
        <v>0</v>
      </c>
      <c r="AU8" s="81"/>
      <c r="AV8" s="81"/>
      <c r="AW8" s="81"/>
      <c r="AX8" s="81"/>
      <c r="AY8" s="81"/>
      <c r="AZ8" s="81"/>
      <c r="BA8" s="81"/>
      <c r="BB8" s="81"/>
    </row>
    <row r="9" spans="1:54" x14ac:dyDescent="0.35">
      <c r="A9" s="66" t="s">
        <v>221</v>
      </c>
      <c r="B9" s="66" t="s">
        <v>833</v>
      </c>
      <c r="C9" s="67"/>
      <c r="D9" s="68"/>
      <c r="E9" s="69"/>
      <c r="F9" s="70"/>
      <c r="G9" s="67"/>
      <c r="H9" s="71"/>
      <c r="I9" s="72"/>
      <c r="J9" s="72"/>
      <c r="K9" s="36"/>
      <c r="L9" s="79"/>
      <c r="M9" s="79"/>
      <c r="N9" s="74"/>
      <c r="O9" s="81" t="s">
        <v>1205</v>
      </c>
      <c r="P9" s="83">
        <v>44458.092349537037</v>
      </c>
      <c r="Q9" s="81" t="s">
        <v>1213</v>
      </c>
      <c r="R9" s="81"/>
      <c r="S9" s="81"/>
      <c r="T9" s="81"/>
      <c r="U9" s="85" t="str">
        <f>HYPERLINK("https://pbs.twimg.com/media/E_nQX3xVUAIsOZY.jpg")</f>
        <v>https://pbs.twimg.com/media/E_nQX3xVUAIsOZY.jpg</v>
      </c>
      <c r="V9" s="85" t="str">
        <f>HYPERLINK("https://pbs.twimg.com/media/E_nQX3xVUAIsOZY.jpg")</f>
        <v>https://pbs.twimg.com/media/E_nQX3xVUAIsOZY.jpg</v>
      </c>
      <c r="W9" s="83">
        <v>44458.092349537037</v>
      </c>
      <c r="X9" s="89">
        <v>44458</v>
      </c>
      <c r="Y9" s="87" t="s">
        <v>1796</v>
      </c>
      <c r="Z9" s="85" t="str">
        <f>HYPERLINK("https://twitter.com/berd_die/status/1439412171079700480")</f>
        <v>https://twitter.com/berd_die/status/1439412171079700480</v>
      </c>
      <c r="AA9" s="81"/>
      <c r="AB9" s="81"/>
      <c r="AC9" s="87" t="s">
        <v>2716</v>
      </c>
      <c r="AD9" s="81"/>
      <c r="AE9" s="81" t="b">
        <v>0</v>
      </c>
      <c r="AF9" s="81">
        <v>0</v>
      </c>
      <c r="AG9" s="87" t="s">
        <v>3875</v>
      </c>
      <c r="AH9" s="81" t="b">
        <v>0</v>
      </c>
      <c r="AI9" s="81" t="s">
        <v>4092</v>
      </c>
      <c r="AJ9" s="81"/>
      <c r="AK9" s="87" t="s">
        <v>3875</v>
      </c>
      <c r="AL9" s="81" t="b">
        <v>0</v>
      </c>
      <c r="AM9" s="81">
        <v>1</v>
      </c>
      <c r="AN9" s="87" t="s">
        <v>3383</v>
      </c>
      <c r="AO9" s="87" t="s">
        <v>4109</v>
      </c>
      <c r="AP9" s="81" t="b">
        <v>0</v>
      </c>
      <c r="AQ9" s="87" t="s">
        <v>3383</v>
      </c>
      <c r="AR9" s="81" t="s">
        <v>179</v>
      </c>
      <c r="AS9" s="81">
        <v>0</v>
      </c>
      <c r="AT9" s="81">
        <v>0</v>
      </c>
      <c r="AU9" s="81"/>
      <c r="AV9" s="81"/>
      <c r="AW9" s="81"/>
      <c r="AX9" s="81"/>
      <c r="AY9" s="81"/>
      <c r="AZ9" s="81"/>
      <c r="BA9" s="81"/>
      <c r="BB9" s="81"/>
    </row>
    <row r="10" spans="1:54" x14ac:dyDescent="0.35">
      <c r="A10" s="66" t="s">
        <v>222</v>
      </c>
      <c r="B10" s="66" t="s">
        <v>994</v>
      </c>
      <c r="C10" s="67"/>
      <c r="D10" s="68"/>
      <c r="E10" s="69"/>
      <c r="F10" s="70"/>
      <c r="G10" s="67"/>
      <c r="H10" s="71"/>
      <c r="I10" s="72"/>
      <c r="J10" s="72"/>
      <c r="K10" s="36"/>
      <c r="L10" s="79"/>
      <c r="M10" s="79"/>
      <c r="N10" s="74"/>
      <c r="O10" s="81" t="s">
        <v>1206</v>
      </c>
      <c r="P10" s="83">
        <v>44458.063703703701</v>
      </c>
      <c r="Q10" s="81" t="s">
        <v>1214</v>
      </c>
      <c r="R10" s="81"/>
      <c r="S10" s="81"/>
      <c r="T10" s="81"/>
      <c r="U10" s="81"/>
      <c r="V10" s="85" t="str">
        <f>HYPERLINK("https://pbs.twimg.com/profile_images/1417436733579296769/fZ74nlPG_normal.jpg")</f>
        <v>https://pbs.twimg.com/profile_images/1417436733579296769/fZ74nlPG_normal.jpg</v>
      </c>
      <c r="W10" s="83">
        <v>44458.063703703701</v>
      </c>
      <c r="X10" s="89">
        <v>44458</v>
      </c>
      <c r="Y10" s="87" t="s">
        <v>1797</v>
      </c>
      <c r="Z10" s="85" t="str">
        <f>HYPERLINK("https://twitter.com/kenndaru/status/1439401791968276483")</f>
        <v>https://twitter.com/kenndaru/status/1439401791968276483</v>
      </c>
      <c r="AA10" s="81"/>
      <c r="AB10" s="81"/>
      <c r="AC10" s="87" t="s">
        <v>2717</v>
      </c>
      <c r="AD10" s="87" t="s">
        <v>3642</v>
      </c>
      <c r="AE10" s="81" t="b">
        <v>0</v>
      </c>
      <c r="AF10" s="81">
        <v>0</v>
      </c>
      <c r="AG10" s="87" t="s">
        <v>3877</v>
      </c>
      <c r="AH10" s="81" t="b">
        <v>0</v>
      </c>
      <c r="AI10" s="81" t="s">
        <v>4092</v>
      </c>
      <c r="AJ10" s="81"/>
      <c r="AK10" s="87" t="s">
        <v>3875</v>
      </c>
      <c r="AL10" s="81" t="b">
        <v>0</v>
      </c>
      <c r="AM10" s="81">
        <v>1</v>
      </c>
      <c r="AN10" s="87" t="s">
        <v>3875</v>
      </c>
      <c r="AO10" s="87" t="s">
        <v>4111</v>
      </c>
      <c r="AP10" s="81" t="b">
        <v>0</v>
      </c>
      <c r="AQ10" s="87" t="s">
        <v>3642</v>
      </c>
      <c r="AR10" s="81" t="s">
        <v>179</v>
      </c>
      <c r="AS10" s="81">
        <v>0</v>
      </c>
      <c r="AT10" s="81">
        <v>0</v>
      </c>
      <c r="AU10" s="81"/>
      <c r="AV10" s="81"/>
      <c r="AW10" s="81"/>
      <c r="AX10" s="81"/>
      <c r="AY10" s="81"/>
      <c r="AZ10" s="81"/>
      <c r="BA10" s="81"/>
      <c r="BB10" s="81"/>
    </row>
    <row r="11" spans="1:54" x14ac:dyDescent="0.35">
      <c r="A11" s="66" t="s">
        <v>223</v>
      </c>
      <c r="B11" s="66" t="s">
        <v>994</v>
      </c>
      <c r="C11" s="67"/>
      <c r="D11" s="68"/>
      <c r="E11" s="69"/>
      <c r="F11" s="70"/>
      <c r="G11" s="67"/>
      <c r="H11" s="71"/>
      <c r="I11" s="72"/>
      <c r="J11" s="72"/>
      <c r="K11" s="36"/>
      <c r="L11" s="79"/>
      <c r="M11" s="79"/>
      <c r="N11" s="74"/>
      <c r="O11" s="81" t="s">
        <v>1207</v>
      </c>
      <c r="P11" s="83">
        <v>44458.095625000002</v>
      </c>
      <c r="Q11" s="81" t="s">
        <v>1214</v>
      </c>
      <c r="R11" s="81"/>
      <c r="S11" s="81"/>
      <c r="T11" s="81"/>
      <c r="U11" s="81"/>
      <c r="V11" s="85" t="str">
        <f>HYPERLINK("https://pbs.twimg.com/profile_images/1411258979607478272/TTv-QObM_normal.jpg")</f>
        <v>https://pbs.twimg.com/profile_images/1411258979607478272/TTv-QObM_normal.jpg</v>
      </c>
      <c r="W11" s="83">
        <v>44458.095625000002</v>
      </c>
      <c r="X11" s="89">
        <v>44458</v>
      </c>
      <c r="Y11" s="87" t="s">
        <v>1798</v>
      </c>
      <c r="Z11" s="85" t="str">
        <f>HYPERLINK("https://twitter.com/netijencupu/status/1439413357946097664")</f>
        <v>https://twitter.com/netijencupu/status/1439413357946097664</v>
      </c>
      <c r="AA11" s="81"/>
      <c r="AB11" s="81"/>
      <c r="AC11" s="87" t="s">
        <v>2718</v>
      </c>
      <c r="AD11" s="81"/>
      <c r="AE11" s="81" t="b">
        <v>0</v>
      </c>
      <c r="AF11" s="81">
        <v>0</v>
      </c>
      <c r="AG11" s="87" t="s">
        <v>3875</v>
      </c>
      <c r="AH11" s="81" t="b">
        <v>0</v>
      </c>
      <c r="AI11" s="81" t="s">
        <v>4092</v>
      </c>
      <c r="AJ11" s="81"/>
      <c r="AK11" s="87" t="s">
        <v>3875</v>
      </c>
      <c r="AL11" s="81" t="b">
        <v>0</v>
      </c>
      <c r="AM11" s="81">
        <v>1</v>
      </c>
      <c r="AN11" s="87" t="s">
        <v>2717</v>
      </c>
      <c r="AO11" s="87" t="s">
        <v>4109</v>
      </c>
      <c r="AP11" s="81" t="b">
        <v>0</v>
      </c>
      <c r="AQ11" s="87" t="s">
        <v>2717</v>
      </c>
      <c r="AR11" s="81" t="s">
        <v>179</v>
      </c>
      <c r="AS11" s="81">
        <v>0</v>
      </c>
      <c r="AT11" s="81">
        <v>0</v>
      </c>
      <c r="AU11" s="81"/>
      <c r="AV11" s="81"/>
      <c r="AW11" s="81"/>
      <c r="AX11" s="81"/>
      <c r="AY11" s="81"/>
      <c r="AZ11" s="81"/>
      <c r="BA11" s="81"/>
      <c r="BB11" s="81"/>
    </row>
    <row r="12" spans="1:54" x14ac:dyDescent="0.35">
      <c r="A12" s="66" t="s">
        <v>222</v>
      </c>
      <c r="B12" s="66" t="s">
        <v>223</v>
      </c>
      <c r="C12" s="67"/>
      <c r="D12" s="68"/>
      <c r="E12" s="69"/>
      <c r="F12" s="70"/>
      <c r="G12" s="67"/>
      <c r="H12" s="71"/>
      <c r="I12" s="72"/>
      <c r="J12" s="72"/>
      <c r="K12" s="36"/>
      <c r="L12" s="79"/>
      <c r="M12" s="79"/>
      <c r="N12" s="74"/>
      <c r="O12" s="81" t="s">
        <v>1208</v>
      </c>
      <c r="P12" s="83">
        <v>44458.063703703701</v>
      </c>
      <c r="Q12" s="81" t="s">
        <v>1214</v>
      </c>
      <c r="R12" s="81"/>
      <c r="S12" s="81"/>
      <c r="T12" s="81"/>
      <c r="U12" s="81"/>
      <c r="V12" s="85" t="str">
        <f>HYPERLINK("https://pbs.twimg.com/profile_images/1417436733579296769/fZ74nlPG_normal.jpg")</f>
        <v>https://pbs.twimg.com/profile_images/1417436733579296769/fZ74nlPG_normal.jpg</v>
      </c>
      <c r="W12" s="83">
        <v>44458.063703703701</v>
      </c>
      <c r="X12" s="89">
        <v>44458</v>
      </c>
      <c r="Y12" s="87" t="s">
        <v>1797</v>
      </c>
      <c r="Z12" s="85" t="str">
        <f>HYPERLINK("https://twitter.com/kenndaru/status/1439401791968276483")</f>
        <v>https://twitter.com/kenndaru/status/1439401791968276483</v>
      </c>
      <c r="AA12" s="81"/>
      <c r="AB12" s="81"/>
      <c r="AC12" s="87" t="s">
        <v>2717</v>
      </c>
      <c r="AD12" s="87" t="s">
        <v>3642</v>
      </c>
      <c r="AE12" s="81" t="b">
        <v>0</v>
      </c>
      <c r="AF12" s="81">
        <v>0</v>
      </c>
      <c r="AG12" s="87" t="s">
        <v>3877</v>
      </c>
      <c r="AH12" s="81" t="b">
        <v>0</v>
      </c>
      <c r="AI12" s="81" t="s">
        <v>4092</v>
      </c>
      <c r="AJ12" s="81"/>
      <c r="AK12" s="87" t="s">
        <v>3875</v>
      </c>
      <c r="AL12" s="81" t="b">
        <v>0</v>
      </c>
      <c r="AM12" s="81">
        <v>1</v>
      </c>
      <c r="AN12" s="87" t="s">
        <v>3875</v>
      </c>
      <c r="AO12" s="87" t="s">
        <v>4111</v>
      </c>
      <c r="AP12" s="81" t="b">
        <v>0</v>
      </c>
      <c r="AQ12" s="87" t="s">
        <v>3642</v>
      </c>
      <c r="AR12" s="81" t="s">
        <v>179</v>
      </c>
      <c r="AS12" s="81">
        <v>0</v>
      </c>
      <c r="AT12" s="81">
        <v>0</v>
      </c>
      <c r="AU12" s="81"/>
      <c r="AV12" s="81"/>
      <c r="AW12" s="81"/>
      <c r="AX12" s="81"/>
      <c r="AY12" s="81"/>
      <c r="AZ12" s="81"/>
      <c r="BA12" s="81"/>
      <c r="BB12" s="81"/>
    </row>
    <row r="13" spans="1:54" x14ac:dyDescent="0.35">
      <c r="A13" s="66" t="s">
        <v>223</v>
      </c>
      <c r="B13" s="66" t="s">
        <v>222</v>
      </c>
      <c r="C13" s="67"/>
      <c r="D13" s="68"/>
      <c r="E13" s="69"/>
      <c r="F13" s="70"/>
      <c r="G13" s="67"/>
      <c r="H13" s="71"/>
      <c r="I13" s="72"/>
      <c r="J13" s="72"/>
      <c r="K13" s="36"/>
      <c r="L13" s="79"/>
      <c r="M13" s="79"/>
      <c r="N13" s="74"/>
      <c r="O13" s="81" t="s">
        <v>1205</v>
      </c>
      <c r="P13" s="83">
        <v>44458.095625000002</v>
      </c>
      <c r="Q13" s="81" t="s">
        <v>1214</v>
      </c>
      <c r="R13" s="81"/>
      <c r="S13" s="81"/>
      <c r="T13" s="81"/>
      <c r="U13" s="81"/>
      <c r="V13" s="85" t="str">
        <f>HYPERLINK("https://pbs.twimg.com/profile_images/1411258979607478272/TTv-QObM_normal.jpg")</f>
        <v>https://pbs.twimg.com/profile_images/1411258979607478272/TTv-QObM_normal.jpg</v>
      </c>
      <c r="W13" s="83">
        <v>44458.095625000002</v>
      </c>
      <c r="X13" s="89">
        <v>44458</v>
      </c>
      <c r="Y13" s="87" t="s">
        <v>1798</v>
      </c>
      <c r="Z13" s="85" t="str">
        <f>HYPERLINK("https://twitter.com/netijencupu/status/1439413357946097664")</f>
        <v>https://twitter.com/netijencupu/status/1439413357946097664</v>
      </c>
      <c r="AA13" s="81"/>
      <c r="AB13" s="81"/>
      <c r="AC13" s="87" t="s">
        <v>2718</v>
      </c>
      <c r="AD13" s="81"/>
      <c r="AE13" s="81" t="b">
        <v>0</v>
      </c>
      <c r="AF13" s="81">
        <v>0</v>
      </c>
      <c r="AG13" s="87" t="s">
        <v>3875</v>
      </c>
      <c r="AH13" s="81" t="b">
        <v>0</v>
      </c>
      <c r="AI13" s="81" t="s">
        <v>4092</v>
      </c>
      <c r="AJ13" s="81"/>
      <c r="AK13" s="87" t="s">
        <v>3875</v>
      </c>
      <c r="AL13" s="81" t="b">
        <v>0</v>
      </c>
      <c r="AM13" s="81">
        <v>1</v>
      </c>
      <c r="AN13" s="87" t="s">
        <v>2717</v>
      </c>
      <c r="AO13" s="87" t="s">
        <v>4109</v>
      </c>
      <c r="AP13" s="81" t="b">
        <v>0</v>
      </c>
      <c r="AQ13" s="87" t="s">
        <v>2717</v>
      </c>
      <c r="AR13" s="81" t="s">
        <v>179</v>
      </c>
      <c r="AS13" s="81">
        <v>0</v>
      </c>
      <c r="AT13" s="81">
        <v>0</v>
      </c>
      <c r="AU13" s="81"/>
      <c r="AV13" s="81"/>
      <c r="AW13" s="81"/>
      <c r="AX13" s="81"/>
      <c r="AY13" s="81"/>
      <c r="AZ13" s="81"/>
      <c r="BA13" s="81"/>
      <c r="BB13" s="81"/>
    </row>
    <row r="14" spans="1:54" x14ac:dyDescent="0.35">
      <c r="A14" s="66" t="s">
        <v>224</v>
      </c>
      <c r="B14" s="66" t="s">
        <v>224</v>
      </c>
      <c r="C14" s="67"/>
      <c r="D14" s="68"/>
      <c r="E14" s="69"/>
      <c r="F14" s="70"/>
      <c r="G14" s="67"/>
      <c r="H14" s="71"/>
      <c r="I14" s="72"/>
      <c r="J14" s="72"/>
      <c r="K14" s="36"/>
      <c r="L14" s="79"/>
      <c r="M14" s="79"/>
      <c r="N14" s="74"/>
      <c r="O14" s="81" t="s">
        <v>179</v>
      </c>
      <c r="P14" s="83">
        <v>44458.123506944445</v>
      </c>
      <c r="Q14" s="81" t="s">
        <v>1215</v>
      </c>
      <c r="R14" s="81"/>
      <c r="S14" s="81"/>
      <c r="T14" s="81"/>
      <c r="U14" s="85" t="str">
        <f>HYPERLINK("https://pbs.twimg.com/ext_tw_video_thumb/1439423268604112904/pu/img/JvFdGG481EjQEg_0.jpg")</f>
        <v>https://pbs.twimg.com/ext_tw_video_thumb/1439423268604112904/pu/img/JvFdGG481EjQEg_0.jpg</v>
      </c>
      <c r="V14" s="85" t="str">
        <f>HYPERLINK("https://pbs.twimg.com/ext_tw_video_thumb/1439423268604112904/pu/img/JvFdGG481EjQEg_0.jpg")</f>
        <v>https://pbs.twimg.com/ext_tw_video_thumb/1439423268604112904/pu/img/JvFdGG481EjQEg_0.jpg</v>
      </c>
      <c r="W14" s="83">
        <v>44458.123506944445</v>
      </c>
      <c r="X14" s="89">
        <v>44458</v>
      </c>
      <c r="Y14" s="87" t="s">
        <v>1799</v>
      </c>
      <c r="Z14" s="85" t="str">
        <f>HYPERLINK("https://twitter.com/redvelvetice14/status/1439423463802867712")</f>
        <v>https://twitter.com/redvelvetice14/status/1439423463802867712</v>
      </c>
      <c r="AA14" s="81"/>
      <c r="AB14" s="81"/>
      <c r="AC14" s="87" t="s">
        <v>2719</v>
      </c>
      <c r="AD14" s="81"/>
      <c r="AE14" s="81" t="b">
        <v>0</v>
      </c>
      <c r="AF14" s="81">
        <v>9</v>
      </c>
      <c r="AG14" s="87" t="s">
        <v>3875</v>
      </c>
      <c r="AH14" s="81" t="b">
        <v>0</v>
      </c>
      <c r="AI14" s="81" t="s">
        <v>4092</v>
      </c>
      <c r="AJ14" s="81"/>
      <c r="AK14" s="87" t="s">
        <v>3875</v>
      </c>
      <c r="AL14" s="81" t="b">
        <v>0</v>
      </c>
      <c r="AM14" s="81">
        <v>2</v>
      </c>
      <c r="AN14" s="87" t="s">
        <v>3875</v>
      </c>
      <c r="AO14" s="87" t="s">
        <v>4110</v>
      </c>
      <c r="AP14" s="81" t="b">
        <v>0</v>
      </c>
      <c r="AQ14" s="87" t="s">
        <v>2719</v>
      </c>
      <c r="AR14" s="81" t="s">
        <v>179</v>
      </c>
      <c r="AS14" s="81">
        <v>0</v>
      </c>
      <c r="AT14" s="81">
        <v>0</v>
      </c>
      <c r="AU14" s="81"/>
      <c r="AV14" s="81"/>
      <c r="AW14" s="81"/>
      <c r="AX14" s="81"/>
      <c r="AY14" s="81"/>
      <c r="AZ14" s="81"/>
      <c r="BA14" s="81"/>
      <c r="BB14" s="81"/>
    </row>
    <row r="15" spans="1:54" x14ac:dyDescent="0.35">
      <c r="A15" s="66" t="s">
        <v>225</v>
      </c>
      <c r="B15" s="66" t="s">
        <v>224</v>
      </c>
      <c r="C15" s="67"/>
      <c r="D15" s="68"/>
      <c r="E15" s="69"/>
      <c r="F15" s="70"/>
      <c r="G15" s="67"/>
      <c r="H15" s="71"/>
      <c r="I15" s="72"/>
      <c r="J15" s="72"/>
      <c r="K15" s="36"/>
      <c r="L15" s="79"/>
      <c r="M15" s="79"/>
      <c r="N15" s="74"/>
      <c r="O15" s="81" t="s">
        <v>1205</v>
      </c>
      <c r="P15" s="83">
        <v>44458.124374999999</v>
      </c>
      <c r="Q15" s="81" t="s">
        <v>1215</v>
      </c>
      <c r="R15" s="81"/>
      <c r="S15" s="81"/>
      <c r="T15" s="81"/>
      <c r="U15" s="85" t="str">
        <f>HYPERLINK("https://pbs.twimg.com/ext_tw_video_thumb/1439423268604112904/pu/img/JvFdGG481EjQEg_0.jpg")</f>
        <v>https://pbs.twimg.com/ext_tw_video_thumb/1439423268604112904/pu/img/JvFdGG481EjQEg_0.jpg</v>
      </c>
      <c r="V15" s="85" t="str">
        <f>HYPERLINK("https://pbs.twimg.com/ext_tw_video_thumb/1439423268604112904/pu/img/JvFdGG481EjQEg_0.jpg")</f>
        <v>https://pbs.twimg.com/ext_tw_video_thumb/1439423268604112904/pu/img/JvFdGG481EjQEg_0.jpg</v>
      </c>
      <c r="W15" s="83">
        <v>44458.124374999999</v>
      </c>
      <c r="X15" s="89">
        <v>44458</v>
      </c>
      <c r="Y15" s="87" t="s">
        <v>1800</v>
      </c>
      <c r="Z15" s="85" t="str">
        <f>HYPERLINK("https://twitter.com/asubangetyaa/status/1439423779810078726")</f>
        <v>https://twitter.com/asubangetyaa/status/1439423779810078726</v>
      </c>
      <c r="AA15" s="81"/>
      <c r="AB15" s="81"/>
      <c r="AC15" s="87" t="s">
        <v>2720</v>
      </c>
      <c r="AD15" s="81"/>
      <c r="AE15" s="81" t="b">
        <v>0</v>
      </c>
      <c r="AF15" s="81">
        <v>0</v>
      </c>
      <c r="AG15" s="87" t="s">
        <v>3875</v>
      </c>
      <c r="AH15" s="81" t="b">
        <v>0</v>
      </c>
      <c r="AI15" s="81" t="s">
        <v>4092</v>
      </c>
      <c r="AJ15" s="81"/>
      <c r="AK15" s="87" t="s">
        <v>3875</v>
      </c>
      <c r="AL15" s="81" t="b">
        <v>0</v>
      </c>
      <c r="AM15" s="81">
        <v>2</v>
      </c>
      <c r="AN15" s="87" t="s">
        <v>2719</v>
      </c>
      <c r="AO15" s="87" t="s">
        <v>4109</v>
      </c>
      <c r="AP15" s="81" t="b">
        <v>0</v>
      </c>
      <c r="AQ15" s="87" t="s">
        <v>2719</v>
      </c>
      <c r="AR15" s="81" t="s">
        <v>179</v>
      </c>
      <c r="AS15" s="81">
        <v>0</v>
      </c>
      <c r="AT15" s="81">
        <v>0</v>
      </c>
      <c r="AU15" s="81"/>
      <c r="AV15" s="81"/>
      <c r="AW15" s="81"/>
      <c r="AX15" s="81"/>
      <c r="AY15" s="81"/>
      <c r="AZ15" s="81"/>
      <c r="BA15" s="81"/>
      <c r="BB15" s="81"/>
    </row>
    <row r="16" spans="1:54" x14ac:dyDescent="0.35">
      <c r="A16" s="66" t="s">
        <v>226</v>
      </c>
      <c r="B16" s="66" t="s">
        <v>226</v>
      </c>
      <c r="C16" s="67"/>
      <c r="D16" s="68"/>
      <c r="E16" s="69"/>
      <c r="F16" s="70"/>
      <c r="G16" s="67"/>
      <c r="H16" s="71"/>
      <c r="I16" s="72"/>
      <c r="J16" s="72"/>
      <c r="K16" s="36"/>
      <c r="L16" s="79"/>
      <c r="M16" s="79"/>
      <c r="N16" s="74"/>
      <c r="O16" s="81" t="s">
        <v>179</v>
      </c>
      <c r="P16" s="83">
        <v>44458.127222222225</v>
      </c>
      <c r="Q16" s="81" t="s">
        <v>1216</v>
      </c>
      <c r="R16" s="85" t="str">
        <f>HYPERLINK("https://twitter.com/kangnugo85/status/1439420822075043840")</f>
        <v>https://twitter.com/kangnugo85/status/1439420822075043840</v>
      </c>
      <c r="S16" s="81" t="s">
        <v>1731</v>
      </c>
      <c r="T16" s="81"/>
      <c r="U16" s="81"/>
      <c r="V16" s="85" t="str">
        <f>HYPERLINK("https://pbs.twimg.com/profile_images/1429220866223603712/jLhS6On8_normal.jpg")</f>
        <v>https://pbs.twimg.com/profile_images/1429220866223603712/jLhS6On8_normal.jpg</v>
      </c>
      <c r="W16" s="83">
        <v>44458.127222222225</v>
      </c>
      <c r="X16" s="89">
        <v>44458</v>
      </c>
      <c r="Y16" s="87" t="s">
        <v>1801</v>
      </c>
      <c r="Z16" s="85" t="str">
        <f>HYPERLINK("https://twitter.com/mamiaaja/status/1439424808568049666")</f>
        <v>https://twitter.com/mamiaaja/status/1439424808568049666</v>
      </c>
      <c r="AA16" s="81"/>
      <c r="AB16" s="81"/>
      <c r="AC16" s="87" t="s">
        <v>2721</v>
      </c>
      <c r="AD16" s="81"/>
      <c r="AE16" s="81" t="b">
        <v>0</v>
      </c>
      <c r="AF16" s="81">
        <v>2</v>
      </c>
      <c r="AG16" s="87" t="s">
        <v>3875</v>
      </c>
      <c r="AH16" s="81" t="b">
        <v>1</v>
      </c>
      <c r="AI16" s="81" t="s">
        <v>4092</v>
      </c>
      <c r="AJ16" s="81"/>
      <c r="AK16" s="87" t="s">
        <v>4097</v>
      </c>
      <c r="AL16" s="81" t="b">
        <v>0</v>
      </c>
      <c r="AM16" s="81">
        <v>0</v>
      </c>
      <c r="AN16" s="87" t="s">
        <v>3875</v>
      </c>
      <c r="AO16" s="87" t="s">
        <v>4109</v>
      </c>
      <c r="AP16" s="81" t="b">
        <v>0</v>
      </c>
      <c r="AQ16" s="87" t="s">
        <v>2721</v>
      </c>
      <c r="AR16" s="81" t="s">
        <v>179</v>
      </c>
      <c r="AS16" s="81">
        <v>0</v>
      </c>
      <c r="AT16" s="81">
        <v>0</v>
      </c>
      <c r="AU16" s="81"/>
      <c r="AV16" s="81"/>
      <c r="AW16" s="81"/>
      <c r="AX16" s="81"/>
      <c r="AY16" s="81"/>
      <c r="AZ16" s="81"/>
      <c r="BA16" s="81"/>
      <c r="BB16" s="81"/>
    </row>
    <row r="17" spans="1:54" x14ac:dyDescent="0.35">
      <c r="A17" s="66" t="s">
        <v>227</v>
      </c>
      <c r="B17" s="66" t="s">
        <v>227</v>
      </c>
      <c r="C17" s="67"/>
      <c r="D17" s="68"/>
      <c r="E17" s="69"/>
      <c r="F17" s="70"/>
      <c r="G17" s="67"/>
      <c r="H17" s="71"/>
      <c r="I17" s="72"/>
      <c r="J17" s="72"/>
      <c r="K17" s="36"/>
      <c r="L17" s="79"/>
      <c r="M17" s="79"/>
      <c r="N17" s="74"/>
      <c r="O17" s="81" t="s">
        <v>179</v>
      </c>
      <c r="P17" s="83">
        <v>44458.131388888891</v>
      </c>
      <c r="Q17" s="81" t="s">
        <v>1217</v>
      </c>
      <c r="R17" s="81"/>
      <c r="S17" s="81"/>
      <c r="T17" s="81"/>
      <c r="U17" s="81"/>
      <c r="V17" s="85" t="str">
        <f>HYPERLINK("https://pbs.twimg.com/profile_images/1441921140381794309/eYfg2mGw_normal.jpg")</f>
        <v>https://pbs.twimg.com/profile_images/1441921140381794309/eYfg2mGw_normal.jpg</v>
      </c>
      <c r="W17" s="83">
        <v>44458.131388888891</v>
      </c>
      <c r="X17" s="89">
        <v>44458</v>
      </c>
      <c r="Y17" s="87" t="s">
        <v>1802</v>
      </c>
      <c r="Z17" s="85" t="str">
        <f>HYPERLINK("https://twitter.com/galaxydeah/status/1439426320488828933")</f>
        <v>https://twitter.com/galaxydeah/status/1439426320488828933</v>
      </c>
      <c r="AA17" s="81"/>
      <c r="AB17" s="81"/>
      <c r="AC17" s="87" t="s">
        <v>2722</v>
      </c>
      <c r="AD17" s="81"/>
      <c r="AE17" s="81" t="b">
        <v>0</v>
      </c>
      <c r="AF17" s="81">
        <v>0</v>
      </c>
      <c r="AG17" s="87" t="s">
        <v>3875</v>
      </c>
      <c r="AH17" s="81" t="b">
        <v>0</v>
      </c>
      <c r="AI17" s="81" t="s">
        <v>4092</v>
      </c>
      <c r="AJ17" s="81"/>
      <c r="AK17" s="87" t="s">
        <v>3875</v>
      </c>
      <c r="AL17" s="81" t="b">
        <v>0</v>
      </c>
      <c r="AM17" s="81">
        <v>0</v>
      </c>
      <c r="AN17" s="87" t="s">
        <v>3875</v>
      </c>
      <c r="AO17" s="87" t="s">
        <v>4109</v>
      </c>
      <c r="AP17" s="81" t="b">
        <v>0</v>
      </c>
      <c r="AQ17" s="87" t="s">
        <v>2722</v>
      </c>
      <c r="AR17" s="81" t="s">
        <v>179</v>
      </c>
      <c r="AS17" s="81">
        <v>0</v>
      </c>
      <c r="AT17" s="81">
        <v>0</v>
      </c>
      <c r="AU17" s="81"/>
      <c r="AV17" s="81"/>
      <c r="AW17" s="81"/>
      <c r="AX17" s="81"/>
      <c r="AY17" s="81"/>
      <c r="AZ17" s="81"/>
      <c r="BA17" s="81"/>
      <c r="BB17" s="81"/>
    </row>
    <row r="18" spans="1:54" x14ac:dyDescent="0.35">
      <c r="A18" s="66" t="s">
        <v>228</v>
      </c>
      <c r="B18" s="66" t="s">
        <v>995</v>
      </c>
      <c r="C18" s="67"/>
      <c r="D18" s="68"/>
      <c r="E18" s="69"/>
      <c r="F18" s="70"/>
      <c r="G18" s="67"/>
      <c r="H18" s="71"/>
      <c r="I18" s="72"/>
      <c r="J18" s="72"/>
      <c r="K18" s="36"/>
      <c r="L18" s="79"/>
      <c r="M18" s="79"/>
      <c r="N18" s="74"/>
      <c r="O18" s="81" t="s">
        <v>1208</v>
      </c>
      <c r="P18" s="83">
        <v>44458.195324074077</v>
      </c>
      <c r="Q18" s="81" t="s">
        <v>1218</v>
      </c>
      <c r="R18" s="81"/>
      <c r="S18" s="81"/>
      <c r="T18" s="81"/>
      <c r="U18" s="81"/>
      <c r="V18" s="85" t="str">
        <f>HYPERLINK("https://pbs.twimg.com/profile_images/1431531298770731010/joVkc-EU_normal.jpg")</f>
        <v>https://pbs.twimg.com/profile_images/1431531298770731010/joVkc-EU_normal.jpg</v>
      </c>
      <c r="W18" s="83">
        <v>44458.195324074077</v>
      </c>
      <c r="X18" s="89">
        <v>44458</v>
      </c>
      <c r="Y18" s="87" t="s">
        <v>1803</v>
      </c>
      <c r="Z18" s="85" t="str">
        <f>HYPERLINK("https://twitter.com/bemaiae/status/1439449489199153158")</f>
        <v>https://twitter.com/bemaiae/status/1439449489199153158</v>
      </c>
      <c r="AA18" s="81"/>
      <c r="AB18" s="81"/>
      <c r="AC18" s="87" t="s">
        <v>2723</v>
      </c>
      <c r="AD18" s="87" t="s">
        <v>3643</v>
      </c>
      <c r="AE18" s="81" t="b">
        <v>0</v>
      </c>
      <c r="AF18" s="81">
        <v>1</v>
      </c>
      <c r="AG18" s="87" t="s">
        <v>3878</v>
      </c>
      <c r="AH18" s="81" t="b">
        <v>0</v>
      </c>
      <c r="AI18" s="81" t="s">
        <v>4092</v>
      </c>
      <c r="AJ18" s="81"/>
      <c r="AK18" s="87" t="s">
        <v>3875</v>
      </c>
      <c r="AL18" s="81" t="b">
        <v>0</v>
      </c>
      <c r="AM18" s="81">
        <v>0</v>
      </c>
      <c r="AN18" s="87" t="s">
        <v>3875</v>
      </c>
      <c r="AO18" s="87" t="s">
        <v>4109</v>
      </c>
      <c r="AP18" s="81" t="b">
        <v>0</v>
      </c>
      <c r="AQ18" s="87" t="s">
        <v>3643</v>
      </c>
      <c r="AR18" s="81" t="s">
        <v>179</v>
      </c>
      <c r="AS18" s="81">
        <v>0</v>
      </c>
      <c r="AT18" s="81">
        <v>0</v>
      </c>
      <c r="AU18" s="81"/>
      <c r="AV18" s="81"/>
      <c r="AW18" s="81"/>
      <c r="AX18" s="81"/>
      <c r="AY18" s="81"/>
      <c r="AZ18" s="81"/>
      <c r="BA18" s="81"/>
      <c r="BB18" s="81"/>
    </row>
    <row r="19" spans="1:54" x14ac:dyDescent="0.35">
      <c r="A19" s="66" t="s">
        <v>229</v>
      </c>
      <c r="B19" s="66" t="s">
        <v>996</v>
      </c>
      <c r="C19" s="67"/>
      <c r="D19" s="68"/>
      <c r="E19" s="69"/>
      <c r="F19" s="70"/>
      <c r="G19" s="67"/>
      <c r="H19" s="71"/>
      <c r="I19" s="72"/>
      <c r="J19" s="72"/>
      <c r="K19" s="36"/>
      <c r="L19" s="79"/>
      <c r="M19" s="79"/>
      <c r="N19" s="74"/>
      <c r="O19" s="81" t="s">
        <v>1206</v>
      </c>
      <c r="P19" s="83">
        <v>44458.197939814818</v>
      </c>
      <c r="Q19" s="81" t="s">
        <v>1219</v>
      </c>
      <c r="R19" s="81"/>
      <c r="S19" s="81"/>
      <c r="T19" s="81"/>
      <c r="U19" s="81"/>
      <c r="V19" s="85" t="str">
        <f>HYPERLINK("https://pbs.twimg.com/profile_images/1424712601749970949/Idj-exi5_normal.jpg")</f>
        <v>https://pbs.twimg.com/profile_images/1424712601749970949/Idj-exi5_normal.jpg</v>
      </c>
      <c r="W19" s="83">
        <v>44458.197939814818</v>
      </c>
      <c r="X19" s="89">
        <v>44458</v>
      </c>
      <c r="Y19" s="87" t="s">
        <v>1804</v>
      </c>
      <c r="Z19" s="85" t="str">
        <f>HYPERLINK("https://twitter.com/zixmatrix/status/1439450435245412355")</f>
        <v>https://twitter.com/zixmatrix/status/1439450435245412355</v>
      </c>
      <c r="AA19" s="81"/>
      <c r="AB19" s="81"/>
      <c r="AC19" s="87" t="s">
        <v>2724</v>
      </c>
      <c r="AD19" s="87" t="s">
        <v>3644</v>
      </c>
      <c r="AE19" s="81" t="b">
        <v>0</v>
      </c>
      <c r="AF19" s="81">
        <v>0</v>
      </c>
      <c r="AG19" s="87" t="s">
        <v>3879</v>
      </c>
      <c r="AH19" s="81" t="b">
        <v>0</v>
      </c>
      <c r="AI19" s="81" t="s">
        <v>4092</v>
      </c>
      <c r="AJ19" s="81"/>
      <c r="AK19" s="87" t="s">
        <v>3875</v>
      </c>
      <c r="AL19" s="81" t="b">
        <v>0</v>
      </c>
      <c r="AM19" s="81">
        <v>0</v>
      </c>
      <c r="AN19" s="87" t="s">
        <v>3875</v>
      </c>
      <c r="AO19" s="87" t="s">
        <v>4110</v>
      </c>
      <c r="AP19" s="81" t="b">
        <v>0</v>
      </c>
      <c r="AQ19" s="87" t="s">
        <v>3644</v>
      </c>
      <c r="AR19" s="81" t="s">
        <v>179</v>
      </c>
      <c r="AS19" s="81">
        <v>0</v>
      </c>
      <c r="AT19" s="81">
        <v>0</v>
      </c>
      <c r="AU19" s="81"/>
      <c r="AV19" s="81"/>
      <c r="AW19" s="81"/>
      <c r="AX19" s="81"/>
      <c r="AY19" s="81"/>
      <c r="AZ19" s="81"/>
      <c r="BA19" s="81"/>
      <c r="BB19" s="81"/>
    </row>
    <row r="20" spans="1:54" x14ac:dyDescent="0.35">
      <c r="A20" s="66" t="s">
        <v>230</v>
      </c>
      <c r="B20" s="66" t="s">
        <v>754</v>
      </c>
      <c r="C20" s="67"/>
      <c r="D20" s="68"/>
      <c r="E20" s="69"/>
      <c r="F20" s="70"/>
      <c r="G20" s="67"/>
      <c r="H20" s="71"/>
      <c r="I20" s="72"/>
      <c r="J20" s="72"/>
      <c r="K20" s="36"/>
      <c r="L20" s="79"/>
      <c r="M20" s="79"/>
      <c r="N20" s="74"/>
      <c r="O20" s="81" t="s">
        <v>1208</v>
      </c>
      <c r="P20" s="83">
        <v>44458.202152777776</v>
      </c>
      <c r="Q20" s="81" t="s">
        <v>1220</v>
      </c>
      <c r="R20" s="81"/>
      <c r="S20" s="81"/>
      <c r="T20" s="81"/>
      <c r="U20" s="81"/>
      <c r="V20" s="85" t="str">
        <f>HYPERLINK("https://pbs.twimg.com/profile_images/1431016710216114176/vfI5Xx8U_normal.jpg")</f>
        <v>https://pbs.twimg.com/profile_images/1431016710216114176/vfI5Xx8U_normal.jpg</v>
      </c>
      <c r="W20" s="83">
        <v>44458.202152777776</v>
      </c>
      <c r="X20" s="89">
        <v>44458</v>
      </c>
      <c r="Y20" s="87" t="s">
        <v>1805</v>
      </c>
      <c r="Z20" s="85" t="str">
        <f>HYPERLINK("https://twitter.com/agdesayang/status/1439451965218439170")</f>
        <v>https://twitter.com/agdesayang/status/1439451965218439170</v>
      </c>
      <c r="AA20" s="81"/>
      <c r="AB20" s="81"/>
      <c r="AC20" s="87" t="s">
        <v>2725</v>
      </c>
      <c r="AD20" s="87" t="s">
        <v>3645</v>
      </c>
      <c r="AE20" s="81" t="b">
        <v>0</v>
      </c>
      <c r="AF20" s="81">
        <v>0</v>
      </c>
      <c r="AG20" s="87" t="s">
        <v>3880</v>
      </c>
      <c r="AH20" s="81" t="b">
        <v>0</v>
      </c>
      <c r="AI20" s="81" t="s">
        <v>4092</v>
      </c>
      <c r="AJ20" s="81"/>
      <c r="AK20" s="87" t="s">
        <v>3875</v>
      </c>
      <c r="AL20" s="81" t="b">
        <v>0</v>
      </c>
      <c r="AM20" s="81">
        <v>0</v>
      </c>
      <c r="AN20" s="87" t="s">
        <v>3875</v>
      </c>
      <c r="AO20" s="87" t="s">
        <v>4110</v>
      </c>
      <c r="AP20" s="81" t="b">
        <v>0</v>
      </c>
      <c r="AQ20" s="87" t="s">
        <v>3645</v>
      </c>
      <c r="AR20" s="81" t="s">
        <v>179</v>
      </c>
      <c r="AS20" s="81">
        <v>0</v>
      </c>
      <c r="AT20" s="81">
        <v>0</v>
      </c>
      <c r="AU20" s="81"/>
      <c r="AV20" s="81"/>
      <c r="AW20" s="81"/>
      <c r="AX20" s="81"/>
      <c r="AY20" s="81"/>
      <c r="AZ20" s="81"/>
      <c r="BA20" s="81"/>
      <c r="BB20" s="81"/>
    </row>
    <row r="21" spans="1:54" x14ac:dyDescent="0.35">
      <c r="A21" s="66" t="s">
        <v>231</v>
      </c>
      <c r="B21" s="66" t="s">
        <v>997</v>
      </c>
      <c r="C21" s="67"/>
      <c r="D21" s="68"/>
      <c r="E21" s="69"/>
      <c r="F21" s="70"/>
      <c r="G21" s="67"/>
      <c r="H21" s="71"/>
      <c r="I21" s="72"/>
      <c r="J21" s="72"/>
      <c r="K21" s="36"/>
      <c r="L21" s="79"/>
      <c r="M21" s="79"/>
      <c r="N21" s="74"/>
      <c r="O21" s="81" t="s">
        <v>1208</v>
      </c>
      <c r="P21" s="83">
        <v>44458.210682870369</v>
      </c>
      <c r="Q21" s="81" t="s">
        <v>1221</v>
      </c>
      <c r="R21" s="81"/>
      <c r="S21" s="81"/>
      <c r="T21" s="81"/>
      <c r="U21" s="81"/>
      <c r="V21" s="85" t="str">
        <f>HYPERLINK("https://pbs.twimg.com/profile_images/1389915831539142657/4CpPIpnl_normal.jpg")</f>
        <v>https://pbs.twimg.com/profile_images/1389915831539142657/4CpPIpnl_normal.jpg</v>
      </c>
      <c r="W21" s="83">
        <v>44458.210682870369</v>
      </c>
      <c r="X21" s="89">
        <v>44458</v>
      </c>
      <c r="Y21" s="87" t="s">
        <v>1806</v>
      </c>
      <c r="Z21" s="85" t="str">
        <f>HYPERLINK("https://twitter.com/manusiastress/status/1439455055598346240")</f>
        <v>https://twitter.com/manusiastress/status/1439455055598346240</v>
      </c>
      <c r="AA21" s="81"/>
      <c r="AB21" s="81"/>
      <c r="AC21" s="87" t="s">
        <v>2726</v>
      </c>
      <c r="AD21" s="87" t="s">
        <v>3646</v>
      </c>
      <c r="AE21" s="81" t="b">
        <v>0</v>
      </c>
      <c r="AF21" s="81">
        <v>0</v>
      </c>
      <c r="AG21" s="87" t="s">
        <v>3881</v>
      </c>
      <c r="AH21" s="81" t="b">
        <v>0</v>
      </c>
      <c r="AI21" s="81" t="s">
        <v>4092</v>
      </c>
      <c r="AJ21" s="81"/>
      <c r="AK21" s="87" t="s">
        <v>3875</v>
      </c>
      <c r="AL21" s="81" t="b">
        <v>0</v>
      </c>
      <c r="AM21" s="81">
        <v>0</v>
      </c>
      <c r="AN21" s="87" t="s">
        <v>3875</v>
      </c>
      <c r="AO21" s="87" t="s">
        <v>4109</v>
      </c>
      <c r="AP21" s="81" t="b">
        <v>0</v>
      </c>
      <c r="AQ21" s="87" t="s">
        <v>3646</v>
      </c>
      <c r="AR21" s="81" t="s">
        <v>179</v>
      </c>
      <c r="AS21" s="81">
        <v>0</v>
      </c>
      <c r="AT21" s="81">
        <v>0</v>
      </c>
      <c r="AU21" s="81"/>
      <c r="AV21" s="81"/>
      <c r="AW21" s="81"/>
      <c r="AX21" s="81"/>
      <c r="AY21" s="81"/>
      <c r="AZ21" s="81"/>
      <c r="BA21" s="81"/>
      <c r="BB21" s="81"/>
    </row>
    <row r="22" spans="1:54" x14ac:dyDescent="0.35">
      <c r="A22" s="66" t="s">
        <v>232</v>
      </c>
      <c r="B22" s="66" t="s">
        <v>998</v>
      </c>
      <c r="C22" s="67"/>
      <c r="D22" s="68"/>
      <c r="E22" s="69"/>
      <c r="F22" s="70"/>
      <c r="G22" s="67"/>
      <c r="H22" s="71"/>
      <c r="I22" s="72"/>
      <c r="J22" s="72"/>
      <c r="K22" s="36"/>
      <c r="L22" s="79"/>
      <c r="M22" s="79"/>
      <c r="N22" s="74"/>
      <c r="O22" s="81" t="s">
        <v>1208</v>
      </c>
      <c r="P22" s="83">
        <v>44458.211504629631</v>
      </c>
      <c r="Q22" s="81" t="s">
        <v>1222</v>
      </c>
      <c r="R22" s="81"/>
      <c r="S22" s="81"/>
      <c r="T22" s="81"/>
      <c r="U22" s="81"/>
      <c r="V22" s="85" t="str">
        <f>HYPERLINK("https://pbs.twimg.com/profile_images/989856568106631171/g8Zu64w1_normal.jpg")</f>
        <v>https://pbs.twimg.com/profile_images/989856568106631171/g8Zu64w1_normal.jpg</v>
      </c>
      <c r="W22" s="83">
        <v>44458.211504629631</v>
      </c>
      <c r="X22" s="89">
        <v>44458</v>
      </c>
      <c r="Y22" s="87" t="s">
        <v>1807</v>
      </c>
      <c r="Z22" s="85" t="str">
        <f>HYPERLINK("https://twitter.com/benjolbarotho/status/1439455351045124096")</f>
        <v>https://twitter.com/benjolbarotho/status/1439455351045124096</v>
      </c>
      <c r="AA22" s="81"/>
      <c r="AB22" s="81"/>
      <c r="AC22" s="87" t="s">
        <v>2727</v>
      </c>
      <c r="AD22" s="87" t="s">
        <v>3647</v>
      </c>
      <c r="AE22" s="81" t="b">
        <v>0</v>
      </c>
      <c r="AF22" s="81">
        <v>2</v>
      </c>
      <c r="AG22" s="87" t="s">
        <v>3882</v>
      </c>
      <c r="AH22" s="81" t="b">
        <v>0</v>
      </c>
      <c r="AI22" s="81" t="s">
        <v>4092</v>
      </c>
      <c r="AJ22" s="81"/>
      <c r="AK22" s="87" t="s">
        <v>3875</v>
      </c>
      <c r="AL22" s="81" t="b">
        <v>0</v>
      </c>
      <c r="AM22" s="81">
        <v>0</v>
      </c>
      <c r="AN22" s="87" t="s">
        <v>3875</v>
      </c>
      <c r="AO22" s="87" t="s">
        <v>4109</v>
      </c>
      <c r="AP22" s="81" t="b">
        <v>0</v>
      </c>
      <c r="AQ22" s="87" t="s">
        <v>3647</v>
      </c>
      <c r="AR22" s="81" t="s">
        <v>179</v>
      </c>
      <c r="AS22" s="81">
        <v>0</v>
      </c>
      <c r="AT22" s="81">
        <v>0</v>
      </c>
      <c r="AU22" s="81"/>
      <c r="AV22" s="81"/>
      <c r="AW22" s="81"/>
      <c r="AX22" s="81"/>
      <c r="AY22" s="81"/>
      <c r="AZ22" s="81"/>
      <c r="BA22" s="81"/>
      <c r="BB22" s="81"/>
    </row>
    <row r="23" spans="1:54" x14ac:dyDescent="0.35">
      <c r="A23" s="66" t="s">
        <v>233</v>
      </c>
      <c r="B23" s="66" t="s">
        <v>999</v>
      </c>
      <c r="C23" s="67"/>
      <c r="D23" s="68"/>
      <c r="E23" s="69"/>
      <c r="F23" s="70"/>
      <c r="G23" s="67"/>
      <c r="H23" s="71"/>
      <c r="I23" s="72"/>
      <c r="J23" s="72"/>
      <c r="K23" s="36"/>
      <c r="L23" s="79"/>
      <c r="M23" s="79"/>
      <c r="N23" s="74"/>
      <c r="O23" s="81" t="s">
        <v>1208</v>
      </c>
      <c r="P23" s="83">
        <v>44458.246087962965</v>
      </c>
      <c r="Q23" s="81" t="s">
        <v>1223</v>
      </c>
      <c r="R23" s="81"/>
      <c r="S23" s="81"/>
      <c r="T23" s="81"/>
      <c r="U23" s="81"/>
      <c r="V23" s="85" t="str">
        <f>HYPERLINK("https://pbs.twimg.com/profile_images/1441760984851365888/fuLZAhp1_normal.jpg")</f>
        <v>https://pbs.twimg.com/profile_images/1441760984851365888/fuLZAhp1_normal.jpg</v>
      </c>
      <c r="W23" s="83">
        <v>44458.246087962965</v>
      </c>
      <c r="X23" s="89">
        <v>44458</v>
      </c>
      <c r="Y23" s="87" t="s">
        <v>1808</v>
      </c>
      <c r="Z23" s="85" t="str">
        <f>HYPERLINK("https://twitter.com/edwardus4/status/1439467886590889985")</f>
        <v>https://twitter.com/edwardus4/status/1439467886590889985</v>
      </c>
      <c r="AA23" s="81"/>
      <c r="AB23" s="81"/>
      <c r="AC23" s="87" t="s">
        <v>2728</v>
      </c>
      <c r="AD23" s="87" t="s">
        <v>3648</v>
      </c>
      <c r="AE23" s="81" t="b">
        <v>0</v>
      </c>
      <c r="AF23" s="81">
        <v>0</v>
      </c>
      <c r="AG23" s="87" t="s">
        <v>3883</v>
      </c>
      <c r="AH23" s="81" t="b">
        <v>0</v>
      </c>
      <c r="AI23" s="81" t="s">
        <v>4092</v>
      </c>
      <c r="AJ23" s="81"/>
      <c r="AK23" s="87" t="s">
        <v>3875</v>
      </c>
      <c r="AL23" s="81" t="b">
        <v>0</v>
      </c>
      <c r="AM23" s="81">
        <v>0</v>
      </c>
      <c r="AN23" s="87" t="s">
        <v>3875</v>
      </c>
      <c r="AO23" s="87" t="s">
        <v>4112</v>
      </c>
      <c r="AP23" s="81" t="b">
        <v>0</v>
      </c>
      <c r="AQ23" s="87" t="s">
        <v>3648</v>
      </c>
      <c r="AR23" s="81" t="s">
        <v>179</v>
      </c>
      <c r="AS23" s="81">
        <v>0</v>
      </c>
      <c r="AT23" s="81">
        <v>0</v>
      </c>
      <c r="AU23" s="81"/>
      <c r="AV23" s="81"/>
      <c r="AW23" s="81"/>
      <c r="AX23" s="81"/>
      <c r="AY23" s="81"/>
      <c r="AZ23" s="81"/>
      <c r="BA23" s="81"/>
      <c r="BB23" s="81"/>
    </row>
    <row r="24" spans="1:54" x14ac:dyDescent="0.35">
      <c r="A24" s="66" t="s">
        <v>234</v>
      </c>
      <c r="B24" s="66" t="s">
        <v>1000</v>
      </c>
      <c r="C24" s="67"/>
      <c r="D24" s="68"/>
      <c r="E24" s="69"/>
      <c r="F24" s="70"/>
      <c r="G24" s="67"/>
      <c r="H24" s="71"/>
      <c r="I24" s="72"/>
      <c r="J24" s="72"/>
      <c r="K24" s="36"/>
      <c r="L24" s="79"/>
      <c r="M24" s="79"/>
      <c r="N24" s="74"/>
      <c r="O24" s="81" t="s">
        <v>1208</v>
      </c>
      <c r="P24" s="83">
        <v>44458.254224537035</v>
      </c>
      <c r="Q24" s="81" t="s">
        <v>1224</v>
      </c>
      <c r="R24" s="81"/>
      <c r="S24" s="81"/>
      <c r="T24" s="81"/>
      <c r="U24" s="81"/>
      <c r="V24" s="85" t="str">
        <f>HYPERLINK("https://pbs.twimg.com/profile_images/1440046962456215556/44AOo8sj_normal.jpg")</f>
        <v>https://pbs.twimg.com/profile_images/1440046962456215556/44AOo8sj_normal.jpg</v>
      </c>
      <c r="W24" s="83">
        <v>44458.254224537035</v>
      </c>
      <c r="X24" s="89">
        <v>44458</v>
      </c>
      <c r="Y24" s="87" t="s">
        <v>1809</v>
      </c>
      <c r="Z24" s="85" t="str">
        <f>HYPERLINK("https://twitter.com/metalgarislucu/status/1439470833726984192")</f>
        <v>https://twitter.com/metalgarislucu/status/1439470833726984192</v>
      </c>
      <c r="AA24" s="81"/>
      <c r="AB24" s="81"/>
      <c r="AC24" s="87" t="s">
        <v>2729</v>
      </c>
      <c r="AD24" s="87" t="s">
        <v>3649</v>
      </c>
      <c r="AE24" s="81" t="b">
        <v>0</v>
      </c>
      <c r="AF24" s="81">
        <v>0</v>
      </c>
      <c r="AG24" s="87" t="s">
        <v>3884</v>
      </c>
      <c r="AH24" s="81" t="b">
        <v>0</v>
      </c>
      <c r="AI24" s="81" t="s">
        <v>4092</v>
      </c>
      <c r="AJ24" s="81"/>
      <c r="AK24" s="87" t="s">
        <v>3875</v>
      </c>
      <c r="AL24" s="81" t="b">
        <v>0</v>
      </c>
      <c r="AM24" s="81">
        <v>0</v>
      </c>
      <c r="AN24" s="87" t="s">
        <v>3875</v>
      </c>
      <c r="AO24" s="87" t="s">
        <v>4109</v>
      </c>
      <c r="AP24" s="81" t="b">
        <v>0</v>
      </c>
      <c r="AQ24" s="87" t="s">
        <v>3649</v>
      </c>
      <c r="AR24" s="81" t="s">
        <v>179</v>
      </c>
      <c r="AS24" s="81">
        <v>0</v>
      </c>
      <c r="AT24" s="81">
        <v>0</v>
      </c>
      <c r="AU24" s="81"/>
      <c r="AV24" s="81"/>
      <c r="AW24" s="81"/>
      <c r="AX24" s="81"/>
      <c r="AY24" s="81"/>
      <c r="AZ24" s="81"/>
      <c r="BA24" s="81"/>
      <c r="BB24" s="81"/>
    </row>
    <row r="25" spans="1:54" x14ac:dyDescent="0.35">
      <c r="A25" s="66" t="s">
        <v>235</v>
      </c>
      <c r="B25" s="66" t="s">
        <v>235</v>
      </c>
      <c r="C25" s="67"/>
      <c r="D25" s="68"/>
      <c r="E25" s="69"/>
      <c r="F25" s="70"/>
      <c r="G25" s="67"/>
      <c r="H25" s="71"/>
      <c r="I25" s="72"/>
      <c r="J25" s="72"/>
      <c r="K25" s="36"/>
      <c r="L25" s="79"/>
      <c r="M25" s="79"/>
      <c r="N25" s="74"/>
      <c r="O25" s="81" t="s">
        <v>179</v>
      </c>
      <c r="P25" s="83">
        <v>44458.261018518519</v>
      </c>
      <c r="Q25" s="81" t="s">
        <v>1225</v>
      </c>
      <c r="R25" s="85" t="str">
        <f>HYPERLINK("https://twitter.com/anonblobfish/status/1439395074312265731")</f>
        <v>https://twitter.com/anonblobfish/status/1439395074312265731</v>
      </c>
      <c r="S25" s="81" t="s">
        <v>1731</v>
      </c>
      <c r="T25" s="81"/>
      <c r="U25" s="81"/>
      <c r="V25" s="85" t="str">
        <f>HYPERLINK("https://pbs.twimg.com/profile_images/1442349949509722117/97EzwWOs_normal.jpg")</f>
        <v>https://pbs.twimg.com/profile_images/1442349949509722117/97EzwWOs_normal.jpg</v>
      </c>
      <c r="W25" s="83">
        <v>44458.261018518519</v>
      </c>
      <c r="X25" s="89">
        <v>44458</v>
      </c>
      <c r="Y25" s="87" t="s">
        <v>1810</v>
      </c>
      <c r="Z25" s="85" t="str">
        <f>HYPERLINK("https://twitter.com/srynbla/status/1439473294214778888")</f>
        <v>https://twitter.com/srynbla/status/1439473294214778888</v>
      </c>
      <c r="AA25" s="81"/>
      <c r="AB25" s="81"/>
      <c r="AC25" s="87" t="s">
        <v>2730</v>
      </c>
      <c r="AD25" s="81"/>
      <c r="AE25" s="81" t="b">
        <v>0</v>
      </c>
      <c r="AF25" s="81">
        <v>0</v>
      </c>
      <c r="AG25" s="87" t="s">
        <v>3875</v>
      </c>
      <c r="AH25" s="81" t="b">
        <v>1</v>
      </c>
      <c r="AI25" s="81" t="s">
        <v>4092</v>
      </c>
      <c r="AJ25" s="81"/>
      <c r="AK25" s="87" t="s">
        <v>3659</v>
      </c>
      <c r="AL25" s="81" t="b">
        <v>0</v>
      </c>
      <c r="AM25" s="81">
        <v>0</v>
      </c>
      <c r="AN25" s="87" t="s">
        <v>3875</v>
      </c>
      <c r="AO25" s="87" t="s">
        <v>4109</v>
      </c>
      <c r="AP25" s="81" t="b">
        <v>0</v>
      </c>
      <c r="AQ25" s="87" t="s">
        <v>2730</v>
      </c>
      <c r="AR25" s="81" t="s">
        <v>179</v>
      </c>
      <c r="AS25" s="81">
        <v>0</v>
      </c>
      <c r="AT25" s="81">
        <v>0</v>
      </c>
      <c r="AU25" s="81"/>
      <c r="AV25" s="81"/>
      <c r="AW25" s="81"/>
      <c r="AX25" s="81"/>
      <c r="AY25" s="81"/>
      <c r="AZ25" s="81"/>
      <c r="BA25" s="81"/>
      <c r="BB25" s="81"/>
    </row>
    <row r="26" spans="1:54" x14ac:dyDescent="0.35">
      <c r="A26" s="66" t="s">
        <v>236</v>
      </c>
      <c r="B26" s="66" t="s">
        <v>236</v>
      </c>
      <c r="C26" s="67"/>
      <c r="D26" s="68"/>
      <c r="E26" s="69"/>
      <c r="F26" s="70"/>
      <c r="G26" s="67"/>
      <c r="H26" s="71"/>
      <c r="I26" s="72"/>
      <c r="J26" s="72"/>
      <c r="K26" s="36"/>
      <c r="L26" s="79"/>
      <c r="M26" s="79"/>
      <c r="N26" s="74"/>
      <c r="O26" s="81" t="s">
        <v>179</v>
      </c>
      <c r="P26" s="83">
        <v>44458.26934027778</v>
      </c>
      <c r="Q26" s="81" t="s">
        <v>1226</v>
      </c>
      <c r="R26" s="85" t="str">
        <f>HYPERLINK("https://twitter.com/anonblobfish/status/1439395074312265731")</f>
        <v>https://twitter.com/anonblobfish/status/1439395074312265731</v>
      </c>
      <c r="S26" s="81" t="s">
        <v>1731</v>
      </c>
      <c r="T26" s="81"/>
      <c r="U26" s="81"/>
      <c r="V26" s="85" t="str">
        <f>HYPERLINK("https://pbs.twimg.com/profile_images/1442425533887778821/_iRU9Te-_normal.jpg")</f>
        <v>https://pbs.twimg.com/profile_images/1442425533887778821/_iRU9Te-_normal.jpg</v>
      </c>
      <c r="W26" s="83">
        <v>44458.26934027778</v>
      </c>
      <c r="X26" s="89">
        <v>44458</v>
      </c>
      <c r="Y26" s="87" t="s">
        <v>1811</v>
      </c>
      <c r="Z26" s="85" t="str">
        <f>HYPERLINK("https://twitter.com/keitsukidate/status/1439476311374778371")</f>
        <v>https://twitter.com/keitsukidate/status/1439476311374778371</v>
      </c>
      <c r="AA26" s="81"/>
      <c r="AB26" s="81"/>
      <c r="AC26" s="87" t="s">
        <v>2731</v>
      </c>
      <c r="AD26" s="81"/>
      <c r="AE26" s="81" t="b">
        <v>0</v>
      </c>
      <c r="AF26" s="81">
        <v>0</v>
      </c>
      <c r="AG26" s="87" t="s">
        <v>3875</v>
      </c>
      <c r="AH26" s="81" t="b">
        <v>1</v>
      </c>
      <c r="AI26" s="81" t="s">
        <v>4092</v>
      </c>
      <c r="AJ26" s="81"/>
      <c r="AK26" s="87" t="s">
        <v>3659</v>
      </c>
      <c r="AL26" s="81" t="b">
        <v>0</v>
      </c>
      <c r="AM26" s="81">
        <v>0</v>
      </c>
      <c r="AN26" s="87" t="s">
        <v>3875</v>
      </c>
      <c r="AO26" s="87" t="s">
        <v>4111</v>
      </c>
      <c r="AP26" s="81" t="b">
        <v>0</v>
      </c>
      <c r="AQ26" s="87" t="s">
        <v>2731</v>
      </c>
      <c r="AR26" s="81" t="s">
        <v>179</v>
      </c>
      <c r="AS26" s="81">
        <v>0</v>
      </c>
      <c r="AT26" s="81">
        <v>0</v>
      </c>
      <c r="AU26" s="81"/>
      <c r="AV26" s="81"/>
      <c r="AW26" s="81"/>
      <c r="AX26" s="81"/>
      <c r="AY26" s="81"/>
      <c r="AZ26" s="81"/>
      <c r="BA26" s="81"/>
      <c r="BB26" s="81"/>
    </row>
    <row r="27" spans="1:54" x14ac:dyDescent="0.35">
      <c r="A27" s="66" t="s">
        <v>237</v>
      </c>
      <c r="B27" s="66" t="s">
        <v>1001</v>
      </c>
      <c r="C27" s="67"/>
      <c r="D27" s="68"/>
      <c r="E27" s="69"/>
      <c r="F27" s="70"/>
      <c r="G27" s="67"/>
      <c r="H27" s="71"/>
      <c r="I27" s="72"/>
      <c r="J27" s="72"/>
      <c r="K27" s="36"/>
      <c r="L27" s="79"/>
      <c r="M27" s="79"/>
      <c r="N27" s="74"/>
      <c r="O27" s="81" t="s">
        <v>1208</v>
      </c>
      <c r="P27" s="83">
        <v>44458.28434027778</v>
      </c>
      <c r="Q27" s="81" t="s">
        <v>1227</v>
      </c>
      <c r="R27" s="81"/>
      <c r="S27" s="81"/>
      <c r="T27" s="81"/>
      <c r="U27" s="81"/>
      <c r="V27" s="85" t="str">
        <f>HYPERLINK("https://pbs.twimg.com/profile_images/1433360433973370884/Zgcl88bb_normal.jpg")</f>
        <v>https://pbs.twimg.com/profile_images/1433360433973370884/Zgcl88bb_normal.jpg</v>
      </c>
      <c r="W27" s="83">
        <v>44458.28434027778</v>
      </c>
      <c r="X27" s="89">
        <v>44458</v>
      </c>
      <c r="Y27" s="87" t="s">
        <v>1812</v>
      </c>
      <c r="Z27" s="85" t="str">
        <f>HYPERLINK("https://twitter.com/ibnu_dumadi/status/1439481748862107648")</f>
        <v>https://twitter.com/ibnu_dumadi/status/1439481748862107648</v>
      </c>
      <c r="AA27" s="81"/>
      <c r="AB27" s="81"/>
      <c r="AC27" s="87" t="s">
        <v>2732</v>
      </c>
      <c r="AD27" s="87" t="s">
        <v>3650</v>
      </c>
      <c r="AE27" s="81" t="b">
        <v>0</v>
      </c>
      <c r="AF27" s="81">
        <v>0</v>
      </c>
      <c r="AG27" s="87" t="s">
        <v>3885</v>
      </c>
      <c r="AH27" s="81" t="b">
        <v>0</v>
      </c>
      <c r="AI27" s="81" t="s">
        <v>4092</v>
      </c>
      <c r="AJ27" s="81"/>
      <c r="AK27" s="87" t="s">
        <v>3875</v>
      </c>
      <c r="AL27" s="81" t="b">
        <v>0</v>
      </c>
      <c r="AM27" s="81">
        <v>0</v>
      </c>
      <c r="AN27" s="87" t="s">
        <v>3875</v>
      </c>
      <c r="AO27" s="87" t="s">
        <v>4109</v>
      </c>
      <c r="AP27" s="81" t="b">
        <v>0</v>
      </c>
      <c r="AQ27" s="87" t="s">
        <v>3650</v>
      </c>
      <c r="AR27" s="81" t="s">
        <v>179</v>
      </c>
      <c r="AS27" s="81">
        <v>0</v>
      </c>
      <c r="AT27" s="81">
        <v>0</v>
      </c>
      <c r="AU27" s="81"/>
      <c r="AV27" s="81"/>
      <c r="AW27" s="81"/>
      <c r="AX27" s="81"/>
      <c r="AY27" s="81"/>
      <c r="AZ27" s="81"/>
      <c r="BA27" s="81"/>
      <c r="BB27" s="81"/>
    </row>
    <row r="28" spans="1:54" x14ac:dyDescent="0.35">
      <c r="A28" s="66" t="s">
        <v>238</v>
      </c>
      <c r="B28" s="66" t="s">
        <v>238</v>
      </c>
      <c r="C28" s="67"/>
      <c r="D28" s="68"/>
      <c r="E28" s="69"/>
      <c r="F28" s="70"/>
      <c r="G28" s="67"/>
      <c r="H28" s="71"/>
      <c r="I28" s="72"/>
      <c r="J28" s="72"/>
      <c r="K28" s="36"/>
      <c r="L28" s="79"/>
      <c r="M28" s="79"/>
      <c r="N28" s="74"/>
      <c r="O28" s="81" t="s">
        <v>179</v>
      </c>
      <c r="P28" s="83">
        <v>44458.280532407407</v>
      </c>
      <c r="Q28" s="81" t="s">
        <v>1228</v>
      </c>
      <c r="R28" s="85" t="str">
        <f>HYPERLINK("https://sumselterkini.co.id/bumn/perkuat-layanan-platform-digital-courier-posaja-pos-indonesia-kenalkan-o-ranger-mawar-kurir-wanita/")</f>
        <v>https://sumselterkini.co.id/bumn/perkuat-layanan-platform-digital-courier-posaja-pos-indonesia-kenalkan-o-ranger-mawar-kurir-wanita/</v>
      </c>
      <c r="S28" s="81" t="s">
        <v>1732</v>
      </c>
      <c r="T28" s="81"/>
      <c r="U28" s="85" t="str">
        <f>HYPERLINK("https://pbs.twimg.com/media/E_oPxF9UcAUEzec.jpg")</f>
        <v>https://pbs.twimg.com/media/E_oPxF9UcAUEzec.jpg</v>
      </c>
      <c r="V28" s="85" t="str">
        <f>HYPERLINK("https://pbs.twimg.com/media/E_oPxF9UcAUEzec.jpg")</f>
        <v>https://pbs.twimg.com/media/E_oPxF9UcAUEzec.jpg</v>
      </c>
      <c r="W28" s="83">
        <v>44458.280532407407</v>
      </c>
      <c r="X28" s="89">
        <v>44458</v>
      </c>
      <c r="Y28" s="87" t="s">
        <v>1813</v>
      </c>
      <c r="Z28" s="85" t="str">
        <f>HYPERLINK("https://twitter.com/sumselterkini/status/1439480368940285954")</f>
        <v>https://twitter.com/sumselterkini/status/1439480368940285954</v>
      </c>
      <c r="AA28" s="81"/>
      <c r="AB28" s="81"/>
      <c r="AC28" s="87" t="s">
        <v>2733</v>
      </c>
      <c r="AD28" s="81"/>
      <c r="AE28" s="81" t="b">
        <v>0</v>
      </c>
      <c r="AF28" s="81">
        <v>0</v>
      </c>
      <c r="AG28" s="87" t="s">
        <v>3875</v>
      </c>
      <c r="AH28" s="81" t="b">
        <v>0</v>
      </c>
      <c r="AI28" s="81" t="s">
        <v>4092</v>
      </c>
      <c r="AJ28" s="81"/>
      <c r="AK28" s="87" t="s">
        <v>3875</v>
      </c>
      <c r="AL28" s="81" t="b">
        <v>0</v>
      </c>
      <c r="AM28" s="81">
        <v>0</v>
      </c>
      <c r="AN28" s="87" t="s">
        <v>3875</v>
      </c>
      <c r="AO28" s="87" t="s">
        <v>238</v>
      </c>
      <c r="AP28" s="81" t="b">
        <v>0</v>
      </c>
      <c r="AQ28" s="87" t="s">
        <v>2733</v>
      </c>
      <c r="AR28" s="81" t="s">
        <v>179</v>
      </c>
      <c r="AS28" s="81">
        <v>0</v>
      </c>
      <c r="AT28" s="81">
        <v>0</v>
      </c>
      <c r="AU28" s="81"/>
      <c r="AV28" s="81"/>
      <c r="AW28" s="81"/>
      <c r="AX28" s="81"/>
      <c r="AY28" s="81"/>
      <c r="AZ28" s="81"/>
      <c r="BA28" s="81"/>
      <c r="BB28" s="81"/>
    </row>
    <row r="29" spans="1:54" x14ac:dyDescent="0.35">
      <c r="A29" s="66" t="s">
        <v>238</v>
      </c>
      <c r="B29" s="66" t="s">
        <v>238</v>
      </c>
      <c r="C29" s="67"/>
      <c r="D29" s="68"/>
      <c r="E29" s="69"/>
      <c r="F29" s="70"/>
      <c r="G29" s="67"/>
      <c r="H29" s="71"/>
      <c r="I29" s="72"/>
      <c r="J29" s="72"/>
      <c r="K29" s="36"/>
      <c r="L29" s="79"/>
      <c r="M29" s="79"/>
      <c r="N29" s="74"/>
      <c r="O29" s="81" t="s">
        <v>179</v>
      </c>
      <c r="P29" s="83">
        <v>44458.280821759261</v>
      </c>
      <c r="Q29" s="81" t="s">
        <v>1229</v>
      </c>
      <c r="R29" s="85" t="str">
        <f>HYPERLINK("https://sumselterkini.co.id/bumn/perkuat-layanan-platform-digital-courier-posaja-pos-indonesia-kenalkan-o-ranger-mawar-kurir-wanita/")</f>
        <v>https://sumselterkini.co.id/bumn/perkuat-layanan-platform-digital-courier-posaja-pos-indonesia-kenalkan-o-ranger-mawar-kurir-wanita/</v>
      </c>
      <c r="S29" s="81" t="s">
        <v>1732</v>
      </c>
      <c r="T29" s="81"/>
      <c r="U29" s="85" t="str">
        <f>HYPERLINK("https://pbs.twimg.com/media/E_oP3KNVkAkuHvS.jpg")</f>
        <v>https://pbs.twimg.com/media/E_oP3KNVkAkuHvS.jpg</v>
      </c>
      <c r="V29" s="85" t="str">
        <f>HYPERLINK("https://pbs.twimg.com/media/E_oP3KNVkAkuHvS.jpg")</f>
        <v>https://pbs.twimg.com/media/E_oP3KNVkAkuHvS.jpg</v>
      </c>
      <c r="W29" s="83">
        <v>44458.280821759261</v>
      </c>
      <c r="X29" s="89">
        <v>44458</v>
      </c>
      <c r="Y29" s="87" t="s">
        <v>1814</v>
      </c>
      <c r="Z29" s="85" t="str">
        <f>HYPERLINK("https://twitter.com/sumselterkini/status/1439480473110003713")</f>
        <v>https://twitter.com/sumselterkini/status/1439480473110003713</v>
      </c>
      <c r="AA29" s="81"/>
      <c r="AB29" s="81"/>
      <c r="AC29" s="87" t="s">
        <v>2734</v>
      </c>
      <c r="AD29" s="81"/>
      <c r="AE29" s="81" t="b">
        <v>0</v>
      </c>
      <c r="AF29" s="81">
        <v>0</v>
      </c>
      <c r="AG29" s="87" t="s">
        <v>3875</v>
      </c>
      <c r="AH29" s="81" t="b">
        <v>0</v>
      </c>
      <c r="AI29" s="81" t="s">
        <v>4092</v>
      </c>
      <c r="AJ29" s="81"/>
      <c r="AK29" s="87" t="s">
        <v>3875</v>
      </c>
      <c r="AL29" s="81" t="b">
        <v>0</v>
      </c>
      <c r="AM29" s="81">
        <v>0</v>
      </c>
      <c r="AN29" s="87" t="s">
        <v>3875</v>
      </c>
      <c r="AO29" s="87" t="s">
        <v>238</v>
      </c>
      <c r="AP29" s="81" t="b">
        <v>0</v>
      </c>
      <c r="AQ29" s="87" t="s">
        <v>2734</v>
      </c>
      <c r="AR29" s="81" t="s">
        <v>179</v>
      </c>
      <c r="AS29" s="81">
        <v>0</v>
      </c>
      <c r="AT29" s="81">
        <v>0</v>
      </c>
      <c r="AU29" s="81"/>
      <c r="AV29" s="81"/>
      <c r="AW29" s="81"/>
      <c r="AX29" s="81"/>
      <c r="AY29" s="81"/>
      <c r="AZ29" s="81"/>
      <c r="BA29" s="81"/>
      <c r="BB29" s="81"/>
    </row>
    <row r="30" spans="1:54" x14ac:dyDescent="0.35">
      <c r="A30" s="66" t="s">
        <v>238</v>
      </c>
      <c r="B30" s="66" t="s">
        <v>238</v>
      </c>
      <c r="C30" s="67"/>
      <c r="D30" s="68"/>
      <c r="E30" s="69"/>
      <c r="F30" s="70"/>
      <c r="G30" s="67"/>
      <c r="H30" s="71"/>
      <c r="I30" s="72"/>
      <c r="J30" s="72"/>
      <c r="K30" s="36"/>
      <c r="L30" s="79"/>
      <c r="M30" s="79"/>
      <c r="N30" s="74"/>
      <c r="O30" s="81" t="s">
        <v>179</v>
      </c>
      <c r="P30" s="83">
        <v>44458.281643518516</v>
      </c>
      <c r="Q30" s="81" t="s">
        <v>1230</v>
      </c>
      <c r="R30" s="85" t="str">
        <f>HYPERLINK("https://sumselterkini.co.id/bumn/perkuat-layanan-platform-digital-courier-posaja-pos-indonesia-kenalkan-o-ranger-mawar-kurir-wanita/")</f>
        <v>https://sumselterkini.co.id/bumn/perkuat-layanan-platform-digital-courier-posaja-pos-indonesia-kenalkan-o-ranger-mawar-kurir-wanita/</v>
      </c>
      <c r="S30" s="81" t="s">
        <v>1732</v>
      </c>
      <c r="T30" s="81"/>
      <c r="U30" s="85" t="str">
        <f>HYPERLINK("https://pbs.twimg.com/media/E_oQIVkVEAUItuO.jpg")</f>
        <v>https://pbs.twimg.com/media/E_oQIVkVEAUItuO.jpg</v>
      </c>
      <c r="V30" s="85" t="str">
        <f>HYPERLINK("https://pbs.twimg.com/media/E_oQIVkVEAUItuO.jpg")</f>
        <v>https://pbs.twimg.com/media/E_oQIVkVEAUItuO.jpg</v>
      </c>
      <c r="W30" s="83">
        <v>44458.281643518516</v>
      </c>
      <c r="X30" s="89">
        <v>44458</v>
      </c>
      <c r="Y30" s="87" t="s">
        <v>1815</v>
      </c>
      <c r="Z30" s="85" t="str">
        <f>HYPERLINK("https://twitter.com/sumselterkini/status/1439480768158306305")</f>
        <v>https://twitter.com/sumselterkini/status/1439480768158306305</v>
      </c>
      <c r="AA30" s="81"/>
      <c r="AB30" s="81"/>
      <c r="AC30" s="87" t="s">
        <v>2735</v>
      </c>
      <c r="AD30" s="81"/>
      <c r="AE30" s="81" t="b">
        <v>0</v>
      </c>
      <c r="AF30" s="81">
        <v>0</v>
      </c>
      <c r="AG30" s="87" t="s">
        <v>3875</v>
      </c>
      <c r="AH30" s="81" t="b">
        <v>0</v>
      </c>
      <c r="AI30" s="81" t="s">
        <v>4092</v>
      </c>
      <c r="AJ30" s="81"/>
      <c r="AK30" s="87" t="s">
        <v>3875</v>
      </c>
      <c r="AL30" s="81" t="b">
        <v>0</v>
      </c>
      <c r="AM30" s="81">
        <v>0</v>
      </c>
      <c r="AN30" s="87" t="s">
        <v>3875</v>
      </c>
      <c r="AO30" s="87" t="s">
        <v>238</v>
      </c>
      <c r="AP30" s="81" t="b">
        <v>0</v>
      </c>
      <c r="AQ30" s="87" t="s">
        <v>2735</v>
      </c>
      <c r="AR30" s="81" t="s">
        <v>179</v>
      </c>
      <c r="AS30" s="81">
        <v>0</v>
      </c>
      <c r="AT30" s="81">
        <v>0</v>
      </c>
      <c r="AU30" s="81"/>
      <c r="AV30" s="81"/>
      <c r="AW30" s="81"/>
      <c r="AX30" s="81"/>
      <c r="AY30" s="81"/>
      <c r="AZ30" s="81"/>
      <c r="BA30" s="81"/>
      <c r="BB30" s="81"/>
    </row>
    <row r="31" spans="1:54" x14ac:dyDescent="0.35">
      <c r="A31" s="66" t="s">
        <v>238</v>
      </c>
      <c r="B31" s="66" t="s">
        <v>238</v>
      </c>
      <c r="C31" s="67"/>
      <c r="D31" s="68"/>
      <c r="E31" s="69"/>
      <c r="F31" s="70"/>
      <c r="G31" s="67"/>
      <c r="H31" s="71"/>
      <c r="I31" s="72"/>
      <c r="J31" s="72"/>
      <c r="K31" s="36"/>
      <c r="L31" s="79"/>
      <c r="M31" s="79"/>
      <c r="N31" s="74"/>
      <c r="O31" s="81" t="s">
        <v>179</v>
      </c>
      <c r="P31" s="83">
        <v>44458.301192129627</v>
      </c>
      <c r="Q31" s="81" t="s">
        <v>1231</v>
      </c>
      <c r="R31" s="85" t="str">
        <f>HYPERLINK("https://sumselterkini.co.id/bumn/perkuat-layanan-platform-digital-courier-posaja-pos-indonesia-kenalkan-o-ranger-mawar-kurir-wanita/")</f>
        <v>https://sumselterkini.co.id/bumn/perkuat-layanan-platform-digital-courier-posaja-pos-indonesia-kenalkan-o-ranger-mawar-kurir-wanita/</v>
      </c>
      <c r="S31" s="81" t="s">
        <v>1732</v>
      </c>
      <c r="T31" s="81"/>
      <c r="U31" s="85" t="str">
        <f>HYPERLINK("https://pbs.twimg.com/media/E_oWk0MVUAgDkm9.jpg")</f>
        <v>https://pbs.twimg.com/media/E_oWk0MVUAgDkm9.jpg</v>
      </c>
      <c r="V31" s="85" t="str">
        <f>HYPERLINK("https://pbs.twimg.com/media/E_oWk0MVUAgDkm9.jpg")</f>
        <v>https://pbs.twimg.com/media/E_oWk0MVUAgDkm9.jpg</v>
      </c>
      <c r="W31" s="83">
        <v>44458.301192129627</v>
      </c>
      <c r="X31" s="89">
        <v>44458</v>
      </c>
      <c r="Y31" s="87" t="s">
        <v>1816</v>
      </c>
      <c r="Z31" s="85" t="str">
        <f>HYPERLINK("https://twitter.com/sumselterkini/status/1439487854409703427")</f>
        <v>https://twitter.com/sumselterkini/status/1439487854409703427</v>
      </c>
      <c r="AA31" s="81"/>
      <c r="AB31" s="81"/>
      <c r="AC31" s="87" t="s">
        <v>2736</v>
      </c>
      <c r="AD31" s="81"/>
      <c r="AE31" s="81" t="b">
        <v>0</v>
      </c>
      <c r="AF31" s="81">
        <v>0</v>
      </c>
      <c r="AG31" s="87" t="s">
        <v>3875</v>
      </c>
      <c r="AH31" s="81" t="b">
        <v>0</v>
      </c>
      <c r="AI31" s="81" t="s">
        <v>4092</v>
      </c>
      <c r="AJ31" s="81"/>
      <c r="AK31" s="87" t="s">
        <v>3875</v>
      </c>
      <c r="AL31" s="81" t="b">
        <v>0</v>
      </c>
      <c r="AM31" s="81">
        <v>0</v>
      </c>
      <c r="AN31" s="87" t="s">
        <v>3875</v>
      </c>
      <c r="AO31" s="87" t="s">
        <v>238</v>
      </c>
      <c r="AP31" s="81" t="b">
        <v>0</v>
      </c>
      <c r="AQ31" s="87" t="s">
        <v>2736</v>
      </c>
      <c r="AR31" s="81" t="s">
        <v>179</v>
      </c>
      <c r="AS31" s="81">
        <v>0</v>
      </c>
      <c r="AT31" s="81">
        <v>0</v>
      </c>
      <c r="AU31" s="81"/>
      <c r="AV31" s="81"/>
      <c r="AW31" s="81"/>
      <c r="AX31" s="81"/>
      <c r="AY31" s="81"/>
      <c r="AZ31" s="81"/>
      <c r="BA31" s="81"/>
      <c r="BB31" s="81"/>
    </row>
    <row r="32" spans="1:54" x14ac:dyDescent="0.35">
      <c r="A32" s="66" t="s">
        <v>239</v>
      </c>
      <c r="B32" s="66" t="s">
        <v>1002</v>
      </c>
      <c r="C32" s="67"/>
      <c r="D32" s="68"/>
      <c r="E32" s="69"/>
      <c r="F32" s="70"/>
      <c r="G32" s="67"/>
      <c r="H32" s="71"/>
      <c r="I32" s="72"/>
      <c r="J32" s="72"/>
      <c r="K32" s="36"/>
      <c r="L32" s="79"/>
      <c r="M32" s="79"/>
      <c r="N32" s="74"/>
      <c r="O32" s="81" t="s">
        <v>1208</v>
      </c>
      <c r="P32" s="83">
        <v>44458.313680555555</v>
      </c>
      <c r="Q32" s="81" t="s">
        <v>1232</v>
      </c>
      <c r="R32" s="81"/>
      <c r="S32" s="81"/>
      <c r="T32" s="81"/>
      <c r="U32" s="81"/>
      <c r="V32" s="85" t="str">
        <f>HYPERLINK("https://pbs.twimg.com/profile_images/1431808661337165832/rNUWsScO_normal.jpg")</f>
        <v>https://pbs.twimg.com/profile_images/1431808661337165832/rNUWsScO_normal.jpg</v>
      </c>
      <c r="W32" s="83">
        <v>44458.313680555555</v>
      </c>
      <c r="X32" s="89">
        <v>44458</v>
      </c>
      <c r="Y32" s="87" t="s">
        <v>1817</v>
      </c>
      <c r="Z32" s="85" t="str">
        <f>HYPERLINK("https://twitter.com/dinibaik_aamiin/status/1439492379577249801")</f>
        <v>https://twitter.com/dinibaik_aamiin/status/1439492379577249801</v>
      </c>
      <c r="AA32" s="81"/>
      <c r="AB32" s="81"/>
      <c r="AC32" s="87" t="s">
        <v>2737</v>
      </c>
      <c r="AD32" s="87" t="s">
        <v>3651</v>
      </c>
      <c r="AE32" s="81" t="b">
        <v>0</v>
      </c>
      <c r="AF32" s="81">
        <v>0</v>
      </c>
      <c r="AG32" s="87" t="s">
        <v>3886</v>
      </c>
      <c r="AH32" s="81" t="b">
        <v>0</v>
      </c>
      <c r="AI32" s="81" t="s">
        <v>4092</v>
      </c>
      <c r="AJ32" s="81"/>
      <c r="AK32" s="87" t="s">
        <v>3875</v>
      </c>
      <c r="AL32" s="81" t="b">
        <v>0</v>
      </c>
      <c r="AM32" s="81">
        <v>0</v>
      </c>
      <c r="AN32" s="87" t="s">
        <v>3875</v>
      </c>
      <c r="AO32" s="87" t="s">
        <v>4111</v>
      </c>
      <c r="AP32" s="81" t="b">
        <v>0</v>
      </c>
      <c r="AQ32" s="87" t="s">
        <v>3651</v>
      </c>
      <c r="AR32" s="81" t="s">
        <v>179</v>
      </c>
      <c r="AS32" s="81">
        <v>0</v>
      </c>
      <c r="AT32" s="81">
        <v>0</v>
      </c>
      <c r="AU32" s="81"/>
      <c r="AV32" s="81"/>
      <c r="AW32" s="81"/>
      <c r="AX32" s="81"/>
      <c r="AY32" s="81"/>
      <c r="AZ32" s="81"/>
      <c r="BA32" s="81"/>
      <c r="BB32" s="81"/>
    </row>
    <row r="33" spans="1:54" x14ac:dyDescent="0.35">
      <c r="A33" s="66" t="s">
        <v>240</v>
      </c>
      <c r="B33" s="66" t="s">
        <v>240</v>
      </c>
      <c r="C33" s="67"/>
      <c r="D33" s="68"/>
      <c r="E33" s="69"/>
      <c r="F33" s="70"/>
      <c r="G33" s="67"/>
      <c r="H33" s="71"/>
      <c r="I33" s="72"/>
      <c r="J33" s="72"/>
      <c r="K33" s="36"/>
      <c r="L33" s="79"/>
      <c r="M33" s="79"/>
      <c r="N33" s="74"/>
      <c r="O33" s="81" t="s">
        <v>179</v>
      </c>
      <c r="P33" s="83">
        <v>44458.353032407409</v>
      </c>
      <c r="Q33" s="81" t="s">
        <v>1233</v>
      </c>
      <c r="R33" s="81"/>
      <c r="S33" s="81"/>
      <c r="T33" s="81"/>
      <c r="U33" s="81"/>
      <c r="V33" s="85" t="str">
        <f>HYPERLINK("https://pbs.twimg.com/profile_images/1176515060576870400/8uyxBSvG_normal.jpg")</f>
        <v>https://pbs.twimg.com/profile_images/1176515060576870400/8uyxBSvG_normal.jpg</v>
      </c>
      <c r="W33" s="83">
        <v>44458.353032407409</v>
      </c>
      <c r="X33" s="89">
        <v>44458</v>
      </c>
      <c r="Y33" s="87" t="s">
        <v>1818</v>
      </c>
      <c r="Z33" s="85" t="str">
        <f>HYPERLINK("https://twitter.com/kha_ekha16/status/1439506638470139906")</f>
        <v>https://twitter.com/kha_ekha16/status/1439506638470139906</v>
      </c>
      <c r="AA33" s="81"/>
      <c r="AB33" s="81"/>
      <c r="AC33" s="87" t="s">
        <v>2738</v>
      </c>
      <c r="AD33" s="81"/>
      <c r="AE33" s="81" t="b">
        <v>0</v>
      </c>
      <c r="AF33" s="81">
        <v>0</v>
      </c>
      <c r="AG33" s="87" t="s">
        <v>3875</v>
      </c>
      <c r="AH33" s="81" t="b">
        <v>0</v>
      </c>
      <c r="AI33" s="81" t="s">
        <v>4092</v>
      </c>
      <c r="AJ33" s="81"/>
      <c r="AK33" s="87" t="s">
        <v>3875</v>
      </c>
      <c r="AL33" s="81" t="b">
        <v>0</v>
      </c>
      <c r="AM33" s="81">
        <v>0</v>
      </c>
      <c r="AN33" s="87" t="s">
        <v>3875</v>
      </c>
      <c r="AO33" s="87" t="s">
        <v>4109</v>
      </c>
      <c r="AP33" s="81" t="b">
        <v>0</v>
      </c>
      <c r="AQ33" s="87" t="s">
        <v>2738</v>
      </c>
      <c r="AR33" s="81" t="s">
        <v>179</v>
      </c>
      <c r="AS33" s="81">
        <v>0</v>
      </c>
      <c r="AT33" s="81">
        <v>0</v>
      </c>
      <c r="AU33" s="81"/>
      <c r="AV33" s="81"/>
      <c r="AW33" s="81"/>
      <c r="AX33" s="81"/>
      <c r="AY33" s="81"/>
      <c r="AZ33" s="81"/>
      <c r="BA33" s="81"/>
      <c r="BB33" s="81"/>
    </row>
    <row r="34" spans="1:54" x14ac:dyDescent="0.35">
      <c r="A34" s="66" t="s">
        <v>241</v>
      </c>
      <c r="B34" s="66" t="s">
        <v>241</v>
      </c>
      <c r="C34" s="67"/>
      <c r="D34" s="68"/>
      <c r="E34" s="69"/>
      <c r="F34" s="70"/>
      <c r="G34" s="67"/>
      <c r="H34" s="71"/>
      <c r="I34" s="72"/>
      <c r="J34" s="72"/>
      <c r="K34" s="36"/>
      <c r="L34" s="79"/>
      <c r="M34" s="79"/>
      <c r="N34" s="74"/>
      <c r="O34" s="81" t="s">
        <v>179</v>
      </c>
      <c r="P34" s="83">
        <v>44458.362673611111</v>
      </c>
      <c r="Q34" s="81" t="s">
        <v>1234</v>
      </c>
      <c r="R34" s="81"/>
      <c r="S34" s="81"/>
      <c r="T34" s="81"/>
      <c r="U34" s="81"/>
      <c r="V34" s="85" t="str">
        <f>HYPERLINK("https://pbs.twimg.com/profile_images/736890631507693568/EorvFn3R_normal.jpg")</f>
        <v>https://pbs.twimg.com/profile_images/736890631507693568/EorvFn3R_normal.jpg</v>
      </c>
      <c r="W34" s="83">
        <v>44458.362673611111</v>
      </c>
      <c r="X34" s="89">
        <v>44458</v>
      </c>
      <c r="Y34" s="87" t="s">
        <v>1819</v>
      </c>
      <c r="Z34" s="85" t="str">
        <f>HYPERLINK("https://twitter.com/nadyatamara2/status/1439510134498103298")</f>
        <v>https://twitter.com/nadyatamara2/status/1439510134498103298</v>
      </c>
      <c r="AA34" s="81"/>
      <c r="AB34" s="81"/>
      <c r="AC34" s="87" t="s">
        <v>2739</v>
      </c>
      <c r="AD34" s="81"/>
      <c r="AE34" s="81" t="b">
        <v>0</v>
      </c>
      <c r="AF34" s="81">
        <v>0</v>
      </c>
      <c r="AG34" s="87" t="s">
        <v>3875</v>
      </c>
      <c r="AH34" s="81" t="b">
        <v>0</v>
      </c>
      <c r="AI34" s="81" t="s">
        <v>4092</v>
      </c>
      <c r="AJ34" s="81"/>
      <c r="AK34" s="87" t="s">
        <v>3875</v>
      </c>
      <c r="AL34" s="81" t="b">
        <v>0</v>
      </c>
      <c r="AM34" s="81">
        <v>0</v>
      </c>
      <c r="AN34" s="87" t="s">
        <v>3875</v>
      </c>
      <c r="AO34" s="87" t="s">
        <v>4109</v>
      </c>
      <c r="AP34" s="81" t="b">
        <v>0</v>
      </c>
      <c r="AQ34" s="87" t="s">
        <v>2739</v>
      </c>
      <c r="AR34" s="81" t="s">
        <v>179</v>
      </c>
      <c r="AS34" s="81">
        <v>0</v>
      </c>
      <c r="AT34" s="81">
        <v>0</v>
      </c>
      <c r="AU34" s="81"/>
      <c r="AV34" s="81"/>
      <c r="AW34" s="81"/>
      <c r="AX34" s="81"/>
      <c r="AY34" s="81"/>
      <c r="AZ34" s="81"/>
      <c r="BA34" s="81"/>
      <c r="BB34" s="81"/>
    </row>
    <row r="35" spans="1:54" x14ac:dyDescent="0.35">
      <c r="A35" s="66" t="s">
        <v>242</v>
      </c>
      <c r="B35" s="66" t="s">
        <v>1003</v>
      </c>
      <c r="C35" s="67"/>
      <c r="D35" s="68"/>
      <c r="E35" s="69"/>
      <c r="F35" s="70"/>
      <c r="G35" s="67"/>
      <c r="H35" s="71"/>
      <c r="I35" s="72"/>
      <c r="J35" s="72"/>
      <c r="K35" s="36"/>
      <c r="L35" s="79"/>
      <c r="M35" s="79"/>
      <c r="N35" s="74"/>
      <c r="O35" s="81" t="s">
        <v>1208</v>
      </c>
      <c r="P35" s="83">
        <v>44458.380949074075</v>
      </c>
      <c r="Q35" s="81" t="s">
        <v>1235</v>
      </c>
      <c r="R35" s="81"/>
      <c r="S35" s="81"/>
      <c r="T35" s="81"/>
      <c r="U35" s="81"/>
      <c r="V35" s="85" t="str">
        <f>HYPERLINK("https://pbs.twimg.com/profile_images/1414745126480474133/Wfsm2Mjk_normal.jpg")</f>
        <v>https://pbs.twimg.com/profile_images/1414745126480474133/Wfsm2Mjk_normal.jpg</v>
      </c>
      <c r="W35" s="83">
        <v>44458.380949074075</v>
      </c>
      <c r="X35" s="89">
        <v>44458</v>
      </c>
      <c r="Y35" s="87" t="s">
        <v>1820</v>
      </c>
      <c r="Z35" s="85" t="str">
        <f>HYPERLINK("https://twitter.com/rezakrisna28/status/1439516757488586757")</f>
        <v>https://twitter.com/rezakrisna28/status/1439516757488586757</v>
      </c>
      <c r="AA35" s="81"/>
      <c r="AB35" s="81"/>
      <c r="AC35" s="87" t="s">
        <v>2740</v>
      </c>
      <c r="AD35" s="87" t="s">
        <v>3652</v>
      </c>
      <c r="AE35" s="81" t="b">
        <v>0</v>
      </c>
      <c r="AF35" s="81">
        <v>0</v>
      </c>
      <c r="AG35" s="87" t="s">
        <v>3887</v>
      </c>
      <c r="AH35" s="81" t="b">
        <v>0</v>
      </c>
      <c r="AI35" s="81" t="s">
        <v>4092</v>
      </c>
      <c r="AJ35" s="81"/>
      <c r="AK35" s="87" t="s">
        <v>3875</v>
      </c>
      <c r="AL35" s="81" t="b">
        <v>0</v>
      </c>
      <c r="AM35" s="81">
        <v>0</v>
      </c>
      <c r="AN35" s="87" t="s">
        <v>3875</v>
      </c>
      <c r="AO35" s="87" t="s">
        <v>4109</v>
      </c>
      <c r="AP35" s="81" t="b">
        <v>0</v>
      </c>
      <c r="AQ35" s="87" t="s">
        <v>3652</v>
      </c>
      <c r="AR35" s="81" t="s">
        <v>179</v>
      </c>
      <c r="AS35" s="81">
        <v>0</v>
      </c>
      <c r="AT35" s="81">
        <v>0</v>
      </c>
      <c r="AU35" s="81"/>
      <c r="AV35" s="81"/>
      <c r="AW35" s="81"/>
      <c r="AX35" s="81"/>
      <c r="AY35" s="81"/>
      <c r="AZ35" s="81"/>
      <c r="BA35" s="81"/>
      <c r="BB35" s="81"/>
    </row>
    <row r="36" spans="1:54" x14ac:dyDescent="0.35">
      <c r="A36" s="66" t="s">
        <v>243</v>
      </c>
      <c r="B36" s="66" t="s">
        <v>1004</v>
      </c>
      <c r="C36" s="67"/>
      <c r="D36" s="68"/>
      <c r="E36" s="69"/>
      <c r="F36" s="70"/>
      <c r="G36" s="67"/>
      <c r="H36" s="71"/>
      <c r="I36" s="72"/>
      <c r="J36" s="72"/>
      <c r="K36" s="36"/>
      <c r="L36" s="79"/>
      <c r="M36" s="79"/>
      <c r="N36" s="74"/>
      <c r="O36" s="81" t="s">
        <v>1208</v>
      </c>
      <c r="P36" s="83">
        <v>44458.411157407405</v>
      </c>
      <c r="Q36" s="81" t="s">
        <v>1236</v>
      </c>
      <c r="R36" s="81"/>
      <c r="S36" s="81"/>
      <c r="T36" s="81"/>
      <c r="U36" s="81"/>
      <c r="V36" s="85" t="str">
        <f>HYPERLINK("https://pbs.twimg.com/profile_images/774778446576627712/jiXcEcCH_normal.jpg")</f>
        <v>https://pbs.twimg.com/profile_images/774778446576627712/jiXcEcCH_normal.jpg</v>
      </c>
      <c r="W36" s="83">
        <v>44458.411157407405</v>
      </c>
      <c r="X36" s="89">
        <v>44458</v>
      </c>
      <c r="Y36" s="87" t="s">
        <v>1821</v>
      </c>
      <c r="Z36" s="85" t="str">
        <f>HYPERLINK("https://twitter.com/arekndeso79/status/1439527702495576074")</f>
        <v>https://twitter.com/arekndeso79/status/1439527702495576074</v>
      </c>
      <c r="AA36" s="81"/>
      <c r="AB36" s="81"/>
      <c r="AC36" s="87" t="s">
        <v>2741</v>
      </c>
      <c r="AD36" s="87" t="s">
        <v>3653</v>
      </c>
      <c r="AE36" s="81" t="b">
        <v>0</v>
      </c>
      <c r="AF36" s="81">
        <v>0</v>
      </c>
      <c r="AG36" s="87" t="s">
        <v>3888</v>
      </c>
      <c r="AH36" s="81" t="b">
        <v>0</v>
      </c>
      <c r="AI36" s="81" t="s">
        <v>4092</v>
      </c>
      <c r="AJ36" s="81"/>
      <c r="AK36" s="87" t="s">
        <v>3875</v>
      </c>
      <c r="AL36" s="81" t="b">
        <v>0</v>
      </c>
      <c r="AM36" s="81">
        <v>0</v>
      </c>
      <c r="AN36" s="87" t="s">
        <v>3875</v>
      </c>
      <c r="AO36" s="87" t="s">
        <v>4111</v>
      </c>
      <c r="AP36" s="81" t="b">
        <v>0</v>
      </c>
      <c r="AQ36" s="87" t="s">
        <v>3653</v>
      </c>
      <c r="AR36" s="81" t="s">
        <v>179</v>
      </c>
      <c r="AS36" s="81">
        <v>0</v>
      </c>
      <c r="AT36" s="81">
        <v>0</v>
      </c>
      <c r="AU36" s="81"/>
      <c r="AV36" s="81"/>
      <c r="AW36" s="81"/>
      <c r="AX36" s="81"/>
      <c r="AY36" s="81"/>
      <c r="AZ36" s="81"/>
      <c r="BA36" s="81"/>
      <c r="BB36" s="81"/>
    </row>
    <row r="37" spans="1:54" x14ac:dyDescent="0.35">
      <c r="A37" s="66" t="s">
        <v>244</v>
      </c>
      <c r="B37" s="66" t="s">
        <v>246</v>
      </c>
      <c r="C37" s="67"/>
      <c r="D37" s="68"/>
      <c r="E37" s="69"/>
      <c r="F37" s="70"/>
      <c r="G37" s="67"/>
      <c r="H37" s="71"/>
      <c r="I37" s="72"/>
      <c r="J37" s="72"/>
      <c r="K37" s="36"/>
      <c r="L37" s="79"/>
      <c r="M37" s="79"/>
      <c r="N37" s="74"/>
      <c r="O37" s="81" t="s">
        <v>1205</v>
      </c>
      <c r="P37" s="83">
        <v>44458.420671296299</v>
      </c>
      <c r="Q37" s="81" t="s">
        <v>1237</v>
      </c>
      <c r="R37" s="81"/>
      <c r="S37" s="81"/>
      <c r="T37" s="87" t="s">
        <v>1758</v>
      </c>
      <c r="U37" s="81"/>
      <c r="V37" s="85" t="str">
        <f>HYPERLINK("https://pbs.twimg.com/profile_images/1425724478722428928/CZZNLGih_normal.jpg")</f>
        <v>https://pbs.twimg.com/profile_images/1425724478722428928/CZZNLGih_normal.jpg</v>
      </c>
      <c r="W37" s="83">
        <v>44458.420671296299</v>
      </c>
      <c r="X37" s="89">
        <v>44458</v>
      </c>
      <c r="Y37" s="87" t="s">
        <v>1822</v>
      </c>
      <c r="Z37" s="85" t="str">
        <f>HYPERLINK("https://twitter.com/asj0203/status/1439531152264499201")</f>
        <v>https://twitter.com/asj0203/status/1439531152264499201</v>
      </c>
      <c r="AA37" s="81"/>
      <c r="AB37" s="81"/>
      <c r="AC37" s="87" t="s">
        <v>2742</v>
      </c>
      <c r="AD37" s="81"/>
      <c r="AE37" s="81" t="b">
        <v>0</v>
      </c>
      <c r="AF37" s="81">
        <v>0</v>
      </c>
      <c r="AG37" s="87" t="s">
        <v>3875</v>
      </c>
      <c r="AH37" s="81" t="b">
        <v>0</v>
      </c>
      <c r="AI37" s="81" t="s">
        <v>4092</v>
      </c>
      <c r="AJ37" s="81"/>
      <c r="AK37" s="87" t="s">
        <v>3875</v>
      </c>
      <c r="AL37" s="81" t="b">
        <v>0</v>
      </c>
      <c r="AM37" s="81">
        <v>2</v>
      </c>
      <c r="AN37" s="87" t="s">
        <v>2744</v>
      </c>
      <c r="AO37" s="87" t="s">
        <v>4109</v>
      </c>
      <c r="AP37" s="81" t="b">
        <v>0</v>
      </c>
      <c r="AQ37" s="87" t="s">
        <v>2744</v>
      </c>
      <c r="AR37" s="81" t="s">
        <v>179</v>
      </c>
      <c r="AS37" s="81">
        <v>0</v>
      </c>
      <c r="AT37" s="81">
        <v>0</v>
      </c>
      <c r="AU37" s="81"/>
      <c r="AV37" s="81"/>
      <c r="AW37" s="81"/>
      <c r="AX37" s="81"/>
      <c r="AY37" s="81"/>
      <c r="AZ37" s="81"/>
      <c r="BA37" s="81"/>
      <c r="BB37" s="81"/>
    </row>
    <row r="38" spans="1:54" x14ac:dyDescent="0.35">
      <c r="A38" s="66" t="s">
        <v>245</v>
      </c>
      <c r="B38" s="66" t="s">
        <v>245</v>
      </c>
      <c r="C38" s="67"/>
      <c r="D38" s="68"/>
      <c r="E38" s="69"/>
      <c r="F38" s="70"/>
      <c r="G38" s="67"/>
      <c r="H38" s="71"/>
      <c r="I38" s="72"/>
      <c r="J38" s="72"/>
      <c r="K38" s="36"/>
      <c r="L38" s="79"/>
      <c r="M38" s="79"/>
      <c r="N38" s="74"/>
      <c r="O38" s="81" t="s">
        <v>179</v>
      </c>
      <c r="P38" s="83">
        <v>44458.428912037038</v>
      </c>
      <c r="Q38" s="81" t="s">
        <v>1238</v>
      </c>
      <c r="R38" s="85" t="str">
        <f>HYPERLINK("https://travel.tempo.co/read/1507925/menengok-sejarah-di-kawasan-cikini-dari-kantor-pos-sampai-pabrik-roti-tertua?utm_source=Twitter&amp;utm_medium=Digital%20Marketing&amp;utm_campaign=dlvrit")</f>
        <v>https://travel.tempo.co/read/1507925/menengok-sejarah-di-kawasan-cikini-dari-kantor-pos-sampai-pabrik-roti-tertua?utm_source=Twitter&amp;utm_medium=Digital%20Marketing&amp;utm_campaign=dlvrit</v>
      </c>
      <c r="S38" s="81" t="s">
        <v>1733</v>
      </c>
      <c r="T38" s="87" t="s">
        <v>1759</v>
      </c>
      <c r="U38" s="81"/>
      <c r="V38" s="85" t="str">
        <f>HYPERLINK("https://pbs.twimg.com/profile_images/1190442063155924993/ij-II_tt_normal.png")</f>
        <v>https://pbs.twimg.com/profile_images/1190442063155924993/ij-II_tt_normal.png</v>
      </c>
      <c r="W38" s="83">
        <v>44458.428912037038</v>
      </c>
      <c r="X38" s="89">
        <v>44458</v>
      </c>
      <c r="Y38" s="87" t="s">
        <v>1823</v>
      </c>
      <c r="Z38" s="85" t="str">
        <f>HYPERLINK("https://twitter.com/tempodotco/status/1439534136654393349")</f>
        <v>https://twitter.com/tempodotco/status/1439534136654393349</v>
      </c>
      <c r="AA38" s="81"/>
      <c r="AB38" s="81"/>
      <c r="AC38" s="87" t="s">
        <v>2743</v>
      </c>
      <c r="AD38" s="81"/>
      <c r="AE38" s="81" t="b">
        <v>0</v>
      </c>
      <c r="AF38" s="81">
        <v>5</v>
      </c>
      <c r="AG38" s="87" t="s">
        <v>3875</v>
      </c>
      <c r="AH38" s="81" t="b">
        <v>0</v>
      </c>
      <c r="AI38" s="81" t="s">
        <v>4092</v>
      </c>
      <c r="AJ38" s="81"/>
      <c r="AK38" s="87" t="s">
        <v>3875</v>
      </c>
      <c r="AL38" s="81" t="b">
        <v>0</v>
      </c>
      <c r="AM38" s="81">
        <v>0</v>
      </c>
      <c r="AN38" s="87" t="s">
        <v>3875</v>
      </c>
      <c r="AO38" s="87" t="s">
        <v>4113</v>
      </c>
      <c r="AP38" s="81" t="b">
        <v>0</v>
      </c>
      <c r="AQ38" s="87" t="s">
        <v>2743</v>
      </c>
      <c r="AR38" s="81" t="s">
        <v>179</v>
      </c>
      <c r="AS38" s="81">
        <v>0</v>
      </c>
      <c r="AT38" s="81">
        <v>0</v>
      </c>
      <c r="AU38" s="81"/>
      <c r="AV38" s="81"/>
      <c r="AW38" s="81"/>
      <c r="AX38" s="81"/>
      <c r="AY38" s="81"/>
      <c r="AZ38" s="81"/>
      <c r="BA38" s="81"/>
      <c r="BB38" s="81"/>
    </row>
    <row r="39" spans="1:54" x14ac:dyDescent="0.35">
      <c r="A39" s="66" t="s">
        <v>246</v>
      </c>
      <c r="B39" s="66" t="s">
        <v>246</v>
      </c>
      <c r="C39" s="67"/>
      <c r="D39" s="68"/>
      <c r="E39" s="69"/>
      <c r="F39" s="70"/>
      <c r="G39" s="67"/>
      <c r="H39" s="71"/>
      <c r="I39" s="72"/>
      <c r="J39" s="72"/>
      <c r="K39" s="36"/>
      <c r="L39" s="79"/>
      <c r="M39" s="79"/>
      <c r="N39" s="74"/>
      <c r="O39" s="81" t="s">
        <v>179</v>
      </c>
      <c r="P39" s="83">
        <v>44458.419791666667</v>
      </c>
      <c r="Q39" s="81" t="s">
        <v>1237</v>
      </c>
      <c r="R39" s="81"/>
      <c r="S39" s="81"/>
      <c r="T39" s="87" t="s">
        <v>1758</v>
      </c>
      <c r="U39" s="81"/>
      <c r="V39" s="85" t="str">
        <f>HYPERLINK("https://pbs.twimg.com/profile_images/1434699010984472582/t2qTTwjH_normal.jpg")</f>
        <v>https://pbs.twimg.com/profile_images/1434699010984472582/t2qTTwjH_normal.jpg</v>
      </c>
      <c r="W39" s="83">
        <v>44458.419791666667</v>
      </c>
      <c r="X39" s="89">
        <v>44458</v>
      </c>
      <c r="Y39" s="87" t="s">
        <v>1824</v>
      </c>
      <c r="Z39" s="85" t="str">
        <f>HYPERLINK("https://twitter.com/e100ss/status/1439530834021675011")</f>
        <v>https://twitter.com/e100ss/status/1439530834021675011</v>
      </c>
      <c r="AA39" s="81"/>
      <c r="AB39" s="81"/>
      <c r="AC39" s="87" t="s">
        <v>2744</v>
      </c>
      <c r="AD39" s="81"/>
      <c r="AE39" s="81" t="b">
        <v>0</v>
      </c>
      <c r="AF39" s="81">
        <v>6</v>
      </c>
      <c r="AG39" s="87" t="s">
        <v>3875</v>
      </c>
      <c r="AH39" s="81" t="b">
        <v>0</v>
      </c>
      <c r="AI39" s="81" t="s">
        <v>4092</v>
      </c>
      <c r="AJ39" s="81"/>
      <c r="AK39" s="87" t="s">
        <v>3875</v>
      </c>
      <c r="AL39" s="81" t="b">
        <v>0</v>
      </c>
      <c r="AM39" s="81">
        <v>2</v>
      </c>
      <c r="AN39" s="87" t="s">
        <v>3875</v>
      </c>
      <c r="AO39" s="87" t="s">
        <v>4111</v>
      </c>
      <c r="AP39" s="81" t="b">
        <v>0</v>
      </c>
      <c r="AQ39" s="87" t="s">
        <v>2744</v>
      </c>
      <c r="AR39" s="81" t="s">
        <v>179</v>
      </c>
      <c r="AS39" s="81">
        <v>0</v>
      </c>
      <c r="AT39" s="81">
        <v>0</v>
      </c>
      <c r="AU39" s="81"/>
      <c r="AV39" s="81"/>
      <c r="AW39" s="81"/>
      <c r="AX39" s="81"/>
      <c r="AY39" s="81"/>
      <c r="AZ39" s="81"/>
      <c r="BA39" s="81"/>
      <c r="BB39" s="81"/>
    </row>
    <row r="40" spans="1:54" x14ac:dyDescent="0.35">
      <c r="A40" s="66" t="s">
        <v>247</v>
      </c>
      <c r="B40" s="66" t="s">
        <v>246</v>
      </c>
      <c r="C40" s="67"/>
      <c r="D40" s="68"/>
      <c r="E40" s="69"/>
      <c r="F40" s="70"/>
      <c r="G40" s="67"/>
      <c r="H40" s="71"/>
      <c r="I40" s="72"/>
      <c r="J40" s="72"/>
      <c r="K40" s="36"/>
      <c r="L40" s="79"/>
      <c r="M40" s="79"/>
      <c r="N40" s="74"/>
      <c r="O40" s="81" t="s">
        <v>1205</v>
      </c>
      <c r="P40" s="83">
        <v>44458.432106481479</v>
      </c>
      <c r="Q40" s="81" t="s">
        <v>1237</v>
      </c>
      <c r="R40" s="81"/>
      <c r="S40" s="81"/>
      <c r="T40" s="87" t="s">
        <v>1758</v>
      </c>
      <c r="U40" s="81"/>
      <c r="V40" s="85" t="str">
        <f>HYPERLINK("https://pbs.twimg.com/profile_images/1423240994967875584/_Go9JwKj_normal.jpg")</f>
        <v>https://pbs.twimg.com/profile_images/1423240994967875584/_Go9JwKj_normal.jpg</v>
      </c>
      <c r="W40" s="83">
        <v>44458.432106481479</v>
      </c>
      <c r="X40" s="89">
        <v>44458</v>
      </c>
      <c r="Y40" s="87" t="s">
        <v>1825</v>
      </c>
      <c r="Z40" s="85" t="str">
        <f>HYPERLINK("https://twitter.com/reizapramudana1/status/1439535297520291840")</f>
        <v>https://twitter.com/reizapramudana1/status/1439535297520291840</v>
      </c>
      <c r="AA40" s="81"/>
      <c r="AB40" s="81"/>
      <c r="AC40" s="87" t="s">
        <v>2745</v>
      </c>
      <c r="AD40" s="81"/>
      <c r="AE40" s="81" t="b">
        <v>0</v>
      </c>
      <c r="AF40" s="81">
        <v>0</v>
      </c>
      <c r="AG40" s="87" t="s">
        <v>3875</v>
      </c>
      <c r="AH40" s="81" t="b">
        <v>0</v>
      </c>
      <c r="AI40" s="81" t="s">
        <v>4092</v>
      </c>
      <c r="AJ40" s="81"/>
      <c r="AK40" s="87" t="s">
        <v>3875</v>
      </c>
      <c r="AL40" s="81" t="b">
        <v>0</v>
      </c>
      <c r="AM40" s="81">
        <v>2</v>
      </c>
      <c r="AN40" s="87" t="s">
        <v>2744</v>
      </c>
      <c r="AO40" s="87" t="s">
        <v>4109</v>
      </c>
      <c r="AP40" s="81" t="b">
        <v>0</v>
      </c>
      <c r="AQ40" s="87" t="s">
        <v>2744</v>
      </c>
      <c r="AR40" s="81" t="s">
        <v>179</v>
      </c>
      <c r="AS40" s="81">
        <v>0</v>
      </c>
      <c r="AT40" s="81">
        <v>0</v>
      </c>
      <c r="AU40" s="81"/>
      <c r="AV40" s="81"/>
      <c r="AW40" s="81"/>
      <c r="AX40" s="81"/>
      <c r="AY40" s="81"/>
      <c r="AZ40" s="81"/>
      <c r="BA40" s="81"/>
      <c r="BB40" s="81"/>
    </row>
    <row r="41" spans="1:54" x14ac:dyDescent="0.35">
      <c r="A41" s="66" t="s">
        <v>248</v>
      </c>
      <c r="B41" s="66" t="s">
        <v>249</v>
      </c>
      <c r="C41" s="67"/>
      <c r="D41" s="68"/>
      <c r="E41" s="69"/>
      <c r="F41" s="70"/>
      <c r="G41" s="67"/>
      <c r="H41" s="71"/>
      <c r="I41" s="72"/>
      <c r="J41" s="72"/>
      <c r="K41" s="36"/>
      <c r="L41" s="79"/>
      <c r="M41" s="79"/>
      <c r="N41" s="74"/>
      <c r="O41" s="81" t="s">
        <v>1208</v>
      </c>
      <c r="P41" s="83">
        <v>44458.3830787037</v>
      </c>
      <c r="Q41" s="81" t="s">
        <v>1239</v>
      </c>
      <c r="R41" s="81"/>
      <c r="S41" s="81"/>
      <c r="T41" s="81"/>
      <c r="U41" s="81"/>
      <c r="V41" s="85" t="str">
        <f>HYPERLINK("https://pbs.twimg.com/profile_images/1434040753156595718/TdjZuj3k_normal.jpg")</f>
        <v>https://pbs.twimg.com/profile_images/1434040753156595718/TdjZuj3k_normal.jpg</v>
      </c>
      <c r="W41" s="83">
        <v>44458.3830787037</v>
      </c>
      <c r="X41" s="89">
        <v>44458</v>
      </c>
      <c r="Y41" s="87" t="s">
        <v>1826</v>
      </c>
      <c r="Z41" s="85" t="str">
        <f>HYPERLINK("https://twitter.com/joohawuf/status/1439517530503069696")</f>
        <v>https://twitter.com/joohawuf/status/1439517530503069696</v>
      </c>
      <c r="AA41" s="81"/>
      <c r="AB41" s="81"/>
      <c r="AC41" s="87" t="s">
        <v>2746</v>
      </c>
      <c r="AD41" s="87" t="s">
        <v>3654</v>
      </c>
      <c r="AE41" s="81" t="b">
        <v>0</v>
      </c>
      <c r="AF41" s="81">
        <v>0</v>
      </c>
      <c r="AG41" s="87" t="s">
        <v>3889</v>
      </c>
      <c r="AH41" s="81" t="b">
        <v>0</v>
      </c>
      <c r="AI41" s="81" t="s">
        <v>4092</v>
      </c>
      <c r="AJ41" s="81"/>
      <c r="AK41" s="87" t="s">
        <v>3875</v>
      </c>
      <c r="AL41" s="81" t="b">
        <v>0</v>
      </c>
      <c r="AM41" s="81">
        <v>0</v>
      </c>
      <c r="AN41" s="87" t="s">
        <v>3875</v>
      </c>
      <c r="AO41" s="87" t="s">
        <v>4110</v>
      </c>
      <c r="AP41" s="81" t="b">
        <v>0</v>
      </c>
      <c r="AQ41" s="87" t="s">
        <v>3654</v>
      </c>
      <c r="AR41" s="81" t="s">
        <v>179</v>
      </c>
      <c r="AS41" s="81">
        <v>0</v>
      </c>
      <c r="AT41" s="81">
        <v>0</v>
      </c>
      <c r="AU41" s="81"/>
      <c r="AV41" s="81"/>
      <c r="AW41" s="81"/>
      <c r="AX41" s="81"/>
      <c r="AY41" s="81"/>
      <c r="AZ41" s="81"/>
      <c r="BA41" s="81"/>
      <c r="BB41" s="81"/>
    </row>
    <row r="42" spans="1:54" x14ac:dyDescent="0.35">
      <c r="A42" s="66" t="s">
        <v>249</v>
      </c>
      <c r="B42" s="66" t="s">
        <v>248</v>
      </c>
      <c r="C42" s="67"/>
      <c r="D42" s="68"/>
      <c r="E42" s="69"/>
      <c r="F42" s="70"/>
      <c r="G42" s="67"/>
      <c r="H42" s="71"/>
      <c r="I42" s="72"/>
      <c r="J42" s="72"/>
      <c r="K42" s="36"/>
      <c r="L42" s="79"/>
      <c r="M42" s="79"/>
      <c r="N42" s="74"/>
      <c r="O42" s="81" t="s">
        <v>1208</v>
      </c>
      <c r="P42" s="83">
        <v>44458.442337962966</v>
      </c>
      <c r="Q42" s="81" t="s">
        <v>1240</v>
      </c>
      <c r="R42" s="81"/>
      <c r="S42" s="81"/>
      <c r="T42" s="81"/>
      <c r="U42" s="81"/>
      <c r="V42" s="85" t="str">
        <f>HYPERLINK("https://pbs.twimg.com/profile_images/1381862945429221376/LRVz0loc_normal.jpg")</f>
        <v>https://pbs.twimg.com/profile_images/1381862945429221376/LRVz0loc_normal.jpg</v>
      </c>
      <c r="W42" s="83">
        <v>44458.442337962966</v>
      </c>
      <c r="X42" s="89">
        <v>44458</v>
      </c>
      <c r="Y42" s="87" t="s">
        <v>1827</v>
      </c>
      <c r="Z42" s="85" t="str">
        <f>HYPERLINK("https://twitter.com/ciruruka/status/1439539002000875523")</f>
        <v>https://twitter.com/ciruruka/status/1439539002000875523</v>
      </c>
      <c r="AA42" s="81"/>
      <c r="AB42" s="81"/>
      <c r="AC42" s="87" t="s">
        <v>2747</v>
      </c>
      <c r="AD42" s="87" t="s">
        <v>2746</v>
      </c>
      <c r="AE42" s="81" t="b">
        <v>0</v>
      </c>
      <c r="AF42" s="81">
        <v>0</v>
      </c>
      <c r="AG42" s="87" t="s">
        <v>3890</v>
      </c>
      <c r="AH42" s="81" t="b">
        <v>0</v>
      </c>
      <c r="AI42" s="81" t="s">
        <v>4092</v>
      </c>
      <c r="AJ42" s="81"/>
      <c r="AK42" s="87" t="s">
        <v>3875</v>
      </c>
      <c r="AL42" s="81" t="b">
        <v>0</v>
      </c>
      <c r="AM42" s="81">
        <v>0</v>
      </c>
      <c r="AN42" s="87" t="s">
        <v>3875</v>
      </c>
      <c r="AO42" s="87" t="s">
        <v>4109</v>
      </c>
      <c r="AP42" s="81" t="b">
        <v>0</v>
      </c>
      <c r="AQ42" s="87" t="s">
        <v>2746</v>
      </c>
      <c r="AR42" s="81" t="s">
        <v>179</v>
      </c>
      <c r="AS42" s="81">
        <v>0</v>
      </c>
      <c r="AT42" s="81">
        <v>0</v>
      </c>
      <c r="AU42" s="81"/>
      <c r="AV42" s="81"/>
      <c r="AW42" s="81"/>
      <c r="AX42" s="81"/>
      <c r="AY42" s="81"/>
      <c r="AZ42" s="81"/>
      <c r="BA42" s="81"/>
      <c r="BB42" s="81"/>
    </row>
    <row r="43" spans="1:54" x14ac:dyDescent="0.35">
      <c r="A43" s="66" t="s">
        <v>250</v>
      </c>
      <c r="B43" s="66" t="s">
        <v>250</v>
      </c>
      <c r="C43" s="67"/>
      <c r="D43" s="68"/>
      <c r="E43" s="69"/>
      <c r="F43" s="70"/>
      <c r="G43" s="67"/>
      <c r="H43" s="71"/>
      <c r="I43" s="72"/>
      <c r="J43" s="72"/>
      <c r="K43" s="36"/>
      <c r="L43" s="79"/>
      <c r="M43" s="79"/>
      <c r="N43" s="74"/>
      <c r="O43" s="81" t="s">
        <v>179</v>
      </c>
      <c r="P43" s="83">
        <v>44458.489502314813</v>
      </c>
      <c r="Q43" s="81" t="s">
        <v>1241</v>
      </c>
      <c r="R43" s="81"/>
      <c r="S43" s="81"/>
      <c r="T43" s="81"/>
      <c r="U43" s="81"/>
      <c r="V43" s="85" t="str">
        <f>HYPERLINK("https://pbs.twimg.com/profile_images/1434148447901282305/VtSu0MO__normal.jpg")</f>
        <v>https://pbs.twimg.com/profile_images/1434148447901282305/VtSu0MO__normal.jpg</v>
      </c>
      <c r="W43" s="83">
        <v>44458.489502314813</v>
      </c>
      <c r="X43" s="89">
        <v>44458</v>
      </c>
      <c r="Y43" s="87" t="s">
        <v>1828</v>
      </c>
      <c r="Z43" s="85" t="str">
        <f>HYPERLINK("https://twitter.com/unnesmenfess/status/1439556094335008772")</f>
        <v>https://twitter.com/unnesmenfess/status/1439556094335008772</v>
      </c>
      <c r="AA43" s="81"/>
      <c r="AB43" s="81"/>
      <c r="AC43" s="87" t="s">
        <v>2748</v>
      </c>
      <c r="AD43" s="81"/>
      <c r="AE43" s="81" t="b">
        <v>0</v>
      </c>
      <c r="AF43" s="81">
        <v>2</v>
      </c>
      <c r="AG43" s="87" t="s">
        <v>3875</v>
      </c>
      <c r="AH43" s="81" t="b">
        <v>0</v>
      </c>
      <c r="AI43" s="81" t="s">
        <v>4092</v>
      </c>
      <c r="AJ43" s="81"/>
      <c r="AK43" s="87" t="s">
        <v>3875</v>
      </c>
      <c r="AL43" s="81" t="b">
        <v>0</v>
      </c>
      <c r="AM43" s="81">
        <v>0</v>
      </c>
      <c r="AN43" s="87" t="s">
        <v>3875</v>
      </c>
      <c r="AO43" s="87" t="s">
        <v>4114</v>
      </c>
      <c r="AP43" s="81" t="b">
        <v>0</v>
      </c>
      <c r="AQ43" s="87" t="s">
        <v>2748</v>
      </c>
      <c r="AR43" s="81" t="s">
        <v>179</v>
      </c>
      <c r="AS43" s="81">
        <v>0</v>
      </c>
      <c r="AT43" s="81">
        <v>0</v>
      </c>
      <c r="AU43" s="81"/>
      <c r="AV43" s="81"/>
      <c r="AW43" s="81"/>
      <c r="AX43" s="81"/>
      <c r="AY43" s="81"/>
      <c r="AZ43" s="81"/>
      <c r="BA43" s="81"/>
      <c r="BB43" s="81"/>
    </row>
    <row r="44" spans="1:54" x14ac:dyDescent="0.35">
      <c r="A44" s="66" t="s">
        <v>251</v>
      </c>
      <c r="B44" s="66" t="s">
        <v>251</v>
      </c>
      <c r="C44" s="67"/>
      <c r="D44" s="68"/>
      <c r="E44" s="69"/>
      <c r="F44" s="70"/>
      <c r="G44" s="67"/>
      <c r="H44" s="71"/>
      <c r="I44" s="72"/>
      <c r="J44" s="72"/>
      <c r="K44" s="36"/>
      <c r="L44" s="79"/>
      <c r="M44" s="79"/>
      <c r="N44" s="74"/>
      <c r="O44" s="81" t="s">
        <v>179</v>
      </c>
      <c r="P44" s="83">
        <v>44458.489722222221</v>
      </c>
      <c r="Q44" s="81" t="s">
        <v>1242</v>
      </c>
      <c r="R44" s="85" t="str">
        <f>HYPERLINK("http://www.msn.com/id-id/travel/ideperjalanan/menengok-sejarah-di-kawasan-cikini-dari-kantor-pos-sampai-pabrik-roti-tertua/ar-AAOBgqw?ocid=ob-tw-idid-1525845150251")</f>
        <v>http://www.msn.com/id-id/travel/ideperjalanan/menengok-sejarah-di-kawasan-cikini-dari-kantor-pos-sampai-pabrik-roti-tertua/ar-AAOBgqw?ocid=ob-tw-idid-1525845150251</v>
      </c>
      <c r="S44" s="81" t="s">
        <v>1734</v>
      </c>
      <c r="T44" s="81"/>
      <c r="U44" s="81"/>
      <c r="V44" s="85" t="str">
        <f>HYPERLINK("https://pbs.twimg.com/profile_images/798299815750737920/NJokDLOt_normal.jpg")</f>
        <v>https://pbs.twimg.com/profile_images/798299815750737920/NJokDLOt_normal.jpg</v>
      </c>
      <c r="W44" s="83">
        <v>44458.489722222221</v>
      </c>
      <c r="X44" s="89">
        <v>44458</v>
      </c>
      <c r="Y44" s="87" t="s">
        <v>1829</v>
      </c>
      <c r="Z44" s="85" t="str">
        <f>HYPERLINK("https://twitter.com/msnindonesia/status/1439556173548515338")</f>
        <v>https://twitter.com/msnindonesia/status/1439556173548515338</v>
      </c>
      <c r="AA44" s="81"/>
      <c r="AB44" s="81"/>
      <c r="AC44" s="87" t="s">
        <v>2749</v>
      </c>
      <c r="AD44" s="81"/>
      <c r="AE44" s="81" t="b">
        <v>0</v>
      </c>
      <c r="AF44" s="81">
        <v>0</v>
      </c>
      <c r="AG44" s="87" t="s">
        <v>3875</v>
      </c>
      <c r="AH44" s="81" t="b">
        <v>0</v>
      </c>
      <c r="AI44" s="81" t="s">
        <v>4092</v>
      </c>
      <c r="AJ44" s="81"/>
      <c r="AK44" s="87" t="s">
        <v>3875</v>
      </c>
      <c r="AL44" s="81" t="b">
        <v>0</v>
      </c>
      <c r="AM44" s="81">
        <v>0</v>
      </c>
      <c r="AN44" s="87" t="s">
        <v>3875</v>
      </c>
      <c r="AO44" s="87" t="s">
        <v>4115</v>
      </c>
      <c r="AP44" s="81" t="b">
        <v>0</v>
      </c>
      <c r="AQ44" s="87" t="s">
        <v>2749</v>
      </c>
      <c r="AR44" s="81" t="s">
        <v>179</v>
      </c>
      <c r="AS44" s="81">
        <v>0</v>
      </c>
      <c r="AT44" s="81">
        <v>0</v>
      </c>
      <c r="AU44" s="81"/>
      <c r="AV44" s="81"/>
      <c r="AW44" s="81"/>
      <c r="AX44" s="81"/>
      <c r="AY44" s="81"/>
      <c r="AZ44" s="81"/>
      <c r="BA44" s="81"/>
      <c r="BB44" s="81"/>
    </row>
    <row r="45" spans="1:54" x14ac:dyDescent="0.35">
      <c r="A45" s="66" t="s">
        <v>252</v>
      </c>
      <c r="B45" s="66" t="s">
        <v>252</v>
      </c>
      <c r="C45" s="67"/>
      <c r="D45" s="68"/>
      <c r="E45" s="69"/>
      <c r="F45" s="70"/>
      <c r="G45" s="67"/>
      <c r="H45" s="71"/>
      <c r="I45" s="72"/>
      <c r="J45" s="72"/>
      <c r="K45" s="36"/>
      <c r="L45" s="79"/>
      <c r="M45" s="79"/>
      <c r="N45" s="74"/>
      <c r="O45" s="81" t="s">
        <v>179</v>
      </c>
      <c r="P45" s="83">
        <v>44458.496631944443</v>
      </c>
      <c r="Q45" s="81" t="s">
        <v>1243</v>
      </c>
      <c r="R45" s="81"/>
      <c r="S45" s="81"/>
      <c r="T45" s="81"/>
      <c r="U45" s="81"/>
      <c r="V45" s="85" t="str">
        <f>HYPERLINK("https://pbs.twimg.com/profile_images/1360596289977610246/dnzIudzO_normal.jpg")</f>
        <v>https://pbs.twimg.com/profile_images/1360596289977610246/dnzIudzO_normal.jpg</v>
      </c>
      <c r="W45" s="83">
        <v>44458.496631944443</v>
      </c>
      <c r="X45" s="89">
        <v>44458</v>
      </c>
      <c r="Y45" s="87" t="s">
        <v>1830</v>
      </c>
      <c r="Z45" s="85" t="str">
        <f>HYPERLINK("https://twitter.com/djokomale/status/1439558678428852229")</f>
        <v>https://twitter.com/djokomale/status/1439558678428852229</v>
      </c>
      <c r="AA45" s="81"/>
      <c r="AB45" s="81"/>
      <c r="AC45" s="87" t="s">
        <v>2750</v>
      </c>
      <c r="AD45" s="87" t="s">
        <v>3655</v>
      </c>
      <c r="AE45" s="81" t="b">
        <v>0</v>
      </c>
      <c r="AF45" s="81">
        <v>0</v>
      </c>
      <c r="AG45" s="87" t="s">
        <v>3891</v>
      </c>
      <c r="AH45" s="81" t="b">
        <v>0</v>
      </c>
      <c r="AI45" s="81" t="s">
        <v>4092</v>
      </c>
      <c r="AJ45" s="81"/>
      <c r="AK45" s="87" t="s">
        <v>3875</v>
      </c>
      <c r="AL45" s="81" t="b">
        <v>0</v>
      </c>
      <c r="AM45" s="81">
        <v>0</v>
      </c>
      <c r="AN45" s="87" t="s">
        <v>3875</v>
      </c>
      <c r="AO45" s="87" t="s">
        <v>4109</v>
      </c>
      <c r="AP45" s="81" t="b">
        <v>0</v>
      </c>
      <c r="AQ45" s="87" t="s">
        <v>3655</v>
      </c>
      <c r="AR45" s="81" t="s">
        <v>179</v>
      </c>
      <c r="AS45" s="81">
        <v>0</v>
      </c>
      <c r="AT45" s="81">
        <v>0</v>
      </c>
      <c r="AU45" s="81"/>
      <c r="AV45" s="81"/>
      <c r="AW45" s="81"/>
      <c r="AX45" s="81"/>
      <c r="AY45" s="81"/>
      <c r="AZ45" s="81"/>
      <c r="BA45" s="81"/>
      <c r="BB45" s="81"/>
    </row>
    <row r="46" spans="1:54" x14ac:dyDescent="0.35">
      <c r="A46" s="66" t="s">
        <v>253</v>
      </c>
      <c r="B46" s="66" t="s">
        <v>1005</v>
      </c>
      <c r="C46" s="67"/>
      <c r="D46" s="68"/>
      <c r="E46" s="69"/>
      <c r="F46" s="70"/>
      <c r="G46" s="67"/>
      <c r="H46" s="71"/>
      <c r="I46" s="72"/>
      <c r="J46" s="72"/>
      <c r="K46" s="36"/>
      <c r="L46" s="79"/>
      <c r="M46" s="79"/>
      <c r="N46" s="74"/>
      <c r="O46" s="81" t="s">
        <v>1206</v>
      </c>
      <c r="P46" s="83">
        <v>44458.512592592589</v>
      </c>
      <c r="Q46" s="81" t="s">
        <v>1244</v>
      </c>
      <c r="R46" s="81"/>
      <c r="S46" s="81"/>
      <c r="T46" s="81"/>
      <c r="U46" s="81"/>
      <c r="V46" s="85" t="str">
        <f>HYPERLINK("https://pbs.twimg.com/profile_images/1435745374505897984/V1UYQC8B_normal.jpg")</f>
        <v>https://pbs.twimg.com/profile_images/1435745374505897984/V1UYQC8B_normal.jpg</v>
      </c>
      <c r="W46" s="83">
        <v>44458.512592592589</v>
      </c>
      <c r="X46" s="89">
        <v>44458</v>
      </c>
      <c r="Y46" s="87" t="s">
        <v>1831</v>
      </c>
      <c r="Z46" s="85" t="str">
        <f>HYPERLINK("https://twitter.com/baccood/status/1439564464123088907")</f>
        <v>https://twitter.com/baccood/status/1439564464123088907</v>
      </c>
      <c r="AA46" s="81"/>
      <c r="AB46" s="81"/>
      <c r="AC46" s="87" t="s">
        <v>2751</v>
      </c>
      <c r="AD46" s="87" t="s">
        <v>3656</v>
      </c>
      <c r="AE46" s="81" t="b">
        <v>0</v>
      </c>
      <c r="AF46" s="81">
        <v>0</v>
      </c>
      <c r="AG46" s="87" t="s">
        <v>3892</v>
      </c>
      <c r="AH46" s="81" t="b">
        <v>0</v>
      </c>
      <c r="AI46" s="81" t="s">
        <v>4092</v>
      </c>
      <c r="AJ46" s="81"/>
      <c r="AK46" s="87" t="s">
        <v>3875</v>
      </c>
      <c r="AL46" s="81" t="b">
        <v>0</v>
      </c>
      <c r="AM46" s="81">
        <v>0</v>
      </c>
      <c r="AN46" s="87" t="s">
        <v>3875</v>
      </c>
      <c r="AO46" s="87" t="s">
        <v>4109</v>
      </c>
      <c r="AP46" s="81" t="b">
        <v>0</v>
      </c>
      <c r="AQ46" s="87" t="s">
        <v>3656</v>
      </c>
      <c r="AR46" s="81" t="s">
        <v>179</v>
      </c>
      <c r="AS46" s="81">
        <v>0</v>
      </c>
      <c r="AT46" s="81">
        <v>0</v>
      </c>
      <c r="AU46" s="81"/>
      <c r="AV46" s="81"/>
      <c r="AW46" s="81"/>
      <c r="AX46" s="81"/>
      <c r="AY46" s="81"/>
      <c r="AZ46" s="81"/>
      <c r="BA46" s="81"/>
      <c r="BB46" s="81"/>
    </row>
    <row r="47" spans="1:54" x14ac:dyDescent="0.35">
      <c r="A47" s="66" t="s">
        <v>253</v>
      </c>
      <c r="B47" s="66" t="s">
        <v>1006</v>
      </c>
      <c r="C47" s="67"/>
      <c r="D47" s="68"/>
      <c r="E47" s="69"/>
      <c r="F47" s="70"/>
      <c r="G47" s="67"/>
      <c r="H47" s="71"/>
      <c r="I47" s="72"/>
      <c r="J47" s="72"/>
      <c r="K47" s="36"/>
      <c r="L47" s="79"/>
      <c r="M47" s="79"/>
      <c r="N47" s="74"/>
      <c r="O47" s="81" t="s">
        <v>1208</v>
      </c>
      <c r="P47" s="83">
        <v>44458.512592592589</v>
      </c>
      <c r="Q47" s="81" t="s">
        <v>1244</v>
      </c>
      <c r="R47" s="81"/>
      <c r="S47" s="81"/>
      <c r="T47" s="81"/>
      <c r="U47" s="81"/>
      <c r="V47" s="85" t="str">
        <f>HYPERLINK("https://pbs.twimg.com/profile_images/1435745374505897984/V1UYQC8B_normal.jpg")</f>
        <v>https://pbs.twimg.com/profile_images/1435745374505897984/V1UYQC8B_normal.jpg</v>
      </c>
      <c r="W47" s="83">
        <v>44458.512592592589</v>
      </c>
      <c r="X47" s="89">
        <v>44458</v>
      </c>
      <c r="Y47" s="87" t="s">
        <v>1831</v>
      </c>
      <c r="Z47" s="85" t="str">
        <f>HYPERLINK("https://twitter.com/baccood/status/1439564464123088907")</f>
        <v>https://twitter.com/baccood/status/1439564464123088907</v>
      </c>
      <c r="AA47" s="81"/>
      <c r="AB47" s="81"/>
      <c r="AC47" s="87" t="s">
        <v>2751</v>
      </c>
      <c r="AD47" s="87" t="s">
        <v>3656</v>
      </c>
      <c r="AE47" s="81" t="b">
        <v>0</v>
      </c>
      <c r="AF47" s="81">
        <v>0</v>
      </c>
      <c r="AG47" s="87" t="s">
        <v>3892</v>
      </c>
      <c r="AH47" s="81" t="b">
        <v>0</v>
      </c>
      <c r="AI47" s="81" t="s">
        <v>4092</v>
      </c>
      <c r="AJ47" s="81"/>
      <c r="AK47" s="87" t="s">
        <v>3875</v>
      </c>
      <c r="AL47" s="81" t="b">
        <v>0</v>
      </c>
      <c r="AM47" s="81">
        <v>0</v>
      </c>
      <c r="AN47" s="87" t="s">
        <v>3875</v>
      </c>
      <c r="AO47" s="87" t="s">
        <v>4109</v>
      </c>
      <c r="AP47" s="81" t="b">
        <v>0</v>
      </c>
      <c r="AQ47" s="87" t="s">
        <v>3656</v>
      </c>
      <c r="AR47" s="81" t="s">
        <v>179</v>
      </c>
      <c r="AS47" s="81">
        <v>0</v>
      </c>
      <c r="AT47" s="81">
        <v>0</v>
      </c>
      <c r="AU47" s="81"/>
      <c r="AV47" s="81"/>
      <c r="AW47" s="81"/>
      <c r="AX47" s="81"/>
      <c r="AY47" s="81"/>
      <c r="AZ47" s="81"/>
      <c r="BA47" s="81"/>
      <c r="BB47" s="81"/>
    </row>
    <row r="48" spans="1:54" x14ac:dyDescent="0.35">
      <c r="A48" s="66" t="s">
        <v>253</v>
      </c>
      <c r="B48" s="66" t="s">
        <v>1007</v>
      </c>
      <c r="C48" s="67"/>
      <c r="D48" s="68"/>
      <c r="E48" s="69"/>
      <c r="F48" s="70"/>
      <c r="G48" s="67"/>
      <c r="H48" s="71"/>
      <c r="I48" s="72"/>
      <c r="J48" s="72"/>
      <c r="K48" s="36"/>
      <c r="L48" s="79"/>
      <c r="M48" s="79"/>
      <c r="N48" s="74"/>
      <c r="O48" s="81" t="s">
        <v>1206</v>
      </c>
      <c r="P48" s="83">
        <v>44458.512592592589</v>
      </c>
      <c r="Q48" s="81" t="s">
        <v>1244</v>
      </c>
      <c r="R48" s="81"/>
      <c r="S48" s="81"/>
      <c r="T48" s="81"/>
      <c r="U48" s="81"/>
      <c r="V48" s="85" t="str">
        <f>HYPERLINK("https://pbs.twimg.com/profile_images/1435745374505897984/V1UYQC8B_normal.jpg")</f>
        <v>https://pbs.twimg.com/profile_images/1435745374505897984/V1UYQC8B_normal.jpg</v>
      </c>
      <c r="W48" s="83">
        <v>44458.512592592589</v>
      </c>
      <c r="X48" s="89">
        <v>44458</v>
      </c>
      <c r="Y48" s="87" t="s">
        <v>1831</v>
      </c>
      <c r="Z48" s="85" t="str">
        <f>HYPERLINK("https://twitter.com/baccood/status/1439564464123088907")</f>
        <v>https://twitter.com/baccood/status/1439564464123088907</v>
      </c>
      <c r="AA48" s="81"/>
      <c r="AB48" s="81"/>
      <c r="AC48" s="87" t="s">
        <v>2751</v>
      </c>
      <c r="AD48" s="87" t="s">
        <v>3656</v>
      </c>
      <c r="AE48" s="81" t="b">
        <v>0</v>
      </c>
      <c r="AF48" s="81">
        <v>0</v>
      </c>
      <c r="AG48" s="87" t="s">
        <v>3892</v>
      </c>
      <c r="AH48" s="81" t="b">
        <v>0</v>
      </c>
      <c r="AI48" s="81" t="s">
        <v>4092</v>
      </c>
      <c r="AJ48" s="81"/>
      <c r="AK48" s="87" t="s">
        <v>3875</v>
      </c>
      <c r="AL48" s="81" t="b">
        <v>0</v>
      </c>
      <c r="AM48" s="81">
        <v>0</v>
      </c>
      <c r="AN48" s="87" t="s">
        <v>3875</v>
      </c>
      <c r="AO48" s="87" t="s">
        <v>4109</v>
      </c>
      <c r="AP48" s="81" t="b">
        <v>0</v>
      </c>
      <c r="AQ48" s="87" t="s">
        <v>3656</v>
      </c>
      <c r="AR48" s="81" t="s">
        <v>179</v>
      </c>
      <c r="AS48" s="81">
        <v>0</v>
      </c>
      <c r="AT48" s="81">
        <v>0</v>
      </c>
      <c r="AU48" s="81"/>
      <c r="AV48" s="81"/>
      <c r="AW48" s="81"/>
      <c r="AX48" s="81"/>
      <c r="AY48" s="81"/>
      <c r="AZ48" s="81"/>
      <c r="BA48" s="81"/>
      <c r="BB48" s="81"/>
    </row>
    <row r="49" spans="1:54" x14ac:dyDescent="0.35">
      <c r="A49" s="66" t="s">
        <v>254</v>
      </c>
      <c r="B49" s="66" t="s">
        <v>254</v>
      </c>
      <c r="C49" s="67"/>
      <c r="D49" s="68"/>
      <c r="E49" s="69"/>
      <c r="F49" s="70"/>
      <c r="G49" s="67"/>
      <c r="H49" s="71"/>
      <c r="I49" s="72"/>
      <c r="J49" s="72"/>
      <c r="K49" s="36"/>
      <c r="L49" s="79"/>
      <c r="M49" s="79"/>
      <c r="N49" s="74"/>
      <c r="O49" s="81" t="s">
        <v>179</v>
      </c>
      <c r="P49" s="83">
        <v>44454.440405092595</v>
      </c>
      <c r="Q49" s="81" t="s">
        <v>1245</v>
      </c>
      <c r="R49" s="81"/>
      <c r="S49" s="81"/>
      <c r="T49" s="87" t="s">
        <v>254</v>
      </c>
      <c r="U49" s="81"/>
      <c r="V49" s="85" t="str">
        <f>HYPERLINK("https://pbs.twimg.com/profile_images/1026349211770474497/HHl7SpNC_normal.jpg")</f>
        <v>https://pbs.twimg.com/profile_images/1026349211770474497/HHl7SpNC_normal.jpg</v>
      </c>
      <c r="W49" s="83">
        <v>44454.440405092595</v>
      </c>
      <c r="X49" s="89">
        <v>44454</v>
      </c>
      <c r="Y49" s="87" t="s">
        <v>1832</v>
      </c>
      <c r="Z49" s="85" t="str">
        <f>HYPERLINK("https://twitter.com/kejaksaanri/status/1438088749875793924")</f>
        <v>https://twitter.com/kejaksaanri/status/1438088749875793924</v>
      </c>
      <c r="AA49" s="81"/>
      <c r="AB49" s="81"/>
      <c r="AC49" s="87" t="s">
        <v>2752</v>
      </c>
      <c r="AD49" s="87" t="s">
        <v>3657</v>
      </c>
      <c r="AE49" s="81" t="b">
        <v>0</v>
      </c>
      <c r="AF49" s="81">
        <v>4</v>
      </c>
      <c r="AG49" s="87" t="s">
        <v>3893</v>
      </c>
      <c r="AH49" s="81" t="b">
        <v>0</v>
      </c>
      <c r="AI49" s="81" t="s">
        <v>4092</v>
      </c>
      <c r="AJ49" s="81"/>
      <c r="AK49" s="87" t="s">
        <v>3875</v>
      </c>
      <c r="AL49" s="81" t="b">
        <v>0</v>
      </c>
      <c r="AM49" s="81">
        <v>2</v>
      </c>
      <c r="AN49" s="87" t="s">
        <v>3875</v>
      </c>
      <c r="AO49" s="87" t="s">
        <v>4111</v>
      </c>
      <c r="AP49" s="81" t="b">
        <v>0</v>
      </c>
      <c r="AQ49" s="87" t="s">
        <v>3657</v>
      </c>
      <c r="AR49" s="81" t="s">
        <v>1205</v>
      </c>
      <c r="AS49" s="81">
        <v>0</v>
      </c>
      <c r="AT49" s="81">
        <v>0</v>
      </c>
      <c r="AU49" s="81"/>
      <c r="AV49" s="81"/>
      <c r="AW49" s="81"/>
      <c r="AX49" s="81"/>
      <c r="AY49" s="81"/>
      <c r="AZ49" s="81"/>
      <c r="BA49" s="81"/>
      <c r="BB49" s="81"/>
    </row>
    <row r="50" spans="1:54" x14ac:dyDescent="0.35">
      <c r="A50" s="66" t="s">
        <v>255</v>
      </c>
      <c r="B50" s="66" t="s">
        <v>254</v>
      </c>
      <c r="C50" s="67"/>
      <c r="D50" s="68"/>
      <c r="E50" s="69"/>
      <c r="F50" s="70"/>
      <c r="G50" s="67"/>
      <c r="H50" s="71"/>
      <c r="I50" s="72"/>
      <c r="J50" s="72"/>
      <c r="K50" s="36"/>
      <c r="L50" s="79"/>
      <c r="M50" s="79"/>
      <c r="N50" s="74"/>
      <c r="O50" s="81" t="s">
        <v>1205</v>
      </c>
      <c r="P50" s="83">
        <v>44458.52579861111</v>
      </c>
      <c r="Q50" s="81" t="s">
        <v>1245</v>
      </c>
      <c r="R50" s="81"/>
      <c r="S50" s="81"/>
      <c r="T50" s="87" t="s">
        <v>254</v>
      </c>
      <c r="U50" s="81"/>
      <c r="V50" s="85" t="str">
        <f>HYPERLINK("https://pbs.twimg.com/profile_images/1440491582772285444/oYakBxb1_normal.jpg")</f>
        <v>https://pbs.twimg.com/profile_images/1440491582772285444/oYakBxb1_normal.jpg</v>
      </c>
      <c r="W50" s="83">
        <v>44458.52579861111</v>
      </c>
      <c r="X50" s="89">
        <v>44458</v>
      </c>
      <c r="Y50" s="87" t="s">
        <v>1833</v>
      </c>
      <c r="Z50" s="85" t="str">
        <f>HYPERLINK("https://twitter.com/kn_sungaipenuh/status/1439569248892776449")</f>
        <v>https://twitter.com/kn_sungaipenuh/status/1439569248892776449</v>
      </c>
      <c r="AA50" s="81"/>
      <c r="AB50" s="81"/>
      <c r="AC50" s="87" t="s">
        <v>2753</v>
      </c>
      <c r="AD50" s="81"/>
      <c r="AE50" s="81" t="b">
        <v>0</v>
      </c>
      <c r="AF50" s="81">
        <v>0</v>
      </c>
      <c r="AG50" s="87" t="s">
        <v>3875</v>
      </c>
      <c r="AH50" s="81" t="b">
        <v>0</v>
      </c>
      <c r="AI50" s="81" t="s">
        <v>4092</v>
      </c>
      <c r="AJ50" s="81"/>
      <c r="AK50" s="87" t="s">
        <v>3875</v>
      </c>
      <c r="AL50" s="81" t="b">
        <v>0</v>
      </c>
      <c r="AM50" s="81">
        <v>2</v>
      </c>
      <c r="AN50" s="87" t="s">
        <v>2752</v>
      </c>
      <c r="AO50" s="87" t="s">
        <v>4109</v>
      </c>
      <c r="AP50" s="81" t="b">
        <v>0</v>
      </c>
      <c r="AQ50" s="87" t="s">
        <v>2752</v>
      </c>
      <c r="AR50" s="81" t="s">
        <v>179</v>
      </c>
      <c r="AS50" s="81">
        <v>0</v>
      </c>
      <c r="AT50" s="81">
        <v>0</v>
      </c>
      <c r="AU50" s="81"/>
      <c r="AV50" s="81"/>
      <c r="AW50" s="81"/>
      <c r="AX50" s="81"/>
      <c r="AY50" s="81"/>
      <c r="AZ50" s="81"/>
      <c r="BA50" s="81"/>
      <c r="BB50" s="81"/>
    </row>
    <row r="51" spans="1:54" x14ac:dyDescent="0.35">
      <c r="A51" s="66" t="s">
        <v>256</v>
      </c>
      <c r="B51" s="66" t="s">
        <v>256</v>
      </c>
      <c r="C51" s="67"/>
      <c r="D51" s="68"/>
      <c r="E51" s="69"/>
      <c r="F51" s="70"/>
      <c r="G51" s="67"/>
      <c r="H51" s="71"/>
      <c r="I51" s="72"/>
      <c r="J51" s="72"/>
      <c r="K51" s="36"/>
      <c r="L51" s="79"/>
      <c r="M51" s="79"/>
      <c r="N51" s="74"/>
      <c r="O51" s="81" t="s">
        <v>179</v>
      </c>
      <c r="P51" s="83">
        <v>44458.577997685185</v>
      </c>
      <c r="Q51" s="81" t="s">
        <v>1246</v>
      </c>
      <c r="R51" s="81"/>
      <c r="S51" s="81"/>
      <c r="T51" s="81"/>
      <c r="U51" s="81"/>
      <c r="V51" s="85" t="str">
        <f>HYPERLINK("https://pbs.twimg.com/profile_images/1394250983056625669/t2_XYqv2_normal.jpg")</f>
        <v>https://pbs.twimg.com/profile_images/1394250983056625669/t2_XYqv2_normal.jpg</v>
      </c>
      <c r="W51" s="83">
        <v>44458.577997685185</v>
      </c>
      <c r="X51" s="89">
        <v>44458</v>
      </c>
      <c r="Y51" s="87" t="s">
        <v>1834</v>
      </c>
      <c r="Z51" s="85" t="str">
        <f>HYPERLINK("https://twitter.com/fusyigur0/status/1439588164293648389")</f>
        <v>https://twitter.com/fusyigur0/status/1439588164293648389</v>
      </c>
      <c r="AA51" s="81"/>
      <c r="AB51" s="81"/>
      <c r="AC51" s="87" t="s">
        <v>2754</v>
      </c>
      <c r="AD51" s="81"/>
      <c r="AE51" s="81" t="b">
        <v>0</v>
      </c>
      <c r="AF51" s="81">
        <v>0</v>
      </c>
      <c r="AG51" s="87" t="s">
        <v>3875</v>
      </c>
      <c r="AH51" s="81" t="b">
        <v>0</v>
      </c>
      <c r="AI51" s="81" t="s">
        <v>4092</v>
      </c>
      <c r="AJ51" s="81"/>
      <c r="AK51" s="87" t="s">
        <v>3875</v>
      </c>
      <c r="AL51" s="81" t="b">
        <v>0</v>
      </c>
      <c r="AM51" s="81">
        <v>0</v>
      </c>
      <c r="AN51" s="87" t="s">
        <v>3875</v>
      </c>
      <c r="AO51" s="87" t="s">
        <v>4109</v>
      </c>
      <c r="AP51" s="81" t="b">
        <v>0</v>
      </c>
      <c r="AQ51" s="87" t="s">
        <v>2754</v>
      </c>
      <c r="AR51" s="81" t="s">
        <v>179</v>
      </c>
      <c r="AS51" s="81">
        <v>0</v>
      </c>
      <c r="AT51" s="81">
        <v>0</v>
      </c>
      <c r="AU51" s="81"/>
      <c r="AV51" s="81"/>
      <c r="AW51" s="81"/>
      <c r="AX51" s="81"/>
      <c r="AY51" s="81"/>
      <c r="AZ51" s="81"/>
      <c r="BA51" s="81"/>
      <c r="BB51" s="81"/>
    </row>
    <row r="52" spans="1:54" x14ac:dyDescent="0.35">
      <c r="A52" s="66" t="s">
        <v>257</v>
      </c>
      <c r="B52" s="66" t="s">
        <v>1008</v>
      </c>
      <c r="C52" s="67"/>
      <c r="D52" s="68"/>
      <c r="E52" s="69"/>
      <c r="F52" s="70"/>
      <c r="G52" s="67"/>
      <c r="H52" s="71"/>
      <c r="I52" s="72"/>
      <c r="J52" s="72"/>
      <c r="K52" s="36"/>
      <c r="L52" s="79"/>
      <c r="M52" s="79"/>
      <c r="N52" s="74"/>
      <c r="O52" s="81" t="s">
        <v>1208</v>
      </c>
      <c r="P52" s="83">
        <v>44458.583194444444</v>
      </c>
      <c r="Q52" s="81" t="s">
        <v>1247</v>
      </c>
      <c r="R52" s="81"/>
      <c r="S52" s="81"/>
      <c r="T52" s="81"/>
      <c r="U52" s="81"/>
      <c r="V52" s="85" t="str">
        <f>HYPERLINK("https://pbs.twimg.com/profile_images/1439770076127772674/3K_X7D1c_normal.jpg")</f>
        <v>https://pbs.twimg.com/profile_images/1439770076127772674/3K_X7D1c_normal.jpg</v>
      </c>
      <c r="W52" s="83">
        <v>44458.583194444444</v>
      </c>
      <c r="X52" s="89">
        <v>44458</v>
      </c>
      <c r="Y52" s="87" t="s">
        <v>1835</v>
      </c>
      <c r="Z52" s="85" t="str">
        <f>HYPERLINK("https://twitter.com/inisialtg/status/1439590050367356928")</f>
        <v>https://twitter.com/inisialtg/status/1439590050367356928</v>
      </c>
      <c r="AA52" s="81"/>
      <c r="AB52" s="81"/>
      <c r="AC52" s="87" t="s">
        <v>2755</v>
      </c>
      <c r="AD52" s="87" t="s">
        <v>3658</v>
      </c>
      <c r="AE52" s="81" t="b">
        <v>0</v>
      </c>
      <c r="AF52" s="81">
        <v>0</v>
      </c>
      <c r="AG52" s="87" t="s">
        <v>3894</v>
      </c>
      <c r="AH52" s="81" t="b">
        <v>0</v>
      </c>
      <c r="AI52" s="81" t="s">
        <v>4092</v>
      </c>
      <c r="AJ52" s="81"/>
      <c r="AK52" s="87" t="s">
        <v>3875</v>
      </c>
      <c r="AL52" s="81" t="b">
        <v>0</v>
      </c>
      <c r="AM52" s="81">
        <v>0</v>
      </c>
      <c r="AN52" s="87" t="s">
        <v>3875</v>
      </c>
      <c r="AO52" s="87" t="s">
        <v>4109</v>
      </c>
      <c r="AP52" s="81" t="b">
        <v>0</v>
      </c>
      <c r="AQ52" s="87" t="s">
        <v>3658</v>
      </c>
      <c r="AR52" s="81" t="s">
        <v>179</v>
      </c>
      <c r="AS52" s="81">
        <v>0</v>
      </c>
      <c r="AT52" s="81">
        <v>0</v>
      </c>
      <c r="AU52" s="81"/>
      <c r="AV52" s="81"/>
      <c r="AW52" s="81"/>
      <c r="AX52" s="81"/>
      <c r="AY52" s="81"/>
      <c r="AZ52" s="81"/>
      <c r="BA52" s="81"/>
      <c r="BB52" s="81"/>
    </row>
    <row r="53" spans="1:54" x14ac:dyDescent="0.35">
      <c r="A53" s="66" t="s">
        <v>257</v>
      </c>
      <c r="B53" s="66" t="s">
        <v>1009</v>
      </c>
      <c r="C53" s="67"/>
      <c r="D53" s="68"/>
      <c r="E53" s="69"/>
      <c r="F53" s="70"/>
      <c r="G53" s="67"/>
      <c r="H53" s="71"/>
      <c r="I53" s="72"/>
      <c r="J53" s="72"/>
      <c r="K53" s="36"/>
      <c r="L53" s="79"/>
      <c r="M53" s="79"/>
      <c r="N53" s="74"/>
      <c r="O53" s="81" t="s">
        <v>1206</v>
      </c>
      <c r="P53" s="83">
        <v>44458.583194444444</v>
      </c>
      <c r="Q53" s="81" t="s">
        <v>1247</v>
      </c>
      <c r="R53" s="81"/>
      <c r="S53" s="81"/>
      <c r="T53" s="81"/>
      <c r="U53" s="81"/>
      <c r="V53" s="85" t="str">
        <f>HYPERLINK("https://pbs.twimg.com/profile_images/1439770076127772674/3K_X7D1c_normal.jpg")</f>
        <v>https://pbs.twimg.com/profile_images/1439770076127772674/3K_X7D1c_normal.jpg</v>
      </c>
      <c r="W53" s="83">
        <v>44458.583194444444</v>
      </c>
      <c r="X53" s="89">
        <v>44458</v>
      </c>
      <c r="Y53" s="87" t="s">
        <v>1835</v>
      </c>
      <c r="Z53" s="85" t="str">
        <f>HYPERLINK("https://twitter.com/inisialtg/status/1439590050367356928")</f>
        <v>https://twitter.com/inisialtg/status/1439590050367356928</v>
      </c>
      <c r="AA53" s="81"/>
      <c r="AB53" s="81"/>
      <c r="AC53" s="87" t="s">
        <v>2755</v>
      </c>
      <c r="AD53" s="87" t="s">
        <v>3658</v>
      </c>
      <c r="AE53" s="81" t="b">
        <v>0</v>
      </c>
      <c r="AF53" s="81">
        <v>0</v>
      </c>
      <c r="AG53" s="87" t="s">
        <v>3894</v>
      </c>
      <c r="AH53" s="81" t="b">
        <v>0</v>
      </c>
      <c r="AI53" s="81" t="s">
        <v>4092</v>
      </c>
      <c r="AJ53" s="81"/>
      <c r="AK53" s="87" t="s">
        <v>3875</v>
      </c>
      <c r="AL53" s="81" t="b">
        <v>0</v>
      </c>
      <c r="AM53" s="81">
        <v>0</v>
      </c>
      <c r="AN53" s="87" t="s">
        <v>3875</v>
      </c>
      <c r="AO53" s="87" t="s">
        <v>4109</v>
      </c>
      <c r="AP53" s="81" t="b">
        <v>0</v>
      </c>
      <c r="AQ53" s="87" t="s">
        <v>3658</v>
      </c>
      <c r="AR53" s="81" t="s">
        <v>179</v>
      </c>
      <c r="AS53" s="81">
        <v>0</v>
      </c>
      <c r="AT53" s="81">
        <v>0</v>
      </c>
      <c r="AU53" s="81"/>
      <c r="AV53" s="81"/>
      <c r="AW53" s="81"/>
      <c r="AX53" s="81"/>
      <c r="AY53" s="81"/>
      <c r="AZ53" s="81"/>
      <c r="BA53" s="81"/>
      <c r="BB53" s="81"/>
    </row>
    <row r="54" spans="1:54" x14ac:dyDescent="0.35">
      <c r="A54" s="66" t="s">
        <v>258</v>
      </c>
      <c r="B54" s="66" t="s">
        <v>1010</v>
      </c>
      <c r="C54" s="67"/>
      <c r="D54" s="68"/>
      <c r="E54" s="69"/>
      <c r="F54" s="70"/>
      <c r="G54" s="67"/>
      <c r="H54" s="71"/>
      <c r="I54" s="72"/>
      <c r="J54" s="72"/>
      <c r="K54" s="36"/>
      <c r="L54" s="79"/>
      <c r="M54" s="79"/>
      <c r="N54" s="74"/>
      <c r="O54" s="81" t="s">
        <v>1207</v>
      </c>
      <c r="P54" s="83">
        <v>44458.589398148149</v>
      </c>
      <c r="Q54" s="81" t="s">
        <v>1248</v>
      </c>
      <c r="R54" s="85" t="str">
        <f>HYPERLINK("https://kerjha.com/pos-indonesia-gandeng-nujek-dan-perkenalkan-o-ranger-mawar/")</f>
        <v>https://kerjha.com/pos-indonesia-gandeng-nujek-dan-perkenalkan-o-ranger-mawar/</v>
      </c>
      <c r="S54" s="81" t="s">
        <v>1735</v>
      </c>
      <c r="T54" s="81"/>
      <c r="U54" s="81"/>
      <c r="V54" s="85" t="str">
        <f>HYPERLINK("https://pbs.twimg.com/profile_images/1427211324069539854/P-Yt7j9b_normal.jpg")</f>
        <v>https://pbs.twimg.com/profile_images/1427211324069539854/P-Yt7j9b_normal.jpg</v>
      </c>
      <c r="W54" s="83">
        <v>44458.589398148149</v>
      </c>
      <c r="X54" s="89">
        <v>44458</v>
      </c>
      <c r="Y54" s="87" t="s">
        <v>1836</v>
      </c>
      <c r="Z54" s="85" t="str">
        <f>HYPERLINK("https://twitter.com/semupetualang/status/1439592297457340417")</f>
        <v>https://twitter.com/semupetualang/status/1439592297457340417</v>
      </c>
      <c r="AA54" s="81"/>
      <c r="AB54" s="81"/>
      <c r="AC54" s="87" t="s">
        <v>2756</v>
      </c>
      <c r="AD54" s="81"/>
      <c r="AE54" s="81" t="b">
        <v>0</v>
      </c>
      <c r="AF54" s="81">
        <v>0</v>
      </c>
      <c r="AG54" s="87" t="s">
        <v>3875</v>
      </c>
      <c r="AH54" s="81" t="b">
        <v>0</v>
      </c>
      <c r="AI54" s="81" t="s">
        <v>4092</v>
      </c>
      <c r="AJ54" s="81"/>
      <c r="AK54" s="87" t="s">
        <v>3875</v>
      </c>
      <c r="AL54" s="81" t="b">
        <v>0</v>
      </c>
      <c r="AM54" s="81">
        <v>10</v>
      </c>
      <c r="AN54" s="87" t="s">
        <v>2886</v>
      </c>
      <c r="AO54" s="87" t="s">
        <v>4109</v>
      </c>
      <c r="AP54" s="81" t="b">
        <v>0</v>
      </c>
      <c r="AQ54" s="87" t="s">
        <v>2886</v>
      </c>
      <c r="AR54" s="81" t="s">
        <v>179</v>
      </c>
      <c r="AS54" s="81">
        <v>0</v>
      </c>
      <c r="AT54" s="81">
        <v>0</v>
      </c>
      <c r="AU54" s="81"/>
      <c r="AV54" s="81"/>
      <c r="AW54" s="81"/>
      <c r="AX54" s="81"/>
      <c r="AY54" s="81"/>
      <c r="AZ54" s="81"/>
      <c r="BA54" s="81"/>
      <c r="BB54" s="81"/>
    </row>
    <row r="55" spans="1:54" x14ac:dyDescent="0.35">
      <c r="A55" s="66" t="s">
        <v>258</v>
      </c>
      <c r="B55" s="66" t="s">
        <v>375</v>
      </c>
      <c r="C55" s="67"/>
      <c r="D55" s="68"/>
      <c r="E55" s="69"/>
      <c r="F55" s="70"/>
      <c r="G55" s="67"/>
      <c r="H55" s="71"/>
      <c r="I55" s="72"/>
      <c r="J55" s="72"/>
      <c r="K55" s="36"/>
      <c r="L55" s="79"/>
      <c r="M55" s="79"/>
      <c r="N55" s="74"/>
      <c r="O55" s="81" t="s">
        <v>1205</v>
      </c>
      <c r="P55" s="83">
        <v>44458.589398148149</v>
      </c>
      <c r="Q55" s="81" t="s">
        <v>1248</v>
      </c>
      <c r="R55" s="85" t="str">
        <f>HYPERLINK("https://kerjha.com/pos-indonesia-gandeng-nujek-dan-perkenalkan-o-ranger-mawar/")</f>
        <v>https://kerjha.com/pos-indonesia-gandeng-nujek-dan-perkenalkan-o-ranger-mawar/</v>
      </c>
      <c r="S55" s="81" t="s">
        <v>1735</v>
      </c>
      <c r="T55" s="81"/>
      <c r="U55" s="81"/>
      <c r="V55" s="85" t="str">
        <f>HYPERLINK("https://pbs.twimg.com/profile_images/1427211324069539854/P-Yt7j9b_normal.jpg")</f>
        <v>https://pbs.twimg.com/profile_images/1427211324069539854/P-Yt7j9b_normal.jpg</v>
      </c>
      <c r="W55" s="83">
        <v>44458.589398148149</v>
      </c>
      <c r="X55" s="89">
        <v>44458</v>
      </c>
      <c r="Y55" s="87" t="s">
        <v>1836</v>
      </c>
      <c r="Z55" s="85" t="str">
        <f>HYPERLINK("https://twitter.com/semupetualang/status/1439592297457340417")</f>
        <v>https://twitter.com/semupetualang/status/1439592297457340417</v>
      </c>
      <c r="AA55" s="81"/>
      <c r="AB55" s="81"/>
      <c r="AC55" s="87" t="s">
        <v>2756</v>
      </c>
      <c r="AD55" s="81"/>
      <c r="AE55" s="81" t="b">
        <v>0</v>
      </c>
      <c r="AF55" s="81">
        <v>0</v>
      </c>
      <c r="AG55" s="87" t="s">
        <v>3875</v>
      </c>
      <c r="AH55" s="81" t="b">
        <v>0</v>
      </c>
      <c r="AI55" s="81" t="s">
        <v>4092</v>
      </c>
      <c r="AJ55" s="81"/>
      <c r="AK55" s="87" t="s">
        <v>3875</v>
      </c>
      <c r="AL55" s="81" t="b">
        <v>0</v>
      </c>
      <c r="AM55" s="81">
        <v>10</v>
      </c>
      <c r="AN55" s="87" t="s">
        <v>2886</v>
      </c>
      <c r="AO55" s="87" t="s">
        <v>4109</v>
      </c>
      <c r="AP55" s="81" t="b">
        <v>0</v>
      </c>
      <c r="AQ55" s="87" t="s">
        <v>2886</v>
      </c>
      <c r="AR55" s="81" t="s">
        <v>179</v>
      </c>
      <c r="AS55" s="81">
        <v>0</v>
      </c>
      <c r="AT55" s="81">
        <v>0</v>
      </c>
      <c r="AU55" s="81"/>
      <c r="AV55" s="81"/>
      <c r="AW55" s="81"/>
      <c r="AX55" s="81"/>
      <c r="AY55" s="81"/>
      <c r="AZ55" s="81"/>
      <c r="BA55" s="81"/>
      <c r="BB55" s="81"/>
    </row>
    <row r="56" spans="1:54" x14ac:dyDescent="0.35">
      <c r="A56" s="66" t="s">
        <v>259</v>
      </c>
      <c r="B56" s="66" t="s">
        <v>1009</v>
      </c>
      <c r="C56" s="67"/>
      <c r="D56" s="68"/>
      <c r="E56" s="69"/>
      <c r="F56" s="70"/>
      <c r="G56" s="67"/>
      <c r="H56" s="71"/>
      <c r="I56" s="72"/>
      <c r="J56" s="72"/>
      <c r="K56" s="36"/>
      <c r="L56" s="79"/>
      <c r="M56" s="79"/>
      <c r="N56" s="74"/>
      <c r="O56" s="81" t="s">
        <v>1208</v>
      </c>
      <c r="P56" s="83">
        <v>44458.596296296295</v>
      </c>
      <c r="Q56" s="81" t="s">
        <v>1249</v>
      </c>
      <c r="R56" s="81"/>
      <c r="S56" s="81"/>
      <c r="T56" s="81"/>
      <c r="U56" s="81"/>
      <c r="V56" s="85" t="str">
        <f>HYPERLINK("https://pbs.twimg.com/profile_images/1442716333880209411/lNU3bQTK_normal.jpg")</f>
        <v>https://pbs.twimg.com/profile_images/1442716333880209411/lNU3bQTK_normal.jpg</v>
      </c>
      <c r="W56" s="83">
        <v>44458.596296296295</v>
      </c>
      <c r="X56" s="89">
        <v>44458</v>
      </c>
      <c r="Y56" s="87" t="s">
        <v>1837</v>
      </c>
      <c r="Z56" s="85" t="str">
        <f>HYPERLINK("https://twitter.com/pieshugx/status/1439594797635829765")</f>
        <v>https://twitter.com/pieshugx/status/1439594797635829765</v>
      </c>
      <c r="AA56" s="81"/>
      <c r="AB56" s="81"/>
      <c r="AC56" s="87" t="s">
        <v>2757</v>
      </c>
      <c r="AD56" s="87" t="s">
        <v>3659</v>
      </c>
      <c r="AE56" s="81" t="b">
        <v>0</v>
      </c>
      <c r="AF56" s="81">
        <v>0</v>
      </c>
      <c r="AG56" s="87" t="s">
        <v>3895</v>
      </c>
      <c r="AH56" s="81" t="b">
        <v>0</v>
      </c>
      <c r="AI56" s="81" t="s">
        <v>4092</v>
      </c>
      <c r="AJ56" s="81"/>
      <c r="AK56" s="87" t="s">
        <v>3875</v>
      </c>
      <c r="AL56" s="81" t="b">
        <v>0</v>
      </c>
      <c r="AM56" s="81">
        <v>0</v>
      </c>
      <c r="AN56" s="87" t="s">
        <v>3875</v>
      </c>
      <c r="AO56" s="87" t="s">
        <v>4110</v>
      </c>
      <c r="AP56" s="81" t="b">
        <v>0</v>
      </c>
      <c r="AQ56" s="87" t="s">
        <v>3659</v>
      </c>
      <c r="AR56" s="81" t="s">
        <v>179</v>
      </c>
      <c r="AS56" s="81">
        <v>0</v>
      </c>
      <c r="AT56" s="81">
        <v>0</v>
      </c>
      <c r="AU56" s="81"/>
      <c r="AV56" s="81"/>
      <c r="AW56" s="81"/>
      <c r="AX56" s="81"/>
      <c r="AY56" s="81"/>
      <c r="AZ56" s="81"/>
      <c r="BA56" s="81"/>
      <c r="BB56" s="81"/>
    </row>
    <row r="57" spans="1:54" x14ac:dyDescent="0.35">
      <c r="A57" s="66" t="s">
        <v>260</v>
      </c>
      <c r="B57" s="66" t="s">
        <v>260</v>
      </c>
      <c r="C57" s="67"/>
      <c r="D57" s="68"/>
      <c r="E57" s="69"/>
      <c r="F57" s="70"/>
      <c r="G57" s="67"/>
      <c r="H57" s="71"/>
      <c r="I57" s="72"/>
      <c r="J57" s="72"/>
      <c r="K57" s="36"/>
      <c r="L57" s="79"/>
      <c r="M57" s="79"/>
      <c r="N57" s="74"/>
      <c r="O57" s="81" t="s">
        <v>179</v>
      </c>
      <c r="P57" s="83">
        <v>44458.599699074075</v>
      </c>
      <c r="Q57" s="81" t="s">
        <v>1250</v>
      </c>
      <c r="R57" s="81"/>
      <c r="S57" s="81"/>
      <c r="T57" s="81"/>
      <c r="U57" s="81"/>
      <c r="V57" s="85" t="str">
        <f>HYPERLINK("https://pbs.twimg.com/profile_images/1430545529558036492/NoV7BQZt_normal.jpg")</f>
        <v>https://pbs.twimg.com/profile_images/1430545529558036492/NoV7BQZt_normal.jpg</v>
      </c>
      <c r="W57" s="83">
        <v>44458.599699074075</v>
      </c>
      <c r="X57" s="89">
        <v>44458</v>
      </c>
      <c r="Y57" s="87" t="s">
        <v>1838</v>
      </c>
      <c r="Z57" s="85" t="str">
        <f>HYPERLINK("https://twitter.com/yeoldorado14/status/1439596030975090688")</f>
        <v>https://twitter.com/yeoldorado14/status/1439596030975090688</v>
      </c>
      <c r="AA57" s="81"/>
      <c r="AB57" s="81"/>
      <c r="AC57" s="87" t="s">
        <v>2758</v>
      </c>
      <c r="AD57" s="87" t="s">
        <v>3660</v>
      </c>
      <c r="AE57" s="81" t="b">
        <v>0</v>
      </c>
      <c r="AF57" s="81">
        <v>0</v>
      </c>
      <c r="AG57" s="87" t="s">
        <v>3896</v>
      </c>
      <c r="AH57" s="81" t="b">
        <v>0</v>
      </c>
      <c r="AI57" s="81" t="s">
        <v>4092</v>
      </c>
      <c r="AJ57" s="81"/>
      <c r="AK57" s="87" t="s">
        <v>3875</v>
      </c>
      <c r="AL57" s="81" t="b">
        <v>0</v>
      </c>
      <c r="AM57" s="81">
        <v>0</v>
      </c>
      <c r="AN57" s="87" t="s">
        <v>3875</v>
      </c>
      <c r="AO57" s="87" t="s">
        <v>4110</v>
      </c>
      <c r="AP57" s="81" t="b">
        <v>0</v>
      </c>
      <c r="AQ57" s="87" t="s">
        <v>3660</v>
      </c>
      <c r="AR57" s="81" t="s">
        <v>179</v>
      </c>
      <c r="AS57" s="81">
        <v>0</v>
      </c>
      <c r="AT57" s="81">
        <v>0</v>
      </c>
      <c r="AU57" s="81"/>
      <c r="AV57" s="81"/>
      <c r="AW57" s="81"/>
      <c r="AX57" s="81"/>
      <c r="AY57" s="81"/>
      <c r="AZ57" s="81"/>
      <c r="BA57" s="81"/>
      <c r="BB57" s="81"/>
    </row>
    <row r="58" spans="1:54" x14ac:dyDescent="0.35">
      <c r="A58" s="66" t="s">
        <v>261</v>
      </c>
      <c r="B58" s="66" t="s">
        <v>1011</v>
      </c>
      <c r="C58" s="67"/>
      <c r="D58" s="68"/>
      <c r="E58" s="69"/>
      <c r="F58" s="70"/>
      <c r="G58" s="67"/>
      <c r="H58" s="71"/>
      <c r="I58" s="72"/>
      <c r="J58" s="72"/>
      <c r="K58" s="36"/>
      <c r="L58" s="79"/>
      <c r="M58" s="79"/>
      <c r="N58" s="74"/>
      <c r="O58" s="81" t="s">
        <v>1208</v>
      </c>
      <c r="P58" s="83">
        <v>44458.608437499999</v>
      </c>
      <c r="Q58" s="81" t="s">
        <v>1251</v>
      </c>
      <c r="R58" s="81"/>
      <c r="S58" s="81"/>
      <c r="T58" s="81"/>
      <c r="U58" s="81"/>
      <c r="V58" s="85" t="str">
        <f>HYPERLINK("https://pbs.twimg.com/profile_images/1441063482833604608/5LeipFBJ_normal.png")</f>
        <v>https://pbs.twimg.com/profile_images/1441063482833604608/5LeipFBJ_normal.png</v>
      </c>
      <c r="W58" s="83">
        <v>44458.608437499999</v>
      </c>
      <c r="X58" s="89">
        <v>44458</v>
      </c>
      <c r="Y58" s="87" t="s">
        <v>1839</v>
      </c>
      <c r="Z58" s="85" t="str">
        <f>HYPERLINK("https://twitter.com/amiwhama/status/1439599197095743491")</f>
        <v>https://twitter.com/amiwhama/status/1439599197095743491</v>
      </c>
      <c r="AA58" s="81"/>
      <c r="AB58" s="81"/>
      <c r="AC58" s="87" t="s">
        <v>2759</v>
      </c>
      <c r="AD58" s="87" t="s">
        <v>3661</v>
      </c>
      <c r="AE58" s="81" t="b">
        <v>0</v>
      </c>
      <c r="AF58" s="81">
        <v>0</v>
      </c>
      <c r="AG58" s="87" t="s">
        <v>3897</v>
      </c>
      <c r="AH58" s="81" t="b">
        <v>0</v>
      </c>
      <c r="AI58" s="81" t="s">
        <v>4092</v>
      </c>
      <c r="AJ58" s="81"/>
      <c r="AK58" s="87" t="s">
        <v>3875</v>
      </c>
      <c r="AL58" s="81" t="b">
        <v>0</v>
      </c>
      <c r="AM58" s="81">
        <v>0</v>
      </c>
      <c r="AN58" s="87" t="s">
        <v>3875</v>
      </c>
      <c r="AO58" s="87" t="s">
        <v>4110</v>
      </c>
      <c r="AP58" s="81" t="b">
        <v>0</v>
      </c>
      <c r="AQ58" s="87" t="s">
        <v>3661</v>
      </c>
      <c r="AR58" s="81" t="s">
        <v>179</v>
      </c>
      <c r="AS58" s="81">
        <v>0</v>
      </c>
      <c r="AT58" s="81">
        <v>0</v>
      </c>
      <c r="AU58" s="81"/>
      <c r="AV58" s="81"/>
      <c r="AW58" s="81"/>
      <c r="AX58" s="81"/>
      <c r="AY58" s="81"/>
      <c r="AZ58" s="81"/>
      <c r="BA58" s="81"/>
      <c r="BB58" s="81"/>
    </row>
    <row r="59" spans="1:54" x14ac:dyDescent="0.35">
      <c r="A59" s="66" t="s">
        <v>262</v>
      </c>
      <c r="B59" s="66" t="s">
        <v>1010</v>
      </c>
      <c r="C59" s="67"/>
      <c r="D59" s="68"/>
      <c r="E59" s="69"/>
      <c r="F59" s="70"/>
      <c r="G59" s="67"/>
      <c r="H59" s="71"/>
      <c r="I59" s="72"/>
      <c r="J59" s="72"/>
      <c r="K59" s="36"/>
      <c r="L59" s="79"/>
      <c r="M59" s="79"/>
      <c r="N59" s="74"/>
      <c r="O59" s="81" t="s">
        <v>1207</v>
      </c>
      <c r="P59" s="83">
        <v>44458.62290509259</v>
      </c>
      <c r="Q59" s="81" t="s">
        <v>1248</v>
      </c>
      <c r="R59" s="85" t="str">
        <f>HYPERLINK("https://kerjha.com/pos-indonesia-gandeng-nujek-dan-perkenalkan-o-ranger-mawar/")</f>
        <v>https://kerjha.com/pos-indonesia-gandeng-nujek-dan-perkenalkan-o-ranger-mawar/</v>
      </c>
      <c r="S59" s="81" t="s">
        <v>1735</v>
      </c>
      <c r="T59" s="81"/>
      <c r="U59" s="81"/>
      <c r="V59" s="85" t="str">
        <f>HYPERLINK("https://pbs.twimg.com/profile_images/1422066866214690817/mtiMhC6G_normal.jpg")</f>
        <v>https://pbs.twimg.com/profile_images/1422066866214690817/mtiMhC6G_normal.jpg</v>
      </c>
      <c r="W59" s="83">
        <v>44458.62290509259</v>
      </c>
      <c r="X59" s="89">
        <v>44458</v>
      </c>
      <c r="Y59" s="87" t="s">
        <v>1840</v>
      </c>
      <c r="Z59" s="85" t="str">
        <f>HYPERLINK("https://twitter.com/__wantankri/status/1439604439686397953")</f>
        <v>https://twitter.com/__wantankri/status/1439604439686397953</v>
      </c>
      <c r="AA59" s="81"/>
      <c r="AB59" s="81"/>
      <c r="AC59" s="87" t="s">
        <v>2760</v>
      </c>
      <c r="AD59" s="81"/>
      <c r="AE59" s="81" t="b">
        <v>0</v>
      </c>
      <c r="AF59" s="81">
        <v>0</v>
      </c>
      <c r="AG59" s="87" t="s">
        <v>3875</v>
      </c>
      <c r="AH59" s="81" t="b">
        <v>0</v>
      </c>
      <c r="AI59" s="81" t="s">
        <v>4092</v>
      </c>
      <c r="AJ59" s="81"/>
      <c r="AK59" s="87" t="s">
        <v>3875</v>
      </c>
      <c r="AL59" s="81" t="b">
        <v>0</v>
      </c>
      <c r="AM59" s="81">
        <v>10</v>
      </c>
      <c r="AN59" s="87" t="s">
        <v>2886</v>
      </c>
      <c r="AO59" s="87" t="s">
        <v>4109</v>
      </c>
      <c r="AP59" s="81" t="b">
        <v>0</v>
      </c>
      <c r="AQ59" s="87" t="s">
        <v>2886</v>
      </c>
      <c r="AR59" s="81" t="s">
        <v>179</v>
      </c>
      <c r="AS59" s="81">
        <v>0</v>
      </c>
      <c r="AT59" s="81">
        <v>0</v>
      </c>
      <c r="AU59" s="81"/>
      <c r="AV59" s="81"/>
      <c r="AW59" s="81"/>
      <c r="AX59" s="81"/>
      <c r="AY59" s="81"/>
      <c r="AZ59" s="81"/>
      <c r="BA59" s="81"/>
      <c r="BB59" s="81"/>
    </row>
    <row r="60" spans="1:54" x14ac:dyDescent="0.35">
      <c r="A60" s="66" t="s">
        <v>262</v>
      </c>
      <c r="B60" s="66" t="s">
        <v>375</v>
      </c>
      <c r="C60" s="67"/>
      <c r="D60" s="68"/>
      <c r="E60" s="69"/>
      <c r="F60" s="70"/>
      <c r="G60" s="67"/>
      <c r="H60" s="71"/>
      <c r="I60" s="72"/>
      <c r="J60" s="72"/>
      <c r="K60" s="36"/>
      <c r="L60" s="79"/>
      <c r="M60" s="79"/>
      <c r="N60" s="74"/>
      <c r="O60" s="81" t="s">
        <v>1205</v>
      </c>
      <c r="P60" s="83">
        <v>44458.62290509259</v>
      </c>
      <c r="Q60" s="81" t="s">
        <v>1248</v>
      </c>
      <c r="R60" s="85" t="str">
        <f>HYPERLINK("https://kerjha.com/pos-indonesia-gandeng-nujek-dan-perkenalkan-o-ranger-mawar/")</f>
        <v>https://kerjha.com/pos-indonesia-gandeng-nujek-dan-perkenalkan-o-ranger-mawar/</v>
      </c>
      <c r="S60" s="81" t="s">
        <v>1735</v>
      </c>
      <c r="T60" s="81"/>
      <c r="U60" s="81"/>
      <c r="V60" s="85" t="str">
        <f>HYPERLINK("https://pbs.twimg.com/profile_images/1422066866214690817/mtiMhC6G_normal.jpg")</f>
        <v>https://pbs.twimg.com/profile_images/1422066866214690817/mtiMhC6G_normal.jpg</v>
      </c>
      <c r="W60" s="83">
        <v>44458.62290509259</v>
      </c>
      <c r="X60" s="89">
        <v>44458</v>
      </c>
      <c r="Y60" s="87" t="s">
        <v>1840</v>
      </c>
      <c r="Z60" s="85" t="str">
        <f>HYPERLINK("https://twitter.com/__wantankri/status/1439604439686397953")</f>
        <v>https://twitter.com/__wantankri/status/1439604439686397953</v>
      </c>
      <c r="AA60" s="81"/>
      <c r="AB60" s="81"/>
      <c r="AC60" s="87" t="s">
        <v>2760</v>
      </c>
      <c r="AD60" s="81"/>
      <c r="AE60" s="81" t="b">
        <v>0</v>
      </c>
      <c r="AF60" s="81">
        <v>0</v>
      </c>
      <c r="AG60" s="87" t="s">
        <v>3875</v>
      </c>
      <c r="AH60" s="81" t="b">
        <v>0</v>
      </c>
      <c r="AI60" s="81" t="s">
        <v>4092</v>
      </c>
      <c r="AJ60" s="81"/>
      <c r="AK60" s="87" t="s">
        <v>3875</v>
      </c>
      <c r="AL60" s="81" t="b">
        <v>0</v>
      </c>
      <c r="AM60" s="81">
        <v>10</v>
      </c>
      <c r="AN60" s="87" t="s">
        <v>2886</v>
      </c>
      <c r="AO60" s="87" t="s">
        <v>4109</v>
      </c>
      <c r="AP60" s="81" t="b">
        <v>0</v>
      </c>
      <c r="AQ60" s="87" t="s">
        <v>2886</v>
      </c>
      <c r="AR60" s="81" t="s">
        <v>179</v>
      </c>
      <c r="AS60" s="81">
        <v>0</v>
      </c>
      <c r="AT60" s="81">
        <v>0</v>
      </c>
      <c r="AU60" s="81"/>
      <c r="AV60" s="81"/>
      <c r="AW60" s="81"/>
      <c r="AX60" s="81"/>
      <c r="AY60" s="81"/>
      <c r="AZ60" s="81"/>
      <c r="BA60" s="81"/>
      <c r="BB60" s="81"/>
    </row>
    <row r="61" spans="1:54" x14ac:dyDescent="0.35">
      <c r="A61" s="66" t="s">
        <v>263</v>
      </c>
      <c r="B61" s="66" t="s">
        <v>1010</v>
      </c>
      <c r="C61" s="67"/>
      <c r="D61" s="68"/>
      <c r="E61" s="69"/>
      <c r="F61" s="70"/>
      <c r="G61" s="67"/>
      <c r="H61" s="71"/>
      <c r="I61" s="72"/>
      <c r="J61" s="72"/>
      <c r="K61" s="36"/>
      <c r="L61" s="79"/>
      <c r="M61" s="79"/>
      <c r="N61" s="74"/>
      <c r="O61" s="81" t="s">
        <v>1206</v>
      </c>
      <c r="P61" s="83">
        <v>44458.616909722223</v>
      </c>
      <c r="Q61" s="81" t="s">
        <v>1252</v>
      </c>
      <c r="R61" s="85" t="str">
        <f>HYPERLINK("https://kerjha.com/pos-indonesia-gandeng-nujek-dan-perkenalkan-o-ranger-mawar/")</f>
        <v>https://kerjha.com/pos-indonesia-gandeng-nujek-dan-perkenalkan-o-ranger-mawar/</v>
      </c>
      <c r="S61" s="81" t="s">
        <v>1735</v>
      </c>
      <c r="T61" s="81"/>
      <c r="U61" s="81"/>
      <c r="V61" s="85" t="str">
        <f>HYPERLINK("https://pbs.twimg.com/profile_images/1438758233254993921/xBdwdurT_normal.jpg")</f>
        <v>https://pbs.twimg.com/profile_images/1438758233254993921/xBdwdurT_normal.jpg</v>
      </c>
      <c r="W61" s="83">
        <v>44458.616909722223</v>
      </c>
      <c r="X61" s="89">
        <v>44458</v>
      </c>
      <c r="Y61" s="87" t="s">
        <v>1841</v>
      </c>
      <c r="Z61" s="85" t="str">
        <f>HYPERLINK("https://twitter.com/_antaresh29/status/1439602267045257218")</f>
        <v>https://twitter.com/_antaresh29/status/1439602267045257218</v>
      </c>
      <c r="AA61" s="81"/>
      <c r="AB61" s="81"/>
      <c r="AC61" s="87" t="s">
        <v>2761</v>
      </c>
      <c r="AD61" s="81"/>
      <c r="AE61" s="81" t="b">
        <v>0</v>
      </c>
      <c r="AF61" s="81">
        <v>5</v>
      </c>
      <c r="AG61" s="87" t="s">
        <v>3875</v>
      </c>
      <c r="AH61" s="81" t="b">
        <v>0</v>
      </c>
      <c r="AI61" s="81" t="s">
        <v>4092</v>
      </c>
      <c r="AJ61" s="81"/>
      <c r="AK61" s="87" t="s">
        <v>3875</v>
      </c>
      <c r="AL61" s="81" t="b">
        <v>0</v>
      </c>
      <c r="AM61" s="81">
        <v>3</v>
      </c>
      <c r="AN61" s="87" t="s">
        <v>3875</v>
      </c>
      <c r="AO61" s="87" t="s">
        <v>4109</v>
      </c>
      <c r="AP61" s="81" t="b">
        <v>0</v>
      </c>
      <c r="AQ61" s="87" t="s">
        <v>2761</v>
      </c>
      <c r="AR61" s="81" t="s">
        <v>179</v>
      </c>
      <c r="AS61" s="81">
        <v>0</v>
      </c>
      <c r="AT61" s="81">
        <v>0</v>
      </c>
      <c r="AU61" s="81"/>
      <c r="AV61" s="81"/>
      <c r="AW61" s="81"/>
      <c r="AX61" s="81"/>
      <c r="AY61" s="81"/>
      <c r="AZ61" s="81"/>
      <c r="BA61" s="81"/>
      <c r="BB61" s="81"/>
    </row>
    <row r="62" spans="1:54" x14ac:dyDescent="0.35">
      <c r="A62" s="66" t="s">
        <v>263</v>
      </c>
      <c r="B62" s="66" t="s">
        <v>1010</v>
      </c>
      <c r="C62" s="67"/>
      <c r="D62" s="68"/>
      <c r="E62" s="69"/>
      <c r="F62" s="70"/>
      <c r="G62" s="67"/>
      <c r="H62" s="71"/>
      <c r="I62" s="72"/>
      <c r="J62" s="72"/>
      <c r="K62" s="36"/>
      <c r="L62" s="79"/>
      <c r="M62" s="79"/>
      <c r="N62" s="74"/>
      <c r="O62" s="81" t="s">
        <v>1207</v>
      </c>
      <c r="P62" s="83">
        <v>44458.62537037037</v>
      </c>
      <c r="Q62" s="81" t="s">
        <v>1252</v>
      </c>
      <c r="R62" s="85" t="str">
        <f>HYPERLINK("https://kerjha.com/pos-indonesia-gandeng-nujek-dan-perkenalkan-o-ranger-mawar/")</f>
        <v>https://kerjha.com/pos-indonesia-gandeng-nujek-dan-perkenalkan-o-ranger-mawar/</v>
      </c>
      <c r="S62" s="81" t="s">
        <v>1735</v>
      </c>
      <c r="T62" s="81"/>
      <c r="U62" s="81"/>
      <c r="V62" s="85" t="str">
        <f>HYPERLINK("https://pbs.twimg.com/profile_images/1438758233254993921/xBdwdurT_normal.jpg")</f>
        <v>https://pbs.twimg.com/profile_images/1438758233254993921/xBdwdurT_normal.jpg</v>
      </c>
      <c r="W62" s="83">
        <v>44458.62537037037</v>
      </c>
      <c r="X62" s="89">
        <v>44458</v>
      </c>
      <c r="Y62" s="87" t="s">
        <v>1842</v>
      </c>
      <c r="Z62" s="85" t="str">
        <f>HYPERLINK("https://twitter.com/_antaresh29/status/1439605333488398337")</f>
        <v>https://twitter.com/_antaresh29/status/1439605333488398337</v>
      </c>
      <c r="AA62" s="81"/>
      <c r="AB62" s="81"/>
      <c r="AC62" s="87" t="s">
        <v>2762</v>
      </c>
      <c r="AD62" s="81"/>
      <c r="AE62" s="81" t="b">
        <v>0</v>
      </c>
      <c r="AF62" s="81">
        <v>0</v>
      </c>
      <c r="AG62" s="87" t="s">
        <v>3875</v>
      </c>
      <c r="AH62" s="81" t="b">
        <v>0</v>
      </c>
      <c r="AI62" s="81" t="s">
        <v>4092</v>
      </c>
      <c r="AJ62" s="81"/>
      <c r="AK62" s="87" t="s">
        <v>3875</v>
      </c>
      <c r="AL62" s="81" t="b">
        <v>0</v>
      </c>
      <c r="AM62" s="81">
        <v>3</v>
      </c>
      <c r="AN62" s="87" t="s">
        <v>2761</v>
      </c>
      <c r="AO62" s="87" t="s">
        <v>4109</v>
      </c>
      <c r="AP62" s="81" t="b">
        <v>0</v>
      </c>
      <c r="AQ62" s="87" t="s">
        <v>2761</v>
      </c>
      <c r="AR62" s="81" t="s">
        <v>179</v>
      </c>
      <c r="AS62" s="81">
        <v>0</v>
      </c>
      <c r="AT62" s="81">
        <v>0</v>
      </c>
      <c r="AU62" s="81"/>
      <c r="AV62" s="81"/>
      <c r="AW62" s="81"/>
      <c r="AX62" s="81"/>
      <c r="AY62" s="81"/>
      <c r="AZ62" s="81"/>
      <c r="BA62" s="81"/>
      <c r="BB62" s="81"/>
    </row>
    <row r="63" spans="1:54" x14ac:dyDescent="0.35">
      <c r="A63" s="66" t="s">
        <v>263</v>
      </c>
      <c r="B63" s="66" t="s">
        <v>263</v>
      </c>
      <c r="C63" s="67"/>
      <c r="D63" s="68"/>
      <c r="E63" s="69"/>
      <c r="F63" s="70"/>
      <c r="G63" s="67"/>
      <c r="H63" s="71"/>
      <c r="I63" s="72"/>
      <c r="J63" s="72"/>
      <c r="K63" s="36"/>
      <c r="L63" s="79"/>
      <c r="M63" s="79"/>
      <c r="N63" s="74"/>
      <c r="O63" s="81" t="s">
        <v>1205</v>
      </c>
      <c r="P63" s="83">
        <v>44458.62537037037</v>
      </c>
      <c r="Q63" s="81" t="s">
        <v>1252</v>
      </c>
      <c r="R63" s="85" t="str">
        <f>HYPERLINK("https://kerjha.com/pos-indonesia-gandeng-nujek-dan-perkenalkan-o-ranger-mawar/")</f>
        <v>https://kerjha.com/pos-indonesia-gandeng-nujek-dan-perkenalkan-o-ranger-mawar/</v>
      </c>
      <c r="S63" s="81" t="s">
        <v>1735</v>
      </c>
      <c r="T63" s="81"/>
      <c r="U63" s="81"/>
      <c r="V63" s="85" t="str">
        <f>HYPERLINK("https://pbs.twimg.com/profile_images/1438758233254993921/xBdwdurT_normal.jpg")</f>
        <v>https://pbs.twimg.com/profile_images/1438758233254993921/xBdwdurT_normal.jpg</v>
      </c>
      <c r="W63" s="83">
        <v>44458.62537037037</v>
      </c>
      <c r="X63" s="89">
        <v>44458</v>
      </c>
      <c r="Y63" s="87" t="s">
        <v>1842</v>
      </c>
      <c r="Z63" s="85" t="str">
        <f>HYPERLINK("https://twitter.com/_antaresh29/status/1439605333488398337")</f>
        <v>https://twitter.com/_antaresh29/status/1439605333488398337</v>
      </c>
      <c r="AA63" s="81"/>
      <c r="AB63" s="81"/>
      <c r="AC63" s="87" t="s">
        <v>2762</v>
      </c>
      <c r="AD63" s="81"/>
      <c r="AE63" s="81" t="b">
        <v>0</v>
      </c>
      <c r="AF63" s="81">
        <v>0</v>
      </c>
      <c r="AG63" s="87" t="s">
        <v>3875</v>
      </c>
      <c r="AH63" s="81" t="b">
        <v>0</v>
      </c>
      <c r="AI63" s="81" t="s">
        <v>4092</v>
      </c>
      <c r="AJ63" s="81"/>
      <c r="AK63" s="87" t="s">
        <v>3875</v>
      </c>
      <c r="AL63" s="81" t="b">
        <v>0</v>
      </c>
      <c r="AM63" s="81">
        <v>3</v>
      </c>
      <c r="AN63" s="87" t="s">
        <v>2761</v>
      </c>
      <c r="AO63" s="87" t="s">
        <v>4109</v>
      </c>
      <c r="AP63" s="81" t="b">
        <v>0</v>
      </c>
      <c r="AQ63" s="87" t="s">
        <v>2761</v>
      </c>
      <c r="AR63" s="81" t="s">
        <v>179</v>
      </c>
      <c r="AS63" s="81">
        <v>0</v>
      </c>
      <c r="AT63" s="81">
        <v>0</v>
      </c>
      <c r="AU63" s="81"/>
      <c r="AV63" s="81"/>
      <c r="AW63" s="81"/>
      <c r="AX63" s="81"/>
      <c r="AY63" s="81"/>
      <c r="AZ63" s="81"/>
      <c r="BA63" s="81"/>
      <c r="BB63" s="81"/>
    </row>
    <row r="64" spans="1:54" x14ac:dyDescent="0.35">
      <c r="A64" s="66" t="s">
        <v>264</v>
      </c>
      <c r="B64" s="66" t="s">
        <v>263</v>
      </c>
      <c r="C64" s="67"/>
      <c r="D64" s="68"/>
      <c r="E64" s="69"/>
      <c r="F64" s="70"/>
      <c r="G64" s="67"/>
      <c r="H64" s="71"/>
      <c r="I64" s="72"/>
      <c r="J64" s="72"/>
      <c r="K64" s="36"/>
      <c r="L64" s="79"/>
      <c r="M64" s="79"/>
      <c r="N64" s="74"/>
      <c r="O64" s="81" t="s">
        <v>1205</v>
      </c>
      <c r="P64" s="83">
        <v>44458.62641203704</v>
      </c>
      <c r="Q64" s="81" t="s">
        <v>1252</v>
      </c>
      <c r="R64" s="85" t="str">
        <f>HYPERLINK("https://kerjha.com/pos-indonesia-gandeng-nujek-dan-perkenalkan-o-ranger-mawar/")</f>
        <v>https://kerjha.com/pos-indonesia-gandeng-nujek-dan-perkenalkan-o-ranger-mawar/</v>
      </c>
      <c r="S64" s="81" t="s">
        <v>1735</v>
      </c>
      <c r="T64" s="81"/>
      <c r="U64" s="81"/>
      <c r="V64" s="85" t="str">
        <f>HYPERLINK("https://pbs.twimg.com/profile_images/1438405719968022529/pUZQoUcS_normal.jpg")</f>
        <v>https://pbs.twimg.com/profile_images/1438405719968022529/pUZQoUcS_normal.jpg</v>
      </c>
      <c r="W64" s="83">
        <v>44458.62641203704</v>
      </c>
      <c r="X64" s="89">
        <v>44458</v>
      </c>
      <c r="Y64" s="87" t="s">
        <v>1843</v>
      </c>
      <c r="Z64" s="85" t="str">
        <f>HYPERLINK("https://twitter.com/reshtua/status/1439605709214085128")</f>
        <v>https://twitter.com/reshtua/status/1439605709214085128</v>
      </c>
      <c r="AA64" s="81"/>
      <c r="AB64" s="81"/>
      <c r="AC64" s="87" t="s">
        <v>2763</v>
      </c>
      <c r="AD64" s="81"/>
      <c r="AE64" s="81" t="b">
        <v>0</v>
      </c>
      <c r="AF64" s="81">
        <v>0</v>
      </c>
      <c r="AG64" s="87" t="s">
        <v>3875</v>
      </c>
      <c r="AH64" s="81" t="b">
        <v>0</v>
      </c>
      <c r="AI64" s="81" t="s">
        <v>4092</v>
      </c>
      <c r="AJ64" s="81"/>
      <c r="AK64" s="87" t="s">
        <v>3875</v>
      </c>
      <c r="AL64" s="81" t="b">
        <v>0</v>
      </c>
      <c r="AM64" s="81">
        <v>3</v>
      </c>
      <c r="AN64" s="87" t="s">
        <v>2761</v>
      </c>
      <c r="AO64" s="87" t="s">
        <v>4109</v>
      </c>
      <c r="AP64" s="81" t="b">
        <v>0</v>
      </c>
      <c r="AQ64" s="87" t="s">
        <v>2761</v>
      </c>
      <c r="AR64" s="81" t="s">
        <v>179</v>
      </c>
      <c r="AS64" s="81">
        <v>0</v>
      </c>
      <c r="AT64" s="81">
        <v>0</v>
      </c>
      <c r="AU64" s="81"/>
      <c r="AV64" s="81"/>
      <c r="AW64" s="81"/>
      <c r="AX64" s="81"/>
      <c r="AY64" s="81"/>
      <c r="AZ64" s="81"/>
      <c r="BA64" s="81"/>
      <c r="BB64" s="81"/>
    </row>
    <row r="65" spans="1:54" x14ac:dyDescent="0.35">
      <c r="A65" s="66" t="s">
        <v>264</v>
      </c>
      <c r="B65" s="66" t="s">
        <v>1010</v>
      </c>
      <c r="C65" s="67"/>
      <c r="D65" s="68"/>
      <c r="E65" s="69"/>
      <c r="F65" s="70"/>
      <c r="G65" s="67"/>
      <c r="H65" s="71"/>
      <c r="I65" s="72"/>
      <c r="J65" s="72"/>
      <c r="K65" s="36"/>
      <c r="L65" s="79"/>
      <c r="M65" s="79"/>
      <c r="N65" s="74"/>
      <c r="O65" s="81" t="s">
        <v>1207</v>
      </c>
      <c r="P65" s="83">
        <v>44458.62641203704</v>
      </c>
      <c r="Q65" s="81" t="s">
        <v>1252</v>
      </c>
      <c r="R65" s="85" t="str">
        <f>HYPERLINK("https://kerjha.com/pos-indonesia-gandeng-nujek-dan-perkenalkan-o-ranger-mawar/")</f>
        <v>https://kerjha.com/pos-indonesia-gandeng-nujek-dan-perkenalkan-o-ranger-mawar/</v>
      </c>
      <c r="S65" s="81" t="s">
        <v>1735</v>
      </c>
      <c r="T65" s="81"/>
      <c r="U65" s="81"/>
      <c r="V65" s="85" t="str">
        <f>HYPERLINK("https://pbs.twimg.com/profile_images/1438405719968022529/pUZQoUcS_normal.jpg")</f>
        <v>https://pbs.twimg.com/profile_images/1438405719968022529/pUZQoUcS_normal.jpg</v>
      </c>
      <c r="W65" s="83">
        <v>44458.62641203704</v>
      </c>
      <c r="X65" s="89">
        <v>44458</v>
      </c>
      <c r="Y65" s="87" t="s">
        <v>1843</v>
      </c>
      <c r="Z65" s="85" t="str">
        <f>HYPERLINK("https://twitter.com/reshtua/status/1439605709214085128")</f>
        <v>https://twitter.com/reshtua/status/1439605709214085128</v>
      </c>
      <c r="AA65" s="81"/>
      <c r="AB65" s="81"/>
      <c r="AC65" s="87" t="s">
        <v>2763</v>
      </c>
      <c r="AD65" s="81"/>
      <c r="AE65" s="81" t="b">
        <v>0</v>
      </c>
      <c r="AF65" s="81">
        <v>0</v>
      </c>
      <c r="AG65" s="87" t="s">
        <v>3875</v>
      </c>
      <c r="AH65" s="81" t="b">
        <v>0</v>
      </c>
      <c r="AI65" s="81" t="s">
        <v>4092</v>
      </c>
      <c r="AJ65" s="81"/>
      <c r="AK65" s="87" t="s">
        <v>3875</v>
      </c>
      <c r="AL65" s="81" t="b">
        <v>0</v>
      </c>
      <c r="AM65" s="81">
        <v>3</v>
      </c>
      <c r="AN65" s="87" t="s">
        <v>2761</v>
      </c>
      <c r="AO65" s="87" t="s">
        <v>4109</v>
      </c>
      <c r="AP65" s="81" t="b">
        <v>0</v>
      </c>
      <c r="AQ65" s="87" t="s">
        <v>2761</v>
      </c>
      <c r="AR65" s="81" t="s">
        <v>179</v>
      </c>
      <c r="AS65" s="81">
        <v>0</v>
      </c>
      <c r="AT65" s="81">
        <v>0</v>
      </c>
      <c r="AU65" s="81"/>
      <c r="AV65" s="81"/>
      <c r="AW65" s="81"/>
      <c r="AX65" s="81"/>
      <c r="AY65" s="81"/>
      <c r="AZ65" s="81"/>
      <c r="BA65" s="81"/>
      <c r="BB65" s="81"/>
    </row>
    <row r="66" spans="1:54" x14ac:dyDescent="0.35">
      <c r="A66" s="66" t="s">
        <v>265</v>
      </c>
      <c r="B66" s="66" t="s">
        <v>1010</v>
      </c>
      <c r="C66" s="67"/>
      <c r="D66" s="68"/>
      <c r="E66" s="69"/>
      <c r="F66" s="70"/>
      <c r="G66" s="67"/>
      <c r="H66" s="71"/>
      <c r="I66" s="72"/>
      <c r="J66" s="72"/>
      <c r="K66" s="36"/>
      <c r="L66" s="79"/>
      <c r="M66" s="79"/>
      <c r="N66" s="74"/>
      <c r="O66" s="81" t="s">
        <v>1207</v>
      </c>
      <c r="P66" s="83">
        <v>44458.635891203703</v>
      </c>
      <c r="Q66" s="81" t="s">
        <v>1248</v>
      </c>
      <c r="R66" s="85" t="str">
        <f>HYPERLINK("https://kerjha.com/pos-indonesia-gandeng-nujek-dan-perkenalkan-o-ranger-mawar/")</f>
        <v>https://kerjha.com/pos-indonesia-gandeng-nujek-dan-perkenalkan-o-ranger-mawar/</v>
      </c>
      <c r="S66" s="81" t="s">
        <v>1735</v>
      </c>
      <c r="T66" s="81"/>
      <c r="U66" s="81"/>
      <c r="V66" s="85" t="str">
        <f>HYPERLINK("https://pbs.twimg.com/profile_images/1406601824816099329/U883rcvo_normal.jpg")</f>
        <v>https://pbs.twimg.com/profile_images/1406601824816099329/U883rcvo_normal.jpg</v>
      </c>
      <c r="W66" s="83">
        <v>44458.635891203703</v>
      </c>
      <c r="X66" s="89">
        <v>44458</v>
      </c>
      <c r="Y66" s="87" t="s">
        <v>1844</v>
      </c>
      <c r="Z66" s="85" t="str">
        <f>HYPERLINK("https://twitter.com/paulus_willy/status/1439609143371784197")</f>
        <v>https://twitter.com/paulus_willy/status/1439609143371784197</v>
      </c>
      <c r="AA66" s="81"/>
      <c r="AB66" s="81"/>
      <c r="AC66" s="87" t="s">
        <v>2764</v>
      </c>
      <c r="AD66" s="81"/>
      <c r="AE66" s="81" t="b">
        <v>0</v>
      </c>
      <c r="AF66" s="81">
        <v>0</v>
      </c>
      <c r="AG66" s="87" t="s">
        <v>3875</v>
      </c>
      <c r="AH66" s="81" t="b">
        <v>0</v>
      </c>
      <c r="AI66" s="81" t="s">
        <v>4092</v>
      </c>
      <c r="AJ66" s="81"/>
      <c r="AK66" s="87" t="s">
        <v>3875</v>
      </c>
      <c r="AL66" s="81" t="b">
        <v>0</v>
      </c>
      <c r="AM66" s="81">
        <v>10</v>
      </c>
      <c r="AN66" s="87" t="s">
        <v>2886</v>
      </c>
      <c r="AO66" s="87" t="s">
        <v>4110</v>
      </c>
      <c r="AP66" s="81" t="b">
        <v>0</v>
      </c>
      <c r="AQ66" s="87" t="s">
        <v>2886</v>
      </c>
      <c r="AR66" s="81" t="s">
        <v>179</v>
      </c>
      <c r="AS66" s="81">
        <v>0</v>
      </c>
      <c r="AT66" s="81">
        <v>0</v>
      </c>
      <c r="AU66" s="81"/>
      <c r="AV66" s="81"/>
      <c r="AW66" s="81"/>
      <c r="AX66" s="81"/>
      <c r="AY66" s="81"/>
      <c r="AZ66" s="81"/>
      <c r="BA66" s="81"/>
      <c r="BB66" s="81"/>
    </row>
    <row r="67" spans="1:54" x14ac:dyDescent="0.35">
      <c r="A67" s="66" t="s">
        <v>265</v>
      </c>
      <c r="B67" s="66" t="s">
        <v>375</v>
      </c>
      <c r="C67" s="67"/>
      <c r="D67" s="68"/>
      <c r="E67" s="69"/>
      <c r="F67" s="70"/>
      <c r="G67" s="67"/>
      <c r="H67" s="71"/>
      <c r="I67" s="72"/>
      <c r="J67" s="72"/>
      <c r="K67" s="36"/>
      <c r="L67" s="79"/>
      <c r="M67" s="79"/>
      <c r="N67" s="74"/>
      <c r="O67" s="81" t="s">
        <v>1205</v>
      </c>
      <c r="P67" s="83">
        <v>44458.635891203703</v>
      </c>
      <c r="Q67" s="81" t="s">
        <v>1248</v>
      </c>
      <c r="R67" s="85" t="str">
        <f>HYPERLINK("https://kerjha.com/pos-indonesia-gandeng-nujek-dan-perkenalkan-o-ranger-mawar/")</f>
        <v>https://kerjha.com/pos-indonesia-gandeng-nujek-dan-perkenalkan-o-ranger-mawar/</v>
      </c>
      <c r="S67" s="81" t="s">
        <v>1735</v>
      </c>
      <c r="T67" s="81"/>
      <c r="U67" s="81"/>
      <c r="V67" s="85" t="str">
        <f>HYPERLINK("https://pbs.twimg.com/profile_images/1406601824816099329/U883rcvo_normal.jpg")</f>
        <v>https://pbs.twimg.com/profile_images/1406601824816099329/U883rcvo_normal.jpg</v>
      </c>
      <c r="W67" s="83">
        <v>44458.635891203703</v>
      </c>
      <c r="X67" s="89">
        <v>44458</v>
      </c>
      <c r="Y67" s="87" t="s">
        <v>1844</v>
      </c>
      <c r="Z67" s="85" t="str">
        <f>HYPERLINK("https://twitter.com/paulus_willy/status/1439609143371784197")</f>
        <v>https://twitter.com/paulus_willy/status/1439609143371784197</v>
      </c>
      <c r="AA67" s="81"/>
      <c r="AB67" s="81"/>
      <c r="AC67" s="87" t="s">
        <v>2764</v>
      </c>
      <c r="AD67" s="81"/>
      <c r="AE67" s="81" t="b">
        <v>0</v>
      </c>
      <c r="AF67" s="81">
        <v>0</v>
      </c>
      <c r="AG67" s="87" t="s">
        <v>3875</v>
      </c>
      <c r="AH67" s="81" t="b">
        <v>0</v>
      </c>
      <c r="AI67" s="81" t="s">
        <v>4092</v>
      </c>
      <c r="AJ67" s="81"/>
      <c r="AK67" s="87" t="s">
        <v>3875</v>
      </c>
      <c r="AL67" s="81" t="b">
        <v>0</v>
      </c>
      <c r="AM67" s="81">
        <v>10</v>
      </c>
      <c r="AN67" s="87" t="s">
        <v>2886</v>
      </c>
      <c r="AO67" s="87" t="s">
        <v>4110</v>
      </c>
      <c r="AP67" s="81" t="b">
        <v>0</v>
      </c>
      <c r="AQ67" s="87" t="s">
        <v>2886</v>
      </c>
      <c r="AR67" s="81" t="s">
        <v>179</v>
      </c>
      <c r="AS67" s="81">
        <v>0</v>
      </c>
      <c r="AT67" s="81">
        <v>0</v>
      </c>
      <c r="AU67" s="81"/>
      <c r="AV67" s="81"/>
      <c r="AW67" s="81"/>
      <c r="AX67" s="81"/>
      <c r="AY67" s="81"/>
      <c r="AZ67" s="81"/>
      <c r="BA67" s="81"/>
      <c r="BB67" s="81"/>
    </row>
    <row r="68" spans="1:54" x14ac:dyDescent="0.35">
      <c r="A68" s="66" t="s">
        <v>266</v>
      </c>
      <c r="B68" s="66" t="s">
        <v>266</v>
      </c>
      <c r="C68" s="67"/>
      <c r="D68" s="68"/>
      <c r="E68" s="69"/>
      <c r="F68" s="70"/>
      <c r="G68" s="67"/>
      <c r="H68" s="71"/>
      <c r="I68" s="72"/>
      <c r="J68" s="72"/>
      <c r="K68" s="36"/>
      <c r="L68" s="79"/>
      <c r="M68" s="79"/>
      <c r="N68" s="74"/>
      <c r="O68" s="81" t="s">
        <v>179</v>
      </c>
      <c r="P68" s="83">
        <v>44458.651400462964</v>
      </c>
      <c r="Q68" s="81" t="s">
        <v>1253</v>
      </c>
      <c r="R68" s="85" t="str">
        <f>HYPERLINK("https://kerjha.com/pos-indonesia-gandeng-nujek-dan-perkenalkan-o-ranger-mawar/")</f>
        <v>https://kerjha.com/pos-indonesia-gandeng-nujek-dan-perkenalkan-o-ranger-mawar/</v>
      </c>
      <c r="S68" s="81" t="s">
        <v>1735</v>
      </c>
      <c r="T68" s="81"/>
      <c r="U68" s="81"/>
      <c r="V68" s="85" t="str">
        <f>HYPERLINK("https://pbs.twimg.com/profile_images/1320752267193057281/czkEDDIo_normal.jpg")</f>
        <v>https://pbs.twimg.com/profile_images/1320752267193057281/czkEDDIo_normal.jpg</v>
      </c>
      <c r="W68" s="83">
        <v>44458.651400462964</v>
      </c>
      <c r="X68" s="89">
        <v>44458</v>
      </c>
      <c r="Y68" s="87" t="s">
        <v>1845</v>
      </c>
      <c r="Z68" s="85" t="str">
        <f>HYPERLINK("https://twitter.com/pradanadika29/status/1439614765513396225")</f>
        <v>https://twitter.com/pradanadika29/status/1439614765513396225</v>
      </c>
      <c r="AA68" s="81"/>
      <c r="AB68" s="81"/>
      <c r="AC68" s="87" t="s">
        <v>2765</v>
      </c>
      <c r="AD68" s="81"/>
      <c r="AE68" s="81" t="b">
        <v>0</v>
      </c>
      <c r="AF68" s="81">
        <v>0</v>
      </c>
      <c r="AG68" s="87" t="s">
        <v>3875</v>
      </c>
      <c r="AH68" s="81" t="b">
        <v>0</v>
      </c>
      <c r="AI68" s="81" t="s">
        <v>4092</v>
      </c>
      <c r="AJ68" s="81"/>
      <c r="AK68" s="87" t="s">
        <v>3875</v>
      </c>
      <c r="AL68" s="81" t="b">
        <v>0</v>
      </c>
      <c r="AM68" s="81">
        <v>0</v>
      </c>
      <c r="AN68" s="87" t="s">
        <v>3875</v>
      </c>
      <c r="AO68" s="87" t="s">
        <v>4109</v>
      </c>
      <c r="AP68" s="81" t="b">
        <v>0</v>
      </c>
      <c r="AQ68" s="87" t="s">
        <v>2765</v>
      </c>
      <c r="AR68" s="81" t="s">
        <v>179</v>
      </c>
      <c r="AS68" s="81">
        <v>0</v>
      </c>
      <c r="AT68" s="81">
        <v>0</v>
      </c>
      <c r="AU68" s="81"/>
      <c r="AV68" s="81"/>
      <c r="AW68" s="81"/>
      <c r="AX68" s="81"/>
      <c r="AY68" s="81"/>
      <c r="AZ68" s="81"/>
      <c r="BA68" s="81"/>
      <c r="BB68" s="81"/>
    </row>
    <row r="69" spans="1:54" x14ac:dyDescent="0.35">
      <c r="A69" s="66" t="s">
        <v>267</v>
      </c>
      <c r="B69" s="66" t="s">
        <v>267</v>
      </c>
      <c r="C69" s="67"/>
      <c r="D69" s="68"/>
      <c r="E69" s="69"/>
      <c r="F69" s="70"/>
      <c r="G69" s="67"/>
      <c r="H69" s="71"/>
      <c r="I69" s="72"/>
      <c r="J69" s="72"/>
      <c r="K69" s="36"/>
      <c r="L69" s="79"/>
      <c r="M69" s="79"/>
      <c r="N69" s="74"/>
      <c r="O69" s="81" t="s">
        <v>179</v>
      </c>
      <c r="P69" s="83">
        <v>44458.651608796295</v>
      </c>
      <c r="Q69" s="81" t="s">
        <v>1254</v>
      </c>
      <c r="R69" s="85" t="str">
        <f>HYPERLINK("https://kerjha.com/pos-indonesia-gandeng-nujek-dan-perkenalkan-o-ranger-mawar/")</f>
        <v>https://kerjha.com/pos-indonesia-gandeng-nujek-dan-perkenalkan-o-ranger-mawar/</v>
      </c>
      <c r="S69" s="81" t="s">
        <v>1735</v>
      </c>
      <c r="T69" s="81"/>
      <c r="U69" s="81"/>
      <c r="V69" s="85" t="str">
        <f>HYPERLINK("https://pbs.twimg.com/profile_images/1064812002529296385/AS_j0jXy_normal.jpg")</f>
        <v>https://pbs.twimg.com/profile_images/1064812002529296385/AS_j0jXy_normal.jpg</v>
      </c>
      <c r="W69" s="83">
        <v>44458.651608796295</v>
      </c>
      <c r="X69" s="89">
        <v>44458</v>
      </c>
      <c r="Y69" s="87" t="s">
        <v>1846</v>
      </c>
      <c r="Z69" s="85" t="str">
        <f>HYPERLINK("https://twitter.com/ariefskie/status/1439614840717279232")</f>
        <v>https://twitter.com/ariefskie/status/1439614840717279232</v>
      </c>
      <c r="AA69" s="81"/>
      <c r="AB69" s="81"/>
      <c r="AC69" s="87" t="s">
        <v>2766</v>
      </c>
      <c r="AD69" s="81"/>
      <c r="AE69" s="81" t="b">
        <v>0</v>
      </c>
      <c r="AF69" s="81">
        <v>0</v>
      </c>
      <c r="AG69" s="87" t="s">
        <v>3875</v>
      </c>
      <c r="AH69" s="81" t="b">
        <v>0</v>
      </c>
      <c r="AI69" s="81" t="s">
        <v>4092</v>
      </c>
      <c r="AJ69" s="81"/>
      <c r="AK69" s="87" t="s">
        <v>3875</v>
      </c>
      <c r="AL69" s="81" t="b">
        <v>0</v>
      </c>
      <c r="AM69" s="81">
        <v>0</v>
      </c>
      <c r="AN69" s="87" t="s">
        <v>3875</v>
      </c>
      <c r="AO69" s="87" t="s">
        <v>4109</v>
      </c>
      <c r="AP69" s="81" t="b">
        <v>0</v>
      </c>
      <c r="AQ69" s="87" t="s">
        <v>2766</v>
      </c>
      <c r="AR69" s="81" t="s">
        <v>179</v>
      </c>
      <c r="AS69" s="81">
        <v>0</v>
      </c>
      <c r="AT69" s="81">
        <v>0</v>
      </c>
      <c r="AU69" s="81"/>
      <c r="AV69" s="81"/>
      <c r="AW69" s="81"/>
      <c r="AX69" s="81"/>
      <c r="AY69" s="81"/>
      <c r="AZ69" s="81"/>
      <c r="BA69" s="81"/>
      <c r="BB69" s="81"/>
    </row>
    <row r="70" spans="1:54" x14ac:dyDescent="0.35">
      <c r="A70" s="66" t="s">
        <v>268</v>
      </c>
      <c r="B70" s="66" t="s">
        <v>1010</v>
      </c>
      <c r="C70" s="67"/>
      <c r="D70" s="68"/>
      <c r="E70" s="69"/>
      <c r="F70" s="70"/>
      <c r="G70" s="67"/>
      <c r="H70" s="71"/>
      <c r="I70" s="72"/>
      <c r="J70" s="72"/>
      <c r="K70" s="36"/>
      <c r="L70" s="79"/>
      <c r="M70" s="79"/>
      <c r="N70" s="74"/>
      <c r="O70" s="81" t="s">
        <v>1207</v>
      </c>
      <c r="P70" s="83">
        <v>44458.651620370372</v>
      </c>
      <c r="Q70" s="81" t="s">
        <v>1248</v>
      </c>
      <c r="R70" s="85" t="str">
        <f>HYPERLINK("https://kerjha.com/pos-indonesia-gandeng-nujek-dan-perkenalkan-o-ranger-mawar/")</f>
        <v>https://kerjha.com/pos-indonesia-gandeng-nujek-dan-perkenalkan-o-ranger-mawar/</v>
      </c>
      <c r="S70" s="81" t="s">
        <v>1735</v>
      </c>
      <c r="T70" s="81"/>
      <c r="U70" s="81"/>
      <c r="V70" s="85" t="str">
        <f>HYPERLINK("https://pbs.twimg.com/profile_images/1287026195297497090/ksuNfii3_normal.jpg")</f>
        <v>https://pbs.twimg.com/profile_images/1287026195297497090/ksuNfii3_normal.jpg</v>
      </c>
      <c r="W70" s="83">
        <v>44458.651620370372</v>
      </c>
      <c r="X70" s="89">
        <v>44458</v>
      </c>
      <c r="Y70" s="87" t="s">
        <v>1847</v>
      </c>
      <c r="Z70" s="85" t="str">
        <f>HYPERLINK("https://twitter.com/anaklolina2/status/1439614844899004421")</f>
        <v>https://twitter.com/anaklolina2/status/1439614844899004421</v>
      </c>
      <c r="AA70" s="81"/>
      <c r="AB70" s="81"/>
      <c r="AC70" s="87" t="s">
        <v>2767</v>
      </c>
      <c r="AD70" s="81"/>
      <c r="AE70" s="81" t="b">
        <v>0</v>
      </c>
      <c r="AF70" s="81">
        <v>0</v>
      </c>
      <c r="AG70" s="87" t="s">
        <v>3875</v>
      </c>
      <c r="AH70" s="81" t="b">
        <v>0</v>
      </c>
      <c r="AI70" s="81" t="s">
        <v>4092</v>
      </c>
      <c r="AJ70" s="81"/>
      <c r="AK70" s="87" t="s">
        <v>3875</v>
      </c>
      <c r="AL70" s="81" t="b">
        <v>0</v>
      </c>
      <c r="AM70" s="81">
        <v>10</v>
      </c>
      <c r="AN70" s="87" t="s">
        <v>2886</v>
      </c>
      <c r="AO70" s="87" t="s">
        <v>4109</v>
      </c>
      <c r="AP70" s="81" t="b">
        <v>0</v>
      </c>
      <c r="AQ70" s="87" t="s">
        <v>2886</v>
      </c>
      <c r="AR70" s="81" t="s">
        <v>179</v>
      </c>
      <c r="AS70" s="81">
        <v>0</v>
      </c>
      <c r="AT70" s="81">
        <v>0</v>
      </c>
      <c r="AU70" s="81"/>
      <c r="AV70" s="81"/>
      <c r="AW70" s="81"/>
      <c r="AX70" s="81"/>
      <c r="AY70" s="81"/>
      <c r="AZ70" s="81"/>
      <c r="BA70" s="81"/>
      <c r="BB70" s="81"/>
    </row>
    <row r="71" spans="1:54" x14ac:dyDescent="0.35">
      <c r="A71" s="66" t="s">
        <v>268</v>
      </c>
      <c r="B71" s="66" t="s">
        <v>375</v>
      </c>
      <c r="C71" s="67"/>
      <c r="D71" s="68"/>
      <c r="E71" s="69"/>
      <c r="F71" s="70"/>
      <c r="G71" s="67"/>
      <c r="H71" s="71"/>
      <c r="I71" s="72"/>
      <c r="J71" s="72"/>
      <c r="K71" s="36"/>
      <c r="L71" s="79"/>
      <c r="M71" s="79"/>
      <c r="N71" s="74"/>
      <c r="O71" s="81" t="s">
        <v>1205</v>
      </c>
      <c r="P71" s="83">
        <v>44458.651620370372</v>
      </c>
      <c r="Q71" s="81" t="s">
        <v>1248</v>
      </c>
      <c r="R71" s="85" t="str">
        <f>HYPERLINK("https://kerjha.com/pos-indonesia-gandeng-nujek-dan-perkenalkan-o-ranger-mawar/")</f>
        <v>https://kerjha.com/pos-indonesia-gandeng-nujek-dan-perkenalkan-o-ranger-mawar/</v>
      </c>
      <c r="S71" s="81" t="s">
        <v>1735</v>
      </c>
      <c r="T71" s="81"/>
      <c r="U71" s="81"/>
      <c r="V71" s="85" t="str">
        <f>HYPERLINK("https://pbs.twimg.com/profile_images/1287026195297497090/ksuNfii3_normal.jpg")</f>
        <v>https://pbs.twimg.com/profile_images/1287026195297497090/ksuNfii3_normal.jpg</v>
      </c>
      <c r="W71" s="83">
        <v>44458.651620370372</v>
      </c>
      <c r="X71" s="89">
        <v>44458</v>
      </c>
      <c r="Y71" s="87" t="s">
        <v>1847</v>
      </c>
      <c r="Z71" s="85" t="str">
        <f>HYPERLINK("https://twitter.com/anaklolina2/status/1439614844899004421")</f>
        <v>https://twitter.com/anaklolina2/status/1439614844899004421</v>
      </c>
      <c r="AA71" s="81"/>
      <c r="AB71" s="81"/>
      <c r="AC71" s="87" t="s">
        <v>2767</v>
      </c>
      <c r="AD71" s="81"/>
      <c r="AE71" s="81" t="b">
        <v>0</v>
      </c>
      <c r="AF71" s="81">
        <v>0</v>
      </c>
      <c r="AG71" s="87" t="s">
        <v>3875</v>
      </c>
      <c r="AH71" s="81" t="b">
        <v>0</v>
      </c>
      <c r="AI71" s="81" t="s">
        <v>4092</v>
      </c>
      <c r="AJ71" s="81"/>
      <c r="AK71" s="87" t="s">
        <v>3875</v>
      </c>
      <c r="AL71" s="81" t="b">
        <v>0</v>
      </c>
      <c r="AM71" s="81">
        <v>10</v>
      </c>
      <c r="AN71" s="87" t="s">
        <v>2886</v>
      </c>
      <c r="AO71" s="87" t="s">
        <v>4109</v>
      </c>
      <c r="AP71" s="81" t="b">
        <v>0</v>
      </c>
      <c r="AQ71" s="87" t="s">
        <v>2886</v>
      </c>
      <c r="AR71" s="81" t="s">
        <v>179</v>
      </c>
      <c r="AS71" s="81">
        <v>0</v>
      </c>
      <c r="AT71" s="81">
        <v>0</v>
      </c>
      <c r="AU71" s="81"/>
      <c r="AV71" s="81"/>
      <c r="AW71" s="81"/>
      <c r="AX71" s="81"/>
      <c r="AY71" s="81"/>
      <c r="AZ71" s="81"/>
      <c r="BA71" s="81"/>
      <c r="BB71" s="81"/>
    </row>
    <row r="72" spans="1:54" x14ac:dyDescent="0.35">
      <c r="A72" s="66" t="s">
        <v>269</v>
      </c>
      <c r="B72" s="66" t="s">
        <v>269</v>
      </c>
      <c r="C72" s="67"/>
      <c r="D72" s="68"/>
      <c r="E72" s="69"/>
      <c r="F72" s="70"/>
      <c r="G72" s="67"/>
      <c r="H72" s="71"/>
      <c r="I72" s="72"/>
      <c r="J72" s="72"/>
      <c r="K72" s="36"/>
      <c r="L72" s="79"/>
      <c r="M72" s="79"/>
      <c r="N72" s="74"/>
      <c r="O72" s="81" t="s">
        <v>179</v>
      </c>
      <c r="P72" s="83">
        <v>44458.659803240742</v>
      </c>
      <c r="Q72" s="81" t="s">
        <v>1255</v>
      </c>
      <c r="R72" s="85" t="str">
        <f>HYPERLINK("https://twitter.com/dr_tompi/status/1439596964224503810")</f>
        <v>https://twitter.com/dr_tompi/status/1439596964224503810</v>
      </c>
      <c r="S72" s="81" t="s">
        <v>1731</v>
      </c>
      <c r="T72" s="81"/>
      <c r="U72" s="81"/>
      <c r="V72" s="85" t="str">
        <f>HYPERLINK("https://pbs.twimg.com/profile_images/1442064654893654022/nw3YJ6uD_normal.jpg")</f>
        <v>https://pbs.twimg.com/profile_images/1442064654893654022/nw3YJ6uD_normal.jpg</v>
      </c>
      <c r="W72" s="83">
        <v>44458.659803240742</v>
      </c>
      <c r="X72" s="89">
        <v>44458</v>
      </c>
      <c r="Y72" s="87" t="s">
        <v>1848</v>
      </c>
      <c r="Z72" s="85" t="str">
        <f>HYPERLINK("https://twitter.com/xnact/status/1439617809743446018")</f>
        <v>https://twitter.com/xnact/status/1439617809743446018</v>
      </c>
      <c r="AA72" s="81"/>
      <c r="AB72" s="81"/>
      <c r="AC72" s="87" t="s">
        <v>2768</v>
      </c>
      <c r="AD72" s="81"/>
      <c r="AE72" s="81" t="b">
        <v>0</v>
      </c>
      <c r="AF72" s="81">
        <v>3</v>
      </c>
      <c r="AG72" s="87" t="s">
        <v>3875</v>
      </c>
      <c r="AH72" s="81" t="b">
        <v>1</v>
      </c>
      <c r="AI72" s="81" t="s">
        <v>4092</v>
      </c>
      <c r="AJ72" s="81"/>
      <c r="AK72" s="87" t="s">
        <v>4098</v>
      </c>
      <c r="AL72" s="81" t="b">
        <v>0</v>
      </c>
      <c r="AM72" s="81">
        <v>2</v>
      </c>
      <c r="AN72" s="87" t="s">
        <v>3875</v>
      </c>
      <c r="AO72" s="87" t="s">
        <v>4109</v>
      </c>
      <c r="AP72" s="81" t="b">
        <v>0</v>
      </c>
      <c r="AQ72" s="87" t="s">
        <v>2768</v>
      </c>
      <c r="AR72" s="81" t="s">
        <v>179</v>
      </c>
      <c r="AS72" s="81">
        <v>0</v>
      </c>
      <c r="AT72" s="81">
        <v>0</v>
      </c>
      <c r="AU72" s="81"/>
      <c r="AV72" s="81"/>
      <c r="AW72" s="81"/>
      <c r="AX72" s="81"/>
      <c r="AY72" s="81"/>
      <c r="AZ72" s="81"/>
      <c r="BA72" s="81"/>
      <c r="BB72" s="81"/>
    </row>
    <row r="73" spans="1:54" x14ac:dyDescent="0.35">
      <c r="A73" s="66" t="s">
        <v>270</v>
      </c>
      <c r="B73" s="66" t="s">
        <v>269</v>
      </c>
      <c r="C73" s="67"/>
      <c r="D73" s="68"/>
      <c r="E73" s="69"/>
      <c r="F73" s="70"/>
      <c r="G73" s="67"/>
      <c r="H73" s="71"/>
      <c r="I73" s="72"/>
      <c r="J73" s="72"/>
      <c r="K73" s="36"/>
      <c r="L73" s="79"/>
      <c r="M73" s="79"/>
      <c r="N73" s="74"/>
      <c r="O73" s="81" t="s">
        <v>1205</v>
      </c>
      <c r="P73" s="83">
        <v>44458.675844907404</v>
      </c>
      <c r="Q73" s="81" t="s">
        <v>1255</v>
      </c>
      <c r="R73" s="85" t="str">
        <f>HYPERLINK("https://twitter.com/dr_tompi/status/1439596964224503810")</f>
        <v>https://twitter.com/dr_tompi/status/1439596964224503810</v>
      </c>
      <c r="S73" s="81" t="s">
        <v>1731</v>
      </c>
      <c r="T73" s="81"/>
      <c r="U73" s="81"/>
      <c r="V73" s="85" t="str">
        <f>HYPERLINK("https://pbs.twimg.com/profile_images/1436659864550330375/Dcgx7DN3_normal.jpg")</f>
        <v>https://pbs.twimg.com/profile_images/1436659864550330375/Dcgx7DN3_normal.jpg</v>
      </c>
      <c r="W73" s="83">
        <v>44458.675844907404</v>
      </c>
      <c r="X73" s="89">
        <v>44458</v>
      </c>
      <c r="Y73" s="87" t="s">
        <v>1849</v>
      </c>
      <c r="Z73" s="85" t="str">
        <f>HYPERLINK("https://twitter.com/nmblntsky/status/1439623624168656897")</f>
        <v>https://twitter.com/nmblntsky/status/1439623624168656897</v>
      </c>
      <c r="AA73" s="81"/>
      <c r="AB73" s="81"/>
      <c r="AC73" s="87" t="s">
        <v>2769</v>
      </c>
      <c r="AD73" s="81"/>
      <c r="AE73" s="81" t="b">
        <v>0</v>
      </c>
      <c r="AF73" s="81">
        <v>0</v>
      </c>
      <c r="AG73" s="87" t="s">
        <v>3875</v>
      </c>
      <c r="AH73" s="81" t="b">
        <v>1</v>
      </c>
      <c r="AI73" s="81" t="s">
        <v>4092</v>
      </c>
      <c r="AJ73" s="81"/>
      <c r="AK73" s="87" t="s">
        <v>4098</v>
      </c>
      <c r="AL73" s="81" t="b">
        <v>0</v>
      </c>
      <c r="AM73" s="81">
        <v>2</v>
      </c>
      <c r="AN73" s="87" t="s">
        <v>2768</v>
      </c>
      <c r="AO73" s="87" t="s">
        <v>4109</v>
      </c>
      <c r="AP73" s="81" t="b">
        <v>0</v>
      </c>
      <c r="AQ73" s="87" t="s">
        <v>2768</v>
      </c>
      <c r="AR73" s="81" t="s">
        <v>179</v>
      </c>
      <c r="AS73" s="81">
        <v>0</v>
      </c>
      <c r="AT73" s="81">
        <v>0</v>
      </c>
      <c r="AU73" s="81"/>
      <c r="AV73" s="81"/>
      <c r="AW73" s="81"/>
      <c r="AX73" s="81"/>
      <c r="AY73" s="81"/>
      <c r="AZ73" s="81"/>
      <c r="BA73" s="81"/>
      <c r="BB73" s="81"/>
    </row>
    <row r="74" spans="1:54" x14ac:dyDescent="0.35">
      <c r="A74" s="66" t="s">
        <v>271</v>
      </c>
      <c r="B74" s="66" t="s">
        <v>1012</v>
      </c>
      <c r="C74" s="67"/>
      <c r="D74" s="68"/>
      <c r="E74" s="69"/>
      <c r="F74" s="70"/>
      <c r="G74" s="67"/>
      <c r="H74" s="71"/>
      <c r="I74" s="72"/>
      <c r="J74" s="72"/>
      <c r="K74" s="36"/>
      <c r="L74" s="79"/>
      <c r="M74" s="79"/>
      <c r="N74" s="74"/>
      <c r="O74" s="81" t="s">
        <v>1208</v>
      </c>
      <c r="P74" s="83">
        <v>44458.694594907407</v>
      </c>
      <c r="Q74" s="81" t="s">
        <v>1256</v>
      </c>
      <c r="R74" s="81"/>
      <c r="S74" s="81"/>
      <c r="T74" s="81"/>
      <c r="U74" s="81"/>
      <c r="V74" s="85" t="str">
        <f>HYPERLINK("https://pbs.twimg.com/profile_images/1441089537879330826/BPddj6OU_normal.jpg")</f>
        <v>https://pbs.twimg.com/profile_images/1441089537879330826/BPddj6OU_normal.jpg</v>
      </c>
      <c r="W74" s="83">
        <v>44458.694594907407</v>
      </c>
      <c r="X74" s="89">
        <v>44458</v>
      </c>
      <c r="Y74" s="87" t="s">
        <v>1850</v>
      </c>
      <c r="Z74" s="85" t="str">
        <f>HYPERLINK("https://twitter.com/dowoonscymbal/status/1439630417141764098")</f>
        <v>https://twitter.com/dowoonscymbal/status/1439630417141764098</v>
      </c>
      <c r="AA74" s="81"/>
      <c r="AB74" s="81"/>
      <c r="AC74" s="87" t="s">
        <v>2770</v>
      </c>
      <c r="AD74" s="87" t="s">
        <v>3662</v>
      </c>
      <c r="AE74" s="81" t="b">
        <v>0</v>
      </c>
      <c r="AF74" s="81">
        <v>0</v>
      </c>
      <c r="AG74" s="87" t="s">
        <v>3898</v>
      </c>
      <c r="AH74" s="81" t="b">
        <v>0</v>
      </c>
      <c r="AI74" s="81" t="s">
        <v>4092</v>
      </c>
      <c r="AJ74" s="81"/>
      <c r="AK74" s="87" t="s">
        <v>3875</v>
      </c>
      <c r="AL74" s="81" t="b">
        <v>0</v>
      </c>
      <c r="AM74" s="81">
        <v>0</v>
      </c>
      <c r="AN74" s="87" t="s">
        <v>3875</v>
      </c>
      <c r="AO74" s="87" t="s">
        <v>4109</v>
      </c>
      <c r="AP74" s="81" t="b">
        <v>0</v>
      </c>
      <c r="AQ74" s="87" t="s">
        <v>3662</v>
      </c>
      <c r="AR74" s="81" t="s">
        <v>179</v>
      </c>
      <c r="AS74" s="81">
        <v>0</v>
      </c>
      <c r="AT74" s="81">
        <v>0</v>
      </c>
      <c r="AU74" s="81"/>
      <c r="AV74" s="81"/>
      <c r="AW74" s="81"/>
      <c r="AX74" s="81"/>
      <c r="AY74" s="81"/>
      <c r="AZ74" s="81"/>
      <c r="BA74" s="81"/>
      <c r="BB74" s="81"/>
    </row>
    <row r="75" spans="1:54" x14ac:dyDescent="0.35">
      <c r="A75" s="66" t="s">
        <v>272</v>
      </c>
      <c r="B75" s="66" t="s">
        <v>1010</v>
      </c>
      <c r="C75" s="67"/>
      <c r="D75" s="68"/>
      <c r="E75" s="69"/>
      <c r="F75" s="70"/>
      <c r="G75" s="67"/>
      <c r="H75" s="71"/>
      <c r="I75" s="72"/>
      <c r="J75" s="72"/>
      <c r="K75" s="36"/>
      <c r="L75" s="79"/>
      <c r="M75" s="79"/>
      <c r="N75" s="74"/>
      <c r="O75" s="81" t="s">
        <v>1207</v>
      </c>
      <c r="P75" s="83">
        <v>44458.69976851852</v>
      </c>
      <c r="Q75" s="81" t="s">
        <v>1248</v>
      </c>
      <c r="R75" s="85" t="str">
        <f>HYPERLINK("https://kerjha.com/pos-indonesia-gandeng-nujek-dan-perkenalkan-o-ranger-mawar/")</f>
        <v>https://kerjha.com/pos-indonesia-gandeng-nujek-dan-perkenalkan-o-ranger-mawar/</v>
      </c>
      <c r="S75" s="81" t="s">
        <v>1735</v>
      </c>
      <c r="T75" s="81"/>
      <c r="U75" s="81"/>
      <c r="V75" s="85" t="str">
        <f>HYPERLINK("https://pbs.twimg.com/profile_images/1380108653508714499/tgluJlKK_normal.jpg")</f>
        <v>https://pbs.twimg.com/profile_images/1380108653508714499/tgluJlKK_normal.jpg</v>
      </c>
      <c r="W75" s="83">
        <v>44458.69976851852</v>
      </c>
      <c r="X75" s="89">
        <v>44458</v>
      </c>
      <c r="Y75" s="87" t="s">
        <v>1851</v>
      </c>
      <c r="Z75" s="85" t="str">
        <f>HYPERLINK("https://twitter.com/greatofkratos/status/1439632293006512141")</f>
        <v>https://twitter.com/greatofkratos/status/1439632293006512141</v>
      </c>
      <c r="AA75" s="81"/>
      <c r="AB75" s="81"/>
      <c r="AC75" s="87" t="s">
        <v>2771</v>
      </c>
      <c r="AD75" s="81"/>
      <c r="AE75" s="81" t="b">
        <v>0</v>
      </c>
      <c r="AF75" s="81">
        <v>0</v>
      </c>
      <c r="AG75" s="87" t="s">
        <v>3875</v>
      </c>
      <c r="AH75" s="81" t="b">
        <v>0</v>
      </c>
      <c r="AI75" s="81" t="s">
        <v>4092</v>
      </c>
      <c r="AJ75" s="81"/>
      <c r="AK75" s="87" t="s">
        <v>3875</v>
      </c>
      <c r="AL75" s="81" t="b">
        <v>0</v>
      </c>
      <c r="AM75" s="81">
        <v>10</v>
      </c>
      <c r="AN75" s="87" t="s">
        <v>2886</v>
      </c>
      <c r="AO75" s="87" t="s">
        <v>4109</v>
      </c>
      <c r="AP75" s="81" t="b">
        <v>0</v>
      </c>
      <c r="AQ75" s="87" t="s">
        <v>2886</v>
      </c>
      <c r="AR75" s="81" t="s">
        <v>179</v>
      </c>
      <c r="AS75" s="81">
        <v>0</v>
      </c>
      <c r="AT75" s="81">
        <v>0</v>
      </c>
      <c r="AU75" s="81"/>
      <c r="AV75" s="81"/>
      <c r="AW75" s="81"/>
      <c r="AX75" s="81"/>
      <c r="AY75" s="81"/>
      <c r="AZ75" s="81"/>
      <c r="BA75" s="81"/>
      <c r="BB75" s="81"/>
    </row>
    <row r="76" spans="1:54" x14ac:dyDescent="0.35">
      <c r="A76" s="66" t="s">
        <v>272</v>
      </c>
      <c r="B76" s="66" t="s">
        <v>375</v>
      </c>
      <c r="C76" s="67"/>
      <c r="D76" s="68"/>
      <c r="E76" s="69"/>
      <c r="F76" s="70"/>
      <c r="G76" s="67"/>
      <c r="H76" s="71"/>
      <c r="I76" s="72"/>
      <c r="J76" s="72"/>
      <c r="K76" s="36"/>
      <c r="L76" s="79"/>
      <c r="M76" s="79"/>
      <c r="N76" s="74"/>
      <c r="O76" s="81" t="s">
        <v>1205</v>
      </c>
      <c r="P76" s="83">
        <v>44458.69976851852</v>
      </c>
      <c r="Q76" s="81" t="s">
        <v>1248</v>
      </c>
      <c r="R76" s="85" t="str">
        <f>HYPERLINK("https://kerjha.com/pos-indonesia-gandeng-nujek-dan-perkenalkan-o-ranger-mawar/")</f>
        <v>https://kerjha.com/pos-indonesia-gandeng-nujek-dan-perkenalkan-o-ranger-mawar/</v>
      </c>
      <c r="S76" s="81" t="s">
        <v>1735</v>
      </c>
      <c r="T76" s="81"/>
      <c r="U76" s="81"/>
      <c r="V76" s="85" t="str">
        <f>HYPERLINK("https://pbs.twimg.com/profile_images/1380108653508714499/tgluJlKK_normal.jpg")</f>
        <v>https://pbs.twimg.com/profile_images/1380108653508714499/tgluJlKK_normal.jpg</v>
      </c>
      <c r="W76" s="83">
        <v>44458.69976851852</v>
      </c>
      <c r="X76" s="89">
        <v>44458</v>
      </c>
      <c r="Y76" s="87" t="s">
        <v>1851</v>
      </c>
      <c r="Z76" s="85" t="str">
        <f>HYPERLINK("https://twitter.com/greatofkratos/status/1439632293006512141")</f>
        <v>https://twitter.com/greatofkratos/status/1439632293006512141</v>
      </c>
      <c r="AA76" s="81"/>
      <c r="AB76" s="81"/>
      <c r="AC76" s="87" t="s">
        <v>2771</v>
      </c>
      <c r="AD76" s="81"/>
      <c r="AE76" s="81" t="b">
        <v>0</v>
      </c>
      <c r="AF76" s="81">
        <v>0</v>
      </c>
      <c r="AG76" s="87" t="s">
        <v>3875</v>
      </c>
      <c r="AH76" s="81" t="b">
        <v>0</v>
      </c>
      <c r="AI76" s="81" t="s">
        <v>4092</v>
      </c>
      <c r="AJ76" s="81"/>
      <c r="AK76" s="87" t="s">
        <v>3875</v>
      </c>
      <c r="AL76" s="81" t="b">
        <v>0</v>
      </c>
      <c r="AM76" s="81">
        <v>10</v>
      </c>
      <c r="AN76" s="87" t="s">
        <v>2886</v>
      </c>
      <c r="AO76" s="87" t="s">
        <v>4109</v>
      </c>
      <c r="AP76" s="81" t="b">
        <v>0</v>
      </c>
      <c r="AQ76" s="87" t="s">
        <v>2886</v>
      </c>
      <c r="AR76" s="81" t="s">
        <v>179</v>
      </c>
      <c r="AS76" s="81">
        <v>0</v>
      </c>
      <c r="AT76" s="81">
        <v>0</v>
      </c>
      <c r="AU76" s="81"/>
      <c r="AV76" s="81"/>
      <c r="AW76" s="81"/>
      <c r="AX76" s="81"/>
      <c r="AY76" s="81"/>
      <c r="AZ76" s="81"/>
      <c r="BA76" s="81"/>
      <c r="BB76" s="81"/>
    </row>
    <row r="77" spans="1:54" x14ac:dyDescent="0.35">
      <c r="A77" s="66" t="s">
        <v>273</v>
      </c>
      <c r="B77" s="66" t="s">
        <v>1013</v>
      </c>
      <c r="C77" s="67"/>
      <c r="D77" s="68"/>
      <c r="E77" s="69"/>
      <c r="F77" s="70"/>
      <c r="G77" s="67"/>
      <c r="H77" s="71"/>
      <c r="I77" s="72"/>
      <c r="J77" s="72"/>
      <c r="K77" s="36"/>
      <c r="L77" s="79"/>
      <c r="M77" s="79"/>
      <c r="N77" s="74"/>
      <c r="O77" s="81" t="s">
        <v>1208</v>
      </c>
      <c r="P77" s="83">
        <v>44458.715243055558</v>
      </c>
      <c r="Q77" s="81" t="s">
        <v>1257</v>
      </c>
      <c r="R77" s="81"/>
      <c r="S77" s="81"/>
      <c r="T77" s="81"/>
      <c r="U77" s="81"/>
      <c r="V77" s="85" t="str">
        <f>HYPERLINK("https://pbs.twimg.com/profile_images/1424074358507544580/d59zxem1_normal.jpg")</f>
        <v>https://pbs.twimg.com/profile_images/1424074358507544580/d59zxem1_normal.jpg</v>
      </c>
      <c r="W77" s="83">
        <v>44458.715243055558</v>
      </c>
      <c r="X77" s="89">
        <v>44458</v>
      </c>
      <c r="Y77" s="87" t="s">
        <v>1852</v>
      </c>
      <c r="Z77" s="85" t="str">
        <f>HYPERLINK("https://twitter.com/chimimaki1/status/1439637899922665474")</f>
        <v>https://twitter.com/chimimaki1/status/1439637899922665474</v>
      </c>
      <c r="AA77" s="81"/>
      <c r="AB77" s="81"/>
      <c r="AC77" s="87" t="s">
        <v>2772</v>
      </c>
      <c r="AD77" s="87" t="s">
        <v>3663</v>
      </c>
      <c r="AE77" s="81" t="b">
        <v>0</v>
      </c>
      <c r="AF77" s="81">
        <v>0</v>
      </c>
      <c r="AG77" s="87" t="s">
        <v>3899</v>
      </c>
      <c r="AH77" s="81" t="b">
        <v>0</v>
      </c>
      <c r="AI77" s="81" t="s">
        <v>4092</v>
      </c>
      <c r="AJ77" s="81"/>
      <c r="AK77" s="87" t="s">
        <v>3875</v>
      </c>
      <c r="AL77" s="81" t="b">
        <v>0</v>
      </c>
      <c r="AM77" s="81">
        <v>0</v>
      </c>
      <c r="AN77" s="87" t="s">
        <v>3875</v>
      </c>
      <c r="AO77" s="87" t="s">
        <v>4111</v>
      </c>
      <c r="AP77" s="81" t="b">
        <v>0</v>
      </c>
      <c r="AQ77" s="87" t="s">
        <v>3663</v>
      </c>
      <c r="AR77" s="81" t="s">
        <v>179</v>
      </c>
      <c r="AS77" s="81">
        <v>0</v>
      </c>
      <c r="AT77" s="81">
        <v>0</v>
      </c>
      <c r="AU77" s="81"/>
      <c r="AV77" s="81"/>
      <c r="AW77" s="81"/>
      <c r="AX77" s="81"/>
      <c r="AY77" s="81"/>
      <c r="AZ77" s="81"/>
      <c r="BA77" s="81"/>
      <c r="BB77" s="81"/>
    </row>
    <row r="78" spans="1:54" x14ac:dyDescent="0.35">
      <c r="A78" s="66" t="s">
        <v>273</v>
      </c>
      <c r="B78" s="66" t="s">
        <v>273</v>
      </c>
      <c r="C78" s="67"/>
      <c r="D78" s="68"/>
      <c r="E78" s="69"/>
      <c r="F78" s="70"/>
      <c r="G78" s="67"/>
      <c r="H78" s="71"/>
      <c r="I78" s="72"/>
      <c r="J78" s="72"/>
      <c r="K78" s="36"/>
      <c r="L78" s="79"/>
      <c r="M78" s="79"/>
      <c r="N78" s="74"/>
      <c r="O78" s="81" t="s">
        <v>179</v>
      </c>
      <c r="P78" s="83">
        <v>44458.634016203701</v>
      </c>
      <c r="Q78" s="81" t="s">
        <v>1258</v>
      </c>
      <c r="R78" s="81"/>
      <c r="S78" s="81"/>
      <c r="T78" s="81"/>
      <c r="U78" s="85" t="str">
        <f>HYPERLINK("https://pbs.twimg.com/media/E_qEQ1pVUAAmcdp.jpg")</f>
        <v>https://pbs.twimg.com/media/E_qEQ1pVUAAmcdp.jpg</v>
      </c>
      <c r="V78" s="85" t="str">
        <f>HYPERLINK("https://pbs.twimg.com/media/E_qEQ1pVUAAmcdp.jpg")</f>
        <v>https://pbs.twimg.com/media/E_qEQ1pVUAAmcdp.jpg</v>
      </c>
      <c r="W78" s="83">
        <v>44458.634016203701</v>
      </c>
      <c r="X78" s="89">
        <v>44458</v>
      </c>
      <c r="Y78" s="87" t="s">
        <v>1853</v>
      </c>
      <c r="Z78" s="85" t="str">
        <f>HYPERLINK("https://twitter.com/chimimaki1/status/1439608465639366657")</f>
        <v>https://twitter.com/chimimaki1/status/1439608465639366657</v>
      </c>
      <c r="AA78" s="81"/>
      <c r="AB78" s="81"/>
      <c r="AC78" s="87" t="s">
        <v>2773</v>
      </c>
      <c r="AD78" s="81"/>
      <c r="AE78" s="81" t="b">
        <v>0</v>
      </c>
      <c r="AF78" s="81">
        <v>0</v>
      </c>
      <c r="AG78" s="87" t="s">
        <v>3875</v>
      </c>
      <c r="AH78" s="81" t="b">
        <v>0</v>
      </c>
      <c r="AI78" s="81" t="s">
        <v>4092</v>
      </c>
      <c r="AJ78" s="81"/>
      <c r="AK78" s="87" t="s">
        <v>3875</v>
      </c>
      <c r="AL78" s="81" t="b">
        <v>0</v>
      </c>
      <c r="AM78" s="81">
        <v>0</v>
      </c>
      <c r="AN78" s="87" t="s">
        <v>3875</v>
      </c>
      <c r="AO78" s="87" t="s">
        <v>4109</v>
      </c>
      <c r="AP78" s="81" t="b">
        <v>0</v>
      </c>
      <c r="AQ78" s="87" t="s">
        <v>2773</v>
      </c>
      <c r="AR78" s="81" t="s">
        <v>179</v>
      </c>
      <c r="AS78" s="81">
        <v>0</v>
      </c>
      <c r="AT78" s="81">
        <v>0</v>
      </c>
      <c r="AU78" s="81"/>
      <c r="AV78" s="81"/>
      <c r="AW78" s="81"/>
      <c r="AX78" s="81"/>
      <c r="AY78" s="81"/>
      <c r="AZ78" s="81"/>
      <c r="BA78" s="81"/>
      <c r="BB78" s="81"/>
    </row>
    <row r="79" spans="1:54" x14ac:dyDescent="0.35">
      <c r="A79" s="66" t="s">
        <v>274</v>
      </c>
      <c r="B79" s="66" t="s">
        <v>274</v>
      </c>
      <c r="C79" s="67"/>
      <c r="D79" s="68"/>
      <c r="E79" s="69"/>
      <c r="F79" s="70"/>
      <c r="G79" s="67"/>
      <c r="H79" s="71"/>
      <c r="I79" s="72"/>
      <c r="J79" s="72"/>
      <c r="K79" s="36"/>
      <c r="L79" s="79"/>
      <c r="M79" s="79"/>
      <c r="N79" s="74"/>
      <c r="O79" s="81" t="s">
        <v>179</v>
      </c>
      <c r="P79" s="83">
        <v>44458.771261574075</v>
      </c>
      <c r="Q79" s="81" t="s">
        <v>1259</v>
      </c>
      <c r="R79" s="81"/>
      <c r="S79" s="81"/>
      <c r="T79" s="81"/>
      <c r="U79" s="81"/>
      <c r="V79" s="85" t="str">
        <f>HYPERLINK("https://pbs.twimg.com/profile_images/1442151042884329473/1VQRB0RV_normal.jpg")</f>
        <v>https://pbs.twimg.com/profile_images/1442151042884329473/1VQRB0RV_normal.jpg</v>
      </c>
      <c r="W79" s="83">
        <v>44458.771261574075</v>
      </c>
      <c r="X79" s="89">
        <v>44458</v>
      </c>
      <c r="Y79" s="87" t="s">
        <v>1854</v>
      </c>
      <c r="Z79" s="85" t="str">
        <f>HYPERLINK("https://twitter.com/imyuours/status/1439658201868238851")</f>
        <v>https://twitter.com/imyuours/status/1439658201868238851</v>
      </c>
      <c r="AA79" s="81"/>
      <c r="AB79" s="81"/>
      <c r="AC79" s="87" t="s">
        <v>2774</v>
      </c>
      <c r="AD79" s="87" t="s">
        <v>3664</v>
      </c>
      <c r="AE79" s="81" t="b">
        <v>0</v>
      </c>
      <c r="AF79" s="81">
        <v>0</v>
      </c>
      <c r="AG79" s="87" t="s">
        <v>3900</v>
      </c>
      <c r="AH79" s="81" t="b">
        <v>0</v>
      </c>
      <c r="AI79" s="81" t="s">
        <v>4092</v>
      </c>
      <c r="AJ79" s="81"/>
      <c r="AK79" s="87" t="s">
        <v>3875</v>
      </c>
      <c r="AL79" s="81" t="b">
        <v>0</v>
      </c>
      <c r="AM79" s="81">
        <v>0</v>
      </c>
      <c r="AN79" s="87" t="s">
        <v>3875</v>
      </c>
      <c r="AO79" s="87" t="s">
        <v>4109</v>
      </c>
      <c r="AP79" s="81" t="b">
        <v>0</v>
      </c>
      <c r="AQ79" s="87" t="s">
        <v>3664</v>
      </c>
      <c r="AR79" s="81" t="s">
        <v>179</v>
      </c>
      <c r="AS79" s="81">
        <v>0</v>
      </c>
      <c r="AT79" s="81">
        <v>0</v>
      </c>
      <c r="AU79" s="81"/>
      <c r="AV79" s="81"/>
      <c r="AW79" s="81"/>
      <c r="AX79" s="81"/>
      <c r="AY79" s="81"/>
      <c r="AZ79" s="81"/>
      <c r="BA79" s="81"/>
      <c r="BB79" s="81"/>
    </row>
    <row r="80" spans="1:54" x14ac:dyDescent="0.35">
      <c r="A80" s="66" t="s">
        <v>274</v>
      </c>
      <c r="B80" s="66" t="s">
        <v>274</v>
      </c>
      <c r="C80" s="67"/>
      <c r="D80" s="68"/>
      <c r="E80" s="69"/>
      <c r="F80" s="70"/>
      <c r="G80" s="67"/>
      <c r="H80" s="71"/>
      <c r="I80" s="72"/>
      <c r="J80" s="72"/>
      <c r="K80" s="36"/>
      <c r="L80" s="79"/>
      <c r="M80" s="79"/>
      <c r="N80" s="74"/>
      <c r="O80" s="81" t="s">
        <v>179</v>
      </c>
      <c r="P80" s="83">
        <v>44458.771261574075</v>
      </c>
      <c r="Q80" s="81" t="s">
        <v>1260</v>
      </c>
      <c r="R80" s="81"/>
      <c r="S80" s="81"/>
      <c r="T80" s="81"/>
      <c r="U80" s="81"/>
      <c r="V80" s="85" t="str">
        <f>HYPERLINK("https://pbs.twimg.com/profile_images/1442151042884329473/1VQRB0RV_normal.jpg")</f>
        <v>https://pbs.twimg.com/profile_images/1442151042884329473/1VQRB0RV_normal.jpg</v>
      </c>
      <c r="W80" s="83">
        <v>44458.771261574075</v>
      </c>
      <c r="X80" s="89">
        <v>44458</v>
      </c>
      <c r="Y80" s="87" t="s">
        <v>1854</v>
      </c>
      <c r="Z80" s="85" t="str">
        <f>HYPERLINK("https://twitter.com/imyuours/status/1439658203587907586")</f>
        <v>https://twitter.com/imyuours/status/1439658203587907586</v>
      </c>
      <c r="AA80" s="81"/>
      <c r="AB80" s="81"/>
      <c r="AC80" s="87" t="s">
        <v>2775</v>
      </c>
      <c r="AD80" s="87" t="s">
        <v>2774</v>
      </c>
      <c r="AE80" s="81" t="b">
        <v>0</v>
      </c>
      <c r="AF80" s="81">
        <v>0</v>
      </c>
      <c r="AG80" s="87" t="s">
        <v>3900</v>
      </c>
      <c r="AH80" s="81" t="b">
        <v>0</v>
      </c>
      <c r="AI80" s="81" t="s">
        <v>4092</v>
      </c>
      <c r="AJ80" s="81"/>
      <c r="AK80" s="87" t="s">
        <v>3875</v>
      </c>
      <c r="AL80" s="81" t="b">
        <v>0</v>
      </c>
      <c r="AM80" s="81">
        <v>0</v>
      </c>
      <c r="AN80" s="87" t="s">
        <v>3875</v>
      </c>
      <c r="AO80" s="87" t="s">
        <v>4109</v>
      </c>
      <c r="AP80" s="81" t="b">
        <v>0</v>
      </c>
      <c r="AQ80" s="87" t="s">
        <v>2774</v>
      </c>
      <c r="AR80" s="81" t="s">
        <v>179</v>
      </c>
      <c r="AS80" s="81">
        <v>0</v>
      </c>
      <c r="AT80" s="81">
        <v>0</v>
      </c>
      <c r="AU80" s="81"/>
      <c r="AV80" s="81"/>
      <c r="AW80" s="81"/>
      <c r="AX80" s="81"/>
      <c r="AY80" s="81"/>
      <c r="AZ80" s="81"/>
      <c r="BA80" s="81"/>
      <c r="BB80" s="81"/>
    </row>
    <row r="81" spans="1:54" x14ac:dyDescent="0.35">
      <c r="A81" s="66" t="s">
        <v>274</v>
      </c>
      <c r="B81" s="66" t="s">
        <v>274</v>
      </c>
      <c r="C81" s="67"/>
      <c r="D81" s="68"/>
      <c r="E81" s="69"/>
      <c r="F81" s="70"/>
      <c r="G81" s="67"/>
      <c r="H81" s="71"/>
      <c r="I81" s="72"/>
      <c r="J81" s="72"/>
      <c r="K81" s="36"/>
      <c r="L81" s="79"/>
      <c r="M81" s="79"/>
      <c r="N81" s="74"/>
      <c r="O81" s="81" t="s">
        <v>179</v>
      </c>
      <c r="P81" s="83">
        <v>44458.773831018516</v>
      </c>
      <c r="Q81" s="81" t="s">
        <v>1261</v>
      </c>
      <c r="R81" s="81"/>
      <c r="S81" s="81"/>
      <c r="T81" s="81"/>
      <c r="U81" s="81"/>
      <c r="V81" s="85" t="str">
        <f>HYPERLINK("https://pbs.twimg.com/profile_images/1442151042884329473/1VQRB0RV_normal.jpg")</f>
        <v>https://pbs.twimg.com/profile_images/1442151042884329473/1VQRB0RV_normal.jpg</v>
      </c>
      <c r="W81" s="83">
        <v>44458.773831018516</v>
      </c>
      <c r="X81" s="89">
        <v>44458</v>
      </c>
      <c r="Y81" s="87" t="s">
        <v>1855</v>
      </c>
      <c r="Z81" s="85" t="str">
        <f>HYPERLINK("https://twitter.com/imyuours/status/1439659130851971072")</f>
        <v>https://twitter.com/imyuours/status/1439659130851971072</v>
      </c>
      <c r="AA81" s="81"/>
      <c r="AB81" s="81"/>
      <c r="AC81" s="87" t="s">
        <v>2776</v>
      </c>
      <c r="AD81" s="87" t="s">
        <v>3665</v>
      </c>
      <c r="AE81" s="81" t="b">
        <v>0</v>
      </c>
      <c r="AF81" s="81">
        <v>0</v>
      </c>
      <c r="AG81" s="87" t="s">
        <v>3900</v>
      </c>
      <c r="AH81" s="81" t="b">
        <v>0</v>
      </c>
      <c r="AI81" s="81" t="s">
        <v>4092</v>
      </c>
      <c r="AJ81" s="81"/>
      <c r="AK81" s="87" t="s">
        <v>3875</v>
      </c>
      <c r="AL81" s="81" t="b">
        <v>0</v>
      </c>
      <c r="AM81" s="81">
        <v>0</v>
      </c>
      <c r="AN81" s="87" t="s">
        <v>3875</v>
      </c>
      <c r="AO81" s="87" t="s">
        <v>4109</v>
      </c>
      <c r="AP81" s="81" t="b">
        <v>0</v>
      </c>
      <c r="AQ81" s="87" t="s">
        <v>3665</v>
      </c>
      <c r="AR81" s="81" t="s">
        <v>179</v>
      </c>
      <c r="AS81" s="81">
        <v>0</v>
      </c>
      <c r="AT81" s="81">
        <v>0</v>
      </c>
      <c r="AU81" s="81"/>
      <c r="AV81" s="81"/>
      <c r="AW81" s="81"/>
      <c r="AX81" s="81"/>
      <c r="AY81" s="81"/>
      <c r="AZ81" s="81"/>
      <c r="BA81" s="81"/>
      <c r="BB81" s="81"/>
    </row>
    <row r="82" spans="1:54" x14ac:dyDescent="0.35">
      <c r="A82" s="66" t="s">
        <v>274</v>
      </c>
      <c r="B82" s="66" t="s">
        <v>274</v>
      </c>
      <c r="C82" s="67"/>
      <c r="D82" s="68"/>
      <c r="E82" s="69"/>
      <c r="F82" s="70"/>
      <c r="G82" s="67"/>
      <c r="H82" s="71"/>
      <c r="I82" s="72"/>
      <c r="J82" s="72"/>
      <c r="K82" s="36"/>
      <c r="L82" s="79"/>
      <c r="M82" s="79"/>
      <c r="N82" s="74"/>
      <c r="O82" s="81" t="s">
        <v>179</v>
      </c>
      <c r="P82" s="83">
        <v>44458.773831018516</v>
      </c>
      <c r="Q82" s="81" t="s">
        <v>1262</v>
      </c>
      <c r="R82" s="81"/>
      <c r="S82" s="81"/>
      <c r="T82" s="81"/>
      <c r="U82" s="81"/>
      <c r="V82" s="85" t="str">
        <f>HYPERLINK("https://pbs.twimg.com/profile_images/1442151042884329473/1VQRB0RV_normal.jpg")</f>
        <v>https://pbs.twimg.com/profile_images/1442151042884329473/1VQRB0RV_normal.jpg</v>
      </c>
      <c r="W82" s="83">
        <v>44458.773831018516</v>
      </c>
      <c r="X82" s="89">
        <v>44458</v>
      </c>
      <c r="Y82" s="87" t="s">
        <v>1855</v>
      </c>
      <c r="Z82" s="85" t="str">
        <f>HYPERLINK("https://twitter.com/imyuours/status/1439659132475219972")</f>
        <v>https://twitter.com/imyuours/status/1439659132475219972</v>
      </c>
      <c r="AA82" s="81"/>
      <c r="AB82" s="81"/>
      <c r="AC82" s="87" t="s">
        <v>2777</v>
      </c>
      <c r="AD82" s="87" t="s">
        <v>2776</v>
      </c>
      <c r="AE82" s="81" t="b">
        <v>0</v>
      </c>
      <c r="AF82" s="81">
        <v>0</v>
      </c>
      <c r="AG82" s="87" t="s">
        <v>3900</v>
      </c>
      <c r="AH82" s="81" t="b">
        <v>0</v>
      </c>
      <c r="AI82" s="81" t="s">
        <v>4092</v>
      </c>
      <c r="AJ82" s="81"/>
      <c r="AK82" s="87" t="s">
        <v>3875</v>
      </c>
      <c r="AL82" s="81" t="b">
        <v>0</v>
      </c>
      <c r="AM82" s="81">
        <v>0</v>
      </c>
      <c r="AN82" s="87" t="s">
        <v>3875</v>
      </c>
      <c r="AO82" s="87" t="s">
        <v>4109</v>
      </c>
      <c r="AP82" s="81" t="b">
        <v>0</v>
      </c>
      <c r="AQ82" s="87" t="s">
        <v>2776</v>
      </c>
      <c r="AR82" s="81" t="s">
        <v>179</v>
      </c>
      <c r="AS82" s="81">
        <v>0</v>
      </c>
      <c r="AT82" s="81">
        <v>0</v>
      </c>
      <c r="AU82" s="81"/>
      <c r="AV82" s="81"/>
      <c r="AW82" s="81"/>
      <c r="AX82" s="81"/>
      <c r="AY82" s="81"/>
      <c r="AZ82" s="81"/>
      <c r="BA82" s="81"/>
      <c r="BB82" s="81"/>
    </row>
    <row r="83" spans="1:54" x14ac:dyDescent="0.35">
      <c r="A83" s="66" t="s">
        <v>274</v>
      </c>
      <c r="B83" s="66" t="s">
        <v>274</v>
      </c>
      <c r="C83" s="67"/>
      <c r="D83" s="68"/>
      <c r="E83" s="69"/>
      <c r="F83" s="70"/>
      <c r="G83" s="67"/>
      <c r="H83" s="71"/>
      <c r="I83" s="72"/>
      <c r="J83" s="72"/>
      <c r="K83" s="36"/>
      <c r="L83" s="79"/>
      <c r="M83" s="79"/>
      <c r="N83" s="74"/>
      <c r="O83" s="81" t="s">
        <v>179</v>
      </c>
      <c r="P83" s="83">
        <v>44458.782951388886</v>
      </c>
      <c r="Q83" s="81" t="s">
        <v>1263</v>
      </c>
      <c r="R83" s="81"/>
      <c r="S83" s="81"/>
      <c r="T83" s="81"/>
      <c r="U83" s="81"/>
      <c r="V83" s="85" t="str">
        <f>HYPERLINK("https://pbs.twimg.com/profile_images/1442151042884329473/1VQRB0RV_normal.jpg")</f>
        <v>https://pbs.twimg.com/profile_images/1442151042884329473/1VQRB0RV_normal.jpg</v>
      </c>
      <c r="W83" s="83">
        <v>44458.782951388886</v>
      </c>
      <c r="X83" s="89">
        <v>44458</v>
      </c>
      <c r="Y83" s="87" t="s">
        <v>1856</v>
      </c>
      <c r="Z83" s="85" t="str">
        <f>HYPERLINK("https://twitter.com/imyuours/status/1439662437146394624")</f>
        <v>https://twitter.com/imyuours/status/1439662437146394624</v>
      </c>
      <c r="AA83" s="81"/>
      <c r="AB83" s="81"/>
      <c r="AC83" s="87" t="s">
        <v>2778</v>
      </c>
      <c r="AD83" s="87" t="s">
        <v>3666</v>
      </c>
      <c r="AE83" s="81" t="b">
        <v>0</v>
      </c>
      <c r="AF83" s="81">
        <v>0</v>
      </c>
      <c r="AG83" s="87" t="s">
        <v>3900</v>
      </c>
      <c r="AH83" s="81" t="b">
        <v>0</v>
      </c>
      <c r="AI83" s="81" t="s">
        <v>4092</v>
      </c>
      <c r="AJ83" s="81"/>
      <c r="AK83" s="87" t="s">
        <v>3875</v>
      </c>
      <c r="AL83" s="81" t="b">
        <v>0</v>
      </c>
      <c r="AM83" s="81">
        <v>0</v>
      </c>
      <c r="AN83" s="87" t="s">
        <v>3875</v>
      </c>
      <c r="AO83" s="87" t="s">
        <v>4109</v>
      </c>
      <c r="AP83" s="81" t="b">
        <v>0</v>
      </c>
      <c r="AQ83" s="87" t="s">
        <v>3666</v>
      </c>
      <c r="AR83" s="81" t="s">
        <v>179</v>
      </c>
      <c r="AS83" s="81">
        <v>0</v>
      </c>
      <c r="AT83" s="81">
        <v>0</v>
      </c>
      <c r="AU83" s="81"/>
      <c r="AV83" s="81"/>
      <c r="AW83" s="81"/>
      <c r="AX83" s="81"/>
      <c r="AY83" s="81"/>
      <c r="AZ83" s="81"/>
      <c r="BA83" s="81"/>
      <c r="BB83" s="81"/>
    </row>
    <row r="84" spans="1:54" x14ac:dyDescent="0.35">
      <c r="A84" s="66" t="s">
        <v>275</v>
      </c>
      <c r="B84" s="66" t="s">
        <v>275</v>
      </c>
      <c r="C84" s="67"/>
      <c r="D84" s="68"/>
      <c r="E84" s="69"/>
      <c r="F84" s="70"/>
      <c r="G84" s="67"/>
      <c r="H84" s="71"/>
      <c r="I84" s="72"/>
      <c r="J84" s="72"/>
      <c r="K84" s="36"/>
      <c r="L84" s="79"/>
      <c r="M84" s="79"/>
      <c r="N84" s="74"/>
      <c r="O84" s="81" t="s">
        <v>179</v>
      </c>
      <c r="P84" s="83">
        <v>44458.847314814811</v>
      </c>
      <c r="Q84" s="81" t="s">
        <v>1264</v>
      </c>
      <c r="R84" s="81"/>
      <c r="S84" s="81"/>
      <c r="T84" s="81"/>
      <c r="U84" s="81"/>
      <c r="V84" s="85" t="str">
        <f>HYPERLINK("https://pbs.twimg.com/profile_images/1360161962122833920/6pxolvFe_normal.jpg")</f>
        <v>https://pbs.twimg.com/profile_images/1360161962122833920/6pxolvFe_normal.jpg</v>
      </c>
      <c r="W84" s="83">
        <v>44458.847314814811</v>
      </c>
      <c r="X84" s="89">
        <v>44458</v>
      </c>
      <c r="Y84" s="87" t="s">
        <v>1857</v>
      </c>
      <c r="Z84" s="85" t="str">
        <f>HYPERLINK("https://twitter.com/ceritaeva/status/1439685760408453121")</f>
        <v>https://twitter.com/ceritaeva/status/1439685760408453121</v>
      </c>
      <c r="AA84" s="81"/>
      <c r="AB84" s="81"/>
      <c r="AC84" s="87" t="s">
        <v>2779</v>
      </c>
      <c r="AD84" s="87" t="s">
        <v>3667</v>
      </c>
      <c r="AE84" s="81" t="b">
        <v>0</v>
      </c>
      <c r="AF84" s="81">
        <v>5</v>
      </c>
      <c r="AG84" s="87" t="s">
        <v>3901</v>
      </c>
      <c r="AH84" s="81" t="b">
        <v>0</v>
      </c>
      <c r="AI84" s="81" t="s">
        <v>4092</v>
      </c>
      <c r="AJ84" s="81"/>
      <c r="AK84" s="87" t="s">
        <v>3875</v>
      </c>
      <c r="AL84" s="81" t="b">
        <v>0</v>
      </c>
      <c r="AM84" s="81">
        <v>0</v>
      </c>
      <c r="AN84" s="87" t="s">
        <v>3875</v>
      </c>
      <c r="AO84" s="87" t="s">
        <v>4109</v>
      </c>
      <c r="AP84" s="81" t="b">
        <v>0</v>
      </c>
      <c r="AQ84" s="87" t="s">
        <v>3667</v>
      </c>
      <c r="AR84" s="81" t="s">
        <v>179</v>
      </c>
      <c r="AS84" s="81">
        <v>0</v>
      </c>
      <c r="AT84" s="81">
        <v>0</v>
      </c>
      <c r="AU84" s="81"/>
      <c r="AV84" s="81"/>
      <c r="AW84" s="81"/>
      <c r="AX84" s="81"/>
      <c r="AY84" s="81"/>
      <c r="AZ84" s="81"/>
      <c r="BA84" s="81"/>
      <c r="BB84" s="81"/>
    </row>
    <row r="85" spans="1:54" x14ac:dyDescent="0.35">
      <c r="A85" s="66" t="s">
        <v>276</v>
      </c>
      <c r="B85" s="66" t="s">
        <v>772</v>
      </c>
      <c r="C85" s="67"/>
      <c r="D85" s="68"/>
      <c r="E85" s="69"/>
      <c r="F85" s="70"/>
      <c r="G85" s="67"/>
      <c r="H85" s="71"/>
      <c r="I85" s="72"/>
      <c r="J85" s="72"/>
      <c r="K85" s="36"/>
      <c r="L85" s="79"/>
      <c r="M85" s="79"/>
      <c r="N85" s="74"/>
      <c r="O85" s="81" t="s">
        <v>1208</v>
      </c>
      <c r="P85" s="83">
        <v>44458.925115740742</v>
      </c>
      <c r="Q85" s="81" t="s">
        <v>1265</v>
      </c>
      <c r="R85" s="81"/>
      <c r="S85" s="81"/>
      <c r="T85" s="81"/>
      <c r="U85" s="81"/>
      <c r="V85" s="85" t="str">
        <f>HYPERLINK("https://pbs.twimg.com/profile_images/1436271047485968384/5L6F8qgX_normal.jpg")</f>
        <v>https://pbs.twimg.com/profile_images/1436271047485968384/5L6F8qgX_normal.jpg</v>
      </c>
      <c r="W85" s="83">
        <v>44458.925115740742</v>
      </c>
      <c r="X85" s="89">
        <v>44458</v>
      </c>
      <c r="Y85" s="87" t="s">
        <v>1858</v>
      </c>
      <c r="Z85" s="85" t="str">
        <f>HYPERLINK("https://twitter.com/ageng_awe/status/1439713954721189889")</f>
        <v>https://twitter.com/ageng_awe/status/1439713954721189889</v>
      </c>
      <c r="AA85" s="81"/>
      <c r="AB85" s="81"/>
      <c r="AC85" s="87" t="s">
        <v>2780</v>
      </c>
      <c r="AD85" s="87" t="s">
        <v>3668</v>
      </c>
      <c r="AE85" s="81" t="b">
        <v>0</v>
      </c>
      <c r="AF85" s="81">
        <v>0</v>
      </c>
      <c r="AG85" s="87" t="s">
        <v>3902</v>
      </c>
      <c r="AH85" s="81" t="b">
        <v>0</v>
      </c>
      <c r="AI85" s="81" t="s">
        <v>4092</v>
      </c>
      <c r="AJ85" s="81"/>
      <c r="AK85" s="87" t="s">
        <v>3875</v>
      </c>
      <c r="AL85" s="81" t="b">
        <v>0</v>
      </c>
      <c r="AM85" s="81">
        <v>0</v>
      </c>
      <c r="AN85" s="87" t="s">
        <v>3875</v>
      </c>
      <c r="AO85" s="87" t="s">
        <v>4109</v>
      </c>
      <c r="AP85" s="81" t="b">
        <v>0</v>
      </c>
      <c r="AQ85" s="87" t="s">
        <v>3668</v>
      </c>
      <c r="AR85" s="81" t="s">
        <v>179</v>
      </c>
      <c r="AS85" s="81">
        <v>0</v>
      </c>
      <c r="AT85" s="81">
        <v>0</v>
      </c>
      <c r="AU85" s="81"/>
      <c r="AV85" s="81"/>
      <c r="AW85" s="81"/>
      <c r="AX85" s="81"/>
      <c r="AY85" s="81"/>
      <c r="AZ85" s="81"/>
      <c r="BA85" s="81"/>
      <c r="BB85" s="81"/>
    </row>
    <row r="86" spans="1:54" x14ac:dyDescent="0.35">
      <c r="A86" s="66" t="s">
        <v>277</v>
      </c>
      <c r="B86" s="66" t="s">
        <v>1010</v>
      </c>
      <c r="C86" s="67"/>
      <c r="D86" s="68"/>
      <c r="E86" s="69"/>
      <c r="F86" s="70"/>
      <c r="G86" s="67"/>
      <c r="H86" s="71"/>
      <c r="I86" s="72"/>
      <c r="J86" s="72"/>
      <c r="K86" s="36"/>
      <c r="L86" s="79"/>
      <c r="M86" s="79"/>
      <c r="N86" s="74"/>
      <c r="O86" s="81" t="s">
        <v>1206</v>
      </c>
      <c r="P86" s="83">
        <v>44458.952997685185</v>
      </c>
      <c r="Q86" s="81" t="s">
        <v>1266</v>
      </c>
      <c r="R86" s="85" t="str">
        <f>HYPERLINK("https://kerjha.com/pos-indonesia-gandeng-nujek-dan-perkenalkan-o-ranger-mawar/")</f>
        <v>https://kerjha.com/pos-indonesia-gandeng-nujek-dan-perkenalkan-o-ranger-mawar/</v>
      </c>
      <c r="S86" s="81" t="s">
        <v>1735</v>
      </c>
      <c r="T86" s="81"/>
      <c r="U86" s="81"/>
      <c r="V86" s="85" t="str">
        <f>HYPERLINK("https://pbs.twimg.com/profile_images/1373867762901078017/tGMsFoc1_normal.jpg")</f>
        <v>https://pbs.twimg.com/profile_images/1373867762901078017/tGMsFoc1_normal.jpg</v>
      </c>
      <c r="W86" s="83">
        <v>44458.952997685185</v>
      </c>
      <c r="X86" s="89">
        <v>44458</v>
      </c>
      <c r="Y86" s="87" t="s">
        <v>1859</v>
      </c>
      <c r="Z86" s="85" t="str">
        <f>HYPERLINK("https://twitter.com/kbrindns/status/1439724059298652162")</f>
        <v>https://twitter.com/kbrindns/status/1439724059298652162</v>
      </c>
      <c r="AA86" s="81"/>
      <c r="AB86" s="81"/>
      <c r="AC86" s="87" t="s">
        <v>2781</v>
      </c>
      <c r="AD86" s="81"/>
      <c r="AE86" s="81" t="b">
        <v>0</v>
      </c>
      <c r="AF86" s="81">
        <v>0</v>
      </c>
      <c r="AG86" s="87" t="s">
        <v>3875</v>
      </c>
      <c r="AH86" s="81" t="b">
        <v>0</v>
      </c>
      <c r="AI86" s="81" t="s">
        <v>4092</v>
      </c>
      <c r="AJ86" s="81"/>
      <c r="AK86" s="87" t="s">
        <v>3875</v>
      </c>
      <c r="AL86" s="81" t="b">
        <v>0</v>
      </c>
      <c r="AM86" s="81">
        <v>0</v>
      </c>
      <c r="AN86" s="87" t="s">
        <v>3875</v>
      </c>
      <c r="AO86" s="87" t="s">
        <v>4111</v>
      </c>
      <c r="AP86" s="81" t="b">
        <v>0</v>
      </c>
      <c r="AQ86" s="87" t="s">
        <v>2781</v>
      </c>
      <c r="AR86" s="81" t="s">
        <v>179</v>
      </c>
      <c r="AS86" s="81">
        <v>0</v>
      </c>
      <c r="AT86" s="81">
        <v>0</v>
      </c>
      <c r="AU86" s="81"/>
      <c r="AV86" s="81"/>
      <c r="AW86" s="81"/>
      <c r="AX86" s="81"/>
      <c r="AY86" s="81"/>
      <c r="AZ86" s="81"/>
      <c r="BA86" s="81"/>
      <c r="BB86" s="81"/>
    </row>
    <row r="87" spans="1:54" x14ac:dyDescent="0.35">
      <c r="A87" s="66" t="s">
        <v>278</v>
      </c>
      <c r="B87" s="66" t="s">
        <v>1010</v>
      </c>
      <c r="C87" s="67"/>
      <c r="D87" s="68"/>
      <c r="E87" s="69"/>
      <c r="F87" s="70"/>
      <c r="G87" s="67"/>
      <c r="H87" s="71"/>
      <c r="I87" s="72"/>
      <c r="J87" s="72"/>
      <c r="K87" s="36"/>
      <c r="L87" s="79"/>
      <c r="M87" s="79"/>
      <c r="N87" s="74"/>
      <c r="O87" s="81" t="s">
        <v>1207</v>
      </c>
      <c r="P87" s="83">
        <v>44458.955451388887</v>
      </c>
      <c r="Q87" s="81" t="s">
        <v>1248</v>
      </c>
      <c r="R87" s="85" t="str">
        <f>HYPERLINK("https://kerjha.com/pos-indonesia-gandeng-nujek-dan-perkenalkan-o-ranger-mawar/")</f>
        <v>https://kerjha.com/pos-indonesia-gandeng-nujek-dan-perkenalkan-o-ranger-mawar/</v>
      </c>
      <c r="S87" s="81" t="s">
        <v>1735</v>
      </c>
      <c r="T87" s="81"/>
      <c r="U87" s="81"/>
      <c r="V87" s="85" t="str">
        <f>HYPERLINK("https://pbs.twimg.com/profile_images/1287278476383227904/a4acW3gK_normal.jpg")</f>
        <v>https://pbs.twimg.com/profile_images/1287278476383227904/a4acW3gK_normal.jpg</v>
      </c>
      <c r="W87" s="83">
        <v>44458.955451388887</v>
      </c>
      <c r="X87" s="89">
        <v>44458</v>
      </c>
      <c r="Y87" s="87" t="s">
        <v>1860</v>
      </c>
      <c r="Z87" s="85" t="str">
        <f>HYPERLINK("https://twitter.com/manoharasekar/status/1439724948671459329")</f>
        <v>https://twitter.com/manoharasekar/status/1439724948671459329</v>
      </c>
      <c r="AA87" s="81"/>
      <c r="AB87" s="81"/>
      <c r="AC87" s="87" t="s">
        <v>2782</v>
      </c>
      <c r="AD87" s="81"/>
      <c r="AE87" s="81" t="b">
        <v>0</v>
      </c>
      <c r="AF87" s="81">
        <v>0</v>
      </c>
      <c r="AG87" s="87" t="s">
        <v>3875</v>
      </c>
      <c r="AH87" s="81" t="b">
        <v>0</v>
      </c>
      <c r="AI87" s="81" t="s">
        <v>4092</v>
      </c>
      <c r="AJ87" s="81"/>
      <c r="AK87" s="87" t="s">
        <v>3875</v>
      </c>
      <c r="AL87" s="81" t="b">
        <v>0</v>
      </c>
      <c r="AM87" s="81">
        <v>10</v>
      </c>
      <c r="AN87" s="87" t="s">
        <v>2886</v>
      </c>
      <c r="AO87" s="87" t="s">
        <v>4109</v>
      </c>
      <c r="AP87" s="81" t="b">
        <v>0</v>
      </c>
      <c r="AQ87" s="87" t="s">
        <v>2886</v>
      </c>
      <c r="AR87" s="81" t="s">
        <v>179</v>
      </c>
      <c r="AS87" s="81">
        <v>0</v>
      </c>
      <c r="AT87" s="81">
        <v>0</v>
      </c>
      <c r="AU87" s="81"/>
      <c r="AV87" s="81"/>
      <c r="AW87" s="81"/>
      <c r="AX87" s="81"/>
      <c r="AY87" s="81"/>
      <c r="AZ87" s="81"/>
      <c r="BA87" s="81"/>
      <c r="BB87" s="81"/>
    </row>
    <row r="88" spans="1:54" x14ac:dyDescent="0.35">
      <c r="A88" s="66" t="s">
        <v>278</v>
      </c>
      <c r="B88" s="66" t="s">
        <v>375</v>
      </c>
      <c r="C88" s="67"/>
      <c r="D88" s="68"/>
      <c r="E88" s="69"/>
      <c r="F88" s="70"/>
      <c r="G88" s="67"/>
      <c r="H88" s="71"/>
      <c r="I88" s="72"/>
      <c r="J88" s="72"/>
      <c r="K88" s="36"/>
      <c r="L88" s="79"/>
      <c r="M88" s="79"/>
      <c r="N88" s="74"/>
      <c r="O88" s="81" t="s">
        <v>1205</v>
      </c>
      <c r="P88" s="83">
        <v>44458.955451388887</v>
      </c>
      <c r="Q88" s="81" t="s">
        <v>1248</v>
      </c>
      <c r="R88" s="85" t="str">
        <f>HYPERLINK("https://kerjha.com/pos-indonesia-gandeng-nujek-dan-perkenalkan-o-ranger-mawar/")</f>
        <v>https://kerjha.com/pos-indonesia-gandeng-nujek-dan-perkenalkan-o-ranger-mawar/</v>
      </c>
      <c r="S88" s="81" t="s">
        <v>1735</v>
      </c>
      <c r="T88" s="81"/>
      <c r="U88" s="81"/>
      <c r="V88" s="85" t="str">
        <f>HYPERLINK("https://pbs.twimg.com/profile_images/1287278476383227904/a4acW3gK_normal.jpg")</f>
        <v>https://pbs.twimg.com/profile_images/1287278476383227904/a4acW3gK_normal.jpg</v>
      </c>
      <c r="W88" s="83">
        <v>44458.955451388887</v>
      </c>
      <c r="X88" s="89">
        <v>44458</v>
      </c>
      <c r="Y88" s="87" t="s">
        <v>1860</v>
      </c>
      <c r="Z88" s="85" t="str">
        <f>HYPERLINK("https://twitter.com/manoharasekar/status/1439724948671459329")</f>
        <v>https://twitter.com/manoharasekar/status/1439724948671459329</v>
      </c>
      <c r="AA88" s="81"/>
      <c r="AB88" s="81"/>
      <c r="AC88" s="87" t="s">
        <v>2782</v>
      </c>
      <c r="AD88" s="81"/>
      <c r="AE88" s="81" t="b">
        <v>0</v>
      </c>
      <c r="AF88" s="81">
        <v>0</v>
      </c>
      <c r="AG88" s="87" t="s">
        <v>3875</v>
      </c>
      <c r="AH88" s="81" t="b">
        <v>0</v>
      </c>
      <c r="AI88" s="81" t="s">
        <v>4092</v>
      </c>
      <c r="AJ88" s="81"/>
      <c r="AK88" s="87" t="s">
        <v>3875</v>
      </c>
      <c r="AL88" s="81" t="b">
        <v>0</v>
      </c>
      <c r="AM88" s="81">
        <v>10</v>
      </c>
      <c r="AN88" s="87" t="s">
        <v>2886</v>
      </c>
      <c r="AO88" s="87" t="s">
        <v>4109</v>
      </c>
      <c r="AP88" s="81" t="b">
        <v>0</v>
      </c>
      <c r="AQ88" s="87" t="s">
        <v>2886</v>
      </c>
      <c r="AR88" s="81" t="s">
        <v>179</v>
      </c>
      <c r="AS88" s="81">
        <v>0</v>
      </c>
      <c r="AT88" s="81">
        <v>0</v>
      </c>
      <c r="AU88" s="81"/>
      <c r="AV88" s="81"/>
      <c r="AW88" s="81"/>
      <c r="AX88" s="81"/>
      <c r="AY88" s="81"/>
      <c r="AZ88" s="81"/>
      <c r="BA88" s="81"/>
      <c r="BB88" s="81"/>
    </row>
    <row r="89" spans="1:54" x14ac:dyDescent="0.35">
      <c r="A89" s="66" t="s">
        <v>279</v>
      </c>
      <c r="B89" s="66" t="s">
        <v>1014</v>
      </c>
      <c r="C89" s="67"/>
      <c r="D89" s="68"/>
      <c r="E89" s="69"/>
      <c r="F89" s="70"/>
      <c r="G89" s="67"/>
      <c r="H89" s="71"/>
      <c r="I89" s="72"/>
      <c r="J89" s="72"/>
      <c r="K89" s="36"/>
      <c r="L89" s="79"/>
      <c r="M89" s="79"/>
      <c r="N89" s="74"/>
      <c r="O89" s="81" t="s">
        <v>1206</v>
      </c>
      <c r="P89" s="83">
        <v>44458.958483796298</v>
      </c>
      <c r="Q89" s="81" t="s">
        <v>1267</v>
      </c>
      <c r="R89" s="81"/>
      <c r="S89" s="81"/>
      <c r="T89" s="81"/>
      <c r="U89" s="81"/>
      <c r="V89" s="85" t="str">
        <f>HYPERLINK("https://pbs.twimg.com/profile_images/1404683003788349441/hF2kQcY1_normal.jpg")</f>
        <v>https://pbs.twimg.com/profile_images/1404683003788349441/hF2kQcY1_normal.jpg</v>
      </c>
      <c r="W89" s="83">
        <v>44458.958483796298</v>
      </c>
      <c r="X89" s="89">
        <v>44458</v>
      </c>
      <c r="Y89" s="87" t="s">
        <v>1861</v>
      </c>
      <c r="Z89" s="85" t="str">
        <f>HYPERLINK("https://twitter.com/mata_hati19/status/1439726047675645953")</f>
        <v>https://twitter.com/mata_hati19/status/1439726047675645953</v>
      </c>
      <c r="AA89" s="81"/>
      <c r="AB89" s="81"/>
      <c r="AC89" s="87" t="s">
        <v>2783</v>
      </c>
      <c r="AD89" s="87" t="s">
        <v>3669</v>
      </c>
      <c r="AE89" s="81" t="b">
        <v>0</v>
      </c>
      <c r="AF89" s="81">
        <v>1</v>
      </c>
      <c r="AG89" s="87" t="s">
        <v>3903</v>
      </c>
      <c r="AH89" s="81" t="b">
        <v>0</v>
      </c>
      <c r="AI89" s="81" t="s">
        <v>4092</v>
      </c>
      <c r="AJ89" s="81"/>
      <c r="AK89" s="87" t="s">
        <v>3875</v>
      </c>
      <c r="AL89" s="81" t="b">
        <v>0</v>
      </c>
      <c r="AM89" s="81">
        <v>0</v>
      </c>
      <c r="AN89" s="87" t="s">
        <v>3875</v>
      </c>
      <c r="AO89" s="87" t="s">
        <v>4109</v>
      </c>
      <c r="AP89" s="81" t="b">
        <v>0</v>
      </c>
      <c r="AQ89" s="87" t="s">
        <v>3669</v>
      </c>
      <c r="AR89" s="81" t="s">
        <v>179</v>
      </c>
      <c r="AS89" s="81">
        <v>0</v>
      </c>
      <c r="AT89" s="81">
        <v>0</v>
      </c>
      <c r="AU89" s="81"/>
      <c r="AV89" s="81"/>
      <c r="AW89" s="81"/>
      <c r="AX89" s="81"/>
      <c r="AY89" s="81"/>
      <c r="AZ89" s="81"/>
      <c r="BA89" s="81"/>
      <c r="BB89" s="81"/>
    </row>
    <row r="90" spans="1:54" x14ac:dyDescent="0.35">
      <c r="A90" s="66" t="s">
        <v>279</v>
      </c>
      <c r="B90" s="66" t="s">
        <v>1015</v>
      </c>
      <c r="C90" s="67"/>
      <c r="D90" s="68"/>
      <c r="E90" s="69"/>
      <c r="F90" s="70"/>
      <c r="G90" s="67"/>
      <c r="H90" s="71"/>
      <c r="I90" s="72"/>
      <c r="J90" s="72"/>
      <c r="K90" s="36"/>
      <c r="L90" s="79"/>
      <c r="M90" s="79"/>
      <c r="N90" s="74"/>
      <c r="O90" s="81" t="s">
        <v>1208</v>
      </c>
      <c r="P90" s="83">
        <v>44458.958483796298</v>
      </c>
      <c r="Q90" s="81" t="s">
        <v>1267</v>
      </c>
      <c r="R90" s="81"/>
      <c r="S90" s="81"/>
      <c r="T90" s="81"/>
      <c r="U90" s="81"/>
      <c r="V90" s="85" t="str">
        <f>HYPERLINK("https://pbs.twimg.com/profile_images/1404683003788349441/hF2kQcY1_normal.jpg")</f>
        <v>https://pbs.twimg.com/profile_images/1404683003788349441/hF2kQcY1_normal.jpg</v>
      </c>
      <c r="W90" s="83">
        <v>44458.958483796298</v>
      </c>
      <c r="X90" s="89">
        <v>44458</v>
      </c>
      <c r="Y90" s="87" t="s">
        <v>1861</v>
      </c>
      <c r="Z90" s="85" t="str">
        <f>HYPERLINK("https://twitter.com/mata_hati19/status/1439726047675645953")</f>
        <v>https://twitter.com/mata_hati19/status/1439726047675645953</v>
      </c>
      <c r="AA90" s="81"/>
      <c r="AB90" s="81"/>
      <c r="AC90" s="87" t="s">
        <v>2783</v>
      </c>
      <c r="AD90" s="87" t="s">
        <v>3669</v>
      </c>
      <c r="AE90" s="81" t="b">
        <v>0</v>
      </c>
      <c r="AF90" s="81">
        <v>1</v>
      </c>
      <c r="AG90" s="87" t="s">
        <v>3903</v>
      </c>
      <c r="AH90" s="81" t="b">
        <v>0</v>
      </c>
      <c r="AI90" s="81" t="s">
        <v>4092</v>
      </c>
      <c r="AJ90" s="81"/>
      <c r="AK90" s="87" t="s">
        <v>3875</v>
      </c>
      <c r="AL90" s="81" t="b">
        <v>0</v>
      </c>
      <c r="AM90" s="81">
        <v>0</v>
      </c>
      <c r="AN90" s="87" t="s">
        <v>3875</v>
      </c>
      <c r="AO90" s="87" t="s">
        <v>4109</v>
      </c>
      <c r="AP90" s="81" t="b">
        <v>0</v>
      </c>
      <c r="AQ90" s="87" t="s">
        <v>3669</v>
      </c>
      <c r="AR90" s="81" t="s">
        <v>179</v>
      </c>
      <c r="AS90" s="81">
        <v>0</v>
      </c>
      <c r="AT90" s="81">
        <v>0</v>
      </c>
      <c r="AU90" s="81"/>
      <c r="AV90" s="81"/>
      <c r="AW90" s="81"/>
      <c r="AX90" s="81"/>
      <c r="AY90" s="81"/>
      <c r="AZ90" s="81"/>
      <c r="BA90" s="81"/>
      <c r="BB90" s="81"/>
    </row>
    <row r="91" spans="1:54" x14ac:dyDescent="0.35">
      <c r="A91" s="66" t="s">
        <v>280</v>
      </c>
      <c r="B91" s="66" t="s">
        <v>280</v>
      </c>
      <c r="C91" s="67"/>
      <c r="D91" s="68"/>
      <c r="E91" s="69"/>
      <c r="F91" s="70"/>
      <c r="G91" s="67"/>
      <c r="H91" s="71"/>
      <c r="I91" s="72"/>
      <c r="J91" s="72"/>
      <c r="K91" s="36"/>
      <c r="L91" s="79"/>
      <c r="M91" s="79"/>
      <c r="N91" s="74"/>
      <c r="O91" s="81" t="s">
        <v>179</v>
      </c>
      <c r="P91" s="83">
        <v>44458.965578703705</v>
      </c>
      <c r="Q91" s="81" t="s">
        <v>1268</v>
      </c>
      <c r="R91" s="81"/>
      <c r="S91" s="81"/>
      <c r="T91" s="87" t="s">
        <v>1760</v>
      </c>
      <c r="U91" s="81"/>
      <c r="V91" s="85" t="str">
        <f>HYPERLINK("https://pbs.twimg.com/profile_images/426565591315402752/WmDc8Dfq_normal.jpeg")</f>
        <v>https://pbs.twimg.com/profile_images/426565591315402752/WmDc8Dfq_normal.jpeg</v>
      </c>
      <c r="W91" s="83">
        <v>44458.965578703705</v>
      </c>
      <c r="X91" s="89">
        <v>44458</v>
      </c>
      <c r="Y91" s="87" t="s">
        <v>1862</v>
      </c>
      <c r="Z91" s="85" t="str">
        <f>HYPERLINK("https://twitter.com/lawangsewusmg/status/1439728619874500608")</f>
        <v>https://twitter.com/lawangsewusmg/status/1439728619874500608</v>
      </c>
      <c r="AA91" s="81"/>
      <c r="AB91" s="81"/>
      <c r="AC91" s="87" t="s">
        <v>2784</v>
      </c>
      <c r="AD91" s="81"/>
      <c r="AE91" s="81" t="b">
        <v>0</v>
      </c>
      <c r="AF91" s="81">
        <v>0</v>
      </c>
      <c r="AG91" s="87" t="s">
        <v>3875</v>
      </c>
      <c r="AH91" s="81" t="b">
        <v>0</v>
      </c>
      <c r="AI91" s="81" t="s">
        <v>4092</v>
      </c>
      <c r="AJ91" s="81"/>
      <c r="AK91" s="87" t="s">
        <v>3875</v>
      </c>
      <c r="AL91" s="81" t="b">
        <v>0</v>
      </c>
      <c r="AM91" s="81">
        <v>0</v>
      </c>
      <c r="AN91" s="87" t="s">
        <v>3875</v>
      </c>
      <c r="AO91" s="87" t="s">
        <v>4116</v>
      </c>
      <c r="AP91" s="81" t="b">
        <v>0</v>
      </c>
      <c r="AQ91" s="87" t="s">
        <v>2784</v>
      </c>
      <c r="AR91" s="81" t="s">
        <v>179</v>
      </c>
      <c r="AS91" s="81">
        <v>0</v>
      </c>
      <c r="AT91" s="81">
        <v>0</v>
      </c>
      <c r="AU91" s="81"/>
      <c r="AV91" s="81"/>
      <c r="AW91" s="81"/>
      <c r="AX91" s="81"/>
      <c r="AY91" s="81"/>
      <c r="AZ91" s="81"/>
      <c r="BA91" s="81"/>
      <c r="BB91" s="81"/>
    </row>
    <row r="92" spans="1:54" x14ac:dyDescent="0.35">
      <c r="A92" s="66" t="s">
        <v>281</v>
      </c>
      <c r="B92" s="66" t="s">
        <v>981</v>
      </c>
      <c r="C92" s="67"/>
      <c r="D92" s="68"/>
      <c r="E92" s="69"/>
      <c r="F92" s="70"/>
      <c r="G92" s="67"/>
      <c r="H92" s="71"/>
      <c r="I92" s="72"/>
      <c r="J92" s="72"/>
      <c r="K92" s="36"/>
      <c r="L92" s="79"/>
      <c r="M92" s="79"/>
      <c r="N92" s="74"/>
      <c r="O92" s="81" t="s">
        <v>1205</v>
      </c>
      <c r="P92" s="83">
        <v>44459.015532407408</v>
      </c>
      <c r="Q92" s="81" t="s">
        <v>1269</v>
      </c>
      <c r="R92" s="81"/>
      <c r="S92" s="81"/>
      <c r="T92" s="87" t="s">
        <v>1761</v>
      </c>
      <c r="U92" s="85" t="str">
        <f>HYPERLINK("https://pbs.twimg.com/media/E_r8KZzVcAMmGuJ.jpg")</f>
        <v>https://pbs.twimg.com/media/E_r8KZzVcAMmGuJ.jpg</v>
      </c>
      <c r="V92" s="85" t="str">
        <f>HYPERLINK("https://pbs.twimg.com/media/E_r8KZzVcAMmGuJ.jpg")</f>
        <v>https://pbs.twimg.com/media/E_r8KZzVcAMmGuJ.jpg</v>
      </c>
      <c r="W92" s="83">
        <v>44459.015532407408</v>
      </c>
      <c r="X92" s="89">
        <v>44459</v>
      </c>
      <c r="Y92" s="87" t="s">
        <v>1863</v>
      </c>
      <c r="Z92" s="85" t="str">
        <f>HYPERLINK("https://twitter.com/bukik_kapujan/status/1439746722465419264")</f>
        <v>https://twitter.com/bukik_kapujan/status/1439746722465419264</v>
      </c>
      <c r="AA92" s="81"/>
      <c r="AB92" s="81"/>
      <c r="AC92" s="87" t="s">
        <v>2785</v>
      </c>
      <c r="AD92" s="81"/>
      <c r="AE92" s="81" t="b">
        <v>0</v>
      </c>
      <c r="AF92" s="81">
        <v>0</v>
      </c>
      <c r="AG92" s="87" t="s">
        <v>3875</v>
      </c>
      <c r="AH92" s="81" t="b">
        <v>0</v>
      </c>
      <c r="AI92" s="81" t="s">
        <v>4092</v>
      </c>
      <c r="AJ92" s="81"/>
      <c r="AK92" s="87" t="s">
        <v>3875</v>
      </c>
      <c r="AL92" s="81" t="b">
        <v>0</v>
      </c>
      <c r="AM92" s="81">
        <v>5</v>
      </c>
      <c r="AN92" s="87" t="s">
        <v>3619</v>
      </c>
      <c r="AO92" s="87" t="s">
        <v>4109</v>
      </c>
      <c r="AP92" s="81" t="b">
        <v>0</v>
      </c>
      <c r="AQ92" s="87" t="s">
        <v>3619</v>
      </c>
      <c r="AR92" s="81" t="s">
        <v>179</v>
      </c>
      <c r="AS92" s="81">
        <v>0</v>
      </c>
      <c r="AT92" s="81">
        <v>0</v>
      </c>
      <c r="AU92" s="81"/>
      <c r="AV92" s="81"/>
      <c r="AW92" s="81"/>
      <c r="AX92" s="81"/>
      <c r="AY92" s="81"/>
      <c r="AZ92" s="81"/>
      <c r="BA92" s="81"/>
      <c r="BB92" s="81"/>
    </row>
    <row r="93" spans="1:54" x14ac:dyDescent="0.35">
      <c r="A93" s="66" t="s">
        <v>282</v>
      </c>
      <c r="B93" s="66" t="s">
        <v>1016</v>
      </c>
      <c r="C93" s="67"/>
      <c r="D93" s="68"/>
      <c r="E93" s="69"/>
      <c r="F93" s="70"/>
      <c r="G93" s="67"/>
      <c r="H93" s="71"/>
      <c r="I93" s="72"/>
      <c r="J93" s="72"/>
      <c r="K93" s="36"/>
      <c r="L93" s="79"/>
      <c r="M93" s="79"/>
      <c r="N93" s="74"/>
      <c r="O93" s="81" t="s">
        <v>1208</v>
      </c>
      <c r="P93" s="83">
        <v>44459.074560185189</v>
      </c>
      <c r="Q93" s="81" t="s">
        <v>1270</v>
      </c>
      <c r="R93" s="81"/>
      <c r="S93" s="81"/>
      <c r="T93" s="81"/>
      <c r="U93" s="81"/>
      <c r="V93" s="85" t="str">
        <f>HYPERLINK("https://pbs.twimg.com/profile_images/1441841988358213637/MMqfbD93_normal.jpg")</f>
        <v>https://pbs.twimg.com/profile_images/1441841988358213637/MMqfbD93_normal.jpg</v>
      </c>
      <c r="W93" s="83">
        <v>44459.074560185189</v>
      </c>
      <c r="X93" s="89">
        <v>44459</v>
      </c>
      <c r="Y93" s="87" t="s">
        <v>1864</v>
      </c>
      <c r="Z93" s="85" t="str">
        <f>HYPERLINK("https://twitter.com/zeaawo/status/1439768111939403776")</f>
        <v>https://twitter.com/zeaawo/status/1439768111939403776</v>
      </c>
      <c r="AA93" s="81"/>
      <c r="AB93" s="81"/>
      <c r="AC93" s="87" t="s">
        <v>2786</v>
      </c>
      <c r="AD93" s="87" t="s">
        <v>3670</v>
      </c>
      <c r="AE93" s="81" t="b">
        <v>0</v>
      </c>
      <c r="AF93" s="81">
        <v>0</v>
      </c>
      <c r="AG93" s="87" t="s">
        <v>3904</v>
      </c>
      <c r="AH93" s="81" t="b">
        <v>0</v>
      </c>
      <c r="AI93" s="81" t="s">
        <v>4092</v>
      </c>
      <c r="AJ93" s="81"/>
      <c r="AK93" s="87" t="s">
        <v>3875</v>
      </c>
      <c r="AL93" s="81" t="b">
        <v>0</v>
      </c>
      <c r="AM93" s="81">
        <v>0</v>
      </c>
      <c r="AN93" s="87" t="s">
        <v>3875</v>
      </c>
      <c r="AO93" s="87" t="s">
        <v>4110</v>
      </c>
      <c r="AP93" s="81" t="b">
        <v>0</v>
      </c>
      <c r="AQ93" s="87" t="s">
        <v>3670</v>
      </c>
      <c r="AR93" s="81" t="s">
        <v>179</v>
      </c>
      <c r="AS93" s="81">
        <v>0</v>
      </c>
      <c r="AT93" s="81">
        <v>0</v>
      </c>
      <c r="AU93" s="81"/>
      <c r="AV93" s="81"/>
      <c r="AW93" s="81"/>
      <c r="AX93" s="81"/>
      <c r="AY93" s="81"/>
      <c r="AZ93" s="81"/>
      <c r="BA93" s="81"/>
      <c r="BB93" s="81"/>
    </row>
    <row r="94" spans="1:54" x14ac:dyDescent="0.35">
      <c r="A94" s="66" t="s">
        <v>283</v>
      </c>
      <c r="B94" s="66" t="s">
        <v>1017</v>
      </c>
      <c r="C94" s="67"/>
      <c r="D94" s="68"/>
      <c r="E94" s="69"/>
      <c r="F94" s="70"/>
      <c r="G94" s="67"/>
      <c r="H94" s="71"/>
      <c r="I94" s="72"/>
      <c r="J94" s="72"/>
      <c r="K94" s="36"/>
      <c r="L94" s="79"/>
      <c r="M94" s="79"/>
      <c r="N94" s="74"/>
      <c r="O94" s="81" t="s">
        <v>1208</v>
      </c>
      <c r="P94" s="83">
        <v>44459.091284722221</v>
      </c>
      <c r="Q94" s="81" t="s">
        <v>1271</v>
      </c>
      <c r="R94" s="81"/>
      <c r="S94" s="81"/>
      <c r="T94" s="81"/>
      <c r="U94" s="81"/>
      <c r="V94" s="85" t="str">
        <f>HYPERLINK("https://pbs.twimg.com/profile_images/1436552956766081026/i-a5LFAm_normal.jpg")</f>
        <v>https://pbs.twimg.com/profile_images/1436552956766081026/i-a5LFAm_normal.jpg</v>
      </c>
      <c r="W94" s="83">
        <v>44459.091284722221</v>
      </c>
      <c r="X94" s="89">
        <v>44459</v>
      </c>
      <c r="Y94" s="87" t="s">
        <v>1865</v>
      </c>
      <c r="Z94" s="85" t="str">
        <f>HYPERLINK("https://twitter.com/a_nggasetiawan/status/1439774175233667073")</f>
        <v>https://twitter.com/a_nggasetiawan/status/1439774175233667073</v>
      </c>
      <c r="AA94" s="81"/>
      <c r="AB94" s="81"/>
      <c r="AC94" s="87" t="s">
        <v>2787</v>
      </c>
      <c r="AD94" s="87" t="s">
        <v>3671</v>
      </c>
      <c r="AE94" s="81" t="b">
        <v>0</v>
      </c>
      <c r="AF94" s="81">
        <v>0</v>
      </c>
      <c r="AG94" s="87" t="s">
        <v>3905</v>
      </c>
      <c r="AH94" s="81" t="b">
        <v>0</v>
      </c>
      <c r="AI94" s="81" t="s">
        <v>4092</v>
      </c>
      <c r="AJ94" s="81"/>
      <c r="AK94" s="87" t="s">
        <v>3875</v>
      </c>
      <c r="AL94" s="81" t="b">
        <v>0</v>
      </c>
      <c r="AM94" s="81">
        <v>0</v>
      </c>
      <c r="AN94" s="87" t="s">
        <v>3875</v>
      </c>
      <c r="AO94" s="87" t="s">
        <v>4109</v>
      </c>
      <c r="AP94" s="81" t="b">
        <v>0</v>
      </c>
      <c r="AQ94" s="87" t="s">
        <v>3671</v>
      </c>
      <c r="AR94" s="81" t="s">
        <v>179</v>
      </c>
      <c r="AS94" s="81">
        <v>0</v>
      </c>
      <c r="AT94" s="81">
        <v>0</v>
      </c>
      <c r="AU94" s="81"/>
      <c r="AV94" s="81"/>
      <c r="AW94" s="81"/>
      <c r="AX94" s="81"/>
      <c r="AY94" s="81"/>
      <c r="AZ94" s="81"/>
      <c r="BA94" s="81"/>
      <c r="BB94" s="81"/>
    </row>
    <row r="95" spans="1:54" x14ac:dyDescent="0.35">
      <c r="A95" s="66" t="s">
        <v>284</v>
      </c>
      <c r="B95" s="66" t="s">
        <v>1007</v>
      </c>
      <c r="C95" s="67"/>
      <c r="D95" s="68"/>
      <c r="E95" s="69"/>
      <c r="F95" s="70"/>
      <c r="G95" s="67"/>
      <c r="H95" s="71"/>
      <c r="I95" s="72"/>
      <c r="J95" s="72"/>
      <c r="K95" s="36"/>
      <c r="L95" s="79"/>
      <c r="M95" s="79"/>
      <c r="N95" s="74"/>
      <c r="O95" s="81" t="s">
        <v>1208</v>
      </c>
      <c r="P95" s="83">
        <v>44459.094571759262</v>
      </c>
      <c r="Q95" s="81" t="s">
        <v>1272</v>
      </c>
      <c r="R95" s="81"/>
      <c r="S95" s="81"/>
      <c r="T95" s="81"/>
      <c r="U95" s="81"/>
      <c r="V95" s="85" t="str">
        <f>HYPERLINK("https://abs.twimg.com/sticky/default_profile_images/default_profile_normal.png")</f>
        <v>https://abs.twimg.com/sticky/default_profile_images/default_profile_normal.png</v>
      </c>
      <c r="W95" s="83">
        <v>44459.094571759262</v>
      </c>
      <c r="X95" s="89">
        <v>44459</v>
      </c>
      <c r="Y95" s="87" t="s">
        <v>1866</v>
      </c>
      <c r="Z95" s="85" t="str">
        <f>HYPERLINK("https://twitter.com/deblenk29/status/1439775363693891585")</f>
        <v>https://twitter.com/deblenk29/status/1439775363693891585</v>
      </c>
      <c r="AA95" s="81"/>
      <c r="AB95" s="81"/>
      <c r="AC95" s="87" t="s">
        <v>2788</v>
      </c>
      <c r="AD95" s="81"/>
      <c r="AE95" s="81" t="b">
        <v>0</v>
      </c>
      <c r="AF95" s="81">
        <v>0</v>
      </c>
      <c r="AG95" s="87" t="s">
        <v>3906</v>
      </c>
      <c r="AH95" s="81" t="b">
        <v>0</v>
      </c>
      <c r="AI95" s="81" t="s">
        <v>4092</v>
      </c>
      <c r="AJ95" s="81"/>
      <c r="AK95" s="87" t="s">
        <v>3875</v>
      </c>
      <c r="AL95" s="81" t="b">
        <v>0</v>
      </c>
      <c r="AM95" s="81">
        <v>0</v>
      </c>
      <c r="AN95" s="87" t="s">
        <v>3875</v>
      </c>
      <c r="AO95" s="87" t="s">
        <v>4109</v>
      </c>
      <c r="AP95" s="81" t="b">
        <v>0</v>
      </c>
      <c r="AQ95" s="87" t="s">
        <v>2788</v>
      </c>
      <c r="AR95" s="81" t="s">
        <v>179</v>
      </c>
      <c r="AS95" s="81">
        <v>0</v>
      </c>
      <c r="AT95" s="81">
        <v>0</v>
      </c>
      <c r="AU95" s="81"/>
      <c r="AV95" s="81"/>
      <c r="AW95" s="81"/>
      <c r="AX95" s="81"/>
      <c r="AY95" s="81"/>
      <c r="AZ95" s="81"/>
      <c r="BA95" s="81"/>
      <c r="BB95" s="81"/>
    </row>
    <row r="96" spans="1:54" x14ac:dyDescent="0.35">
      <c r="A96" s="66" t="s">
        <v>285</v>
      </c>
      <c r="B96" s="66" t="s">
        <v>285</v>
      </c>
      <c r="C96" s="67"/>
      <c r="D96" s="68"/>
      <c r="E96" s="69"/>
      <c r="F96" s="70"/>
      <c r="G96" s="67"/>
      <c r="H96" s="71"/>
      <c r="I96" s="72"/>
      <c r="J96" s="72"/>
      <c r="K96" s="36"/>
      <c r="L96" s="79"/>
      <c r="M96" s="79"/>
      <c r="N96" s="74"/>
      <c r="O96" s="81" t="s">
        <v>179</v>
      </c>
      <c r="P96" s="83">
        <v>44457.537893518522</v>
      </c>
      <c r="Q96" s="81" t="s">
        <v>1210</v>
      </c>
      <c r="R96" s="81"/>
      <c r="S96" s="81"/>
      <c r="T96" s="81"/>
      <c r="U96" s="81"/>
      <c r="V96" s="85" t="str">
        <f>HYPERLINK("https://pbs.twimg.com/profile_images/1380559316999008259/YCIKEY2t_normal.jpg")</f>
        <v>https://pbs.twimg.com/profile_images/1380559316999008259/YCIKEY2t_normal.jpg</v>
      </c>
      <c r="W96" s="83">
        <v>44457.537893518522</v>
      </c>
      <c r="X96" s="89">
        <v>44457</v>
      </c>
      <c r="Y96" s="87" t="s">
        <v>1867</v>
      </c>
      <c r="Z96" s="85" t="str">
        <f>HYPERLINK("https://twitter.com/gnfi/status/1439211242598457347")</f>
        <v>https://twitter.com/gnfi/status/1439211242598457347</v>
      </c>
      <c r="AA96" s="81"/>
      <c r="AB96" s="81"/>
      <c r="AC96" s="87" t="s">
        <v>2789</v>
      </c>
      <c r="AD96" s="87" t="s">
        <v>2790</v>
      </c>
      <c r="AE96" s="81" t="b">
        <v>0</v>
      </c>
      <c r="AF96" s="81">
        <v>4</v>
      </c>
      <c r="AG96" s="87" t="s">
        <v>3907</v>
      </c>
      <c r="AH96" s="81" t="b">
        <v>0</v>
      </c>
      <c r="AI96" s="81" t="s">
        <v>4092</v>
      </c>
      <c r="AJ96" s="81"/>
      <c r="AK96" s="87" t="s">
        <v>3875</v>
      </c>
      <c r="AL96" s="81" t="b">
        <v>0</v>
      </c>
      <c r="AM96" s="81">
        <v>2</v>
      </c>
      <c r="AN96" s="87" t="s">
        <v>3875</v>
      </c>
      <c r="AO96" s="87" t="s">
        <v>4109</v>
      </c>
      <c r="AP96" s="81" t="b">
        <v>0</v>
      </c>
      <c r="AQ96" s="87" t="s">
        <v>2790</v>
      </c>
      <c r="AR96" s="81" t="s">
        <v>1205</v>
      </c>
      <c r="AS96" s="81">
        <v>0</v>
      </c>
      <c r="AT96" s="81">
        <v>0</v>
      </c>
      <c r="AU96" s="81"/>
      <c r="AV96" s="81"/>
      <c r="AW96" s="81"/>
      <c r="AX96" s="81"/>
      <c r="AY96" s="81"/>
      <c r="AZ96" s="81"/>
      <c r="BA96" s="81"/>
      <c r="BB96" s="81"/>
    </row>
    <row r="97" spans="1:54" x14ac:dyDescent="0.35">
      <c r="A97" s="66" t="s">
        <v>285</v>
      </c>
      <c r="B97" s="66" t="s">
        <v>285</v>
      </c>
      <c r="C97" s="67"/>
      <c r="D97" s="68"/>
      <c r="E97" s="69"/>
      <c r="F97" s="70"/>
      <c r="G97" s="67"/>
      <c r="H97" s="71"/>
      <c r="I97" s="72"/>
      <c r="J97" s="72"/>
      <c r="K97" s="36"/>
      <c r="L97" s="79"/>
      <c r="M97" s="79"/>
      <c r="N97" s="74"/>
      <c r="O97" s="81" t="s">
        <v>179</v>
      </c>
      <c r="P97" s="83">
        <v>44457.537604166668</v>
      </c>
      <c r="Q97" s="81" t="s">
        <v>1209</v>
      </c>
      <c r="R97" s="81"/>
      <c r="S97" s="81"/>
      <c r="T97" s="81"/>
      <c r="U97" s="85" t="str">
        <f>HYPERLINK("https://pbs.twimg.com/media/E_ka53YUcAI5YAw.jpg")</f>
        <v>https://pbs.twimg.com/media/E_ka53YUcAI5YAw.jpg</v>
      </c>
      <c r="V97" s="85" t="str">
        <f>HYPERLINK("https://pbs.twimg.com/media/E_ka53YUcAI5YAw.jpg")</f>
        <v>https://pbs.twimg.com/media/E_ka53YUcAI5YAw.jpg</v>
      </c>
      <c r="W97" s="83">
        <v>44457.537604166668</v>
      </c>
      <c r="X97" s="89">
        <v>44457</v>
      </c>
      <c r="Y97" s="87" t="s">
        <v>1868</v>
      </c>
      <c r="Z97" s="85" t="str">
        <f>HYPERLINK("https://twitter.com/gnfi/status/1439211141125664774")</f>
        <v>https://twitter.com/gnfi/status/1439211141125664774</v>
      </c>
      <c r="AA97" s="81"/>
      <c r="AB97" s="81"/>
      <c r="AC97" s="87" t="s">
        <v>2790</v>
      </c>
      <c r="AD97" s="87" t="s">
        <v>3672</v>
      </c>
      <c r="AE97" s="81" t="b">
        <v>0</v>
      </c>
      <c r="AF97" s="81">
        <v>5</v>
      </c>
      <c r="AG97" s="87" t="s">
        <v>3907</v>
      </c>
      <c r="AH97" s="81" t="b">
        <v>0</v>
      </c>
      <c r="AI97" s="81" t="s">
        <v>4092</v>
      </c>
      <c r="AJ97" s="81"/>
      <c r="AK97" s="87" t="s">
        <v>3875</v>
      </c>
      <c r="AL97" s="81" t="b">
        <v>0</v>
      </c>
      <c r="AM97" s="81">
        <v>3</v>
      </c>
      <c r="AN97" s="87" t="s">
        <v>3875</v>
      </c>
      <c r="AO97" s="87" t="s">
        <v>4109</v>
      </c>
      <c r="AP97" s="81" t="b">
        <v>0</v>
      </c>
      <c r="AQ97" s="87" t="s">
        <v>3672</v>
      </c>
      <c r="AR97" s="81" t="s">
        <v>1205</v>
      </c>
      <c r="AS97" s="81">
        <v>0</v>
      </c>
      <c r="AT97" s="81">
        <v>0</v>
      </c>
      <c r="AU97" s="81"/>
      <c r="AV97" s="81"/>
      <c r="AW97" s="81"/>
      <c r="AX97" s="81"/>
      <c r="AY97" s="81"/>
      <c r="AZ97" s="81"/>
      <c r="BA97" s="81"/>
      <c r="BB97" s="81"/>
    </row>
    <row r="98" spans="1:54" x14ac:dyDescent="0.35">
      <c r="A98" s="66" t="s">
        <v>285</v>
      </c>
      <c r="B98" s="66" t="s">
        <v>285</v>
      </c>
      <c r="C98" s="67"/>
      <c r="D98" s="68"/>
      <c r="E98" s="69"/>
      <c r="F98" s="70"/>
      <c r="G98" s="67"/>
      <c r="H98" s="71"/>
      <c r="I98" s="72"/>
      <c r="J98" s="72"/>
      <c r="K98" s="36"/>
      <c r="L98" s="79"/>
      <c r="M98" s="79"/>
      <c r="N98" s="74"/>
      <c r="O98" s="81" t="s">
        <v>179</v>
      </c>
      <c r="P98" s="83">
        <v>44459.149074074077</v>
      </c>
      <c r="Q98" s="81" t="s">
        <v>1273</v>
      </c>
      <c r="R98" s="81"/>
      <c r="S98" s="81"/>
      <c r="T98" s="81"/>
      <c r="U98" s="81"/>
      <c r="V98" s="85" t="str">
        <f>HYPERLINK("https://pbs.twimg.com/profile_images/1380559316999008259/YCIKEY2t_normal.jpg")</f>
        <v>https://pbs.twimg.com/profile_images/1380559316999008259/YCIKEY2t_normal.jpg</v>
      </c>
      <c r="W98" s="83">
        <v>44459.149074074077</v>
      </c>
      <c r="X98" s="89">
        <v>44459</v>
      </c>
      <c r="Y98" s="87" t="s">
        <v>1869</v>
      </c>
      <c r="Z98" s="85" t="str">
        <f>HYPERLINK("https://twitter.com/gnfi/status/1439795117062180866")</f>
        <v>https://twitter.com/gnfi/status/1439795117062180866</v>
      </c>
      <c r="AA98" s="81"/>
      <c r="AB98" s="81"/>
      <c r="AC98" s="87" t="s">
        <v>2791</v>
      </c>
      <c r="AD98" s="87" t="s">
        <v>3673</v>
      </c>
      <c r="AE98" s="81" t="b">
        <v>0</v>
      </c>
      <c r="AF98" s="81">
        <v>1</v>
      </c>
      <c r="AG98" s="87" t="s">
        <v>3907</v>
      </c>
      <c r="AH98" s="81" t="b">
        <v>0</v>
      </c>
      <c r="AI98" s="81" t="s">
        <v>4092</v>
      </c>
      <c r="AJ98" s="81"/>
      <c r="AK98" s="87" t="s">
        <v>3875</v>
      </c>
      <c r="AL98" s="81" t="b">
        <v>0</v>
      </c>
      <c r="AM98" s="81">
        <v>0</v>
      </c>
      <c r="AN98" s="87" t="s">
        <v>3875</v>
      </c>
      <c r="AO98" s="87" t="s">
        <v>4109</v>
      </c>
      <c r="AP98" s="81" t="b">
        <v>0</v>
      </c>
      <c r="AQ98" s="87" t="s">
        <v>3673</v>
      </c>
      <c r="AR98" s="81" t="s">
        <v>179</v>
      </c>
      <c r="AS98" s="81">
        <v>0</v>
      </c>
      <c r="AT98" s="81">
        <v>0</v>
      </c>
      <c r="AU98" s="81"/>
      <c r="AV98" s="81"/>
      <c r="AW98" s="81"/>
      <c r="AX98" s="81"/>
      <c r="AY98" s="81"/>
      <c r="AZ98" s="81"/>
      <c r="BA98" s="81"/>
      <c r="BB98" s="81"/>
    </row>
    <row r="99" spans="1:54" x14ac:dyDescent="0.35">
      <c r="A99" s="66" t="s">
        <v>286</v>
      </c>
      <c r="B99" s="66" t="s">
        <v>286</v>
      </c>
      <c r="C99" s="67"/>
      <c r="D99" s="68"/>
      <c r="E99" s="69"/>
      <c r="F99" s="70"/>
      <c r="G99" s="67"/>
      <c r="H99" s="71"/>
      <c r="I99" s="72"/>
      <c r="J99" s="72"/>
      <c r="K99" s="36"/>
      <c r="L99" s="79"/>
      <c r="M99" s="79"/>
      <c r="N99" s="74"/>
      <c r="O99" s="81" t="s">
        <v>179</v>
      </c>
      <c r="P99" s="83">
        <v>44459.163483796299</v>
      </c>
      <c r="Q99" s="81" t="s">
        <v>1274</v>
      </c>
      <c r="R99" s="81"/>
      <c r="S99" s="81"/>
      <c r="T99" s="81"/>
      <c r="U99" s="81"/>
      <c r="V99" s="85" t="str">
        <f>HYPERLINK("https://pbs.twimg.com/profile_images/1291239829401788416/HrwKkbBw_normal.jpg")</f>
        <v>https://pbs.twimg.com/profile_images/1291239829401788416/HrwKkbBw_normal.jpg</v>
      </c>
      <c r="W99" s="83">
        <v>44459.163483796299</v>
      </c>
      <c r="X99" s="89">
        <v>44459</v>
      </c>
      <c r="Y99" s="87" t="s">
        <v>1870</v>
      </c>
      <c r="Z99" s="85" t="str">
        <f>HYPERLINK("https://twitter.com/avien_/status/1439800338106617861")</f>
        <v>https://twitter.com/avien_/status/1439800338106617861</v>
      </c>
      <c r="AA99" s="81"/>
      <c r="AB99" s="81"/>
      <c r="AC99" s="87" t="s">
        <v>2792</v>
      </c>
      <c r="AD99" s="81"/>
      <c r="AE99" s="81" t="b">
        <v>0</v>
      </c>
      <c r="AF99" s="81">
        <v>0</v>
      </c>
      <c r="AG99" s="87" t="s">
        <v>3875</v>
      </c>
      <c r="AH99" s="81" t="b">
        <v>0</v>
      </c>
      <c r="AI99" s="81" t="s">
        <v>4092</v>
      </c>
      <c r="AJ99" s="81"/>
      <c r="AK99" s="87" t="s">
        <v>3875</v>
      </c>
      <c r="AL99" s="81" t="b">
        <v>0</v>
      </c>
      <c r="AM99" s="81">
        <v>0</v>
      </c>
      <c r="AN99" s="87" t="s">
        <v>3875</v>
      </c>
      <c r="AO99" s="87" t="s">
        <v>4109</v>
      </c>
      <c r="AP99" s="81" t="b">
        <v>0</v>
      </c>
      <c r="AQ99" s="87" t="s">
        <v>2792</v>
      </c>
      <c r="AR99" s="81" t="s">
        <v>179</v>
      </c>
      <c r="AS99" s="81">
        <v>0</v>
      </c>
      <c r="AT99" s="81">
        <v>0</v>
      </c>
      <c r="AU99" s="81"/>
      <c r="AV99" s="81"/>
      <c r="AW99" s="81"/>
      <c r="AX99" s="81"/>
      <c r="AY99" s="81"/>
      <c r="AZ99" s="81"/>
      <c r="BA99" s="81"/>
      <c r="BB99" s="81"/>
    </row>
    <row r="100" spans="1:54" x14ac:dyDescent="0.35">
      <c r="A100" s="66" t="s">
        <v>287</v>
      </c>
      <c r="B100" s="66" t="s">
        <v>287</v>
      </c>
      <c r="C100" s="67"/>
      <c r="D100" s="68"/>
      <c r="E100" s="69"/>
      <c r="F100" s="70"/>
      <c r="G100" s="67"/>
      <c r="H100" s="71"/>
      <c r="I100" s="72"/>
      <c r="J100" s="72"/>
      <c r="K100" s="36"/>
      <c r="L100" s="79"/>
      <c r="M100" s="79"/>
      <c r="N100" s="74"/>
      <c r="O100" s="81" t="s">
        <v>179</v>
      </c>
      <c r="P100" s="83">
        <v>44458.441527777781</v>
      </c>
      <c r="Q100" s="81" t="s">
        <v>1275</v>
      </c>
      <c r="R100" s="81"/>
      <c r="S100" s="81"/>
      <c r="T100" s="81"/>
      <c r="U100" s="81"/>
      <c r="V100" s="85" t="str">
        <f>HYPERLINK("https://pbs.twimg.com/profile_images/1442669306551046151/PekugUFP_normal.jpg")</f>
        <v>https://pbs.twimg.com/profile_images/1442669306551046151/PekugUFP_normal.jpg</v>
      </c>
      <c r="W100" s="83">
        <v>44458.441527777781</v>
      </c>
      <c r="X100" s="89">
        <v>44458</v>
      </c>
      <c r="Y100" s="87" t="s">
        <v>1871</v>
      </c>
      <c r="Z100" s="85" t="str">
        <f>HYPERLINK("https://twitter.com/renpiess/status/1439538710513537029")</f>
        <v>https://twitter.com/renpiess/status/1439538710513537029</v>
      </c>
      <c r="AA100" s="81"/>
      <c r="AB100" s="81"/>
      <c r="AC100" s="87" t="s">
        <v>2793</v>
      </c>
      <c r="AD100" s="87" t="s">
        <v>3674</v>
      </c>
      <c r="AE100" s="81" t="b">
        <v>0</v>
      </c>
      <c r="AF100" s="81">
        <v>0</v>
      </c>
      <c r="AG100" s="87" t="s">
        <v>3908</v>
      </c>
      <c r="AH100" s="81" t="b">
        <v>0</v>
      </c>
      <c r="AI100" s="81" t="s">
        <v>4092</v>
      </c>
      <c r="AJ100" s="81"/>
      <c r="AK100" s="87" t="s">
        <v>3875</v>
      </c>
      <c r="AL100" s="81" t="b">
        <v>0</v>
      </c>
      <c r="AM100" s="81">
        <v>0</v>
      </c>
      <c r="AN100" s="87" t="s">
        <v>3875</v>
      </c>
      <c r="AO100" s="87" t="s">
        <v>4109</v>
      </c>
      <c r="AP100" s="81" t="b">
        <v>0</v>
      </c>
      <c r="AQ100" s="87" t="s">
        <v>3674</v>
      </c>
      <c r="AR100" s="81" t="s">
        <v>179</v>
      </c>
      <c r="AS100" s="81">
        <v>0</v>
      </c>
      <c r="AT100" s="81">
        <v>0</v>
      </c>
      <c r="AU100" s="81"/>
      <c r="AV100" s="81"/>
      <c r="AW100" s="81"/>
      <c r="AX100" s="81"/>
      <c r="AY100" s="81"/>
      <c r="AZ100" s="81"/>
      <c r="BA100" s="81"/>
      <c r="BB100" s="81"/>
    </row>
    <row r="101" spans="1:54" x14ac:dyDescent="0.35">
      <c r="A101" s="66" t="s">
        <v>287</v>
      </c>
      <c r="B101" s="66" t="s">
        <v>287</v>
      </c>
      <c r="C101" s="67"/>
      <c r="D101" s="68"/>
      <c r="E101" s="69"/>
      <c r="F101" s="70"/>
      <c r="G101" s="67"/>
      <c r="H101" s="71"/>
      <c r="I101" s="72"/>
      <c r="J101" s="72"/>
      <c r="K101" s="36"/>
      <c r="L101" s="79"/>
      <c r="M101" s="79"/>
      <c r="N101" s="74"/>
      <c r="O101" s="81" t="s">
        <v>179</v>
      </c>
      <c r="P101" s="83">
        <v>44459.194664351853</v>
      </c>
      <c r="Q101" s="81" t="s">
        <v>1276</v>
      </c>
      <c r="R101" s="81"/>
      <c r="S101" s="81"/>
      <c r="T101" s="81"/>
      <c r="U101" s="81"/>
      <c r="V101" s="85" t="str">
        <f>HYPERLINK("https://pbs.twimg.com/profile_images/1442669306551046151/PekugUFP_normal.jpg")</f>
        <v>https://pbs.twimg.com/profile_images/1442669306551046151/PekugUFP_normal.jpg</v>
      </c>
      <c r="W101" s="83">
        <v>44459.194664351853</v>
      </c>
      <c r="X101" s="89">
        <v>44459</v>
      </c>
      <c r="Y101" s="87" t="s">
        <v>1872</v>
      </c>
      <c r="Z101" s="85" t="str">
        <f>HYPERLINK("https://twitter.com/renpiess/status/1439811638379515904")</f>
        <v>https://twitter.com/renpiess/status/1439811638379515904</v>
      </c>
      <c r="AA101" s="81"/>
      <c r="AB101" s="81"/>
      <c r="AC101" s="87" t="s">
        <v>2794</v>
      </c>
      <c r="AD101" s="87" t="s">
        <v>3675</v>
      </c>
      <c r="AE101" s="81" t="b">
        <v>0</v>
      </c>
      <c r="AF101" s="81">
        <v>0</v>
      </c>
      <c r="AG101" s="87" t="s">
        <v>3908</v>
      </c>
      <c r="AH101" s="81" t="b">
        <v>0</v>
      </c>
      <c r="AI101" s="81" t="s">
        <v>4092</v>
      </c>
      <c r="AJ101" s="81"/>
      <c r="AK101" s="87" t="s">
        <v>3875</v>
      </c>
      <c r="AL101" s="81" t="b">
        <v>0</v>
      </c>
      <c r="AM101" s="81">
        <v>0</v>
      </c>
      <c r="AN101" s="87" t="s">
        <v>3875</v>
      </c>
      <c r="AO101" s="87" t="s">
        <v>4109</v>
      </c>
      <c r="AP101" s="81" t="b">
        <v>0</v>
      </c>
      <c r="AQ101" s="87" t="s">
        <v>3675</v>
      </c>
      <c r="AR101" s="81" t="s">
        <v>179</v>
      </c>
      <c r="AS101" s="81">
        <v>0</v>
      </c>
      <c r="AT101" s="81">
        <v>0</v>
      </c>
      <c r="AU101" s="81"/>
      <c r="AV101" s="81"/>
      <c r="AW101" s="81"/>
      <c r="AX101" s="81"/>
      <c r="AY101" s="81"/>
      <c r="AZ101" s="81"/>
      <c r="BA101" s="81"/>
      <c r="BB101" s="81"/>
    </row>
    <row r="102" spans="1:54" x14ac:dyDescent="0.35">
      <c r="A102" s="66" t="s">
        <v>288</v>
      </c>
      <c r="B102" s="66" t="s">
        <v>288</v>
      </c>
      <c r="C102" s="67"/>
      <c r="D102" s="68"/>
      <c r="E102" s="69"/>
      <c r="F102" s="70"/>
      <c r="G102" s="67"/>
      <c r="H102" s="71"/>
      <c r="I102" s="72"/>
      <c r="J102" s="72"/>
      <c r="K102" s="36"/>
      <c r="L102" s="79"/>
      <c r="M102" s="79"/>
      <c r="N102" s="74"/>
      <c r="O102" s="81" t="s">
        <v>179</v>
      </c>
      <c r="P102" s="83">
        <v>44459.198935185188</v>
      </c>
      <c r="Q102" s="81" t="s">
        <v>1277</v>
      </c>
      <c r="R102" s="85" t="str">
        <f>HYPERLINK("https://twitter.com/1085350_nel/status/1376374692789977089")</f>
        <v>https://twitter.com/1085350_nel/status/1376374692789977089</v>
      </c>
      <c r="S102" s="81" t="s">
        <v>1731</v>
      </c>
      <c r="T102" s="81"/>
      <c r="U102" s="81"/>
      <c r="V102" s="85" t="str">
        <f>HYPERLINK("https://pbs.twimg.com/profile_images/1438054388665253889/Dzfs5w0v_normal.jpg")</f>
        <v>https://pbs.twimg.com/profile_images/1438054388665253889/Dzfs5w0v_normal.jpg</v>
      </c>
      <c r="W102" s="83">
        <v>44459.198935185188</v>
      </c>
      <c r="X102" s="89">
        <v>44459</v>
      </c>
      <c r="Y102" s="87" t="s">
        <v>1873</v>
      </c>
      <c r="Z102" s="85" t="str">
        <f>HYPERLINK("https://twitter.com/1085350_nel/status/1439813186161577985")</f>
        <v>https://twitter.com/1085350_nel/status/1439813186161577985</v>
      </c>
      <c r="AA102" s="81"/>
      <c r="AB102" s="81"/>
      <c r="AC102" s="87" t="s">
        <v>2795</v>
      </c>
      <c r="AD102" s="81"/>
      <c r="AE102" s="81" t="b">
        <v>0</v>
      </c>
      <c r="AF102" s="81">
        <v>0</v>
      </c>
      <c r="AG102" s="87" t="s">
        <v>3875</v>
      </c>
      <c r="AH102" s="81" t="b">
        <v>1</v>
      </c>
      <c r="AI102" s="81" t="s">
        <v>4092</v>
      </c>
      <c r="AJ102" s="81"/>
      <c r="AK102" s="87" t="s">
        <v>4099</v>
      </c>
      <c r="AL102" s="81" t="b">
        <v>0</v>
      </c>
      <c r="AM102" s="81">
        <v>0</v>
      </c>
      <c r="AN102" s="87" t="s">
        <v>3875</v>
      </c>
      <c r="AO102" s="87" t="s">
        <v>4109</v>
      </c>
      <c r="AP102" s="81" t="b">
        <v>0</v>
      </c>
      <c r="AQ102" s="87" t="s">
        <v>2795</v>
      </c>
      <c r="AR102" s="81" t="s">
        <v>179</v>
      </c>
      <c r="AS102" s="81">
        <v>0</v>
      </c>
      <c r="AT102" s="81">
        <v>0</v>
      </c>
      <c r="AU102" s="81"/>
      <c r="AV102" s="81"/>
      <c r="AW102" s="81"/>
      <c r="AX102" s="81"/>
      <c r="AY102" s="81"/>
      <c r="AZ102" s="81"/>
      <c r="BA102" s="81"/>
      <c r="BB102" s="81"/>
    </row>
    <row r="103" spans="1:54" x14ac:dyDescent="0.35">
      <c r="A103" s="66" t="s">
        <v>289</v>
      </c>
      <c r="B103" s="66" t="s">
        <v>1018</v>
      </c>
      <c r="C103" s="67"/>
      <c r="D103" s="68"/>
      <c r="E103" s="69"/>
      <c r="F103" s="70"/>
      <c r="G103" s="67"/>
      <c r="H103" s="71"/>
      <c r="I103" s="72"/>
      <c r="J103" s="72"/>
      <c r="K103" s="36"/>
      <c r="L103" s="79"/>
      <c r="M103" s="79"/>
      <c r="N103" s="74"/>
      <c r="O103" s="81" t="s">
        <v>1208</v>
      </c>
      <c r="P103" s="83">
        <v>44459.221354166664</v>
      </c>
      <c r="Q103" s="81" t="s">
        <v>1278</v>
      </c>
      <c r="R103" s="81"/>
      <c r="S103" s="81"/>
      <c r="T103" s="81"/>
      <c r="U103" s="81"/>
      <c r="V103" s="85" t="str">
        <f>HYPERLINK("https://pbs.twimg.com/profile_images/1428939970908082180/rVWXO--S_normal.jpg")</f>
        <v>https://pbs.twimg.com/profile_images/1428939970908082180/rVWXO--S_normal.jpg</v>
      </c>
      <c r="W103" s="83">
        <v>44459.221354166664</v>
      </c>
      <c r="X103" s="89">
        <v>44459</v>
      </c>
      <c r="Y103" s="87" t="s">
        <v>1874</v>
      </c>
      <c r="Z103" s="85" t="str">
        <f>HYPERLINK("https://twitter.com/wooniversa/status/1439821311014961156")</f>
        <v>https://twitter.com/wooniversa/status/1439821311014961156</v>
      </c>
      <c r="AA103" s="81"/>
      <c r="AB103" s="81"/>
      <c r="AC103" s="87" t="s">
        <v>2796</v>
      </c>
      <c r="AD103" s="87" t="s">
        <v>3676</v>
      </c>
      <c r="AE103" s="81" t="b">
        <v>0</v>
      </c>
      <c r="AF103" s="81">
        <v>0</v>
      </c>
      <c r="AG103" s="87" t="s">
        <v>3909</v>
      </c>
      <c r="AH103" s="81" t="b">
        <v>0</v>
      </c>
      <c r="AI103" s="81" t="s">
        <v>4092</v>
      </c>
      <c r="AJ103" s="81"/>
      <c r="AK103" s="87" t="s">
        <v>3875</v>
      </c>
      <c r="AL103" s="81" t="b">
        <v>0</v>
      </c>
      <c r="AM103" s="81">
        <v>0</v>
      </c>
      <c r="AN103" s="87" t="s">
        <v>3875</v>
      </c>
      <c r="AO103" s="87" t="s">
        <v>4111</v>
      </c>
      <c r="AP103" s="81" t="b">
        <v>0</v>
      </c>
      <c r="AQ103" s="87" t="s">
        <v>3676</v>
      </c>
      <c r="AR103" s="81" t="s">
        <v>179</v>
      </c>
      <c r="AS103" s="81">
        <v>0</v>
      </c>
      <c r="AT103" s="81">
        <v>0</v>
      </c>
      <c r="AU103" s="81"/>
      <c r="AV103" s="81"/>
      <c r="AW103" s="81"/>
      <c r="AX103" s="81"/>
      <c r="AY103" s="81"/>
      <c r="AZ103" s="81"/>
      <c r="BA103" s="81"/>
      <c r="BB103" s="81"/>
    </row>
    <row r="104" spans="1:54" x14ac:dyDescent="0.35">
      <c r="A104" s="66" t="s">
        <v>290</v>
      </c>
      <c r="B104" s="66" t="s">
        <v>290</v>
      </c>
      <c r="C104" s="67"/>
      <c r="D104" s="68"/>
      <c r="E104" s="69"/>
      <c r="F104" s="70"/>
      <c r="G104" s="67"/>
      <c r="H104" s="71"/>
      <c r="I104" s="72"/>
      <c r="J104" s="72"/>
      <c r="K104" s="36"/>
      <c r="L104" s="79"/>
      <c r="M104" s="79"/>
      <c r="N104" s="74"/>
      <c r="O104" s="81" t="s">
        <v>179</v>
      </c>
      <c r="P104" s="83">
        <v>44459.222696759258</v>
      </c>
      <c r="Q104" s="81" t="s">
        <v>1279</v>
      </c>
      <c r="R104" s="81"/>
      <c r="S104" s="81"/>
      <c r="T104" s="87" t="s">
        <v>1762</v>
      </c>
      <c r="U104" s="85" t="str">
        <f>HYPERLINK("https://pbs.twimg.com/media/E_tGRMTVQAEJKjT.jpg")</f>
        <v>https://pbs.twimg.com/media/E_tGRMTVQAEJKjT.jpg</v>
      </c>
      <c r="V104" s="85" t="str">
        <f>HYPERLINK("https://pbs.twimg.com/media/E_tGRMTVQAEJKjT.jpg")</f>
        <v>https://pbs.twimg.com/media/E_tGRMTVQAEJKjT.jpg</v>
      </c>
      <c r="W104" s="83">
        <v>44459.222696759258</v>
      </c>
      <c r="X104" s="89">
        <v>44459</v>
      </c>
      <c r="Y104" s="87" t="s">
        <v>1875</v>
      </c>
      <c r="Z104" s="85" t="str">
        <f>HYPERLINK("https://twitter.com/huans2huans/status/1439821796883111949")</f>
        <v>https://twitter.com/huans2huans/status/1439821796883111949</v>
      </c>
      <c r="AA104" s="81"/>
      <c r="AB104" s="81"/>
      <c r="AC104" s="87" t="s">
        <v>2797</v>
      </c>
      <c r="AD104" s="81"/>
      <c r="AE104" s="81" t="b">
        <v>0</v>
      </c>
      <c r="AF104" s="81">
        <v>0</v>
      </c>
      <c r="AG104" s="87" t="s">
        <v>3875</v>
      </c>
      <c r="AH104" s="81" t="b">
        <v>0</v>
      </c>
      <c r="AI104" s="81" t="s">
        <v>4092</v>
      </c>
      <c r="AJ104" s="81"/>
      <c r="AK104" s="87" t="s">
        <v>3875</v>
      </c>
      <c r="AL104" s="81" t="b">
        <v>0</v>
      </c>
      <c r="AM104" s="81">
        <v>0</v>
      </c>
      <c r="AN104" s="87" t="s">
        <v>3875</v>
      </c>
      <c r="AO104" s="87" t="s">
        <v>4109</v>
      </c>
      <c r="AP104" s="81" t="b">
        <v>0</v>
      </c>
      <c r="AQ104" s="87" t="s">
        <v>2797</v>
      </c>
      <c r="AR104" s="81" t="s">
        <v>179</v>
      </c>
      <c r="AS104" s="81">
        <v>0</v>
      </c>
      <c r="AT104" s="81">
        <v>0</v>
      </c>
      <c r="AU104" s="81" t="s">
        <v>4140</v>
      </c>
      <c r="AV104" s="81" t="s">
        <v>4145</v>
      </c>
      <c r="AW104" s="81" t="s">
        <v>12</v>
      </c>
      <c r="AX104" s="81" t="s">
        <v>4146</v>
      </c>
      <c r="AY104" s="81" t="s">
        <v>4151</v>
      </c>
      <c r="AZ104" s="81" t="s">
        <v>4156</v>
      </c>
      <c r="BA104" s="81" t="s">
        <v>4161</v>
      </c>
      <c r="BB104" s="85" t="str">
        <f>HYPERLINK("https://api.twitter.com/1.1/geo/id/00ce43ecd091a5e8.json")</f>
        <v>https://api.twitter.com/1.1/geo/id/00ce43ecd091a5e8.json</v>
      </c>
    </row>
    <row r="105" spans="1:54" x14ac:dyDescent="0.35">
      <c r="A105" s="66" t="s">
        <v>291</v>
      </c>
      <c r="B105" s="66" t="s">
        <v>1019</v>
      </c>
      <c r="C105" s="67"/>
      <c r="D105" s="68"/>
      <c r="E105" s="69"/>
      <c r="F105" s="70"/>
      <c r="G105" s="67"/>
      <c r="H105" s="71"/>
      <c r="I105" s="72"/>
      <c r="J105" s="72"/>
      <c r="K105" s="36"/>
      <c r="L105" s="79"/>
      <c r="M105" s="79"/>
      <c r="N105" s="74"/>
      <c r="O105" s="81" t="s">
        <v>1208</v>
      </c>
      <c r="P105" s="83">
        <v>44459.223043981481</v>
      </c>
      <c r="Q105" s="81" t="s">
        <v>1280</v>
      </c>
      <c r="R105" s="81"/>
      <c r="S105" s="81"/>
      <c r="T105" s="81"/>
      <c r="U105" s="81"/>
      <c r="V105" s="85" t="str">
        <f>HYPERLINK("https://pbs.twimg.com/profile_images/1438472985061441538/44ttg0xb_normal.jpg")</f>
        <v>https://pbs.twimg.com/profile_images/1438472985061441538/44ttg0xb_normal.jpg</v>
      </c>
      <c r="W105" s="83">
        <v>44459.223043981481</v>
      </c>
      <c r="X105" s="89">
        <v>44459</v>
      </c>
      <c r="Y105" s="87" t="s">
        <v>1876</v>
      </c>
      <c r="Z105" s="85" t="str">
        <f>HYPERLINK("https://twitter.com/baileysjimin/status/1439821923089719301")</f>
        <v>https://twitter.com/baileysjimin/status/1439821923089719301</v>
      </c>
      <c r="AA105" s="81"/>
      <c r="AB105" s="81"/>
      <c r="AC105" s="87" t="s">
        <v>2798</v>
      </c>
      <c r="AD105" s="87" t="s">
        <v>3677</v>
      </c>
      <c r="AE105" s="81" t="b">
        <v>0</v>
      </c>
      <c r="AF105" s="81">
        <v>0</v>
      </c>
      <c r="AG105" s="87" t="s">
        <v>3910</v>
      </c>
      <c r="AH105" s="81" t="b">
        <v>0</v>
      </c>
      <c r="AI105" s="81" t="s">
        <v>4092</v>
      </c>
      <c r="AJ105" s="81"/>
      <c r="AK105" s="87" t="s">
        <v>3875</v>
      </c>
      <c r="AL105" s="81" t="b">
        <v>0</v>
      </c>
      <c r="AM105" s="81">
        <v>0</v>
      </c>
      <c r="AN105" s="87" t="s">
        <v>3875</v>
      </c>
      <c r="AO105" s="87" t="s">
        <v>4110</v>
      </c>
      <c r="AP105" s="81" t="b">
        <v>0</v>
      </c>
      <c r="AQ105" s="87" t="s">
        <v>3677</v>
      </c>
      <c r="AR105" s="81" t="s">
        <v>179</v>
      </c>
      <c r="AS105" s="81">
        <v>0</v>
      </c>
      <c r="AT105" s="81">
        <v>0</v>
      </c>
      <c r="AU105" s="81"/>
      <c r="AV105" s="81"/>
      <c r="AW105" s="81"/>
      <c r="AX105" s="81"/>
      <c r="AY105" s="81"/>
      <c r="AZ105" s="81"/>
      <c r="BA105" s="81"/>
      <c r="BB105" s="81"/>
    </row>
    <row r="106" spans="1:54" x14ac:dyDescent="0.35">
      <c r="A106" s="66" t="s">
        <v>292</v>
      </c>
      <c r="B106" s="66" t="s">
        <v>1019</v>
      </c>
      <c r="C106" s="67"/>
      <c r="D106" s="68"/>
      <c r="E106" s="69"/>
      <c r="F106" s="70"/>
      <c r="G106" s="67"/>
      <c r="H106" s="71"/>
      <c r="I106" s="72"/>
      <c r="J106" s="72"/>
      <c r="K106" s="36"/>
      <c r="L106" s="79"/>
      <c r="M106" s="79"/>
      <c r="N106" s="74"/>
      <c r="O106" s="81" t="s">
        <v>1208</v>
      </c>
      <c r="P106" s="83">
        <v>44459.223425925928</v>
      </c>
      <c r="Q106" s="81" t="s">
        <v>1281</v>
      </c>
      <c r="R106" s="81"/>
      <c r="S106" s="81"/>
      <c r="T106" s="81"/>
      <c r="U106" s="81"/>
      <c r="V106" s="85" t="str">
        <f>HYPERLINK("https://pbs.twimg.com/profile_images/1441435131122651137/k66msB_t_normal.jpg")</f>
        <v>https://pbs.twimg.com/profile_images/1441435131122651137/k66msB_t_normal.jpg</v>
      </c>
      <c r="W106" s="83">
        <v>44459.223425925928</v>
      </c>
      <c r="X106" s="89">
        <v>44459</v>
      </c>
      <c r="Y106" s="87" t="s">
        <v>1877</v>
      </c>
      <c r="Z106" s="85" t="str">
        <f>HYPERLINK("https://twitter.com/jeiyaaddict/status/1439822059765329930")</f>
        <v>https://twitter.com/jeiyaaddict/status/1439822059765329930</v>
      </c>
      <c r="AA106" s="81"/>
      <c r="AB106" s="81"/>
      <c r="AC106" s="87" t="s">
        <v>2799</v>
      </c>
      <c r="AD106" s="87" t="s">
        <v>3677</v>
      </c>
      <c r="AE106" s="81" t="b">
        <v>0</v>
      </c>
      <c r="AF106" s="81">
        <v>0</v>
      </c>
      <c r="AG106" s="87" t="s">
        <v>3910</v>
      </c>
      <c r="AH106" s="81" t="b">
        <v>0</v>
      </c>
      <c r="AI106" s="81" t="s">
        <v>4092</v>
      </c>
      <c r="AJ106" s="81"/>
      <c r="AK106" s="87" t="s">
        <v>3875</v>
      </c>
      <c r="AL106" s="81" t="b">
        <v>0</v>
      </c>
      <c r="AM106" s="81">
        <v>0</v>
      </c>
      <c r="AN106" s="87" t="s">
        <v>3875</v>
      </c>
      <c r="AO106" s="87" t="s">
        <v>4109</v>
      </c>
      <c r="AP106" s="81" t="b">
        <v>0</v>
      </c>
      <c r="AQ106" s="87" t="s">
        <v>3677</v>
      </c>
      <c r="AR106" s="81" t="s">
        <v>179</v>
      </c>
      <c r="AS106" s="81">
        <v>0</v>
      </c>
      <c r="AT106" s="81">
        <v>0</v>
      </c>
      <c r="AU106" s="81"/>
      <c r="AV106" s="81"/>
      <c r="AW106" s="81"/>
      <c r="AX106" s="81"/>
      <c r="AY106" s="81"/>
      <c r="AZ106" s="81"/>
      <c r="BA106" s="81"/>
      <c r="BB106" s="81"/>
    </row>
    <row r="107" spans="1:54" x14ac:dyDescent="0.35">
      <c r="A107" s="66" t="s">
        <v>293</v>
      </c>
      <c r="B107" s="66" t="s">
        <v>293</v>
      </c>
      <c r="C107" s="67"/>
      <c r="D107" s="68"/>
      <c r="E107" s="69"/>
      <c r="F107" s="70"/>
      <c r="G107" s="67"/>
      <c r="H107" s="71"/>
      <c r="I107" s="72"/>
      <c r="J107" s="72"/>
      <c r="K107" s="36"/>
      <c r="L107" s="79"/>
      <c r="M107" s="79"/>
      <c r="N107" s="74"/>
      <c r="O107" s="81" t="s">
        <v>179</v>
      </c>
      <c r="P107" s="83">
        <v>44459.225462962961</v>
      </c>
      <c r="Q107" s="81" t="s">
        <v>1282</v>
      </c>
      <c r="R107" s="85" t="str">
        <f>HYPERLINK("https://www.instagram.com/p/CUCBdt1hlzY/?utm_medium=twitter")</f>
        <v>https://www.instagram.com/p/CUCBdt1hlzY/?utm_medium=twitter</v>
      </c>
      <c r="S107" s="81" t="s">
        <v>1736</v>
      </c>
      <c r="T107" s="81"/>
      <c r="U107" s="81"/>
      <c r="V107" s="85" t="str">
        <f>HYPERLINK("https://pbs.twimg.com/profile_images/927482568617861120/5_nnVg7T_normal.jpg")</f>
        <v>https://pbs.twimg.com/profile_images/927482568617861120/5_nnVg7T_normal.jpg</v>
      </c>
      <c r="W107" s="83">
        <v>44459.225462962961</v>
      </c>
      <c r="X107" s="89">
        <v>44459</v>
      </c>
      <c r="Y107" s="87" t="s">
        <v>1878</v>
      </c>
      <c r="Z107" s="85" t="str">
        <f>HYPERLINK("https://twitter.com/gyujinteppan/status/1439822798902345728")</f>
        <v>https://twitter.com/gyujinteppan/status/1439822798902345728</v>
      </c>
      <c r="AA107" s="81"/>
      <c r="AB107" s="81"/>
      <c r="AC107" s="87" t="s">
        <v>2800</v>
      </c>
      <c r="AD107" s="81"/>
      <c r="AE107" s="81" t="b">
        <v>0</v>
      </c>
      <c r="AF107" s="81">
        <v>0</v>
      </c>
      <c r="AG107" s="87" t="s">
        <v>3875</v>
      </c>
      <c r="AH107" s="81" t="b">
        <v>0</v>
      </c>
      <c r="AI107" s="81" t="s">
        <v>4093</v>
      </c>
      <c r="AJ107" s="81"/>
      <c r="AK107" s="87" t="s">
        <v>3875</v>
      </c>
      <c r="AL107" s="81" t="b">
        <v>0</v>
      </c>
      <c r="AM107" s="81">
        <v>0</v>
      </c>
      <c r="AN107" s="87" t="s">
        <v>3875</v>
      </c>
      <c r="AO107" s="87" t="s">
        <v>4117</v>
      </c>
      <c r="AP107" s="81" t="b">
        <v>0</v>
      </c>
      <c r="AQ107" s="87" t="s">
        <v>2800</v>
      </c>
      <c r="AR107" s="81" t="s">
        <v>179</v>
      </c>
      <c r="AS107" s="81">
        <v>0</v>
      </c>
      <c r="AT107" s="81">
        <v>0</v>
      </c>
      <c r="AU107" s="81"/>
      <c r="AV107" s="81"/>
      <c r="AW107" s="81"/>
      <c r="AX107" s="81"/>
      <c r="AY107" s="81"/>
      <c r="AZ107" s="81"/>
      <c r="BA107" s="81"/>
      <c r="BB107" s="81"/>
    </row>
    <row r="108" spans="1:54" x14ac:dyDescent="0.35">
      <c r="A108" s="66" t="s">
        <v>294</v>
      </c>
      <c r="B108" s="66" t="s">
        <v>1010</v>
      </c>
      <c r="C108" s="67"/>
      <c r="D108" s="68"/>
      <c r="E108" s="69"/>
      <c r="F108" s="70"/>
      <c r="G108" s="67"/>
      <c r="H108" s="71"/>
      <c r="I108" s="72"/>
      <c r="J108" s="72"/>
      <c r="K108" s="36"/>
      <c r="L108" s="79"/>
      <c r="M108" s="79"/>
      <c r="N108" s="74"/>
      <c r="O108" s="81" t="s">
        <v>1207</v>
      </c>
      <c r="P108" s="83">
        <v>44459.237615740742</v>
      </c>
      <c r="Q108" s="81" t="s">
        <v>1248</v>
      </c>
      <c r="R108" s="85" t="str">
        <f>HYPERLINK("https://kerjha.com/pos-indonesia-gandeng-nujek-dan-perkenalkan-o-ranger-mawar/")</f>
        <v>https://kerjha.com/pos-indonesia-gandeng-nujek-dan-perkenalkan-o-ranger-mawar/</v>
      </c>
      <c r="S108" s="81" t="s">
        <v>1735</v>
      </c>
      <c r="T108" s="81"/>
      <c r="U108" s="81"/>
      <c r="V108" s="85" t="str">
        <f>HYPERLINK("https://pbs.twimg.com/profile_images/1423887272961662977/2nk6BCCD_normal.jpg")</f>
        <v>https://pbs.twimg.com/profile_images/1423887272961662977/2nk6BCCD_normal.jpg</v>
      </c>
      <c r="W108" s="83">
        <v>44459.237615740742</v>
      </c>
      <c r="X108" s="89">
        <v>44459</v>
      </c>
      <c r="Y108" s="87" t="s">
        <v>1879</v>
      </c>
      <c r="Z108" s="85" t="str">
        <f>HYPERLINK("https://twitter.com/ranisor/status/1439827202049073158")</f>
        <v>https://twitter.com/ranisor/status/1439827202049073158</v>
      </c>
      <c r="AA108" s="81"/>
      <c r="AB108" s="81"/>
      <c r="AC108" s="87" t="s">
        <v>2801</v>
      </c>
      <c r="AD108" s="81"/>
      <c r="AE108" s="81" t="b">
        <v>0</v>
      </c>
      <c r="AF108" s="81">
        <v>0</v>
      </c>
      <c r="AG108" s="87" t="s">
        <v>3875</v>
      </c>
      <c r="AH108" s="81" t="b">
        <v>0</v>
      </c>
      <c r="AI108" s="81" t="s">
        <v>4092</v>
      </c>
      <c r="AJ108" s="81"/>
      <c r="AK108" s="87" t="s">
        <v>3875</v>
      </c>
      <c r="AL108" s="81" t="b">
        <v>0</v>
      </c>
      <c r="AM108" s="81">
        <v>10</v>
      </c>
      <c r="AN108" s="87" t="s">
        <v>2886</v>
      </c>
      <c r="AO108" s="87" t="s">
        <v>4109</v>
      </c>
      <c r="AP108" s="81" t="b">
        <v>0</v>
      </c>
      <c r="AQ108" s="87" t="s">
        <v>2886</v>
      </c>
      <c r="AR108" s="81" t="s">
        <v>179</v>
      </c>
      <c r="AS108" s="81">
        <v>0</v>
      </c>
      <c r="AT108" s="81">
        <v>0</v>
      </c>
      <c r="AU108" s="81"/>
      <c r="AV108" s="81"/>
      <c r="AW108" s="81"/>
      <c r="AX108" s="81"/>
      <c r="AY108" s="81"/>
      <c r="AZ108" s="81"/>
      <c r="BA108" s="81"/>
      <c r="BB108" s="81"/>
    </row>
    <row r="109" spans="1:54" x14ac:dyDescent="0.35">
      <c r="A109" s="66" t="s">
        <v>294</v>
      </c>
      <c r="B109" s="66" t="s">
        <v>375</v>
      </c>
      <c r="C109" s="67"/>
      <c r="D109" s="68"/>
      <c r="E109" s="69"/>
      <c r="F109" s="70"/>
      <c r="G109" s="67"/>
      <c r="H109" s="71"/>
      <c r="I109" s="72"/>
      <c r="J109" s="72"/>
      <c r="K109" s="36"/>
      <c r="L109" s="79"/>
      <c r="M109" s="79"/>
      <c r="N109" s="74"/>
      <c r="O109" s="81" t="s">
        <v>1205</v>
      </c>
      <c r="P109" s="83">
        <v>44459.237615740742</v>
      </c>
      <c r="Q109" s="81" t="s">
        <v>1248</v>
      </c>
      <c r="R109" s="85" t="str">
        <f>HYPERLINK("https://kerjha.com/pos-indonesia-gandeng-nujek-dan-perkenalkan-o-ranger-mawar/")</f>
        <v>https://kerjha.com/pos-indonesia-gandeng-nujek-dan-perkenalkan-o-ranger-mawar/</v>
      </c>
      <c r="S109" s="81" t="s">
        <v>1735</v>
      </c>
      <c r="T109" s="81"/>
      <c r="U109" s="81"/>
      <c r="V109" s="85" t="str">
        <f>HYPERLINK("https://pbs.twimg.com/profile_images/1423887272961662977/2nk6BCCD_normal.jpg")</f>
        <v>https://pbs.twimg.com/profile_images/1423887272961662977/2nk6BCCD_normal.jpg</v>
      </c>
      <c r="W109" s="83">
        <v>44459.237615740742</v>
      </c>
      <c r="X109" s="89">
        <v>44459</v>
      </c>
      <c r="Y109" s="87" t="s">
        <v>1879</v>
      </c>
      <c r="Z109" s="85" t="str">
        <f>HYPERLINK("https://twitter.com/ranisor/status/1439827202049073158")</f>
        <v>https://twitter.com/ranisor/status/1439827202049073158</v>
      </c>
      <c r="AA109" s="81"/>
      <c r="AB109" s="81"/>
      <c r="AC109" s="87" t="s">
        <v>2801</v>
      </c>
      <c r="AD109" s="81"/>
      <c r="AE109" s="81" t="b">
        <v>0</v>
      </c>
      <c r="AF109" s="81">
        <v>0</v>
      </c>
      <c r="AG109" s="87" t="s">
        <v>3875</v>
      </c>
      <c r="AH109" s="81" t="b">
        <v>0</v>
      </c>
      <c r="AI109" s="81" t="s">
        <v>4092</v>
      </c>
      <c r="AJ109" s="81"/>
      <c r="AK109" s="87" t="s">
        <v>3875</v>
      </c>
      <c r="AL109" s="81" t="b">
        <v>0</v>
      </c>
      <c r="AM109" s="81">
        <v>10</v>
      </c>
      <c r="AN109" s="87" t="s">
        <v>2886</v>
      </c>
      <c r="AO109" s="87" t="s">
        <v>4109</v>
      </c>
      <c r="AP109" s="81" t="b">
        <v>0</v>
      </c>
      <c r="AQ109" s="87" t="s">
        <v>2886</v>
      </c>
      <c r="AR109" s="81" t="s">
        <v>179</v>
      </c>
      <c r="AS109" s="81">
        <v>0</v>
      </c>
      <c r="AT109" s="81">
        <v>0</v>
      </c>
      <c r="AU109" s="81"/>
      <c r="AV109" s="81"/>
      <c r="AW109" s="81"/>
      <c r="AX109" s="81"/>
      <c r="AY109" s="81"/>
      <c r="AZ109" s="81"/>
      <c r="BA109" s="81"/>
      <c r="BB109" s="81"/>
    </row>
    <row r="110" spans="1:54" x14ac:dyDescent="0.35">
      <c r="A110" s="66" t="s">
        <v>295</v>
      </c>
      <c r="B110" s="66" t="s">
        <v>1020</v>
      </c>
      <c r="C110" s="67"/>
      <c r="D110" s="68"/>
      <c r="E110" s="69"/>
      <c r="F110" s="70"/>
      <c r="G110" s="67"/>
      <c r="H110" s="71"/>
      <c r="I110" s="72"/>
      <c r="J110" s="72"/>
      <c r="K110" s="36"/>
      <c r="L110" s="79"/>
      <c r="M110" s="79"/>
      <c r="N110" s="74"/>
      <c r="O110" s="81" t="s">
        <v>1206</v>
      </c>
      <c r="P110" s="83">
        <v>44459.238020833334</v>
      </c>
      <c r="Q110" s="81" t="s">
        <v>1283</v>
      </c>
      <c r="R110" s="81"/>
      <c r="S110" s="81"/>
      <c r="T110" s="81"/>
      <c r="U110" s="81"/>
      <c r="V110" s="85" t="str">
        <f>HYPERLINK("https://pbs.twimg.com/profile_images/1434440887958786051/E0XVTLac_normal.jpg")</f>
        <v>https://pbs.twimg.com/profile_images/1434440887958786051/E0XVTLac_normal.jpg</v>
      </c>
      <c r="W110" s="83">
        <v>44459.238020833334</v>
      </c>
      <c r="X110" s="89">
        <v>44459</v>
      </c>
      <c r="Y110" s="87" t="s">
        <v>1880</v>
      </c>
      <c r="Z110" s="85" t="str">
        <f>HYPERLINK("https://twitter.com/ichsaaannnnn/status/1439827349638242305")</f>
        <v>https://twitter.com/ichsaaannnnn/status/1439827349638242305</v>
      </c>
      <c r="AA110" s="81"/>
      <c r="AB110" s="81"/>
      <c r="AC110" s="87" t="s">
        <v>2802</v>
      </c>
      <c r="AD110" s="87" t="s">
        <v>3678</v>
      </c>
      <c r="AE110" s="81" t="b">
        <v>0</v>
      </c>
      <c r="AF110" s="81">
        <v>1</v>
      </c>
      <c r="AG110" s="87" t="s">
        <v>3911</v>
      </c>
      <c r="AH110" s="81" t="b">
        <v>0</v>
      </c>
      <c r="AI110" s="81" t="s">
        <v>4092</v>
      </c>
      <c r="AJ110" s="81"/>
      <c r="AK110" s="87" t="s">
        <v>3875</v>
      </c>
      <c r="AL110" s="81" t="b">
        <v>0</v>
      </c>
      <c r="AM110" s="81">
        <v>0</v>
      </c>
      <c r="AN110" s="87" t="s">
        <v>3875</v>
      </c>
      <c r="AO110" s="87" t="s">
        <v>4109</v>
      </c>
      <c r="AP110" s="81" t="b">
        <v>0</v>
      </c>
      <c r="AQ110" s="87" t="s">
        <v>3678</v>
      </c>
      <c r="AR110" s="81" t="s">
        <v>179</v>
      </c>
      <c r="AS110" s="81">
        <v>0</v>
      </c>
      <c r="AT110" s="81">
        <v>0</v>
      </c>
      <c r="AU110" s="81"/>
      <c r="AV110" s="81"/>
      <c r="AW110" s="81"/>
      <c r="AX110" s="81"/>
      <c r="AY110" s="81"/>
      <c r="AZ110" s="81"/>
      <c r="BA110" s="81"/>
      <c r="BB110" s="81"/>
    </row>
    <row r="111" spans="1:54" x14ac:dyDescent="0.35">
      <c r="A111" s="66" t="s">
        <v>295</v>
      </c>
      <c r="B111" s="66" t="s">
        <v>1021</v>
      </c>
      <c r="C111" s="67"/>
      <c r="D111" s="68"/>
      <c r="E111" s="69"/>
      <c r="F111" s="70"/>
      <c r="G111" s="67"/>
      <c r="H111" s="71"/>
      <c r="I111" s="72"/>
      <c r="J111" s="72"/>
      <c r="K111" s="36"/>
      <c r="L111" s="79"/>
      <c r="M111" s="79"/>
      <c r="N111" s="74"/>
      <c r="O111" s="81" t="s">
        <v>1206</v>
      </c>
      <c r="P111" s="83">
        <v>44459.238020833334</v>
      </c>
      <c r="Q111" s="81" t="s">
        <v>1283</v>
      </c>
      <c r="R111" s="81"/>
      <c r="S111" s="81"/>
      <c r="T111" s="81"/>
      <c r="U111" s="81"/>
      <c r="V111" s="85" t="str">
        <f>HYPERLINK("https://pbs.twimg.com/profile_images/1434440887958786051/E0XVTLac_normal.jpg")</f>
        <v>https://pbs.twimg.com/profile_images/1434440887958786051/E0XVTLac_normal.jpg</v>
      </c>
      <c r="W111" s="83">
        <v>44459.238020833334</v>
      </c>
      <c r="X111" s="89">
        <v>44459</v>
      </c>
      <c r="Y111" s="87" t="s">
        <v>1880</v>
      </c>
      <c r="Z111" s="85" t="str">
        <f>HYPERLINK("https://twitter.com/ichsaaannnnn/status/1439827349638242305")</f>
        <v>https://twitter.com/ichsaaannnnn/status/1439827349638242305</v>
      </c>
      <c r="AA111" s="81"/>
      <c r="AB111" s="81"/>
      <c r="AC111" s="87" t="s">
        <v>2802</v>
      </c>
      <c r="AD111" s="87" t="s">
        <v>3678</v>
      </c>
      <c r="AE111" s="81" t="b">
        <v>0</v>
      </c>
      <c r="AF111" s="81">
        <v>1</v>
      </c>
      <c r="AG111" s="87" t="s">
        <v>3911</v>
      </c>
      <c r="AH111" s="81" t="b">
        <v>0</v>
      </c>
      <c r="AI111" s="81" t="s">
        <v>4092</v>
      </c>
      <c r="AJ111" s="81"/>
      <c r="AK111" s="87" t="s">
        <v>3875</v>
      </c>
      <c r="AL111" s="81" t="b">
        <v>0</v>
      </c>
      <c r="AM111" s="81">
        <v>0</v>
      </c>
      <c r="AN111" s="87" t="s">
        <v>3875</v>
      </c>
      <c r="AO111" s="87" t="s">
        <v>4109</v>
      </c>
      <c r="AP111" s="81" t="b">
        <v>0</v>
      </c>
      <c r="AQ111" s="87" t="s">
        <v>3678</v>
      </c>
      <c r="AR111" s="81" t="s">
        <v>179</v>
      </c>
      <c r="AS111" s="81">
        <v>0</v>
      </c>
      <c r="AT111" s="81">
        <v>0</v>
      </c>
      <c r="AU111" s="81"/>
      <c r="AV111" s="81"/>
      <c r="AW111" s="81"/>
      <c r="AX111" s="81"/>
      <c r="AY111" s="81"/>
      <c r="AZ111" s="81"/>
      <c r="BA111" s="81"/>
      <c r="BB111" s="81"/>
    </row>
    <row r="112" spans="1:54" x14ac:dyDescent="0.35">
      <c r="A112" s="66" t="s">
        <v>295</v>
      </c>
      <c r="B112" s="66" t="s">
        <v>1022</v>
      </c>
      <c r="C112" s="67"/>
      <c r="D112" s="68"/>
      <c r="E112" s="69"/>
      <c r="F112" s="70"/>
      <c r="G112" s="67"/>
      <c r="H112" s="71"/>
      <c r="I112" s="72"/>
      <c r="J112" s="72"/>
      <c r="K112" s="36"/>
      <c r="L112" s="79"/>
      <c r="M112" s="79"/>
      <c r="N112" s="74"/>
      <c r="O112" s="81" t="s">
        <v>1206</v>
      </c>
      <c r="P112" s="83">
        <v>44459.238020833334</v>
      </c>
      <c r="Q112" s="81" t="s">
        <v>1283</v>
      </c>
      <c r="R112" s="81"/>
      <c r="S112" s="81"/>
      <c r="T112" s="81"/>
      <c r="U112" s="81"/>
      <c r="V112" s="85" t="str">
        <f>HYPERLINK("https://pbs.twimg.com/profile_images/1434440887958786051/E0XVTLac_normal.jpg")</f>
        <v>https://pbs.twimg.com/profile_images/1434440887958786051/E0XVTLac_normal.jpg</v>
      </c>
      <c r="W112" s="83">
        <v>44459.238020833334</v>
      </c>
      <c r="X112" s="89">
        <v>44459</v>
      </c>
      <c r="Y112" s="87" t="s">
        <v>1880</v>
      </c>
      <c r="Z112" s="85" t="str">
        <f>HYPERLINK("https://twitter.com/ichsaaannnnn/status/1439827349638242305")</f>
        <v>https://twitter.com/ichsaaannnnn/status/1439827349638242305</v>
      </c>
      <c r="AA112" s="81"/>
      <c r="AB112" s="81"/>
      <c r="AC112" s="87" t="s">
        <v>2802</v>
      </c>
      <c r="AD112" s="87" t="s">
        <v>3678</v>
      </c>
      <c r="AE112" s="81" t="b">
        <v>0</v>
      </c>
      <c r="AF112" s="81">
        <v>1</v>
      </c>
      <c r="AG112" s="87" t="s">
        <v>3911</v>
      </c>
      <c r="AH112" s="81" t="b">
        <v>0</v>
      </c>
      <c r="AI112" s="81" t="s">
        <v>4092</v>
      </c>
      <c r="AJ112" s="81"/>
      <c r="AK112" s="87" t="s">
        <v>3875</v>
      </c>
      <c r="AL112" s="81" t="b">
        <v>0</v>
      </c>
      <c r="AM112" s="81">
        <v>0</v>
      </c>
      <c r="AN112" s="87" t="s">
        <v>3875</v>
      </c>
      <c r="AO112" s="87" t="s">
        <v>4109</v>
      </c>
      <c r="AP112" s="81" t="b">
        <v>0</v>
      </c>
      <c r="AQ112" s="87" t="s">
        <v>3678</v>
      </c>
      <c r="AR112" s="81" t="s">
        <v>179</v>
      </c>
      <c r="AS112" s="81">
        <v>0</v>
      </c>
      <c r="AT112" s="81">
        <v>0</v>
      </c>
      <c r="AU112" s="81"/>
      <c r="AV112" s="81"/>
      <c r="AW112" s="81"/>
      <c r="AX112" s="81"/>
      <c r="AY112" s="81"/>
      <c r="AZ112" s="81"/>
      <c r="BA112" s="81"/>
      <c r="BB112" s="81"/>
    </row>
    <row r="113" spans="1:54" x14ac:dyDescent="0.35">
      <c r="A113" s="66" t="s">
        <v>295</v>
      </c>
      <c r="B113" s="66" t="s">
        <v>1023</v>
      </c>
      <c r="C113" s="67"/>
      <c r="D113" s="68"/>
      <c r="E113" s="69"/>
      <c r="F113" s="70"/>
      <c r="G113" s="67"/>
      <c r="H113" s="71"/>
      <c r="I113" s="72"/>
      <c r="J113" s="72"/>
      <c r="K113" s="36"/>
      <c r="L113" s="79"/>
      <c r="M113" s="79"/>
      <c r="N113" s="74"/>
      <c r="O113" s="81" t="s">
        <v>1206</v>
      </c>
      <c r="P113" s="83">
        <v>44459.238020833334</v>
      </c>
      <c r="Q113" s="81" t="s">
        <v>1283</v>
      </c>
      <c r="R113" s="81"/>
      <c r="S113" s="81"/>
      <c r="T113" s="81"/>
      <c r="U113" s="81"/>
      <c r="V113" s="85" t="str">
        <f>HYPERLINK("https://pbs.twimg.com/profile_images/1434440887958786051/E0XVTLac_normal.jpg")</f>
        <v>https://pbs.twimg.com/profile_images/1434440887958786051/E0XVTLac_normal.jpg</v>
      </c>
      <c r="W113" s="83">
        <v>44459.238020833334</v>
      </c>
      <c r="X113" s="89">
        <v>44459</v>
      </c>
      <c r="Y113" s="87" t="s">
        <v>1880</v>
      </c>
      <c r="Z113" s="85" t="str">
        <f>HYPERLINK("https://twitter.com/ichsaaannnnn/status/1439827349638242305")</f>
        <v>https://twitter.com/ichsaaannnnn/status/1439827349638242305</v>
      </c>
      <c r="AA113" s="81"/>
      <c r="AB113" s="81"/>
      <c r="AC113" s="87" t="s">
        <v>2802</v>
      </c>
      <c r="AD113" s="87" t="s">
        <v>3678</v>
      </c>
      <c r="AE113" s="81" t="b">
        <v>0</v>
      </c>
      <c r="AF113" s="81">
        <v>1</v>
      </c>
      <c r="AG113" s="87" t="s">
        <v>3911</v>
      </c>
      <c r="AH113" s="81" t="b">
        <v>0</v>
      </c>
      <c r="AI113" s="81" t="s">
        <v>4092</v>
      </c>
      <c r="AJ113" s="81"/>
      <c r="AK113" s="87" t="s">
        <v>3875</v>
      </c>
      <c r="AL113" s="81" t="b">
        <v>0</v>
      </c>
      <c r="AM113" s="81">
        <v>0</v>
      </c>
      <c r="AN113" s="87" t="s">
        <v>3875</v>
      </c>
      <c r="AO113" s="87" t="s">
        <v>4109</v>
      </c>
      <c r="AP113" s="81" t="b">
        <v>0</v>
      </c>
      <c r="AQ113" s="87" t="s">
        <v>3678</v>
      </c>
      <c r="AR113" s="81" t="s">
        <v>179</v>
      </c>
      <c r="AS113" s="81">
        <v>0</v>
      </c>
      <c r="AT113" s="81">
        <v>0</v>
      </c>
      <c r="AU113" s="81"/>
      <c r="AV113" s="81"/>
      <c r="AW113" s="81"/>
      <c r="AX113" s="81"/>
      <c r="AY113" s="81"/>
      <c r="AZ113" s="81"/>
      <c r="BA113" s="81"/>
      <c r="BB113" s="81"/>
    </row>
    <row r="114" spans="1:54" x14ac:dyDescent="0.35">
      <c r="A114" s="66" t="s">
        <v>295</v>
      </c>
      <c r="B114" s="66" t="s">
        <v>1024</v>
      </c>
      <c r="C114" s="67"/>
      <c r="D114" s="68"/>
      <c r="E114" s="69"/>
      <c r="F114" s="70"/>
      <c r="G114" s="67"/>
      <c r="H114" s="71"/>
      <c r="I114" s="72"/>
      <c r="J114" s="72"/>
      <c r="K114" s="36"/>
      <c r="L114" s="79"/>
      <c r="M114" s="79"/>
      <c r="N114" s="74"/>
      <c r="O114" s="81" t="s">
        <v>1206</v>
      </c>
      <c r="P114" s="83">
        <v>44459.238020833334</v>
      </c>
      <c r="Q114" s="81" t="s">
        <v>1283</v>
      </c>
      <c r="R114" s="81"/>
      <c r="S114" s="81"/>
      <c r="T114" s="81"/>
      <c r="U114" s="81"/>
      <c r="V114" s="85" t="str">
        <f>HYPERLINK("https://pbs.twimg.com/profile_images/1434440887958786051/E0XVTLac_normal.jpg")</f>
        <v>https://pbs.twimg.com/profile_images/1434440887958786051/E0XVTLac_normal.jpg</v>
      </c>
      <c r="W114" s="83">
        <v>44459.238020833334</v>
      </c>
      <c r="X114" s="89">
        <v>44459</v>
      </c>
      <c r="Y114" s="87" t="s">
        <v>1880</v>
      </c>
      <c r="Z114" s="85" t="str">
        <f>HYPERLINK("https://twitter.com/ichsaaannnnn/status/1439827349638242305")</f>
        <v>https://twitter.com/ichsaaannnnn/status/1439827349638242305</v>
      </c>
      <c r="AA114" s="81"/>
      <c r="AB114" s="81"/>
      <c r="AC114" s="87" t="s">
        <v>2802</v>
      </c>
      <c r="AD114" s="87" t="s">
        <v>3678</v>
      </c>
      <c r="AE114" s="81" t="b">
        <v>0</v>
      </c>
      <c r="AF114" s="81">
        <v>1</v>
      </c>
      <c r="AG114" s="87" t="s">
        <v>3911</v>
      </c>
      <c r="AH114" s="81" t="b">
        <v>0</v>
      </c>
      <c r="AI114" s="81" t="s">
        <v>4092</v>
      </c>
      <c r="AJ114" s="81"/>
      <c r="AK114" s="87" t="s">
        <v>3875</v>
      </c>
      <c r="AL114" s="81" t="b">
        <v>0</v>
      </c>
      <c r="AM114" s="81">
        <v>0</v>
      </c>
      <c r="AN114" s="87" t="s">
        <v>3875</v>
      </c>
      <c r="AO114" s="87" t="s">
        <v>4109</v>
      </c>
      <c r="AP114" s="81" t="b">
        <v>0</v>
      </c>
      <c r="AQ114" s="87" t="s">
        <v>3678</v>
      </c>
      <c r="AR114" s="81" t="s">
        <v>179</v>
      </c>
      <c r="AS114" s="81">
        <v>0</v>
      </c>
      <c r="AT114" s="81">
        <v>0</v>
      </c>
      <c r="AU114" s="81"/>
      <c r="AV114" s="81"/>
      <c r="AW114" s="81"/>
      <c r="AX114" s="81"/>
      <c r="AY114" s="81"/>
      <c r="AZ114" s="81"/>
      <c r="BA114" s="81"/>
      <c r="BB114" s="81"/>
    </row>
    <row r="115" spans="1:54" x14ac:dyDescent="0.35">
      <c r="A115" s="66" t="s">
        <v>295</v>
      </c>
      <c r="B115" s="66" t="s">
        <v>1025</v>
      </c>
      <c r="C115" s="67"/>
      <c r="D115" s="68"/>
      <c r="E115" s="69"/>
      <c r="F115" s="70"/>
      <c r="G115" s="67"/>
      <c r="H115" s="71"/>
      <c r="I115" s="72"/>
      <c r="J115" s="72"/>
      <c r="K115" s="36"/>
      <c r="L115" s="79"/>
      <c r="M115" s="79"/>
      <c r="N115" s="74"/>
      <c r="O115" s="81" t="s">
        <v>1206</v>
      </c>
      <c r="P115" s="83">
        <v>44459.238020833334</v>
      </c>
      <c r="Q115" s="81" t="s">
        <v>1283</v>
      </c>
      <c r="R115" s="81"/>
      <c r="S115" s="81"/>
      <c r="T115" s="81"/>
      <c r="U115" s="81"/>
      <c r="V115" s="85" t="str">
        <f>HYPERLINK("https://pbs.twimg.com/profile_images/1434440887958786051/E0XVTLac_normal.jpg")</f>
        <v>https://pbs.twimg.com/profile_images/1434440887958786051/E0XVTLac_normal.jpg</v>
      </c>
      <c r="W115" s="83">
        <v>44459.238020833334</v>
      </c>
      <c r="X115" s="89">
        <v>44459</v>
      </c>
      <c r="Y115" s="87" t="s">
        <v>1880</v>
      </c>
      <c r="Z115" s="85" t="str">
        <f>HYPERLINK("https://twitter.com/ichsaaannnnn/status/1439827349638242305")</f>
        <v>https://twitter.com/ichsaaannnnn/status/1439827349638242305</v>
      </c>
      <c r="AA115" s="81"/>
      <c r="AB115" s="81"/>
      <c r="AC115" s="87" t="s">
        <v>2802</v>
      </c>
      <c r="AD115" s="87" t="s">
        <v>3678</v>
      </c>
      <c r="AE115" s="81" t="b">
        <v>0</v>
      </c>
      <c r="AF115" s="81">
        <v>1</v>
      </c>
      <c r="AG115" s="87" t="s">
        <v>3911</v>
      </c>
      <c r="AH115" s="81" t="b">
        <v>0</v>
      </c>
      <c r="AI115" s="81" t="s">
        <v>4092</v>
      </c>
      <c r="AJ115" s="81"/>
      <c r="AK115" s="87" t="s">
        <v>3875</v>
      </c>
      <c r="AL115" s="81" t="b">
        <v>0</v>
      </c>
      <c r="AM115" s="81">
        <v>0</v>
      </c>
      <c r="AN115" s="87" t="s">
        <v>3875</v>
      </c>
      <c r="AO115" s="87" t="s">
        <v>4109</v>
      </c>
      <c r="AP115" s="81" t="b">
        <v>0</v>
      </c>
      <c r="AQ115" s="87" t="s">
        <v>3678</v>
      </c>
      <c r="AR115" s="81" t="s">
        <v>179</v>
      </c>
      <c r="AS115" s="81">
        <v>0</v>
      </c>
      <c r="AT115" s="81">
        <v>0</v>
      </c>
      <c r="AU115" s="81"/>
      <c r="AV115" s="81"/>
      <c r="AW115" s="81"/>
      <c r="AX115" s="81"/>
      <c r="AY115" s="81"/>
      <c r="AZ115" s="81"/>
      <c r="BA115" s="81"/>
      <c r="BB115" s="81"/>
    </row>
    <row r="116" spans="1:54" x14ac:dyDescent="0.35">
      <c r="A116" s="66" t="s">
        <v>295</v>
      </c>
      <c r="B116" s="66" t="s">
        <v>1026</v>
      </c>
      <c r="C116" s="67"/>
      <c r="D116" s="68"/>
      <c r="E116" s="69"/>
      <c r="F116" s="70"/>
      <c r="G116" s="67"/>
      <c r="H116" s="71"/>
      <c r="I116" s="72"/>
      <c r="J116" s="72"/>
      <c r="K116" s="36"/>
      <c r="L116" s="79"/>
      <c r="M116" s="79"/>
      <c r="N116" s="74"/>
      <c r="O116" s="81" t="s">
        <v>1206</v>
      </c>
      <c r="P116" s="83">
        <v>44459.238020833334</v>
      </c>
      <c r="Q116" s="81" t="s">
        <v>1283</v>
      </c>
      <c r="R116" s="81"/>
      <c r="S116" s="81"/>
      <c r="T116" s="81"/>
      <c r="U116" s="81"/>
      <c r="V116" s="85" t="str">
        <f>HYPERLINK("https://pbs.twimg.com/profile_images/1434440887958786051/E0XVTLac_normal.jpg")</f>
        <v>https://pbs.twimg.com/profile_images/1434440887958786051/E0XVTLac_normal.jpg</v>
      </c>
      <c r="W116" s="83">
        <v>44459.238020833334</v>
      </c>
      <c r="X116" s="89">
        <v>44459</v>
      </c>
      <c r="Y116" s="87" t="s">
        <v>1880</v>
      </c>
      <c r="Z116" s="85" t="str">
        <f>HYPERLINK("https://twitter.com/ichsaaannnnn/status/1439827349638242305")</f>
        <v>https://twitter.com/ichsaaannnnn/status/1439827349638242305</v>
      </c>
      <c r="AA116" s="81"/>
      <c r="AB116" s="81"/>
      <c r="AC116" s="87" t="s">
        <v>2802</v>
      </c>
      <c r="AD116" s="87" t="s">
        <v>3678</v>
      </c>
      <c r="AE116" s="81" t="b">
        <v>0</v>
      </c>
      <c r="AF116" s="81">
        <v>1</v>
      </c>
      <c r="AG116" s="87" t="s">
        <v>3911</v>
      </c>
      <c r="AH116" s="81" t="b">
        <v>0</v>
      </c>
      <c r="AI116" s="81" t="s">
        <v>4092</v>
      </c>
      <c r="AJ116" s="81"/>
      <c r="AK116" s="87" t="s">
        <v>3875</v>
      </c>
      <c r="AL116" s="81" t="b">
        <v>0</v>
      </c>
      <c r="AM116" s="81">
        <v>0</v>
      </c>
      <c r="AN116" s="87" t="s">
        <v>3875</v>
      </c>
      <c r="AO116" s="87" t="s">
        <v>4109</v>
      </c>
      <c r="AP116" s="81" t="b">
        <v>0</v>
      </c>
      <c r="AQ116" s="87" t="s">
        <v>3678</v>
      </c>
      <c r="AR116" s="81" t="s">
        <v>179</v>
      </c>
      <c r="AS116" s="81">
        <v>0</v>
      </c>
      <c r="AT116" s="81">
        <v>0</v>
      </c>
      <c r="AU116" s="81"/>
      <c r="AV116" s="81"/>
      <c r="AW116" s="81"/>
      <c r="AX116" s="81"/>
      <c r="AY116" s="81"/>
      <c r="AZ116" s="81"/>
      <c r="BA116" s="81"/>
      <c r="BB116" s="81"/>
    </row>
    <row r="117" spans="1:54" x14ac:dyDescent="0.35">
      <c r="A117" s="66" t="s">
        <v>295</v>
      </c>
      <c r="B117" s="66" t="s">
        <v>1027</v>
      </c>
      <c r="C117" s="67"/>
      <c r="D117" s="68"/>
      <c r="E117" s="69"/>
      <c r="F117" s="70"/>
      <c r="G117" s="67"/>
      <c r="H117" s="71"/>
      <c r="I117" s="72"/>
      <c r="J117" s="72"/>
      <c r="K117" s="36"/>
      <c r="L117" s="79"/>
      <c r="M117" s="79"/>
      <c r="N117" s="74"/>
      <c r="O117" s="81" t="s">
        <v>1206</v>
      </c>
      <c r="P117" s="83">
        <v>44459.238020833334</v>
      </c>
      <c r="Q117" s="81" t="s">
        <v>1283</v>
      </c>
      <c r="R117" s="81"/>
      <c r="S117" s="81"/>
      <c r="T117" s="81"/>
      <c r="U117" s="81"/>
      <c r="V117" s="85" t="str">
        <f>HYPERLINK("https://pbs.twimg.com/profile_images/1434440887958786051/E0XVTLac_normal.jpg")</f>
        <v>https://pbs.twimg.com/profile_images/1434440887958786051/E0XVTLac_normal.jpg</v>
      </c>
      <c r="W117" s="83">
        <v>44459.238020833334</v>
      </c>
      <c r="X117" s="89">
        <v>44459</v>
      </c>
      <c r="Y117" s="87" t="s">
        <v>1880</v>
      </c>
      <c r="Z117" s="85" t="str">
        <f>HYPERLINK("https://twitter.com/ichsaaannnnn/status/1439827349638242305")</f>
        <v>https://twitter.com/ichsaaannnnn/status/1439827349638242305</v>
      </c>
      <c r="AA117" s="81"/>
      <c r="AB117" s="81"/>
      <c r="AC117" s="87" t="s">
        <v>2802</v>
      </c>
      <c r="AD117" s="87" t="s">
        <v>3678</v>
      </c>
      <c r="AE117" s="81" t="b">
        <v>0</v>
      </c>
      <c r="AF117" s="81">
        <v>1</v>
      </c>
      <c r="AG117" s="87" t="s">
        <v>3911</v>
      </c>
      <c r="AH117" s="81" t="b">
        <v>0</v>
      </c>
      <c r="AI117" s="81" t="s">
        <v>4092</v>
      </c>
      <c r="AJ117" s="81"/>
      <c r="AK117" s="87" t="s">
        <v>3875</v>
      </c>
      <c r="AL117" s="81" t="b">
        <v>0</v>
      </c>
      <c r="AM117" s="81">
        <v>0</v>
      </c>
      <c r="AN117" s="87" t="s">
        <v>3875</v>
      </c>
      <c r="AO117" s="87" t="s">
        <v>4109</v>
      </c>
      <c r="AP117" s="81" t="b">
        <v>0</v>
      </c>
      <c r="AQ117" s="87" t="s">
        <v>3678</v>
      </c>
      <c r="AR117" s="81" t="s">
        <v>179</v>
      </c>
      <c r="AS117" s="81">
        <v>0</v>
      </c>
      <c r="AT117" s="81">
        <v>0</v>
      </c>
      <c r="AU117" s="81"/>
      <c r="AV117" s="81"/>
      <c r="AW117" s="81"/>
      <c r="AX117" s="81"/>
      <c r="AY117" s="81"/>
      <c r="AZ117" s="81"/>
      <c r="BA117" s="81"/>
      <c r="BB117" s="81"/>
    </row>
    <row r="118" spans="1:54" x14ac:dyDescent="0.35">
      <c r="A118" s="66" t="s">
        <v>295</v>
      </c>
      <c r="B118" s="66" t="s">
        <v>1028</v>
      </c>
      <c r="C118" s="67"/>
      <c r="D118" s="68"/>
      <c r="E118" s="69"/>
      <c r="F118" s="70"/>
      <c r="G118" s="67"/>
      <c r="H118" s="71"/>
      <c r="I118" s="72"/>
      <c r="J118" s="72"/>
      <c r="K118" s="36"/>
      <c r="L118" s="79"/>
      <c r="M118" s="79"/>
      <c r="N118" s="74"/>
      <c r="O118" s="81" t="s">
        <v>1206</v>
      </c>
      <c r="P118" s="83">
        <v>44459.238020833334</v>
      </c>
      <c r="Q118" s="81" t="s">
        <v>1283</v>
      </c>
      <c r="R118" s="81"/>
      <c r="S118" s="81"/>
      <c r="T118" s="81"/>
      <c r="U118" s="81"/>
      <c r="V118" s="85" t="str">
        <f>HYPERLINK("https://pbs.twimg.com/profile_images/1434440887958786051/E0XVTLac_normal.jpg")</f>
        <v>https://pbs.twimg.com/profile_images/1434440887958786051/E0XVTLac_normal.jpg</v>
      </c>
      <c r="W118" s="83">
        <v>44459.238020833334</v>
      </c>
      <c r="X118" s="89">
        <v>44459</v>
      </c>
      <c r="Y118" s="87" t="s">
        <v>1880</v>
      </c>
      <c r="Z118" s="85" t="str">
        <f>HYPERLINK("https://twitter.com/ichsaaannnnn/status/1439827349638242305")</f>
        <v>https://twitter.com/ichsaaannnnn/status/1439827349638242305</v>
      </c>
      <c r="AA118" s="81"/>
      <c r="AB118" s="81"/>
      <c r="AC118" s="87" t="s">
        <v>2802</v>
      </c>
      <c r="AD118" s="87" t="s">
        <v>3678</v>
      </c>
      <c r="AE118" s="81" t="b">
        <v>0</v>
      </c>
      <c r="AF118" s="81">
        <v>1</v>
      </c>
      <c r="AG118" s="87" t="s">
        <v>3911</v>
      </c>
      <c r="AH118" s="81" t="b">
        <v>0</v>
      </c>
      <c r="AI118" s="81" t="s">
        <v>4092</v>
      </c>
      <c r="AJ118" s="81"/>
      <c r="AK118" s="87" t="s">
        <v>3875</v>
      </c>
      <c r="AL118" s="81" t="b">
        <v>0</v>
      </c>
      <c r="AM118" s="81">
        <v>0</v>
      </c>
      <c r="AN118" s="87" t="s">
        <v>3875</v>
      </c>
      <c r="AO118" s="87" t="s">
        <v>4109</v>
      </c>
      <c r="AP118" s="81" t="b">
        <v>0</v>
      </c>
      <c r="AQ118" s="87" t="s">
        <v>3678</v>
      </c>
      <c r="AR118" s="81" t="s">
        <v>179</v>
      </c>
      <c r="AS118" s="81">
        <v>0</v>
      </c>
      <c r="AT118" s="81">
        <v>0</v>
      </c>
      <c r="AU118" s="81"/>
      <c r="AV118" s="81"/>
      <c r="AW118" s="81"/>
      <c r="AX118" s="81"/>
      <c r="AY118" s="81"/>
      <c r="AZ118" s="81"/>
      <c r="BA118" s="81"/>
      <c r="BB118" s="81"/>
    </row>
    <row r="119" spans="1:54" x14ac:dyDescent="0.35">
      <c r="A119" s="66" t="s">
        <v>295</v>
      </c>
      <c r="B119" s="66" t="s">
        <v>1029</v>
      </c>
      <c r="C119" s="67"/>
      <c r="D119" s="68"/>
      <c r="E119" s="69"/>
      <c r="F119" s="70"/>
      <c r="G119" s="67"/>
      <c r="H119" s="71"/>
      <c r="I119" s="72"/>
      <c r="J119" s="72"/>
      <c r="K119" s="36"/>
      <c r="L119" s="79"/>
      <c r="M119" s="79"/>
      <c r="N119" s="74"/>
      <c r="O119" s="81" t="s">
        <v>1206</v>
      </c>
      <c r="P119" s="83">
        <v>44459.238020833334</v>
      </c>
      <c r="Q119" s="81" t="s">
        <v>1283</v>
      </c>
      <c r="R119" s="81"/>
      <c r="S119" s="81"/>
      <c r="T119" s="81"/>
      <c r="U119" s="81"/>
      <c r="V119" s="85" t="str">
        <f>HYPERLINK("https://pbs.twimg.com/profile_images/1434440887958786051/E0XVTLac_normal.jpg")</f>
        <v>https://pbs.twimg.com/profile_images/1434440887958786051/E0XVTLac_normal.jpg</v>
      </c>
      <c r="W119" s="83">
        <v>44459.238020833334</v>
      </c>
      <c r="X119" s="89">
        <v>44459</v>
      </c>
      <c r="Y119" s="87" t="s">
        <v>1880</v>
      </c>
      <c r="Z119" s="85" t="str">
        <f>HYPERLINK("https://twitter.com/ichsaaannnnn/status/1439827349638242305")</f>
        <v>https://twitter.com/ichsaaannnnn/status/1439827349638242305</v>
      </c>
      <c r="AA119" s="81"/>
      <c r="AB119" s="81"/>
      <c r="AC119" s="87" t="s">
        <v>2802</v>
      </c>
      <c r="AD119" s="87" t="s">
        <v>3678</v>
      </c>
      <c r="AE119" s="81" t="b">
        <v>0</v>
      </c>
      <c r="AF119" s="81">
        <v>1</v>
      </c>
      <c r="AG119" s="87" t="s">
        <v>3911</v>
      </c>
      <c r="AH119" s="81" t="b">
        <v>0</v>
      </c>
      <c r="AI119" s="81" t="s">
        <v>4092</v>
      </c>
      <c r="AJ119" s="81"/>
      <c r="AK119" s="87" t="s">
        <v>3875</v>
      </c>
      <c r="AL119" s="81" t="b">
        <v>0</v>
      </c>
      <c r="AM119" s="81">
        <v>0</v>
      </c>
      <c r="AN119" s="87" t="s">
        <v>3875</v>
      </c>
      <c r="AO119" s="87" t="s">
        <v>4109</v>
      </c>
      <c r="AP119" s="81" t="b">
        <v>0</v>
      </c>
      <c r="AQ119" s="87" t="s">
        <v>3678</v>
      </c>
      <c r="AR119" s="81" t="s">
        <v>179</v>
      </c>
      <c r="AS119" s="81">
        <v>0</v>
      </c>
      <c r="AT119" s="81">
        <v>0</v>
      </c>
      <c r="AU119" s="81"/>
      <c r="AV119" s="81"/>
      <c r="AW119" s="81"/>
      <c r="AX119" s="81"/>
      <c r="AY119" s="81"/>
      <c r="AZ119" s="81"/>
      <c r="BA119" s="81"/>
      <c r="BB119" s="81"/>
    </row>
    <row r="120" spans="1:54" x14ac:dyDescent="0.35">
      <c r="A120" s="66" t="s">
        <v>295</v>
      </c>
      <c r="B120" s="66" t="s">
        <v>1030</v>
      </c>
      <c r="C120" s="67"/>
      <c r="D120" s="68"/>
      <c r="E120" s="69"/>
      <c r="F120" s="70"/>
      <c r="G120" s="67"/>
      <c r="H120" s="71"/>
      <c r="I120" s="72"/>
      <c r="J120" s="72"/>
      <c r="K120" s="36"/>
      <c r="L120" s="79"/>
      <c r="M120" s="79"/>
      <c r="N120" s="74"/>
      <c r="O120" s="81" t="s">
        <v>1206</v>
      </c>
      <c r="P120" s="83">
        <v>44459.238020833334</v>
      </c>
      <c r="Q120" s="81" t="s">
        <v>1283</v>
      </c>
      <c r="R120" s="81"/>
      <c r="S120" s="81"/>
      <c r="T120" s="81"/>
      <c r="U120" s="81"/>
      <c r="V120" s="85" t="str">
        <f>HYPERLINK("https://pbs.twimg.com/profile_images/1434440887958786051/E0XVTLac_normal.jpg")</f>
        <v>https://pbs.twimg.com/profile_images/1434440887958786051/E0XVTLac_normal.jpg</v>
      </c>
      <c r="W120" s="83">
        <v>44459.238020833334</v>
      </c>
      <c r="X120" s="89">
        <v>44459</v>
      </c>
      <c r="Y120" s="87" t="s">
        <v>1880</v>
      </c>
      <c r="Z120" s="85" t="str">
        <f>HYPERLINK("https://twitter.com/ichsaaannnnn/status/1439827349638242305")</f>
        <v>https://twitter.com/ichsaaannnnn/status/1439827349638242305</v>
      </c>
      <c r="AA120" s="81"/>
      <c r="AB120" s="81"/>
      <c r="AC120" s="87" t="s">
        <v>2802</v>
      </c>
      <c r="AD120" s="87" t="s">
        <v>3678</v>
      </c>
      <c r="AE120" s="81" t="b">
        <v>0</v>
      </c>
      <c r="AF120" s="81">
        <v>1</v>
      </c>
      <c r="AG120" s="87" t="s">
        <v>3911</v>
      </c>
      <c r="AH120" s="81" t="b">
        <v>0</v>
      </c>
      <c r="AI120" s="81" t="s">
        <v>4092</v>
      </c>
      <c r="AJ120" s="81"/>
      <c r="AK120" s="87" t="s">
        <v>3875</v>
      </c>
      <c r="AL120" s="81" t="b">
        <v>0</v>
      </c>
      <c r="AM120" s="81">
        <v>0</v>
      </c>
      <c r="AN120" s="87" t="s">
        <v>3875</v>
      </c>
      <c r="AO120" s="87" t="s">
        <v>4109</v>
      </c>
      <c r="AP120" s="81" t="b">
        <v>0</v>
      </c>
      <c r="AQ120" s="87" t="s">
        <v>3678</v>
      </c>
      <c r="AR120" s="81" t="s">
        <v>179</v>
      </c>
      <c r="AS120" s="81">
        <v>0</v>
      </c>
      <c r="AT120" s="81">
        <v>0</v>
      </c>
      <c r="AU120" s="81"/>
      <c r="AV120" s="81"/>
      <c r="AW120" s="81"/>
      <c r="AX120" s="81"/>
      <c r="AY120" s="81"/>
      <c r="AZ120" s="81"/>
      <c r="BA120" s="81"/>
      <c r="BB120" s="81"/>
    </row>
    <row r="121" spans="1:54" x14ac:dyDescent="0.35">
      <c r="A121" s="66" t="s">
        <v>295</v>
      </c>
      <c r="B121" s="66" t="s">
        <v>1031</v>
      </c>
      <c r="C121" s="67"/>
      <c r="D121" s="68"/>
      <c r="E121" s="69"/>
      <c r="F121" s="70"/>
      <c r="G121" s="67"/>
      <c r="H121" s="71"/>
      <c r="I121" s="72"/>
      <c r="J121" s="72"/>
      <c r="K121" s="36"/>
      <c r="L121" s="79"/>
      <c r="M121" s="79"/>
      <c r="N121" s="74"/>
      <c r="O121" s="81" t="s">
        <v>1208</v>
      </c>
      <c r="P121" s="83">
        <v>44459.238020833334</v>
      </c>
      <c r="Q121" s="81" t="s">
        <v>1283</v>
      </c>
      <c r="R121" s="81"/>
      <c r="S121" s="81"/>
      <c r="T121" s="81"/>
      <c r="U121" s="81"/>
      <c r="V121" s="85" t="str">
        <f>HYPERLINK("https://pbs.twimg.com/profile_images/1434440887958786051/E0XVTLac_normal.jpg")</f>
        <v>https://pbs.twimg.com/profile_images/1434440887958786051/E0XVTLac_normal.jpg</v>
      </c>
      <c r="W121" s="83">
        <v>44459.238020833334</v>
      </c>
      <c r="X121" s="89">
        <v>44459</v>
      </c>
      <c r="Y121" s="87" t="s">
        <v>1880</v>
      </c>
      <c r="Z121" s="85" t="str">
        <f>HYPERLINK("https://twitter.com/ichsaaannnnn/status/1439827349638242305")</f>
        <v>https://twitter.com/ichsaaannnnn/status/1439827349638242305</v>
      </c>
      <c r="AA121" s="81"/>
      <c r="AB121" s="81"/>
      <c r="AC121" s="87" t="s">
        <v>2802</v>
      </c>
      <c r="AD121" s="87" t="s">
        <v>3678</v>
      </c>
      <c r="AE121" s="81" t="b">
        <v>0</v>
      </c>
      <c r="AF121" s="81">
        <v>1</v>
      </c>
      <c r="AG121" s="87" t="s">
        <v>3911</v>
      </c>
      <c r="AH121" s="81" t="b">
        <v>0</v>
      </c>
      <c r="AI121" s="81" t="s">
        <v>4092</v>
      </c>
      <c r="AJ121" s="81"/>
      <c r="AK121" s="87" t="s">
        <v>3875</v>
      </c>
      <c r="AL121" s="81" t="b">
        <v>0</v>
      </c>
      <c r="AM121" s="81">
        <v>0</v>
      </c>
      <c r="AN121" s="87" t="s">
        <v>3875</v>
      </c>
      <c r="AO121" s="87" t="s">
        <v>4109</v>
      </c>
      <c r="AP121" s="81" t="b">
        <v>0</v>
      </c>
      <c r="AQ121" s="87" t="s">
        <v>3678</v>
      </c>
      <c r="AR121" s="81" t="s">
        <v>179</v>
      </c>
      <c r="AS121" s="81">
        <v>0</v>
      </c>
      <c r="AT121" s="81">
        <v>0</v>
      </c>
      <c r="AU121" s="81"/>
      <c r="AV121" s="81"/>
      <c r="AW121" s="81"/>
      <c r="AX121" s="81"/>
      <c r="AY121" s="81"/>
      <c r="AZ121" s="81"/>
      <c r="BA121" s="81"/>
      <c r="BB121" s="81"/>
    </row>
    <row r="122" spans="1:54" x14ac:dyDescent="0.35">
      <c r="A122" s="66" t="s">
        <v>296</v>
      </c>
      <c r="B122" s="66" t="s">
        <v>1032</v>
      </c>
      <c r="C122" s="67"/>
      <c r="D122" s="68"/>
      <c r="E122" s="69"/>
      <c r="F122" s="70"/>
      <c r="G122" s="67"/>
      <c r="H122" s="71"/>
      <c r="I122" s="72"/>
      <c r="J122" s="72"/>
      <c r="K122" s="36"/>
      <c r="L122" s="79"/>
      <c r="M122" s="79"/>
      <c r="N122" s="74"/>
      <c r="O122" s="81" t="s">
        <v>1208</v>
      </c>
      <c r="P122" s="83">
        <v>44459.251400462963</v>
      </c>
      <c r="Q122" s="81" t="s">
        <v>1284</v>
      </c>
      <c r="R122" s="81"/>
      <c r="S122" s="81"/>
      <c r="T122" s="81"/>
      <c r="U122" s="81"/>
      <c r="V122" s="85" t="str">
        <f>HYPERLINK("https://pbs.twimg.com/profile_images/1437042314883452931/25cehw2v_normal.jpg")</f>
        <v>https://pbs.twimg.com/profile_images/1437042314883452931/25cehw2v_normal.jpg</v>
      </c>
      <c r="W122" s="83">
        <v>44459.251400462963</v>
      </c>
      <c r="X122" s="89">
        <v>44459</v>
      </c>
      <c r="Y122" s="87" t="s">
        <v>1881</v>
      </c>
      <c r="Z122" s="85" t="str">
        <f>HYPERLINK("https://twitter.com/crispyddalgiice/status/1439832198392135680")</f>
        <v>https://twitter.com/crispyddalgiice/status/1439832198392135680</v>
      </c>
      <c r="AA122" s="81"/>
      <c r="AB122" s="81"/>
      <c r="AC122" s="87" t="s">
        <v>2803</v>
      </c>
      <c r="AD122" s="87" t="s">
        <v>3679</v>
      </c>
      <c r="AE122" s="81" t="b">
        <v>0</v>
      </c>
      <c r="AF122" s="81">
        <v>0</v>
      </c>
      <c r="AG122" s="87" t="s">
        <v>3912</v>
      </c>
      <c r="AH122" s="81" t="b">
        <v>0</v>
      </c>
      <c r="AI122" s="81" t="s">
        <v>4092</v>
      </c>
      <c r="AJ122" s="81"/>
      <c r="AK122" s="87" t="s">
        <v>3875</v>
      </c>
      <c r="AL122" s="81" t="b">
        <v>0</v>
      </c>
      <c r="AM122" s="81">
        <v>0</v>
      </c>
      <c r="AN122" s="87" t="s">
        <v>3875</v>
      </c>
      <c r="AO122" s="87" t="s">
        <v>4109</v>
      </c>
      <c r="AP122" s="81" t="b">
        <v>0</v>
      </c>
      <c r="AQ122" s="87" t="s">
        <v>3679</v>
      </c>
      <c r="AR122" s="81" t="s">
        <v>179</v>
      </c>
      <c r="AS122" s="81">
        <v>0</v>
      </c>
      <c r="AT122" s="81">
        <v>0</v>
      </c>
      <c r="AU122" s="81"/>
      <c r="AV122" s="81"/>
      <c r="AW122" s="81"/>
      <c r="AX122" s="81"/>
      <c r="AY122" s="81"/>
      <c r="AZ122" s="81"/>
      <c r="BA122" s="81"/>
      <c r="BB122" s="81"/>
    </row>
    <row r="123" spans="1:54" x14ac:dyDescent="0.35">
      <c r="A123" s="66" t="s">
        <v>297</v>
      </c>
      <c r="B123" s="66" t="s">
        <v>1033</v>
      </c>
      <c r="C123" s="67"/>
      <c r="D123" s="68"/>
      <c r="E123" s="69"/>
      <c r="F123" s="70"/>
      <c r="G123" s="67"/>
      <c r="H123" s="71"/>
      <c r="I123" s="72"/>
      <c r="J123" s="72"/>
      <c r="K123" s="36"/>
      <c r="L123" s="79"/>
      <c r="M123" s="79"/>
      <c r="N123" s="74"/>
      <c r="O123" s="81" t="s">
        <v>1206</v>
      </c>
      <c r="P123" s="83">
        <v>44459.258668981478</v>
      </c>
      <c r="Q123" s="81" t="s">
        <v>1285</v>
      </c>
      <c r="R123" s="81"/>
      <c r="S123" s="81"/>
      <c r="T123" s="81"/>
      <c r="U123" s="85" t="str">
        <f>HYPERLINK("https://pbs.twimg.com/media/E_tSJcwUYAYiVMI.jpg")</f>
        <v>https://pbs.twimg.com/media/E_tSJcwUYAYiVMI.jpg</v>
      </c>
      <c r="V123" s="85" t="str">
        <f>HYPERLINK("https://pbs.twimg.com/media/E_tSJcwUYAYiVMI.jpg")</f>
        <v>https://pbs.twimg.com/media/E_tSJcwUYAYiVMI.jpg</v>
      </c>
      <c r="W123" s="83">
        <v>44459.258668981478</v>
      </c>
      <c r="X123" s="89">
        <v>44459</v>
      </c>
      <c r="Y123" s="87" t="s">
        <v>1882</v>
      </c>
      <c r="Z123" s="85" t="str">
        <f>HYPERLINK("https://twitter.com/rico_cicarixo/status/1439834831211282432")</f>
        <v>https://twitter.com/rico_cicarixo/status/1439834831211282432</v>
      </c>
      <c r="AA123" s="81"/>
      <c r="AB123" s="81"/>
      <c r="AC123" s="87" t="s">
        <v>2804</v>
      </c>
      <c r="AD123" s="81"/>
      <c r="AE123" s="81" t="b">
        <v>0</v>
      </c>
      <c r="AF123" s="81">
        <v>0</v>
      </c>
      <c r="AG123" s="87" t="s">
        <v>3875</v>
      </c>
      <c r="AH123" s="81" t="b">
        <v>0</v>
      </c>
      <c r="AI123" s="81" t="s">
        <v>4092</v>
      </c>
      <c r="AJ123" s="81"/>
      <c r="AK123" s="87" t="s">
        <v>3875</v>
      </c>
      <c r="AL123" s="81" t="b">
        <v>0</v>
      </c>
      <c r="AM123" s="81">
        <v>0</v>
      </c>
      <c r="AN123" s="87" t="s">
        <v>3875</v>
      </c>
      <c r="AO123" s="87" t="s">
        <v>4109</v>
      </c>
      <c r="AP123" s="81" t="b">
        <v>0</v>
      </c>
      <c r="AQ123" s="87" t="s">
        <v>2804</v>
      </c>
      <c r="AR123" s="81" t="s">
        <v>179</v>
      </c>
      <c r="AS123" s="81">
        <v>0</v>
      </c>
      <c r="AT123" s="81">
        <v>0</v>
      </c>
      <c r="AU123" s="81"/>
      <c r="AV123" s="81"/>
      <c r="AW123" s="81"/>
      <c r="AX123" s="81"/>
      <c r="AY123" s="81"/>
      <c r="AZ123" s="81"/>
      <c r="BA123" s="81"/>
      <c r="BB123" s="81"/>
    </row>
    <row r="124" spans="1:54" x14ac:dyDescent="0.35">
      <c r="A124" s="66" t="s">
        <v>298</v>
      </c>
      <c r="B124" s="66" t="s">
        <v>1034</v>
      </c>
      <c r="C124" s="67"/>
      <c r="D124" s="68"/>
      <c r="E124" s="69"/>
      <c r="F124" s="70"/>
      <c r="G124" s="67"/>
      <c r="H124" s="71"/>
      <c r="I124" s="72"/>
      <c r="J124" s="72"/>
      <c r="K124" s="36"/>
      <c r="L124" s="79"/>
      <c r="M124" s="79"/>
      <c r="N124" s="74"/>
      <c r="O124" s="81" t="s">
        <v>1208</v>
      </c>
      <c r="P124" s="83">
        <v>44459.272696759261</v>
      </c>
      <c r="Q124" s="81" t="s">
        <v>1286</v>
      </c>
      <c r="R124" s="81"/>
      <c r="S124" s="81"/>
      <c r="T124" s="81"/>
      <c r="U124" s="81"/>
      <c r="V124" s="85" t="str">
        <f>HYPERLINK("https://pbs.twimg.com/profile_images/1297963992841822208/J4Onejfd_normal.jpg")</f>
        <v>https://pbs.twimg.com/profile_images/1297963992841822208/J4Onejfd_normal.jpg</v>
      </c>
      <c r="W124" s="83">
        <v>44459.272696759261</v>
      </c>
      <c r="X124" s="89">
        <v>44459</v>
      </c>
      <c r="Y124" s="87" t="s">
        <v>1883</v>
      </c>
      <c r="Z124" s="85" t="str">
        <f>HYPERLINK("https://twitter.com/edi45529961/status/1439839915802431494")</f>
        <v>https://twitter.com/edi45529961/status/1439839915802431494</v>
      </c>
      <c r="AA124" s="81"/>
      <c r="AB124" s="81"/>
      <c r="AC124" s="87" t="s">
        <v>2805</v>
      </c>
      <c r="AD124" s="81"/>
      <c r="AE124" s="81" t="b">
        <v>0</v>
      </c>
      <c r="AF124" s="81">
        <v>0</v>
      </c>
      <c r="AG124" s="87" t="s">
        <v>3913</v>
      </c>
      <c r="AH124" s="81" t="b">
        <v>0</v>
      </c>
      <c r="AI124" s="81" t="s">
        <v>4092</v>
      </c>
      <c r="AJ124" s="81"/>
      <c r="AK124" s="87" t="s">
        <v>3875</v>
      </c>
      <c r="AL124" s="81" t="b">
        <v>0</v>
      </c>
      <c r="AM124" s="81">
        <v>0</v>
      </c>
      <c r="AN124" s="87" t="s">
        <v>3875</v>
      </c>
      <c r="AO124" s="87" t="s">
        <v>4109</v>
      </c>
      <c r="AP124" s="81" t="b">
        <v>0</v>
      </c>
      <c r="AQ124" s="87" t="s">
        <v>2805</v>
      </c>
      <c r="AR124" s="81" t="s">
        <v>179</v>
      </c>
      <c r="AS124" s="81">
        <v>0</v>
      </c>
      <c r="AT124" s="81">
        <v>0</v>
      </c>
      <c r="AU124" s="81"/>
      <c r="AV124" s="81"/>
      <c r="AW124" s="81"/>
      <c r="AX124" s="81"/>
      <c r="AY124" s="81"/>
      <c r="AZ124" s="81"/>
      <c r="BA124" s="81"/>
      <c r="BB124" s="81"/>
    </row>
    <row r="125" spans="1:54" x14ac:dyDescent="0.35">
      <c r="A125" s="66" t="s">
        <v>299</v>
      </c>
      <c r="B125" s="66" t="s">
        <v>1035</v>
      </c>
      <c r="C125" s="67"/>
      <c r="D125" s="68"/>
      <c r="E125" s="69"/>
      <c r="F125" s="70"/>
      <c r="G125" s="67"/>
      <c r="H125" s="71"/>
      <c r="I125" s="72"/>
      <c r="J125" s="72"/>
      <c r="K125" s="36"/>
      <c r="L125" s="79"/>
      <c r="M125" s="79"/>
      <c r="N125" s="74"/>
      <c r="O125" s="81" t="s">
        <v>1206</v>
      </c>
      <c r="P125" s="83">
        <v>44459.288287037038</v>
      </c>
      <c r="Q125" s="81" t="s">
        <v>1287</v>
      </c>
      <c r="R125" s="81"/>
      <c r="S125" s="81"/>
      <c r="T125" s="81"/>
      <c r="U125" s="81"/>
      <c r="V125" s="85" t="str">
        <f>HYPERLINK("https://pbs.twimg.com/profile_images/1368369693224886273/Ixk6UUes_normal.jpg")</f>
        <v>https://pbs.twimg.com/profile_images/1368369693224886273/Ixk6UUes_normal.jpg</v>
      </c>
      <c r="W125" s="83">
        <v>44459.288287037038</v>
      </c>
      <c r="X125" s="89">
        <v>44459</v>
      </c>
      <c r="Y125" s="87" t="s">
        <v>1884</v>
      </c>
      <c r="Z125" s="85" t="str">
        <f>HYPERLINK("https://twitter.com/riyadizein/status/1439845564527509504")</f>
        <v>https://twitter.com/riyadizein/status/1439845564527509504</v>
      </c>
      <c r="AA125" s="81"/>
      <c r="AB125" s="81"/>
      <c r="AC125" s="87" t="s">
        <v>2806</v>
      </c>
      <c r="AD125" s="87" t="s">
        <v>3680</v>
      </c>
      <c r="AE125" s="81" t="b">
        <v>0</v>
      </c>
      <c r="AF125" s="81">
        <v>1</v>
      </c>
      <c r="AG125" s="87" t="s">
        <v>3914</v>
      </c>
      <c r="AH125" s="81" t="b">
        <v>0</v>
      </c>
      <c r="AI125" s="81" t="s">
        <v>4092</v>
      </c>
      <c r="AJ125" s="81"/>
      <c r="AK125" s="87" t="s">
        <v>3875</v>
      </c>
      <c r="AL125" s="81" t="b">
        <v>0</v>
      </c>
      <c r="AM125" s="81">
        <v>0</v>
      </c>
      <c r="AN125" s="87" t="s">
        <v>3875</v>
      </c>
      <c r="AO125" s="87" t="s">
        <v>4109</v>
      </c>
      <c r="AP125" s="81" t="b">
        <v>0</v>
      </c>
      <c r="AQ125" s="87" t="s">
        <v>3680</v>
      </c>
      <c r="AR125" s="81" t="s">
        <v>179</v>
      </c>
      <c r="AS125" s="81">
        <v>0</v>
      </c>
      <c r="AT125" s="81">
        <v>0</v>
      </c>
      <c r="AU125" s="81"/>
      <c r="AV125" s="81"/>
      <c r="AW125" s="81"/>
      <c r="AX125" s="81"/>
      <c r="AY125" s="81"/>
      <c r="AZ125" s="81"/>
      <c r="BA125" s="81"/>
      <c r="BB125" s="81"/>
    </row>
    <row r="126" spans="1:54" x14ac:dyDescent="0.35">
      <c r="A126" s="66" t="s">
        <v>299</v>
      </c>
      <c r="B126" s="66" t="s">
        <v>1036</v>
      </c>
      <c r="C126" s="67"/>
      <c r="D126" s="68"/>
      <c r="E126" s="69"/>
      <c r="F126" s="70"/>
      <c r="G126" s="67"/>
      <c r="H126" s="71"/>
      <c r="I126" s="72"/>
      <c r="J126" s="72"/>
      <c r="K126" s="36"/>
      <c r="L126" s="79"/>
      <c r="M126" s="79"/>
      <c r="N126" s="74"/>
      <c r="O126" s="81" t="s">
        <v>1208</v>
      </c>
      <c r="P126" s="83">
        <v>44459.288287037038</v>
      </c>
      <c r="Q126" s="81" t="s">
        <v>1287</v>
      </c>
      <c r="R126" s="81"/>
      <c r="S126" s="81"/>
      <c r="T126" s="81"/>
      <c r="U126" s="81"/>
      <c r="V126" s="85" t="str">
        <f>HYPERLINK("https://pbs.twimg.com/profile_images/1368369693224886273/Ixk6UUes_normal.jpg")</f>
        <v>https://pbs.twimg.com/profile_images/1368369693224886273/Ixk6UUes_normal.jpg</v>
      </c>
      <c r="W126" s="83">
        <v>44459.288287037038</v>
      </c>
      <c r="X126" s="89">
        <v>44459</v>
      </c>
      <c r="Y126" s="87" t="s">
        <v>1884</v>
      </c>
      <c r="Z126" s="85" t="str">
        <f>HYPERLINK("https://twitter.com/riyadizein/status/1439845564527509504")</f>
        <v>https://twitter.com/riyadizein/status/1439845564527509504</v>
      </c>
      <c r="AA126" s="81"/>
      <c r="AB126" s="81"/>
      <c r="AC126" s="87" t="s">
        <v>2806</v>
      </c>
      <c r="AD126" s="87" t="s">
        <v>3680</v>
      </c>
      <c r="AE126" s="81" t="b">
        <v>0</v>
      </c>
      <c r="AF126" s="81">
        <v>1</v>
      </c>
      <c r="AG126" s="87" t="s">
        <v>3914</v>
      </c>
      <c r="AH126" s="81" t="b">
        <v>0</v>
      </c>
      <c r="AI126" s="81" t="s">
        <v>4092</v>
      </c>
      <c r="AJ126" s="81"/>
      <c r="AK126" s="87" t="s">
        <v>3875</v>
      </c>
      <c r="AL126" s="81" t="b">
        <v>0</v>
      </c>
      <c r="AM126" s="81">
        <v>0</v>
      </c>
      <c r="AN126" s="87" t="s">
        <v>3875</v>
      </c>
      <c r="AO126" s="87" t="s">
        <v>4109</v>
      </c>
      <c r="AP126" s="81" t="b">
        <v>0</v>
      </c>
      <c r="AQ126" s="87" t="s">
        <v>3680</v>
      </c>
      <c r="AR126" s="81" t="s">
        <v>179</v>
      </c>
      <c r="AS126" s="81">
        <v>0</v>
      </c>
      <c r="AT126" s="81">
        <v>0</v>
      </c>
      <c r="AU126" s="81"/>
      <c r="AV126" s="81"/>
      <c r="AW126" s="81"/>
      <c r="AX126" s="81"/>
      <c r="AY126" s="81"/>
      <c r="AZ126" s="81"/>
      <c r="BA126" s="81"/>
      <c r="BB126" s="81"/>
    </row>
    <row r="127" spans="1:54" x14ac:dyDescent="0.35">
      <c r="A127" s="66" t="s">
        <v>300</v>
      </c>
      <c r="B127" s="66" t="s">
        <v>1037</v>
      </c>
      <c r="C127" s="67"/>
      <c r="D127" s="68"/>
      <c r="E127" s="69"/>
      <c r="F127" s="70"/>
      <c r="G127" s="67"/>
      <c r="H127" s="71"/>
      <c r="I127" s="72"/>
      <c r="J127" s="72"/>
      <c r="K127" s="36"/>
      <c r="L127" s="79"/>
      <c r="M127" s="79"/>
      <c r="N127" s="74"/>
      <c r="O127" s="81" t="s">
        <v>1208</v>
      </c>
      <c r="P127" s="83">
        <v>44459.294212962966</v>
      </c>
      <c r="Q127" s="81" t="s">
        <v>1288</v>
      </c>
      <c r="R127" s="81"/>
      <c r="S127" s="81"/>
      <c r="T127" s="81"/>
      <c r="U127" s="81"/>
      <c r="V127" s="85" t="str">
        <f>HYPERLINK("https://pbs.twimg.com/profile_images/1427657002415579148/jaH169nC_normal.jpg")</f>
        <v>https://pbs.twimg.com/profile_images/1427657002415579148/jaH169nC_normal.jpg</v>
      </c>
      <c r="W127" s="83">
        <v>44459.294212962966</v>
      </c>
      <c r="X127" s="89">
        <v>44459</v>
      </c>
      <c r="Y127" s="87" t="s">
        <v>1885</v>
      </c>
      <c r="Z127" s="85" t="str">
        <f>HYPERLINK("https://twitter.com/nanisentyaa/status/1439847712510201859")</f>
        <v>https://twitter.com/nanisentyaa/status/1439847712510201859</v>
      </c>
      <c r="AA127" s="81"/>
      <c r="AB127" s="81"/>
      <c r="AC127" s="87" t="s">
        <v>2807</v>
      </c>
      <c r="AD127" s="87" t="s">
        <v>3681</v>
      </c>
      <c r="AE127" s="81" t="b">
        <v>0</v>
      </c>
      <c r="AF127" s="81">
        <v>0</v>
      </c>
      <c r="AG127" s="87" t="s">
        <v>3915</v>
      </c>
      <c r="AH127" s="81" t="b">
        <v>0</v>
      </c>
      <c r="AI127" s="81" t="s">
        <v>4092</v>
      </c>
      <c r="AJ127" s="81"/>
      <c r="AK127" s="87" t="s">
        <v>3875</v>
      </c>
      <c r="AL127" s="81" t="b">
        <v>0</v>
      </c>
      <c r="AM127" s="81">
        <v>0</v>
      </c>
      <c r="AN127" s="87" t="s">
        <v>3875</v>
      </c>
      <c r="AO127" s="87" t="s">
        <v>4109</v>
      </c>
      <c r="AP127" s="81" t="b">
        <v>0</v>
      </c>
      <c r="AQ127" s="87" t="s">
        <v>3681</v>
      </c>
      <c r="AR127" s="81" t="s">
        <v>179</v>
      </c>
      <c r="AS127" s="81">
        <v>0</v>
      </c>
      <c r="AT127" s="81">
        <v>0</v>
      </c>
      <c r="AU127" s="81"/>
      <c r="AV127" s="81"/>
      <c r="AW127" s="81"/>
      <c r="AX127" s="81"/>
      <c r="AY127" s="81"/>
      <c r="AZ127" s="81"/>
      <c r="BA127" s="81"/>
      <c r="BB127" s="81"/>
    </row>
    <row r="128" spans="1:54" x14ac:dyDescent="0.35">
      <c r="A128" s="66" t="s">
        <v>301</v>
      </c>
      <c r="B128" s="66" t="s">
        <v>301</v>
      </c>
      <c r="C128" s="67"/>
      <c r="D128" s="68"/>
      <c r="E128" s="69"/>
      <c r="F128" s="70"/>
      <c r="G128" s="67"/>
      <c r="H128" s="71"/>
      <c r="I128" s="72"/>
      <c r="J128" s="72"/>
      <c r="K128" s="36"/>
      <c r="L128" s="79"/>
      <c r="M128" s="79"/>
      <c r="N128" s="74"/>
      <c r="O128" s="81" t="s">
        <v>179</v>
      </c>
      <c r="P128" s="83">
        <v>44459.311319444445</v>
      </c>
      <c r="Q128" s="81" t="s">
        <v>1289</v>
      </c>
      <c r="R128" s="81"/>
      <c r="S128" s="81"/>
      <c r="T128" s="81"/>
      <c r="U128" s="81"/>
      <c r="V128" s="85" t="str">
        <f>HYPERLINK("https://pbs.twimg.com/profile_images/1410227992253501441/gJqQQW3Z_normal.jpg")</f>
        <v>https://pbs.twimg.com/profile_images/1410227992253501441/gJqQQW3Z_normal.jpg</v>
      </c>
      <c r="W128" s="83">
        <v>44459.311319444445</v>
      </c>
      <c r="X128" s="89">
        <v>44459</v>
      </c>
      <c r="Y128" s="87" t="s">
        <v>1886</v>
      </c>
      <c r="Z128" s="85" t="str">
        <f>HYPERLINK("https://twitter.com/yanahaudy/status/1439853914187128841")</f>
        <v>https://twitter.com/yanahaudy/status/1439853914187128841</v>
      </c>
      <c r="AA128" s="81"/>
      <c r="AB128" s="81"/>
      <c r="AC128" s="87" t="s">
        <v>2808</v>
      </c>
      <c r="AD128" s="81"/>
      <c r="AE128" s="81" t="b">
        <v>0</v>
      </c>
      <c r="AF128" s="81">
        <v>0</v>
      </c>
      <c r="AG128" s="87" t="s">
        <v>3875</v>
      </c>
      <c r="AH128" s="81" t="b">
        <v>0</v>
      </c>
      <c r="AI128" s="81" t="s">
        <v>4092</v>
      </c>
      <c r="AJ128" s="81"/>
      <c r="AK128" s="87" t="s">
        <v>3875</v>
      </c>
      <c r="AL128" s="81" t="b">
        <v>0</v>
      </c>
      <c r="AM128" s="81">
        <v>0</v>
      </c>
      <c r="AN128" s="87" t="s">
        <v>3875</v>
      </c>
      <c r="AO128" s="87" t="s">
        <v>4111</v>
      </c>
      <c r="AP128" s="81" t="b">
        <v>0</v>
      </c>
      <c r="AQ128" s="87" t="s">
        <v>2808</v>
      </c>
      <c r="AR128" s="81" t="s">
        <v>179</v>
      </c>
      <c r="AS128" s="81">
        <v>0</v>
      </c>
      <c r="AT128" s="81">
        <v>0</v>
      </c>
      <c r="AU128" s="81"/>
      <c r="AV128" s="81"/>
      <c r="AW128" s="81"/>
      <c r="AX128" s="81"/>
      <c r="AY128" s="81"/>
      <c r="AZ128" s="81"/>
      <c r="BA128" s="81"/>
      <c r="BB128" s="81"/>
    </row>
    <row r="129" spans="1:54" x14ac:dyDescent="0.35">
      <c r="A129" s="66" t="s">
        <v>302</v>
      </c>
      <c r="B129" s="66" t="s">
        <v>1038</v>
      </c>
      <c r="C129" s="67"/>
      <c r="D129" s="68"/>
      <c r="E129" s="69"/>
      <c r="F129" s="70"/>
      <c r="G129" s="67"/>
      <c r="H129" s="71"/>
      <c r="I129" s="72"/>
      <c r="J129" s="72"/>
      <c r="K129" s="36"/>
      <c r="L129" s="79"/>
      <c r="M129" s="79"/>
      <c r="N129" s="74"/>
      <c r="O129" s="81" t="s">
        <v>1208</v>
      </c>
      <c r="P129" s="83">
        <v>44459.318692129629</v>
      </c>
      <c r="Q129" s="81" t="s">
        <v>1290</v>
      </c>
      <c r="R129" s="81"/>
      <c r="S129" s="81"/>
      <c r="T129" s="81"/>
      <c r="U129" s="81"/>
      <c r="V129" s="85" t="str">
        <f>HYPERLINK("https://pbs.twimg.com/profile_images/1417136371416801282/bAkj_nJA_normal.jpg")</f>
        <v>https://pbs.twimg.com/profile_images/1417136371416801282/bAkj_nJA_normal.jpg</v>
      </c>
      <c r="W129" s="83">
        <v>44459.318692129629</v>
      </c>
      <c r="X129" s="89">
        <v>44459</v>
      </c>
      <c r="Y129" s="87" t="s">
        <v>1887</v>
      </c>
      <c r="Z129" s="85" t="str">
        <f>HYPERLINK("https://twitter.com/nayutaishere/status/1439856584021057536")</f>
        <v>https://twitter.com/nayutaishere/status/1439856584021057536</v>
      </c>
      <c r="AA129" s="81"/>
      <c r="AB129" s="81"/>
      <c r="AC129" s="87" t="s">
        <v>2809</v>
      </c>
      <c r="AD129" s="87" t="s">
        <v>3682</v>
      </c>
      <c r="AE129" s="81" t="b">
        <v>0</v>
      </c>
      <c r="AF129" s="81">
        <v>0</v>
      </c>
      <c r="AG129" s="87" t="s">
        <v>3916</v>
      </c>
      <c r="AH129" s="81" t="b">
        <v>0</v>
      </c>
      <c r="AI129" s="81" t="s">
        <v>4092</v>
      </c>
      <c r="AJ129" s="81"/>
      <c r="AK129" s="87" t="s">
        <v>3875</v>
      </c>
      <c r="AL129" s="81" t="b">
        <v>0</v>
      </c>
      <c r="AM129" s="81">
        <v>0</v>
      </c>
      <c r="AN129" s="87" t="s">
        <v>3875</v>
      </c>
      <c r="AO129" s="87" t="s">
        <v>4109</v>
      </c>
      <c r="AP129" s="81" t="b">
        <v>0</v>
      </c>
      <c r="AQ129" s="87" t="s">
        <v>3682</v>
      </c>
      <c r="AR129" s="81" t="s">
        <v>179</v>
      </c>
      <c r="AS129" s="81">
        <v>0</v>
      </c>
      <c r="AT129" s="81">
        <v>0</v>
      </c>
      <c r="AU129" s="81"/>
      <c r="AV129" s="81"/>
      <c r="AW129" s="81"/>
      <c r="AX129" s="81"/>
      <c r="AY129" s="81"/>
      <c r="AZ129" s="81"/>
      <c r="BA129" s="81"/>
      <c r="BB129" s="81"/>
    </row>
    <row r="130" spans="1:54" x14ac:dyDescent="0.35">
      <c r="A130" s="66" t="s">
        <v>303</v>
      </c>
      <c r="B130" s="66" t="s">
        <v>1039</v>
      </c>
      <c r="C130" s="67"/>
      <c r="D130" s="68"/>
      <c r="E130" s="69"/>
      <c r="F130" s="70"/>
      <c r="G130" s="67"/>
      <c r="H130" s="71"/>
      <c r="I130" s="72"/>
      <c r="J130" s="72"/>
      <c r="K130" s="36"/>
      <c r="L130" s="79"/>
      <c r="M130" s="79"/>
      <c r="N130" s="74"/>
      <c r="O130" s="81" t="s">
        <v>1208</v>
      </c>
      <c r="P130" s="83">
        <v>44459.32309027778</v>
      </c>
      <c r="Q130" s="81" t="s">
        <v>1291</v>
      </c>
      <c r="R130" s="81"/>
      <c r="S130" s="81"/>
      <c r="T130" s="81"/>
      <c r="U130" s="81"/>
      <c r="V130" s="85" t="str">
        <f>HYPERLINK("https://pbs.twimg.com/profile_images/1408580207896760320/5F55qpha_normal.jpg")</f>
        <v>https://pbs.twimg.com/profile_images/1408580207896760320/5F55qpha_normal.jpg</v>
      </c>
      <c r="W130" s="83">
        <v>44459.32309027778</v>
      </c>
      <c r="X130" s="89">
        <v>44459</v>
      </c>
      <c r="Y130" s="87" t="s">
        <v>1888</v>
      </c>
      <c r="Z130" s="85" t="str">
        <f>HYPERLINK("https://twitter.com/maulittyy/status/1439858176736718849")</f>
        <v>https://twitter.com/maulittyy/status/1439858176736718849</v>
      </c>
      <c r="AA130" s="81"/>
      <c r="AB130" s="81"/>
      <c r="AC130" s="87" t="s">
        <v>2810</v>
      </c>
      <c r="AD130" s="87" t="s">
        <v>3683</v>
      </c>
      <c r="AE130" s="81" t="b">
        <v>0</v>
      </c>
      <c r="AF130" s="81">
        <v>0</v>
      </c>
      <c r="AG130" s="87" t="s">
        <v>3917</v>
      </c>
      <c r="AH130" s="81" t="b">
        <v>0</v>
      </c>
      <c r="AI130" s="81" t="s">
        <v>4092</v>
      </c>
      <c r="AJ130" s="81"/>
      <c r="AK130" s="87" t="s">
        <v>3875</v>
      </c>
      <c r="AL130" s="81" t="b">
        <v>0</v>
      </c>
      <c r="AM130" s="81">
        <v>0</v>
      </c>
      <c r="AN130" s="87" t="s">
        <v>3875</v>
      </c>
      <c r="AO130" s="87" t="s">
        <v>4109</v>
      </c>
      <c r="AP130" s="81" t="b">
        <v>0</v>
      </c>
      <c r="AQ130" s="87" t="s">
        <v>3683</v>
      </c>
      <c r="AR130" s="81" t="s">
        <v>179</v>
      </c>
      <c r="AS130" s="81">
        <v>0</v>
      </c>
      <c r="AT130" s="81">
        <v>0</v>
      </c>
      <c r="AU130" s="81"/>
      <c r="AV130" s="81"/>
      <c r="AW130" s="81"/>
      <c r="AX130" s="81"/>
      <c r="AY130" s="81"/>
      <c r="AZ130" s="81"/>
      <c r="BA130" s="81"/>
      <c r="BB130" s="81"/>
    </row>
    <row r="131" spans="1:54" x14ac:dyDescent="0.35">
      <c r="A131" s="66" t="s">
        <v>304</v>
      </c>
      <c r="B131" s="66" t="s">
        <v>1033</v>
      </c>
      <c r="C131" s="67"/>
      <c r="D131" s="68"/>
      <c r="E131" s="69"/>
      <c r="F131" s="70"/>
      <c r="G131" s="67"/>
      <c r="H131" s="71"/>
      <c r="I131" s="72"/>
      <c r="J131" s="72"/>
      <c r="K131" s="36"/>
      <c r="L131" s="79"/>
      <c r="M131" s="79"/>
      <c r="N131" s="74"/>
      <c r="O131" s="81" t="s">
        <v>1206</v>
      </c>
      <c r="P131" s="83">
        <v>44459.326666666668</v>
      </c>
      <c r="Q131" s="81" t="s">
        <v>1292</v>
      </c>
      <c r="R131" s="81"/>
      <c r="S131" s="81"/>
      <c r="T131" s="81"/>
      <c r="U131" s="81"/>
      <c r="V131" s="85" t="str">
        <f>HYPERLINK("https://pbs.twimg.com/profile_images/1372150716333125632/XXxufyt-_normal.jpg")</f>
        <v>https://pbs.twimg.com/profile_images/1372150716333125632/XXxufyt-_normal.jpg</v>
      </c>
      <c r="W131" s="83">
        <v>44459.326666666668</v>
      </c>
      <c r="X131" s="89">
        <v>44459</v>
      </c>
      <c r="Y131" s="87" t="s">
        <v>1889</v>
      </c>
      <c r="Z131" s="85" t="str">
        <f>HYPERLINK("https://twitter.com/detoooool/status/1439859474622078977")</f>
        <v>https://twitter.com/detoooool/status/1439859474622078977</v>
      </c>
      <c r="AA131" s="81"/>
      <c r="AB131" s="81"/>
      <c r="AC131" s="87" t="s">
        <v>2811</v>
      </c>
      <c r="AD131" s="87" t="s">
        <v>3684</v>
      </c>
      <c r="AE131" s="81" t="b">
        <v>0</v>
      </c>
      <c r="AF131" s="81">
        <v>0</v>
      </c>
      <c r="AG131" s="87" t="s">
        <v>3918</v>
      </c>
      <c r="AH131" s="81" t="b">
        <v>0</v>
      </c>
      <c r="AI131" s="81" t="s">
        <v>4092</v>
      </c>
      <c r="AJ131" s="81"/>
      <c r="AK131" s="87" t="s">
        <v>3875</v>
      </c>
      <c r="AL131" s="81" t="b">
        <v>0</v>
      </c>
      <c r="AM131" s="81">
        <v>0</v>
      </c>
      <c r="AN131" s="87" t="s">
        <v>3875</v>
      </c>
      <c r="AO131" s="87" t="s">
        <v>4109</v>
      </c>
      <c r="AP131" s="81" t="b">
        <v>0</v>
      </c>
      <c r="AQ131" s="87" t="s">
        <v>3684</v>
      </c>
      <c r="AR131" s="81" t="s">
        <v>179</v>
      </c>
      <c r="AS131" s="81">
        <v>0</v>
      </c>
      <c r="AT131" s="81">
        <v>0</v>
      </c>
      <c r="AU131" s="81"/>
      <c r="AV131" s="81"/>
      <c r="AW131" s="81"/>
      <c r="AX131" s="81"/>
      <c r="AY131" s="81"/>
      <c r="AZ131" s="81"/>
      <c r="BA131" s="81"/>
      <c r="BB131" s="81"/>
    </row>
    <row r="132" spans="1:54" x14ac:dyDescent="0.35">
      <c r="A132" s="66" t="s">
        <v>304</v>
      </c>
      <c r="B132" s="66" t="s">
        <v>1040</v>
      </c>
      <c r="C132" s="67"/>
      <c r="D132" s="68"/>
      <c r="E132" s="69"/>
      <c r="F132" s="70"/>
      <c r="G132" s="67"/>
      <c r="H132" s="71"/>
      <c r="I132" s="72"/>
      <c r="J132" s="72"/>
      <c r="K132" s="36"/>
      <c r="L132" s="79"/>
      <c r="M132" s="79"/>
      <c r="N132" s="74"/>
      <c r="O132" s="81" t="s">
        <v>1208</v>
      </c>
      <c r="P132" s="83">
        <v>44459.326666666668</v>
      </c>
      <c r="Q132" s="81" t="s">
        <v>1292</v>
      </c>
      <c r="R132" s="81"/>
      <c r="S132" s="81"/>
      <c r="T132" s="81"/>
      <c r="U132" s="81"/>
      <c r="V132" s="85" t="str">
        <f>HYPERLINK("https://pbs.twimg.com/profile_images/1372150716333125632/XXxufyt-_normal.jpg")</f>
        <v>https://pbs.twimg.com/profile_images/1372150716333125632/XXxufyt-_normal.jpg</v>
      </c>
      <c r="W132" s="83">
        <v>44459.326666666668</v>
      </c>
      <c r="X132" s="89">
        <v>44459</v>
      </c>
      <c r="Y132" s="87" t="s">
        <v>1889</v>
      </c>
      <c r="Z132" s="85" t="str">
        <f>HYPERLINK("https://twitter.com/detoooool/status/1439859474622078977")</f>
        <v>https://twitter.com/detoooool/status/1439859474622078977</v>
      </c>
      <c r="AA132" s="81"/>
      <c r="AB132" s="81"/>
      <c r="AC132" s="87" t="s">
        <v>2811</v>
      </c>
      <c r="AD132" s="87" t="s">
        <v>3684</v>
      </c>
      <c r="AE132" s="81" t="b">
        <v>0</v>
      </c>
      <c r="AF132" s="81">
        <v>0</v>
      </c>
      <c r="AG132" s="87" t="s">
        <v>3918</v>
      </c>
      <c r="AH132" s="81" t="b">
        <v>0</v>
      </c>
      <c r="AI132" s="81" t="s">
        <v>4092</v>
      </c>
      <c r="AJ132" s="81"/>
      <c r="AK132" s="87" t="s">
        <v>3875</v>
      </c>
      <c r="AL132" s="81" t="b">
        <v>0</v>
      </c>
      <c r="AM132" s="81">
        <v>0</v>
      </c>
      <c r="AN132" s="87" t="s">
        <v>3875</v>
      </c>
      <c r="AO132" s="87" t="s">
        <v>4109</v>
      </c>
      <c r="AP132" s="81" t="b">
        <v>0</v>
      </c>
      <c r="AQ132" s="87" t="s">
        <v>3684</v>
      </c>
      <c r="AR132" s="81" t="s">
        <v>179</v>
      </c>
      <c r="AS132" s="81">
        <v>0</v>
      </c>
      <c r="AT132" s="81">
        <v>0</v>
      </c>
      <c r="AU132" s="81"/>
      <c r="AV132" s="81"/>
      <c r="AW132" s="81"/>
      <c r="AX132" s="81"/>
      <c r="AY132" s="81"/>
      <c r="AZ132" s="81"/>
      <c r="BA132" s="81"/>
      <c r="BB132" s="81"/>
    </row>
    <row r="133" spans="1:54" x14ac:dyDescent="0.35">
      <c r="A133" s="66" t="s">
        <v>305</v>
      </c>
      <c r="B133" s="66" t="s">
        <v>1041</v>
      </c>
      <c r="C133" s="67"/>
      <c r="D133" s="68"/>
      <c r="E133" s="69"/>
      <c r="F133" s="70"/>
      <c r="G133" s="67"/>
      <c r="H133" s="71"/>
      <c r="I133" s="72"/>
      <c r="J133" s="72"/>
      <c r="K133" s="36"/>
      <c r="L133" s="79"/>
      <c r="M133" s="79"/>
      <c r="N133" s="74"/>
      <c r="O133" s="81" t="s">
        <v>1208</v>
      </c>
      <c r="P133" s="83">
        <v>44459.327650462961</v>
      </c>
      <c r="Q133" s="81" t="s">
        <v>1293</v>
      </c>
      <c r="R133" s="81"/>
      <c r="S133" s="81"/>
      <c r="T133" s="81"/>
      <c r="U133" s="81"/>
      <c r="V133" s="85" t="str">
        <f>HYPERLINK("https://pbs.twimg.com/profile_images/1427076470371799041/QAk0k53d_normal.jpg")</f>
        <v>https://pbs.twimg.com/profile_images/1427076470371799041/QAk0k53d_normal.jpg</v>
      </c>
      <c r="W133" s="83">
        <v>44459.327650462961</v>
      </c>
      <c r="X133" s="89">
        <v>44459</v>
      </c>
      <c r="Y133" s="87" t="s">
        <v>1890</v>
      </c>
      <c r="Z133" s="85" t="str">
        <f>HYPERLINK("https://twitter.com/eonni_wh/status/1439859829254676480")</f>
        <v>https://twitter.com/eonni_wh/status/1439859829254676480</v>
      </c>
      <c r="AA133" s="81"/>
      <c r="AB133" s="81"/>
      <c r="AC133" s="87" t="s">
        <v>2812</v>
      </c>
      <c r="AD133" s="87" t="s">
        <v>3685</v>
      </c>
      <c r="AE133" s="81" t="b">
        <v>0</v>
      </c>
      <c r="AF133" s="81">
        <v>0</v>
      </c>
      <c r="AG133" s="87" t="s">
        <v>3919</v>
      </c>
      <c r="AH133" s="81" t="b">
        <v>0</v>
      </c>
      <c r="AI133" s="81" t="s">
        <v>4094</v>
      </c>
      <c r="AJ133" s="81"/>
      <c r="AK133" s="87" t="s">
        <v>3875</v>
      </c>
      <c r="AL133" s="81" t="b">
        <v>0</v>
      </c>
      <c r="AM133" s="81">
        <v>0</v>
      </c>
      <c r="AN133" s="87" t="s">
        <v>3875</v>
      </c>
      <c r="AO133" s="87" t="s">
        <v>4109</v>
      </c>
      <c r="AP133" s="81" t="b">
        <v>0</v>
      </c>
      <c r="AQ133" s="87" t="s">
        <v>3685</v>
      </c>
      <c r="AR133" s="81" t="s">
        <v>179</v>
      </c>
      <c r="AS133" s="81">
        <v>0</v>
      </c>
      <c r="AT133" s="81">
        <v>0</v>
      </c>
      <c r="AU133" s="81"/>
      <c r="AV133" s="81"/>
      <c r="AW133" s="81"/>
      <c r="AX133" s="81"/>
      <c r="AY133" s="81"/>
      <c r="AZ133" s="81"/>
      <c r="BA133" s="81"/>
      <c r="BB133" s="81"/>
    </row>
    <row r="134" spans="1:54" x14ac:dyDescent="0.35">
      <c r="A134" s="66" t="s">
        <v>306</v>
      </c>
      <c r="B134" s="66" t="s">
        <v>306</v>
      </c>
      <c r="C134" s="67"/>
      <c r="D134" s="68"/>
      <c r="E134" s="69"/>
      <c r="F134" s="70"/>
      <c r="G134" s="67"/>
      <c r="H134" s="71"/>
      <c r="I134" s="72"/>
      <c r="J134" s="72"/>
      <c r="K134" s="36"/>
      <c r="L134" s="79"/>
      <c r="M134" s="79"/>
      <c r="N134" s="74"/>
      <c r="O134" s="81" t="s">
        <v>179</v>
      </c>
      <c r="P134" s="83">
        <v>44459.329328703701</v>
      </c>
      <c r="Q134" s="81" t="s">
        <v>1294</v>
      </c>
      <c r="R134" s="81"/>
      <c r="S134" s="81"/>
      <c r="T134" s="81"/>
      <c r="U134" s="81"/>
      <c r="V134" s="85" t="str">
        <f>HYPERLINK("https://pbs.twimg.com/profile_images/1439077968005853188/rTOPO4BY_normal.jpg")</f>
        <v>https://pbs.twimg.com/profile_images/1439077968005853188/rTOPO4BY_normal.jpg</v>
      </c>
      <c r="W134" s="83">
        <v>44459.329328703701</v>
      </c>
      <c r="X134" s="89">
        <v>44459</v>
      </c>
      <c r="Y134" s="87" t="s">
        <v>1891</v>
      </c>
      <c r="Z134" s="85" t="str">
        <f>HYPERLINK("https://twitter.com/_danraja/status/1439860436568924163")</f>
        <v>https://twitter.com/_danraja/status/1439860436568924163</v>
      </c>
      <c r="AA134" s="81"/>
      <c r="AB134" s="81"/>
      <c r="AC134" s="87" t="s">
        <v>2813</v>
      </c>
      <c r="AD134" s="81"/>
      <c r="AE134" s="81" t="b">
        <v>0</v>
      </c>
      <c r="AF134" s="81">
        <v>0</v>
      </c>
      <c r="AG134" s="87" t="s">
        <v>3875</v>
      </c>
      <c r="AH134" s="81" t="b">
        <v>0</v>
      </c>
      <c r="AI134" s="81" t="s">
        <v>4092</v>
      </c>
      <c r="AJ134" s="81"/>
      <c r="AK134" s="87" t="s">
        <v>3875</v>
      </c>
      <c r="AL134" s="81" t="b">
        <v>0</v>
      </c>
      <c r="AM134" s="81">
        <v>0</v>
      </c>
      <c r="AN134" s="87" t="s">
        <v>3875</v>
      </c>
      <c r="AO134" s="87" t="s">
        <v>4109</v>
      </c>
      <c r="AP134" s="81" t="b">
        <v>0</v>
      </c>
      <c r="AQ134" s="87" t="s">
        <v>2813</v>
      </c>
      <c r="AR134" s="81" t="s">
        <v>179</v>
      </c>
      <c r="AS134" s="81">
        <v>0</v>
      </c>
      <c r="AT134" s="81">
        <v>0</v>
      </c>
      <c r="AU134" s="81"/>
      <c r="AV134" s="81"/>
      <c r="AW134" s="81"/>
      <c r="AX134" s="81"/>
      <c r="AY134" s="81"/>
      <c r="AZ134" s="81"/>
      <c r="BA134" s="81"/>
      <c r="BB134" s="81"/>
    </row>
    <row r="135" spans="1:54" x14ac:dyDescent="0.35">
      <c r="A135" s="66" t="s">
        <v>307</v>
      </c>
      <c r="B135" s="66" t="s">
        <v>1040</v>
      </c>
      <c r="C135" s="67"/>
      <c r="D135" s="68"/>
      <c r="E135" s="69"/>
      <c r="F135" s="70"/>
      <c r="G135" s="67"/>
      <c r="H135" s="71"/>
      <c r="I135" s="72"/>
      <c r="J135" s="72"/>
      <c r="K135" s="36"/>
      <c r="L135" s="79"/>
      <c r="M135" s="79"/>
      <c r="N135" s="74"/>
      <c r="O135" s="81" t="s">
        <v>1208</v>
      </c>
      <c r="P135" s="83">
        <v>44459.336550925924</v>
      </c>
      <c r="Q135" s="81" t="s">
        <v>1295</v>
      </c>
      <c r="R135" s="81"/>
      <c r="S135" s="81"/>
      <c r="T135" s="81"/>
      <c r="U135" s="81"/>
      <c r="V135" s="85" t="str">
        <f>HYPERLINK("https://pbs.twimg.com/profile_images/1437319219662573570/FquuH0ws_normal.jpg")</f>
        <v>https://pbs.twimg.com/profile_images/1437319219662573570/FquuH0ws_normal.jpg</v>
      </c>
      <c r="W135" s="83">
        <v>44459.336550925924</v>
      </c>
      <c r="X135" s="89">
        <v>44459</v>
      </c>
      <c r="Y135" s="87" t="s">
        <v>1892</v>
      </c>
      <c r="Z135" s="85" t="str">
        <f>HYPERLINK("https://twitter.com/chocolateyyni/status/1439863055328768001")</f>
        <v>https://twitter.com/chocolateyyni/status/1439863055328768001</v>
      </c>
      <c r="AA135" s="81"/>
      <c r="AB135" s="81"/>
      <c r="AC135" s="87" t="s">
        <v>2814</v>
      </c>
      <c r="AD135" s="87" t="s">
        <v>3684</v>
      </c>
      <c r="AE135" s="81" t="b">
        <v>0</v>
      </c>
      <c r="AF135" s="81">
        <v>1</v>
      </c>
      <c r="AG135" s="87" t="s">
        <v>3918</v>
      </c>
      <c r="AH135" s="81" t="b">
        <v>0</v>
      </c>
      <c r="AI135" s="81" t="s">
        <v>4092</v>
      </c>
      <c r="AJ135" s="81"/>
      <c r="AK135" s="87" t="s">
        <v>3875</v>
      </c>
      <c r="AL135" s="81" t="b">
        <v>0</v>
      </c>
      <c r="AM135" s="81">
        <v>0</v>
      </c>
      <c r="AN135" s="87" t="s">
        <v>3875</v>
      </c>
      <c r="AO135" s="87" t="s">
        <v>4110</v>
      </c>
      <c r="AP135" s="81" t="b">
        <v>0</v>
      </c>
      <c r="AQ135" s="87" t="s">
        <v>3684</v>
      </c>
      <c r="AR135" s="81" t="s">
        <v>179</v>
      </c>
      <c r="AS135" s="81">
        <v>0</v>
      </c>
      <c r="AT135" s="81">
        <v>0</v>
      </c>
      <c r="AU135" s="81"/>
      <c r="AV135" s="81"/>
      <c r="AW135" s="81"/>
      <c r="AX135" s="81"/>
      <c r="AY135" s="81"/>
      <c r="AZ135" s="81"/>
      <c r="BA135" s="81"/>
      <c r="BB135" s="81"/>
    </row>
    <row r="136" spans="1:54" x14ac:dyDescent="0.35">
      <c r="A136" s="66" t="s">
        <v>307</v>
      </c>
      <c r="B136" s="66" t="s">
        <v>1033</v>
      </c>
      <c r="C136" s="67"/>
      <c r="D136" s="68"/>
      <c r="E136" s="69"/>
      <c r="F136" s="70"/>
      <c r="G136" s="67"/>
      <c r="H136" s="71"/>
      <c r="I136" s="72"/>
      <c r="J136" s="72"/>
      <c r="K136" s="36"/>
      <c r="L136" s="79"/>
      <c r="M136" s="79"/>
      <c r="N136" s="74"/>
      <c r="O136" s="81" t="s">
        <v>1206</v>
      </c>
      <c r="P136" s="83">
        <v>44459.336550925924</v>
      </c>
      <c r="Q136" s="81" t="s">
        <v>1295</v>
      </c>
      <c r="R136" s="81"/>
      <c r="S136" s="81"/>
      <c r="T136" s="81"/>
      <c r="U136" s="81"/>
      <c r="V136" s="85" t="str">
        <f>HYPERLINK("https://pbs.twimg.com/profile_images/1437319219662573570/FquuH0ws_normal.jpg")</f>
        <v>https://pbs.twimg.com/profile_images/1437319219662573570/FquuH0ws_normal.jpg</v>
      </c>
      <c r="W136" s="83">
        <v>44459.336550925924</v>
      </c>
      <c r="X136" s="89">
        <v>44459</v>
      </c>
      <c r="Y136" s="87" t="s">
        <v>1892</v>
      </c>
      <c r="Z136" s="85" t="str">
        <f>HYPERLINK("https://twitter.com/chocolateyyni/status/1439863055328768001")</f>
        <v>https://twitter.com/chocolateyyni/status/1439863055328768001</v>
      </c>
      <c r="AA136" s="81"/>
      <c r="AB136" s="81"/>
      <c r="AC136" s="87" t="s">
        <v>2814</v>
      </c>
      <c r="AD136" s="87" t="s">
        <v>3684</v>
      </c>
      <c r="AE136" s="81" t="b">
        <v>0</v>
      </c>
      <c r="AF136" s="81">
        <v>1</v>
      </c>
      <c r="AG136" s="87" t="s">
        <v>3918</v>
      </c>
      <c r="AH136" s="81" t="b">
        <v>0</v>
      </c>
      <c r="AI136" s="81" t="s">
        <v>4092</v>
      </c>
      <c r="AJ136" s="81"/>
      <c r="AK136" s="87" t="s">
        <v>3875</v>
      </c>
      <c r="AL136" s="81" t="b">
        <v>0</v>
      </c>
      <c r="AM136" s="81">
        <v>0</v>
      </c>
      <c r="AN136" s="87" t="s">
        <v>3875</v>
      </c>
      <c r="AO136" s="87" t="s">
        <v>4110</v>
      </c>
      <c r="AP136" s="81" t="b">
        <v>0</v>
      </c>
      <c r="AQ136" s="87" t="s">
        <v>3684</v>
      </c>
      <c r="AR136" s="81" t="s">
        <v>179</v>
      </c>
      <c r="AS136" s="81">
        <v>0</v>
      </c>
      <c r="AT136" s="81">
        <v>0</v>
      </c>
      <c r="AU136" s="81"/>
      <c r="AV136" s="81"/>
      <c r="AW136" s="81"/>
      <c r="AX136" s="81"/>
      <c r="AY136" s="81"/>
      <c r="AZ136" s="81"/>
      <c r="BA136" s="81"/>
      <c r="BB136" s="81"/>
    </row>
    <row r="137" spans="1:54" x14ac:dyDescent="0.35">
      <c r="A137" s="66" t="s">
        <v>308</v>
      </c>
      <c r="B137" s="66" t="s">
        <v>308</v>
      </c>
      <c r="C137" s="67"/>
      <c r="D137" s="68"/>
      <c r="E137" s="69"/>
      <c r="F137" s="70"/>
      <c r="G137" s="67"/>
      <c r="H137" s="71"/>
      <c r="I137" s="72"/>
      <c r="J137" s="72"/>
      <c r="K137" s="36"/>
      <c r="L137" s="79"/>
      <c r="M137" s="79"/>
      <c r="N137" s="74"/>
      <c r="O137" s="81" t="s">
        <v>179</v>
      </c>
      <c r="P137" s="83">
        <v>44459.336770833332</v>
      </c>
      <c r="Q137" s="81" t="s">
        <v>1296</v>
      </c>
      <c r="R137" s="81"/>
      <c r="S137" s="81"/>
      <c r="T137" s="81"/>
      <c r="U137" s="81"/>
      <c r="V137" s="85" t="str">
        <f>HYPERLINK("https://pbs.twimg.com/profile_images/1421468457523027972/Anib3hFg_normal.jpg")</f>
        <v>https://pbs.twimg.com/profile_images/1421468457523027972/Anib3hFg_normal.jpg</v>
      </c>
      <c r="W137" s="83">
        <v>44459.336770833332</v>
      </c>
      <c r="X137" s="89">
        <v>44459</v>
      </c>
      <c r="Y137" s="87" t="s">
        <v>1893</v>
      </c>
      <c r="Z137" s="85" t="str">
        <f>HYPERLINK("https://twitter.com/hoelstfup/status/1439863134122962944")</f>
        <v>https://twitter.com/hoelstfup/status/1439863134122962944</v>
      </c>
      <c r="AA137" s="81"/>
      <c r="AB137" s="81"/>
      <c r="AC137" s="87" t="s">
        <v>2815</v>
      </c>
      <c r="AD137" s="81"/>
      <c r="AE137" s="81" t="b">
        <v>0</v>
      </c>
      <c r="AF137" s="81">
        <v>0</v>
      </c>
      <c r="AG137" s="87" t="s">
        <v>3875</v>
      </c>
      <c r="AH137" s="81" t="b">
        <v>0</v>
      </c>
      <c r="AI137" s="81" t="s">
        <v>4092</v>
      </c>
      <c r="AJ137" s="81"/>
      <c r="AK137" s="87" t="s">
        <v>3875</v>
      </c>
      <c r="AL137" s="81" t="b">
        <v>0</v>
      </c>
      <c r="AM137" s="81">
        <v>0</v>
      </c>
      <c r="AN137" s="87" t="s">
        <v>3875</v>
      </c>
      <c r="AO137" s="87" t="s">
        <v>4109</v>
      </c>
      <c r="AP137" s="81" t="b">
        <v>0</v>
      </c>
      <c r="AQ137" s="87" t="s">
        <v>2815</v>
      </c>
      <c r="AR137" s="81" t="s">
        <v>179</v>
      </c>
      <c r="AS137" s="81">
        <v>0</v>
      </c>
      <c r="AT137" s="81">
        <v>0</v>
      </c>
      <c r="AU137" s="81"/>
      <c r="AV137" s="81"/>
      <c r="AW137" s="81"/>
      <c r="AX137" s="81"/>
      <c r="AY137" s="81"/>
      <c r="AZ137" s="81"/>
      <c r="BA137" s="81"/>
      <c r="BB137" s="81"/>
    </row>
    <row r="138" spans="1:54" x14ac:dyDescent="0.35">
      <c r="A138" s="66" t="s">
        <v>309</v>
      </c>
      <c r="B138" s="66" t="s">
        <v>1042</v>
      </c>
      <c r="C138" s="67"/>
      <c r="D138" s="68"/>
      <c r="E138" s="69"/>
      <c r="F138" s="70"/>
      <c r="G138" s="67"/>
      <c r="H138" s="71"/>
      <c r="I138" s="72"/>
      <c r="J138" s="72"/>
      <c r="K138" s="36"/>
      <c r="L138" s="79"/>
      <c r="M138" s="79"/>
      <c r="N138" s="74"/>
      <c r="O138" s="81" t="s">
        <v>1206</v>
      </c>
      <c r="P138" s="83">
        <v>44459.36347222222</v>
      </c>
      <c r="Q138" s="81" t="s">
        <v>1297</v>
      </c>
      <c r="R138" s="85" t="str">
        <f>HYPERLINK("https://koranbumn.com/2021/09/perkuat-layanan-posaja-pos-indonesia-gandeng-nujek-dan-perkenalkan-o-ranger-mawar/")</f>
        <v>https://koranbumn.com/2021/09/perkuat-layanan-posaja-pos-indonesia-gandeng-nujek-dan-perkenalkan-o-ranger-mawar/</v>
      </c>
      <c r="S138" s="81" t="s">
        <v>1737</v>
      </c>
      <c r="T138" s="81"/>
      <c r="U138" s="81"/>
      <c r="V138" s="85" t="str">
        <f>HYPERLINK("https://pbs.twimg.com/profile_images/1427413643436593153/zRSKIgJK_normal.jpg")</f>
        <v>https://pbs.twimg.com/profile_images/1427413643436593153/zRSKIgJK_normal.jpg</v>
      </c>
      <c r="W138" s="83">
        <v>44459.36347222222</v>
      </c>
      <c r="X138" s="89">
        <v>44459</v>
      </c>
      <c r="Y138" s="87" t="s">
        <v>1894</v>
      </c>
      <c r="Z138" s="85" t="str">
        <f>HYPERLINK("https://twitter.com/koranbumn/status/1439872811607023618")</f>
        <v>https://twitter.com/koranbumn/status/1439872811607023618</v>
      </c>
      <c r="AA138" s="81"/>
      <c r="AB138" s="81"/>
      <c r="AC138" s="87" t="s">
        <v>2816</v>
      </c>
      <c r="AD138" s="81"/>
      <c r="AE138" s="81" t="b">
        <v>0</v>
      </c>
      <c r="AF138" s="81">
        <v>0</v>
      </c>
      <c r="AG138" s="87" t="s">
        <v>3875</v>
      </c>
      <c r="AH138" s="81" t="b">
        <v>0</v>
      </c>
      <c r="AI138" s="81" t="s">
        <v>4092</v>
      </c>
      <c r="AJ138" s="81"/>
      <c r="AK138" s="87" t="s">
        <v>3875</v>
      </c>
      <c r="AL138" s="81" t="b">
        <v>0</v>
      </c>
      <c r="AM138" s="81">
        <v>0</v>
      </c>
      <c r="AN138" s="87" t="s">
        <v>3875</v>
      </c>
      <c r="AO138" s="87" t="s">
        <v>4111</v>
      </c>
      <c r="AP138" s="81" t="b">
        <v>0</v>
      </c>
      <c r="AQ138" s="87" t="s">
        <v>2816</v>
      </c>
      <c r="AR138" s="81" t="s">
        <v>179</v>
      </c>
      <c r="AS138" s="81">
        <v>0</v>
      </c>
      <c r="AT138" s="81">
        <v>0</v>
      </c>
      <c r="AU138" s="81"/>
      <c r="AV138" s="81"/>
      <c r="AW138" s="81"/>
      <c r="AX138" s="81"/>
      <c r="AY138" s="81"/>
      <c r="AZ138" s="81"/>
      <c r="BA138" s="81"/>
      <c r="BB138" s="81"/>
    </row>
    <row r="139" spans="1:54" x14ac:dyDescent="0.35">
      <c r="A139" s="66" t="s">
        <v>309</v>
      </c>
      <c r="B139" s="66" t="s">
        <v>1043</v>
      </c>
      <c r="C139" s="67"/>
      <c r="D139" s="68"/>
      <c r="E139" s="69"/>
      <c r="F139" s="70"/>
      <c r="G139" s="67"/>
      <c r="H139" s="71"/>
      <c r="I139" s="72"/>
      <c r="J139" s="72"/>
      <c r="K139" s="36"/>
      <c r="L139" s="79"/>
      <c r="M139" s="79"/>
      <c r="N139" s="74"/>
      <c r="O139" s="81" t="s">
        <v>1206</v>
      </c>
      <c r="P139" s="83">
        <v>44459.36347222222</v>
      </c>
      <c r="Q139" s="81" t="s">
        <v>1297</v>
      </c>
      <c r="R139" s="85" t="str">
        <f>HYPERLINK("https://koranbumn.com/2021/09/perkuat-layanan-posaja-pos-indonesia-gandeng-nujek-dan-perkenalkan-o-ranger-mawar/")</f>
        <v>https://koranbumn.com/2021/09/perkuat-layanan-posaja-pos-indonesia-gandeng-nujek-dan-perkenalkan-o-ranger-mawar/</v>
      </c>
      <c r="S139" s="81" t="s">
        <v>1737</v>
      </c>
      <c r="T139" s="81"/>
      <c r="U139" s="81"/>
      <c r="V139" s="85" t="str">
        <f>HYPERLINK("https://pbs.twimg.com/profile_images/1427413643436593153/zRSKIgJK_normal.jpg")</f>
        <v>https://pbs.twimg.com/profile_images/1427413643436593153/zRSKIgJK_normal.jpg</v>
      </c>
      <c r="W139" s="83">
        <v>44459.36347222222</v>
      </c>
      <c r="X139" s="89">
        <v>44459</v>
      </c>
      <c r="Y139" s="87" t="s">
        <v>1894</v>
      </c>
      <c r="Z139" s="85" t="str">
        <f>HYPERLINK("https://twitter.com/koranbumn/status/1439872811607023618")</f>
        <v>https://twitter.com/koranbumn/status/1439872811607023618</v>
      </c>
      <c r="AA139" s="81"/>
      <c r="AB139" s="81"/>
      <c r="AC139" s="87" t="s">
        <v>2816</v>
      </c>
      <c r="AD139" s="81"/>
      <c r="AE139" s="81" t="b">
        <v>0</v>
      </c>
      <c r="AF139" s="81">
        <v>0</v>
      </c>
      <c r="AG139" s="87" t="s">
        <v>3875</v>
      </c>
      <c r="AH139" s="81" t="b">
        <v>0</v>
      </c>
      <c r="AI139" s="81" t="s">
        <v>4092</v>
      </c>
      <c r="AJ139" s="81"/>
      <c r="AK139" s="87" t="s">
        <v>3875</v>
      </c>
      <c r="AL139" s="81" t="b">
        <v>0</v>
      </c>
      <c r="AM139" s="81">
        <v>0</v>
      </c>
      <c r="AN139" s="87" t="s">
        <v>3875</v>
      </c>
      <c r="AO139" s="87" t="s">
        <v>4111</v>
      </c>
      <c r="AP139" s="81" t="b">
        <v>0</v>
      </c>
      <c r="AQ139" s="87" t="s">
        <v>2816</v>
      </c>
      <c r="AR139" s="81" t="s">
        <v>179</v>
      </c>
      <c r="AS139" s="81">
        <v>0</v>
      </c>
      <c r="AT139" s="81">
        <v>0</v>
      </c>
      <c r="AU139" s="81"/>
      <c r="AV139" s="81"/>
      <c r="AW139" s="81"/>
      <c r="AX139" s="81"/>
      <c r="AY139" s="81"/>
      <c r="AZ139" s="81"/>
      <c r="BA139" s="81"/>
      <c r="BB139" s="81"/>
    </row>
    <row r="140" spans="1:54" x14ac:dyDescent="0.35">
      <c r="A140" s="66" t="s">
        <v>309</v>
      </c>
      <c r="B140" s="66" t="s">
        <v>1034</v>
      </c>
      <c r="C140" s="67"/>
      <c r="D140" s="68"/>
      <c r="E140" s="69"/>
      <c r="F140" s="70"/>
      <c r="G140" s="67"/>
      <c r="H140" s="71"/>
      <c r="I140" s="72"/>
      <c r="J140" s="72"/>
      <c r="K140" s="36"/>
      <c r="L140" s="79"/>
      <c r="M140" s="79"/>
      <c r="N140" s="74"/>
      <c r="O140" s="81" t="s">
        <v>1206</v>
      </c>
      <c r="P140" s="83">
        <v>44459.36347222222</v>
      </c>
      <c r="Q140" s="81" t="s">
        <v>1297</v>
      </c>
      <c r="R140" s="85" t="str">
        <f>HYPERLINK("https://koranbumn.com/2021/09/perkuat-layanan-posaja-pos-indonesia-gandeng-nujek-dan-perkenalkan-o-ranger-mawar/")</f>
        <v>https://koranbumn.com/2021/09/perkuat-layanan-posaja-pos-indonesia-gandeng-nujek-dan-perkenalkan-o-ranger-mawar/</v>
      </c>
      <c r="S140" s="81" t="s">
        <v>1737</v>
      </c>
      <c r="T140" s="81"/>
      <c r="U140" s="81"/>
      <c r="V140" s="85" t="str">
        <f>HYPERLINK("https://pbs.twimg.com/profile_images/1427413643436593153/zRSKIgJK_normal.jpg")</f>
        <v>https://pbs.twimg.com/profile_images/1427413643436593153/zRSKIgJK_normal.jpg</v>
      </c>
      <c r="W140" s="83">
        <v>44459.36347222222</v>
      </c>
      <c r="X140" s="89">
        <v>44459</v>
      </c>
      <c r="Y140" s="87" t="s">
        <v>1894</v>
      </c>
      <c r="Z140" s="85" t="str">
        <f>HYPERLINK("https://twitter.com/koranbumn/status/1439872811607023618")</f>
        <v>https://twitter.com/koranbumn/status/1439872811607023618</v>
      </c>
      <c r="AA140" s="81"/>
      <c r="AB140" s="81"/>
      <c r="AC140" s="87" t="s">
        <v>2816</v>
      </c>
      <c r="AD140" s="81"/>
      <c r="AE140" s="81" t="b">
        <v>0</v>
      </c>
      <c r="AF140" s="81">
        <v>0</v>
      </c>
      <c r="AG140" s="87" t="s">
        <v>3875</v>
      </c>
      <c r="AH140" s="81" t="b">
        <v>0</v>
      </c>
      <c r="AI140" s="81" t="s">
        <v>4092</v>
      </c>
      <c r="AJ140" s="81"/>
      <c r="AK140" s="87" t="s">
        <v>3875</v>
      </c>
      <c r="AL140" s="81" t="b">
        <v>0</v>
      </c>
      <c r="AM140" s="81">
        <v>0</v>
      </c>
      <c r="AN140" s="87" t="s">
        <v>3875</v>
      </c>
      <c r="AO140" s="87" t="s">
        <v>4111</v>
      </c>
      <c r="AP140" s="81" t="b">
        <v>0</v>
      </c>
      <c r="AQ140" s="87" t="s">
        <v>2816</v>
      </c>
      <c r="AR140" s="81" t="s">
        <v>179</v>
      </c>
      <c r="AS140" s="81">
        <v>0</v>
      </c>
      <c r="AT140" s="81">
        <v>0</v>
      </c>
      <c r="AU140" s="81"/>
      <c r="AV140" s="81"/>
      <c r="AW140" s="81"/>
      <c r="AX140" s="81"/>
      <c r="AY140" s="81"/>
      <c r="AZ140" s="81"/>
      <c r="BA140" s="81"/>
      <c r="BB140" s="81"/>
    </row>
    <row r="141" spans="1:54" x14ac:dyDescent="0.35">
      <c r="A141" s="66" t="s">
        <v>310</v>
      </c>
      <c r="B141" s="66" t="s">
        <v>1044</v>
      </c>
      <c r="C141" s="67"/>
      <c r="D141" s="68"/>
      <c r="E141" s="69"/>
      <c r="F141" s="70"/>
      <c r="G141" s="67"/>
      <c r="H141" s="71"/>
      <c r="I141" s="72"/>
      <c r="J141" s="72"/>
      <c r="K141" s="36"/>
      <c r="L141" s="79"/>
      <c r="M141" s="79"/>
      <c r="N141" s="74"/>
      <c r="O141" s="81" t="s">
        <v>1208</v>
      </c>
      <c r="P141" s="83">
        <v>44459.366770833331</v>
      </c>
      <c r="Q141" s="81" t="s">
        <v>1298</v>
      </c>
      <c r="R141" s="81"/>
      <c r="S141" s="81"/>
      <c r="T141" s="81"/>
      <c r="U141" s="81"/>
      <c r="V141" s="85" t="str">
        <f>HYPERLINK("https://pbs.twimg.com/profile_images/1392551945970151424/zcbRLxcq_normal.jpg")</f>
        <v>https://pbs.twimg.com/profile_images/1392551945970151424/zcbRLxcq_normal.jpg</v>
      </c>
      <c r="W141" s="83">
        <v>44459.366770833331</v>
      </c>
      <c r="X141" s="89">
        <v>44459</v>
      </c>
      <c r="Y141" s="87" t="s">
        <v>1895</v>
      </c>
      <c r="Z141" s="85" t="str">
        <f>HYPERLINK("https://twitter.com/crimmminal/status/1439874007935774723")</f>
        <v>https://twitter.com/crimmminal/status/1439874007935774723</v>
      </c>
      <c r="AA141" s="81"/>
      <c r="AB141" s="81"/>
      <c r="AC141" s="87" t="s">
        <v>2817</v>
      </c>
      <c r="AD141" s="87" t="s">
        <v>3686</v>
      </c>
      <c r="AE141" s="81" t="b">
        <v>0</v>
      </c>
      <c r="AF141" s="81">
        <v>3</v>
      </c>
      <c r="AG141" s="87" t="s">
        <v>3920</v>
      </c>
      <c r="AH141" s="81" t="b">
        <v>0</v>
      </c>
      <c r="AI141" s="81" t="s">
        <v>4092</v>
      </c>
      <c r="AJ141" s="81"/>
      <c r="AK141" s="87" t="s">
        <v>3875</v>
      </c>
      <c r="AL141" s="81" t="b">
        <v>0</v>
      </c>
      <c r="AM141" s="81">
        <v>0</v>
      </c>
      <c r="AN141" s="87" t="s">
        <v>3875</v>
      </c>
      <c r="AO141" s="87" t="s">
        <v>4109</v>
      </c>
      <c r="AP141" s="81" t="b">
        <v>0</v>
      </c>
      <c r="AQ141" s="87" t="s">
        <v>3686</v>
      </c>
      <c r="AR141" s="81" t="s">
        <v>179</v>
      </c>
      <c r="AS141" s="81">
        <v>0</v>
      </c>
      <c r="AT141" s="81">
        <v>0</v>
      </c>
      <c r="AU141" s="81"/>
      <c r="AV141" s="81"/>
      <c r="AW141" s="81"/>
      <c r="AX141" s="81"/>
      <c r="AY141" s="81"/>
      <c r="AZ141" s="81"/>
      <c r="BA141" s="81"/>
      <c r="BB141" s="81"/>
    </row>
    <row r="142" spans="1:54" x14ac:dyDescent="0.35">
      <c r="A142" s="66" t="s">
        <v>310</v>
      </c>
      <c r="B142" s="66" t="s">
        <v>1045</v>
      </c>
      <c r="C142" s="67"/>
      <c r="D142" s="68"/>
      <c r="E142" s="69"/>
      <c r="F142" s="70"/>
      <c r="G142" s="67"/>
      <c r="H142" s="71"/>
      <c r="I142" s="72"/>
      <c r="J142" s="72"/>
      <c r="K142" s="36"/>
      <c r="L142" s="79"/>
      <c r="M142" s="79"/>
      <c r="N142" s="74"/>
      <c r="O142" s="81" t="s">
        <v>1206</v>
      </c>
      <c r="P142" s="83">
        <v>44459.366770833331</v>
      </c>
      <c r="Q142" s="81" t="s">
        <v>1298</v>
      </c>
      <c r="R142" s="81"/>
      <c r="S142" s="81"/>
      <c r="T142" s="81"/>
      <c r="U142" s="81"/>
      <c r="V142" s="85" t="str">
        <f>HYPERLINK("https://pbs.twimg.com/profile_images/1392551945970151424/zcbRLxcq_normal.jpg")</f>
        <v>https://pbs.twimg.com/profile_images/1392551945970151424/zcbRLxcq_normal.jpg</v>
      </c>
      <c r="W142" s="83">
        <v>44459.366770833331</v>
      </c>
      <c r="X142" s="89">
        <v>44459</v>
      </c>
      <c r="Y142" s="87" t="s">
        <v>1895</v>
      </c>
      <c r="Z142" s="85" t="str">
        <f>HYPERLINK("https://twitter.com/crimmminal/status/1439874007935774723")</f>
        <v>https://twitter.com/crimmminal/status/1439874007935774723</v>
      </c>
      <c r="AA142" s="81"/>
      <c r="AB142" s="81"/>
      <c r="AC142" s="87" t="s">
        <v>2817</v>
      </c>
      <c r="AD142" s="87" t="s">
        <v>3686</v>
      </c>
      <c r="AE142" s="81" t="b">
        <v>0</v>
      </c>
      <c r="AF142" s="81">
        <v>3</v>
      </c>
      <c r="AG142" s="87" t="s">
        <v>3920</v>
      </c>
      <c r="AH142" s="81" t="b">
        <v>0</v>
      </c>
      <c r="AI142" s="81" t="s">
        <v>4092</v>
      </c>
      <c r="AJ142" s="81"/>
      <c r="AK142" s="87" t="s">
        <v>3875</v>
      </c>
      <c r="AL142" s="81" t="b">
        <v>0</v>
      </c>
      <c r="AM142" s="81">
        <v>0</v>
      </c>
      <c r="AN142" s="87" t="s">
        <v>3875</v>
      </c>
      <c r="AO142" s="87" t="s">
        <v>4109</v>
      </c>
      <c r="AP142" s="81" t="b">
        <v>0</v>
      </c>
      <c r="AQ142" s="87" t="s">
        <v>3686</v>
      </c>
      <c r="AR142" s="81" t="s">
        <v>179</v>
      </c>
      <c r="AS142" s="81">
        <v>0</v>
      </c>
      <c r="AT142" s="81">
        <v>0</v>
      </c>
      <c r="AU142" s="81"/>
      <c r="AV142" s="81"/>
      <c r="AW142" s="81"/>
      <c r="AX142" s="81"/>
      <c r="AY142" s="81"/>
      <c r="AZ142" s="81"/>
      <c r="BA142" s="81"/>
      <c r="BB142" s="81"/>
    </row>
    <row r="143" spans="1:54" x14ac:dyDescent="0.35">
      <c r="A143" s="66" t="s">
        <v>311</v>
      </c>
      <c r="B143" s="66" t="s">
        <v>312</v>
      </c>
      <c r="C143" s="67"/>
      <c r="D143" s="68"/>
      <c r="E143" s="69"/>
      <c r="F143" s="70"/>
      <c r="G143" s="67"/>
      <c r="H143" s="71"/>
      <c r="I143" s="72"/>
      <c r="J143" s="72"/>
      <c r="K143" s="36"/>
      <c r="L143" s="79"/>
      <c r="M143" s="79"/>
      <c r="N143" s="74"/>
      <c r="O143" s="81" t="s">
        <v>1205</v>
      </c>
      <c r="P143" s="83">
        <v>44459.378275462965</v>
      </c>
      <c r="Q143" s="81" t="s">
        <v>1299</v>
      </c>
      <c r="R143" s="81"/>
      <c r="S143" s="81"/>
      <c r="T143" s="87" t="s">
        <v>1763</v>
      </c>
      <c r="U143" s="85" t="str">
        <f>HYPERLINK("https://pbs.twimg.com/media/E_txqUjVgAAwPpD.jpg")</f>
        <v>https://pbs.twimg.com/media/E_txqUjVgAAwPpD.jpg</v>
      </c>
      <c r="V143" s="85" t="str">
        <f>HYPERLINK("https://pbs.twimg.com/media/E_txqUjVgAAwPpD.jpg")</f>
        <v>https://pbs.twimg.com/media/E_txqUjVgAAwPpD.jpg</v>
      </c>
      <c r="W143" s="83">
        <v>44459.378275462965</v>
      </c>
      <c r="X143" s="89">
        <v>44459</v>
      </c>
      <c r="Y143" s="87" t="s">
        <v>1896</v>
      </c>
      <c r="Z143" s="85" t="str">
        <f>HYPERLINK("https://twitter.com/ronimputra/status/1439878177258569730")</f>
        <v>https://twitter.com/ronimputra/status/1439878177258569730</v>
      </c>
      <c r="AA143" s="81"/>
      <c r="AB143" s="81"/>
      <c r="AC143" s="87" t="s">
        <v>2818</v>
      </c>
      <c r="AD143" s="81"/>
      <c r="AE143" s="81" t="b">
        <v>0</v>
      </c>
      <c r="AF143" s="81">
        <v>0</v>
      </c>
      <c r="AG143" s="87" t="s">
        <v>3875</v>
      </c>
      <c r="AH143" s="81" t="b">
        <v>0</v>
      </c>
      <c r="AI143" s="81" t="s">
        <v>4093</v>
      </c>
      <c r="AJ143" s="81"/>
      <c r="AK143" s="87" t="s">
        <v>3875</v>
      </c>
      <c r="AL143" s="81" t="b">
        <v>0</v>
      </c>
      <c r="AM143" s="81">
        <v>3</v>
      </c>
      <c r="AN143" s="87" t="s">
        <v>2819</v>
      </c>
      <c r="AO143" s="87" t="s">
        <v>4110</v>
      </c>
      <c r="AP143" s="81" t="b">
        <v>0</v>
      </c>
      <c r="AQ143" s="87" t="s">
        <v>2819</v>
      </c>
      <c r="AR143" s="81" t="s">
        <v>179</v>
      </c>
      <c r="AS143" s="81">
        <v>0</v>
      </c>
      <c r="AT143" s="81">
        <v>0</v>
      </c>
      <c r="AU143" s="81"/>
      <c r="AV143" s="81"/>
      <c r="AW143" s="81"/>
      <c r="AX143" s="81"/>
      <c r="AY143" s="81"/>
      <c r="AZ143" s="81"/>
      <c r="BA143" s="81"/>
      <c r="BB143" s="81"/>
    </row>
    <row r="144" spans="1:54" x14ac:dyDescent="0.35">
      <c r="A144" s="66" t="s">
        <v>312</v>
      </c>
      <c r="B144" s="66" t="s">
        <v>312</v>
      </c>
      <c r="C144" s="67"/>
      <c r="D144" s="68"/>
      <c r="E144" s="69"/>
      <c r="F144" s="70"/>
      <c r="G144" s="67"/>
      <c r="H144" s="71"/>
      <c r="I144" s="72"/>
      <c r="J144" s="72"/>
      <c r="K144" s="36"/>
      <c r="L144" s="79"/>
      <c r="M144" s="79"/>
      <c r="N144" s="74"/>
      <c r="O144" s="81" t="s">
        <v>179</v>
      </c>
      <c r="P144" s="83">
        <v>44459.35429398148</v>
      </c>
      <c r="Q144" s="81" t="s">
        <v>1299</v>
      </c>
      <c r="R144" s="81"/>
      <c r="S144" s="81"/>
      <c r="T144" s="87" t="s">
        <v>1763</v>
      </c>
      <c r="U144" s="85" t="str">
        <f>HYPERLINK("https://pbs.twimg.com/media/E_txqUjVgAAwPpD.jpg")</f>
        <v>https://pbs.twimg.com/media/E_txqUjVgAAwPpD.jpg</v>
      </c>
      <c r="V144" s="85" t="str">
        <f>HYPERLINK("https://pbs.twimg.com/media/E_txqUjVgAAwPpD.jpg")</f>
        <v>https://pbs.twimg.com/media/E_txqUjVgAAwPpD.jpg</v>
      </c>
      <c r="W144" s="83">
        <v>44459.35429398148</v>
      </c>
      <c r="X144" s="89">
        <v>44459</v>
      </c>
      <c r="Y144" s="87" t="s">
        <v>1897</v>
      </c>
      <c r="Z144" s="85" t="str">
        <f>HYPERLINK("https://twitter.com/flagamedia/status/1439869487390412803")</f>
        <v>https://twitter.com/flagamedia/status/1439869487390412803</v>
      </c>
      <c r="AA144" s="81"/>
      <c r="AB144" s="81"/>
      <c r="AC144" s="87" t="s">
        <v>2819</v>
      </c>
      <c r="AD144" s="81"/>
      <c r="AE144" s="81" t="b">
        <v>0</v>
      </c>
      <c r="AF144" s="81">
        <v>2</v>
      </c>
      <c r="AG144" s="87" t="s">
        <v>3875</v>
      </c>
      <c r="AH144" s="81" t="b">
        <v>0</v>
      </c>
      <c r="AI144" s="81" t="s">
        <v>4093</v>
      </c>
      <c r="AJ144" s="81"/>
      <c r="AK144" s="87" t="s">
        <v>3875</v>
      </c>
      <c r="AL144" s="81" t="b">
        <v>0</v>
      </c>
      <c r="AM144" s="81">
        <v>3</v>
      </c>
      <c r="AN144" s="87" t="s">
        <v>3875</v>
      </c>
      <c r="AO144" s="87" t="s">
        <v>4110</v>
      </c>
      <c r="AP144" s="81" t="b">
        <v>0</v>
      </c>
      <c r="AQ144" s="87" t="s">
        <v>2819</v>
      </c>
      <c r="AR144" s="81" t="s">
        <v>179</v>
      </c>
      <c r="AS144" s="81">
        <v>0</v>
      </c>
      <c r="AT144" s="81">
        <v>0</v>
      </c>
      <c r="AU144" s="81"/>
      <c r="AV144" s="81"/>
      <c r="AW144" s="81"/>
      <c r="AX144" s="81"/>
      <c r="AY144" s="81"/>
      <c r="AZ144" s="81"/>
      <c r="BA144" s="81"/>
      <c r="BB144" s="81"/>
    </row>
    <row r="145" spans="1:54" x14ac:dyDescent="0.35">
      <c r="A145" s="66" t="s">
        <v>313</v>
      </c>
      <c r="B145" s="66" t="s">
        <v>312</v>
      </c>
      <c r="C145" s="67"/>
      <c r="D145" s="68"/>
      <c r="E145" s="69"/>
      <c r="F145" s="70"/>
      <c r="G145" s="67"/>
      <c r="H145" s="71"/>
      <c r="I145" s="72"/>
      <c r="J145" s="72"/>
      <c r="K145" s="36"/>
      <c r="L145" s="79"/>
      <c r="M145" s="79"/>
      <c r="N145" s="74"/>
      <c r="O145" s="81" t="s">
        <v>1205</v>
      </c>
      <c r="P145" s="83">
        <v>44459.390219907407</v>
      </c>
      <c r="Q145" s="81" t="s">
        <v>1299</v>
      </c>
      <c r="R145" s="81"/>
      <c r="S145" s="81"/>
      <c r="T145" s="87" t="s">
        <v>1763</v>
      </c>
      <c r="U145" s="85" t="str">
        <f>HYPERLINK("https://pbs.twimg.com/media/E_txqUjVgAAwPpD.jpg")</f>
        <v>https://pbs.twimg.com/media/E_txqUjVgAAwPpD.jpg</v>
      </c>
      <c r="V145" s="85" t="str">
        <f>HYPERLINK("https://pbs.twimg.com/media/E_txqUjVgAAwPpD.jpg")</f>
        <v>https://pbs.twimg.com/media/E_txqUjVgAAwPpD.jpg</v>
      </c>
      <c r="W145" s="83">
        <v>44459.390219907407</v>
      </c>
      <c r="X145" s="89">
        <v>44459</v>
      </c>
      <c r="Y145" s="87" t="s">
        <v>1898</v>
      </c>
      <c r="Z145" s="85" t="str">
        <f>HYPERLINK("https://twitter.com/seotips_vanprob/status/1439882502882091016")</f>
        <v>https://twitter.com/seotips_vanprob/status/1439882502882091016</v>
      </c>
      <c r="AA145" s="81"/>
      <c r="AB145" s="81"/>
      <c r="AC145" s="87" t="s">
        <v>2820</v>
      </c>
      <c r="AD145" s="81"/>
      <c r="AE145" s="81" t="b">
        <v>0</v>
      </c>
      <c r="AF145" s="81">
        <v>0</v>
      </c>
      <c r="AG145" s="87" t="s">
        <v>3875</v>
      </c>
      <c r="AH145" s="81" t="b">
        <v>0</v>
      </c>
      <c r="AI145" s="81" t="s">
        <v>4093</v>
      </c>
      <c r="AJ145" s="81"/>
      <c r="AK145" s="87" t="s">
        <v>3875</v>
      </c>
      <c r="AL145" s="81" t="b">
        <v>0</v>
      </c>
      <c r="AM145" s="81">
        <v>3</v>
      </c>
      <c r="AN145" s="87" t="s">
        <v>2819</v>
      </c>
      <c r="AO145" s="87" t="s">
        <v>4118</v>
      </c>
      <c r="AP145" s="81" t="b">
        <v>0</v>
      </c>
      <c r="AQ145" s="87" t="s">
        <v>2819</v>
      </c>
      <c r="AR145" s="81" t="s">
        <v>179</v>
      </c>
      <c r="AS145" s="81">
        <v>0</v>
      </c>
      <c r="AT145" s="81">
        <v>0</v>
      </c>
      <c r="AU145" s="81"/>
      <c r="AV145" s="81"/>
      <c r="AW145" s="81"/>
      <c r="AX145" s="81"/>
      <c r="AY145" s="81"/>
      <c r="AZ145" s="81"/>
      <c r="BA145" s="81"/>
      <c r="BB145" s="81"/>
    </row>
    <row r="146" spans="1:54" x14ac:dyDescent="0.35">
      <c r="A146" s="66" t="s">
        <v>314</v>
      </c>
      <c r="B146" s="66" t="s">
        <v>314</v>
      </c>
      <c r="C146" s="67"/>
      <c r="D146" s="68"/>
      <c r="E146" s="69"/>
      <c r="F146" s="70"/>
      <c r="G146" s="67"/>
      <c r="H146" s="71"/>
      <c r="I146" s="72"/>
      <c r="J146" s="72"/>
      <c r="K146" s="36"/>
      <c r="L146" s="79"/>
      <c r="M146" s="79"/>
      <c r="N146" s="74"/>
      <c r="O146" s="81" t="s">
        <v>179</v>
      </c>
      <c r="P146" s="83">
        <v>44459.392893518518</v>
      </c>
      <c r="Q146" s="81" t="s">
        <v>1300</v>
      </c>
      <c r="R146" s="81"/>
      <c r="S146" s="81"/>
      <c r="T146" s="81"/>
      <c r="U146" s="81"/>
      <c r="V146" s="85" t="str">
        <f>HYPERLINK("https://pbs.twimg.com/profile_images/1439311685248905216/fI9qnqrE_normal.jpg")</f>
        <v>https://pbs.twimg.com/profile_images/1439311685248905216/fI9qnqrE_normal.jpg</v>
      </c>
      <c r="W146" s="83">
        <v>44459.392893518518</v>
      </c>
      <c r="X146" s="89">
        <v>44459</v>
      </c>
      <c r="Y146" s="87" t="s">
        <v>1899</v>
      </c>
      <c r="Z146" s="85" t="str">
        <f>HYPERLINK("https://twitter.com/daionysus203/status/1439883473590710281")</f>
        <v>https://twitter.com/daionysus203/status/1439883473590710281</v>
      </c>
      <c r="AA146" s="81"/>
      <c r="AB146" s="81"/>
      <c r="AC146" s="87" t="s">
        <v>2821</v>
      </c>
      <c r="AD146" s="81"/>
      <c r="AE146" s="81" t="b">
        <v>0</v>
      </c>
      <c r="AF146" s="81">
        <v>0</v>
      </c>
      <c r="AG146" s="87" t="s">
        <v>3875</v>
      </c>
      <c r="AH146" s="81" t="b">
        <v>0</v>
      </c>
      <c r="AI146" s="81" t="s">
        <v>4094</v>
      </c>
      <c r="AJ146" s="81"/>
      <c r="AK146" s="87" t="s">
        <v>3875</v>
      </c>
      <c r="AL146" s="81" t="b">
        <v>0</v>
      </c>
      <c r="AM146" s="81">
        <v>0</v>
      </c>
      <c r="AN146" s="87" t="s">
        <v>3875</v>
      </c>
      <c r="AO146" s="87" t="s">
        <v>4110</v>
      </c>
      <c r="AP146" s="81" t="b">
        <v>0</v>
      </c>
      <c r="AQ146" s="87" t="s">
        <v>2821</v>
      </c>
      <c r="AR146" s="81" t="s">
        <v>179</v>
      </c>
      <c r="AS146" s="81">
        <v>0</v>
      </c>
      <c r="AT146" s="81">
        <v>0</v>
      </c>
      <c r="AU146" s="81"/>
      <c r="AV146" s="81"/>
      <c r="AW146" s="81"/>
      <c r="AX146" s="81"/>
      <c r="AY146" s="81"/>
      <c r="AZ146" s="81"/>
      <c r="BA146" s="81"/>
      <c r="BB146" s="81"/>
    </row>
    <row r="147" spans="1:54" x14ac:dyDescent="0.35">
      <c r="A147" s="66" t="s">
        <v>315</v>
      </c>
      <c r="B147" s="66" t="s">
        <v>1046</v>
      </c>
      <c r="C147" s="67"/>
      <c r="D147" s="68"/>
      <c r="E147" s="69"/>
      <c r="F147" s="70"/>
      <c r="G147" s="67"/>
      <c r="H147" s="71"/>
      <c r="I147" s="72"/>
      <c r="J147" s="72"/>
      <c r="K147" s="36"/>
      <c r="L147" s="79"/>
      <c r="M147" s="79"/>
      <c r="N147" s="74"/>
      <c r="O147" s="81" t="s">
        <v>1206</v>
      </c>
      <c r="P147" s="83">
        <v>44459.39638888889</v>
      </c>
      <c r="Q147" s="81" t="s">
        <v>1301</v>
      </c>
      <c r="R147" s="81"/>
      <c r="S147" s="81"/>
      <c r="T147" s="87" t="s">
        <v>1764</v>
      </c>
      <c r="U147" s="85" t="str">
        <f>HYPERLINK("https://pbs.twimg.com/media/E_t_hpCVcAACALZ.jpg")</f>
        <v>https://pbs.twimg.com/media/E_t_hpCVcAACALZ.jpg</v>
      </c>
      <c r="V147" s="85" t="str">
        <f>HYPERLINK("https://pbs.twimg.com/media/E_t_hpCVcAACALZ.jpg")</f>
        <v>https://pbs.twimg.com/media/E_t_hpCVcAACALZ.jpg</v>
      </c>
      <c r="W147" s="83">
        <v>44459.39638888889</v>
      </c>
      <c r="X147" s="89">
        <v>44459</v>
      </c>
      <c r="Y147" s="87" t="s">
        <v>1900</v>
      </c>
      <c r="Z147" s="85" t="str">
        <f>HYPERLINK("https://twitter.com/pajakkaltimtara/status/1439884739662389259")</f>
        <v>https://twitter.com/pajakkaltimtara/status/1439884739662389259</v>
      </c>
      <c r="AA147" s="81"/>
      <c r="AB147" s="81"/>
      <c r="AC147" s="87" t="s">
        <v>2822</v>
      </c>
      <c r="AD147" s="81"/>
      <c r="AE147" s="81" t="b">
        <v>0</v>
      </c>
      <c r="AF147" s="81">
        <v>1</v>
      </c>
      <c r="AG147" s="87" t="s">
        <v>3875</v>
      </c>
      <c r="AH147" s="81" t="b">
        <v>0</v>
      </c>
      <c r="AI147" s="81" t="s">
        <v>4092</v>
      </c>
      <c r="AJ147" s="81"/>
      <c r="AK147" s="87" t="s">
        <v>3875</v>
      </c>
      <c r="AL147" s="81" t="b">
        <v>0</v>
      </c>
      <c r="AM147" s="81">
        <v>0</v>
      </c>
      <c r="AN147" s="87" t="s">
        <v>3875</v>
      </c>
      <c r="AO147" s="87" t="s">
        <v>4109</v>
      </c>
      <c r="AP147" s="81" t="b">
        <v>0</v>
      </c>
      <c r="AQ147" s="87" t="s">
        <v>2822</v>
      </c>
      <c r="AR147" s="81" t="s">
        <v>179</v>
      </c>
      <c r="AS147" s="81">
        <v>0</v>
      </c>
      <c r="AT147" s="81">
        <v>0</v>
      </c>
      <c r="AU147" s="81"/>
      <c r="AV147" s="81"/>
      <c r="AW147" s="81"/>
      <c r="AX147" s="81"/>
      <c r="AY147" s="81"/>
      <c r="AZ147" s="81"/>
      <c r="BA147" s="81"/>
      <c r="BB147" s="81"/>
    </row>
    <row r="148" spans="1:54" x14ac:dyDescent="0.35">
      <c r="A148" s="66" t="s">
        <v>316</v>
      </c>
      <c r="B148" s="66" t="s">
        <v>316</v>
      </c>
      <c r="C148" s="67"/>
      <c r="D148" s="68"/>
      <c r="E148" s="69"/>
      <c r="F148" s="70"/>
      <c r="G148" s="67"/>
      <c r="H148" s="71"/>
      <c r="I148" s="72"/>
      <c r="J148" s="72"/>
      <c r="K148" s="36"/>
      <c r="L148" s="79"/>
      <c r="M148" s="79"/>
      <c r="N148" s="74"/>
      <c r="O148" s="81" t="s">
        <v>179</v>
      </c>
      <c r="P148" s="83">
        <v>44459.41128472222</v>
      </c>
      <c r="Q148" s="81" t="s">
        <v>1302</v>
      </c>
      <c r="R148" s="81"/>
      <c r="S148" s="81"/>
      <c r="T148" s="81"/>
      <c r="U148" s="81"/>
      <c r="V148" s="85" t="str">
        <f>HYPERLINK("https://pbs.twimg.com/profile_images/1405339937101262851/eWcS84DG_normal.jpg")</f>
        <v>https://pbs.twimg.com/profile_images/1405339937101262851/eWcS84DG_normal.jpg</v>
      </c>
      <c r="W148" s="83">
        <v>44459.41128472222</v>
      </c>
      <c r="X148" s="89">
        <v>44459</v>
      </c>
      <c r="Y148" s="87" t="s">
        <v>1901</v>
      </c>
      <c r="Z148" s="85" t="str">
        <f>HYPERLINK("https://twitter.com/novitaaak/status/1439890138604007429")</f>
        <v>https://twitter.com/novitaaak/status/1439890138604007429</v>
      </c>
      <c r="AA148" s="81"/>
      <c r="AB148" s="81"/>
      <c r="AC148" s="87" t="s">
        <v>2823</v>
      </c>
      <c r="AD148" s="81"/>
      <c r="AE148" s="81" t="b">
        <v>0</v>
      </c>
      <c r="AF148" s="81">
        <v>0</v>
      </c>
      <c r="AG148" s="87" t="s">
        <v>3875</v>
      </c>
      <c r="AH148" s="81" t="b">
        <v>0</v>
      </c>
      <c r="AI148" s="81" t="s">
        <v>4092</v>
      </c>
      <c r="AJ148" s="81"/>
      <c r="AK148" s="87" t="s">
        <v>3875</v>
      </c>
      <c r="AL148" s="81" t="b">
        <v>0</v>
      </c>
      <c r="AM148" s="81">
        <v>0</v>
      </c>
      <c r="AN148" s="87" t="s">
        <v>3875</v>
      </c>
      <c r="AO148" s="87" t="s">
        <v>4109</v>
      </c>
      <c r="AP148" s="81" t="b">
        <v>0</v>
      </c>
      <c r="AQ148" s="87" t="s">
        <v>2823</v>
      </c>
      <c r="AR148" s="81" t="s">
        <v>179</v>
      </c>
      <c r="AS148" s="81">
        <v>0</v>
      </c>
      <c r="AT148" s="81">
        <v>0</v>
      </c>
      <c r="AU148" s="81"/>
      <c r="AV148" s="81"/>
      <c r="AW148" s="81"/>
      <c r="AX148" s="81"/>
      <c r="AY148" s="81"/>
      <c r="AZ148" s="81"/>
      <c r="BA148" s="81"/>
      <c r="BB148" s="81"/>
    </row>
    <row r="149" spans="1:54" x14ac:dyDescent="0.35">
      <c r="A149" s="66" t="s">
        <v>317</v>
      </c>
      <c r="B149" s="66" t="s">
        <v>1047</v>
      </c>
      <c r="C149" s="67"/>
      <c r="D149" s="68"/>
      <c r="E149" s="69"/>
      <c r="F149" s="70"/>
      <c r="G149" s="67"/>
      <c r="H149" s="71"/>
      <c r="I149" s="72"/>
      <c r="J149" s="72"/>
      <c r="K149" s="36"/>
      <c r="L149" s="79"/>
      <c r="M149" s="79"/>
      <c r="N149" s="74"/>
      <c r="O149" s="81" t="s">
        <v>1208</v>
      </c>
      <c r="P149" s="83">
        <v>44459.389363425929</v>
      </c>
      <c r="Q149" s="81" t="s">
        <v>1303</v>
      </c>
      <c r="R149" s="81"/>
      <c r="S149" s="81"/>
      <c r="T149" s="81"/>
      <c r="U149" s="81"/>
      <c r="V149" s="85" t="str">
        <f>HYPERLINK("https://pbs.twimg.com/profile_images/1327549353674690560/DR-6sBQH_normal.png")</f>
        <v>https://pbs.twimg.com/profile_images/1327549353674690560/DR-6sBQH_normal.png</v>
      </c>
      <c r="W149" s="83">
        <v>44459.389363425929</v>
      </c>
      <c r="X149" s="89">
        <v>44459</v>
      </c>
      <c r="Y149" s="87" t="s">
        <v>1902</v>
      </c>
      <c r="Z149" s="85" t="str">
        <f>HYPERLINK("https://twitter.com/ann13nn/status/1439882192910381061")</f>
        <v>https://twitter.com/ann13nn/status/1439882192910381061</v>
      </c>
      <c r="AA149" s="81"/>
      <c r="AB149" s="81"/>
      <c r="AC149" s="87" t="s">
        <v>2824</v>
      </c>
      <c r="AD149" s="87" t="s">
        <v>3687</v>
      </c>
      <c r="AE149" s="81" t="b">
        <v>0</v>
      </c>
      <c r="AF149" s="81">
        <v>0</v>
      </c>
      <c r="AG149" s="87" t="s">
        <v>3921</v>
      </c>
      <c r="AH149" s="81" t="b">
        <v>0</v>
      </c>
      <c r="AI149" s="81" t="s">
        <v>4092</v>
      </c>
      <c r="AJ149" s="81"/>
      <c r="AK149" s="87" t="s">
        <v>3875</v>
      </c>
      <c r="AL149" s="81" t="b">
        <v>0</v>
      </c>
      <c r="AM149" s="81">
        <v>0</v>
      </c>
      <c r="AN149" s="87" t="s">
        <v>3875</v>
      </c>
      <c r="AO149" s="87" t="s">
        <v>4109</v>
      </c>
      <c r="AP149" s="81" t="b">
        <v>0</v>
      </c>
      <c r="AQ149" s="87" t="s">
        <v>3687</v>
      </c>
      <c r="AR149" s="81" t="s">
        <v>179</v>
      </c>
      <c r="AS149" s="81">
        <v>0</v>
      </c>
      <c r="AT149" s="81">
        <v>0</v>
      </c>
      <c r="AU149" s="81"/>
      <c r="AV149" s="81"/>
      <c r="AW149" s="81"/>
      <c r="AX149" s="81"/>
      <c r="AY149" s="81"/>
      <c r="AZ149" s="81"/>
      <c r="BA149" s="81"/>
      <c r="BB149" s="81"/>
    </row>
    <row r="150" spans="1:54" x14ac:dyDescent="0.35">
      <c r="A150" s="66" t="s">
        <v>317</v>
      </c>
      <c r="B150" s="66" t="s">
        <v>1047</v>
      </c>
      <c r="C150" s="67"/>
      <c r="D150" s="68"/>
      <c r="E150" s="69"/>
      <c r="F150" s="70"/>
      <c r="G150" s="67"/>
      <c r="H150" s="71"/>
      <c r="I150" s="72"/>
      <c r="J150" s="72"/>
      <c r="K150" s="36"/>
      <c r="L150" s="79"/>
      <c r="M150" s="79"/>
      <c r="N150" s="74"/>
      <c r="O150" s="81" t="s">
        <v>1208</v>
      </c>
      <c r="P150" s="83">
        <v>44459.407337962963</v>
      </c>
      <c r="Q150" s="81" t="s">
        <v>1304</v>
      </c>
      <c r="R150" s="81"/>
      <c r="S150" s="81"/>
      <c r="T150" s="81"/>
      <c r="U150" s="81"/>
      <c r="V150" s="85" t="str">
        <f>HYPERLINK("https://pbs.twimg.com/profile_images/1327549353674690560/DR-6sBQH_normal.png")</f>
        <v>https://pbs.twimg.com/profile_images/1327549353674690560/DR-6sBQH_normal.png</v>
      </c>
      <c r="W150" s="83">
        <v>44459.407337962963</v>
      </c>
      <c r="X150" s="89">
        <v>44459</v>
      </c>
      <c r="Y150" s="87" t="s">
        <v>1903</v>
      </c>
      <c r="Z150" s="85" t="str">
        <f>HYPERLINK("https://twitter.com/ann13nn/status/1439888709030080514")</f>
        <v>https://twitter.com/ann13nn/status/1439888709030080514</v>
      </c>
      <c r="AA150" s="81"/>
      <c r="AB150" s="81"/>
      <c r="AC150" s="87" t="s">
        <v>2825</v>
      </c>
      <c r="AD150" s="87" t="s">
        <v>3688</v>
      </c>
      <c r="AE150" s="81" t="b">
        <v>0</v>
      </c>
      <c r="AF150" s="81">
        <v>0</v>
      </c>
      <c r="AG150" s="87" t="s">
        <v>3921</v>
      </c>
      <c r="AH150" s="81" t="b">
        <v>0</v>
      </c>
      <c r="AI150" s="81" t="s">
        <v>4092</v>
      </c>
      <c r="AJ150" s="81"/>
      <c r="AK150" s="87" t="s">
        <v>3875</v>
      </c>
      <c r="AL150" s="81" t="b">
        <v>0</v>
      </c>
      <c r="AM150" s="81">
        <v>0</v>
      </c>
      <c r="AN150" s="87" t="s">
        <v>3875</v>
      </c>
      <c r="AO150" s="87" t="s">
        <v>4109</v>
      </c>
      <c r="AP150" s="81" t="b">
        <v>0</v>
      </c>
      <c r="AQ150" s="87" t="s">
        <v>3688</v>
      </c>
      <c r="AR150" s="81" t="s">
        <v>179</v>
      </c>
      <c r="AS150" s="81">
        <v>0</v>
      </c>
      <c r="AT150" s="81">
        <v>0</v>
      </c>
      <c r="AU150" s="81"/>
      <c r="AV150" s="81"/>
      <c r="AW150" s="81"/>
      <c r="AX150" s="81"/>
      <c r="AY150" s="81"/>
      <c r="AZ150" s="81"/>
      <c r="BA150" s="81"/>
      <c r="BB150" s="81"/>
    </row>
    <row r="151" spans="1:54" x14ac:dyDescent="0.35">
      <c r="A151" s="66" t="s">
        <v>317</v>
      </c>
      <c r="B151" s="66" t="s">
        <v>1047</v>
      </c>
      <c r="C151" s="67"/>
      <c r="D151" s="68"/>
      <c r="E151" s="69"/>
      <c r="F151" s="70"/>
      <c r="G151" s="67"/>
      <c r="H151" s="71"/>
      <c r="I151" s="72"/>
      <c r="J151" s="72"/>
      <c r="K151" s="36"/>
      <c r="L151" s="79"/>
      <c r="M151" s="79"/>
      <c r="N151" s="74"/>
      <c r="O151" s="81" t="s">
        <v>1208</v>
      </c>
      <c r="P151" s="83">
        <v>44459.413564814815</v>
      </c>
      <c r="Q151" s="81" t="s">
        <v>1305</v>
      </c>
      <c r="R151" s="81"/>
      <c r="S151" s="81"/>
      <c r="T151" s="81"/>
      <c r="U151" s="81"/>
      <c r="V151" s="85" t="str">
        <f>HYPERLINK("https://pbs.twimg.com/profile_images/1327549353674690560/DR-6sBQH_normal.png")</f>
        <v>https://pbs.twimg.com/profile_images/1327549353674690560/DR-6sBQH_normal.png</v>
      </c>
      <c r="W151" s="83">
        <v>44459.413564814815</v>
      </c>
      <c r="X151" s="89">
        <v>44459</v>
      </c>
      <c r="Y151" s="87" t="s">
        <v>1904</v>
      </c>
      <c r="Z151" s="85" t="str">
        <f>HYPERLINK("https://twitter.com/ann13nn/status/1439890964592562183")</f>
        <v>https://twitter.com/ann13nn/status/1439890964592562183</v>
      </c>
      <c r="AA151" s="81"/>
      <c r="AB151" s="81"/>
      <c r="AC151" s="87" t="s">
        <v>2826</v>
      </c>
      <c r="AD151" s="87" t="s">
        <v>3689</v>
      </c>
      <c r="AE151" s="81" t="b">
        <v>0</v>
      </c>
      <c r="AF151" s="81">
        <v>0</v>
      </c>
      <c r="AG151" s="87" t="s">
        <v>3921</v>
      </c>
      <c r="AH151" s="81" t="b">
        <v>0</v>
      </c>
      <c r="AI151" s="81" t="s">
        <v>4092</v>
      </c>
      <c r="AJ151" s="81"/>
      <c r="AK151" s="87" t="s">
        <v>3875</v>
      </c>
      <c r="AL151" s="81" t="b">
        <v>0</v>
      </c>
      <c r="AM151" s="81">
        <v>0</v>
      </c>
      <c r="AN151" s="87" t="s">
        <v>3875</v>
      </c>
      <c r="AO151" s="87" t="s">
        <v>4109</v>
      </c>
      <c r="AP151" s="81" t="b">
        <v>0</v>
      </c>
      <c r="AQ151" s="87" t="s">
        <v>3689</v>
      </c>
      <c r="AR151" s="81" t="s">
        <v>179</v>
      </c>
      <c r="AS151" s="81">
        <v>0</v>
      </c>
      <c r="AT151" s="81">
        <v>0</v>
      </c>
      <c r="AU151" s="81"/>
      <c r="AV151" s="81"/>
      <c r="AW151" s="81"/>
      <c r="AX151" s="81"/>
      <c r="AY151" s="81"/>
      <c r="AZ151" s="81"/>
      <c r="BA151" s="81"/>
      <c r="BB151" s="81"/>
    </row>
    <row r="152" spans="1:54" x14ac:dyDescent="0.35">
      <c r="A152" s="66" t="s">
        <v>318</v>
      </c>
      <c r="B152" s="66" t="s">
        <v>1048</v>
      </c>
      <c r="C152" s="67"/>
      <c r="D152" s="68"/>
      <c r="E152" s="69"/>
      <c r="F152" s="70"/>
      <c r="G152" s="67"/>
      <c r="H152" s="71"/>
      <c r="I152" s="72"/>
      <c r="J152" s="72"/>
      <c r="K152" s="36"/>
      <c r="L152" s="79"/>
      <c r="M152" s="79"/>
      <c r="N152" s="74"/>
      <c r="O152" s="81" t="s">
        <v>1208</v>
      </c>
      <c r="P152" s="83">
        <v>44459.414687500001</v>
      </c>
      <c r="Q152" s="81" t="s">
        <v>1306</v>
      </c>
      <c r="R152" s="81"/>
      <c r="S152" s="81"/>
      <c r="T152" s="81"/>
      <c r="U152" s="81"/>
      <c r="V152" s="85" t="str">
        <f>HYPERLINK("https://pbs.twimg.com/profile_images/1433601734085996574/E1uaFObJ_normal.jpg")</f>
        <v>https://pbs.twimg.com/profile_images/1433601734085996574/E1uaFObJ_normal.jpg</v>
      </c>
      <c r="W152" s="83">
        <v>44459.414687500001</v>
      </c>
      <c r="X152" s="89">
        <v>44459</v>
      </c>
      <c r="Y152" s="87" t="s">
        <v>1905</v>
      </c>
      <c r="Z152" s="85" t="str">
        <f>HYPERLINK("https://twitter.com/odhsbnsjhgg/status/1439891372941533184")</f>
        <v>https://twitter.com/odhsbnsjhgg/status/1439891372941533184</v>
      </c>
      <c r="AA152" s="81"/>
      <c r="AB152" s="81"/>
      <c r="AC152" s="87" t="s">
        <v>2827</v>
      </c>
      <c r="AD152" s="87" t="s">
        <v>3690</v>
      </c>
      <c r="AE152" s="81" t="b">
        <v>0</v>
      </c>
      <c r="AF152" s="81">
        <v>0</v>
      </c>
      <c r="AG152" s="87" t="s">
        <v>3922</v>
      </c>
      <c r="AH152" s="81" t="b">
        <v>0</v>
      </c>
      <c r="AI152" s="81" t="s">
        <v>4092</v>
      </c>
      <c r="AJ152" s="81"/>
      <c r="AK152" s="87" t="s">
        <v>3875</v>
      </c>
      <c r="AL152" s="81" t="b">
        <v>0</v>
      </c>
      <c r="AM152" s="81">
        <v>0</v>
      </c>
      <c r="AN152" s="87" t="s">
        <v>3875</v>
      </c>
      <c r="AO152" s="87" t="s">
        <v>4109</v>
      </c>
      <c r="AP152" s="81" t="b">
        <v>0</v>
      </c>
      <c r="AQ152" s="87" t="s">
        <v>3690</v>
      </c>
      <c r="AR152" s="81" t="s">
        <v>179</v>
      </c>
      <c r="AS152" s="81">
        <v>0</v>
      </c>
      <c r="AT152" s="81">
        <v>0</v>
      </c>
      <c r="AU152" s="81"/>
      <c r="AV152" s="81"/>
      <c r="AW152" s="81"/>
      <c r="AX152" s="81"/>
      <c r="AY152" s="81"/>
      <c r="AZ152" s="81"/>
      <c r="BA152" s="81"/>
      <c r="BB152" s="81"/>
    </row>
    <row r="153" spans="1:54" x14ac:dyDescent="0.35">
      <c r="A153" s="66" t="s">
        <v>319</v>
      </c>
      <c r="B153" s="66" t="s">
        <v>1049</v>
      </c>
      <c r="C153" s="67"/>
      <c r="D153" s="68"/>
      <c r="E153" s="69"/>
      <c r="F153" s="70"/>
      <c r="G153" s="67"/>
      <c r="H153" s="71"/>
      <c r="I153" s="72"/>
      <c r="J153" s="72"/>
      <c r="K153" s="36"/>
      <c r="L153" s="79"/>
      <c r="M153" s="79"/>
      <c r="N153" s="74"/>
      <c r="O153" s="81" t="s">
        <v>1208</v>
      </c>
      <c r="P153" s="83">
        <v>44459.42224537037</v>
      </c>
      <c r="Q153" s="81" t="s">
        <v>1307</v>
      </c>
      <c r="R153" s="81"/>
      <c r="S153" s="81"/>
      <c r="T153" s="81"/>
      <c r="U153" s="81"/>
      <c r="V153" s="85" t="str">
        <f>HYPERLINK("https://pbs.twimg.com/profile_images/1373647706887835651/ZJ5DAnVd_normal.jpg")</f>
        <v>https://pbs.twimg.com/profile_images/1373647706887835651/ZJ5DAnVd_normal.jpg</v>
      </c>
      <c r="W153" s="83">
        <v>44459.42224537037</v>
      </c>
      <c r="X153" s="89">
        <v>44459</v>
      </c>
      <c r="Y153" s="87" t="s">
        <v>1906</v>
      </c>
      <c r="Z153" s="85" t="str">
        <f>HYPERLINK("https://twitter.com/outak_udang/status/1439894109171245058")</f>
        <v>https://twitter.com/outak_udang/status/1439894109171245058</v>
      </c>
      <c r="AA153" s="81"/>
      <c r="AB153" s="81"/>
      <c r="AC153" s="87" t="s">
        <v>2828</v>
      </c>
      <c r="AD153" s="87" t="s">
        <v>3691</v>
      </c>
      <c r="AE153" s="81" t="b">
        <v>0</v>
      </c>
      <c r="AF153" s="81">
        <v>0</v>
      </c>
      <c r="AG153" s="87" t="s">
        <v>3923</v>
      </c>
      <c r="AH153" s="81" t="b">
        <v>0</v>
      </c>
      <c r="AI153" s="81" t="s">
        <v>4092</v>
      </c>
      <c r="AJ153" s="81"/>
      <c r="AK153" s="87" t="s">
        <v>3875</v>
      </c>
      <c r="AL153" s="81" t="b">
        <v>0</v>
      </c>
      <c r="AM153" s="81">
        <v>0</v>
      </c>
      <c r="AN153" s="87" t="s">
        <v>3875</v>
      </c>
      <c r="AO153" s="87" t="s">
        <v>4109</v>
      </c>
      <c r="AP153" s="81" t="b">
        <v>0</v>
      </c>
      <c r="AQ153" s="87" t="s">
        <v>3691</v>
      </c>
      <c r="AR153" s="81" t="s">
        <v>179</v>
      </c>
      <c r="AS153" s="81">
        <v>0</v>
      </c>
      <c r="AT153" s="81">
        <v>0</v>
      </c>
      <c r="AU153" s="81"/>
      <c r="AV153" s="81"/>
      <c r="AW153" s="81"/>
      <c r="AX153" s="81"/>
      <c r="AY153" s="81"/>
      <c r="AZ153" s="81"/>
      <c r="BA153" s="81"/>
      <c r="BB153" s="81"/>
    </row>
    <row r="154" spans="1:54" x14ac:dyDescent="0.35">
      <c r="A154" s="66" t="s">
        <v>320</v>
      </c>
      <c r="B154" s="66" t="s">
        <v>320</v>
      </c>
      <c r="C154" s="67"/>
      <c r="D154" s="68"/>
      <c r="E154" s="69"/>
      <c r="F154" s="70"/>
      <c r="G154" s="67"/>
      <c r="H154" s="71"/>
      <c r="I154" s="72"/>
      <c r="J154" s="72"/>
      <c r="K154" s="36"/>
      <c r="L154" s="79"/>
      <c r="M154" s="79"/>
      <c r="N154" s="74"/>
      <c r="O154" s="81" t="s">
        <v>179</v>
      </c>
      <c r="P154" s="83">
        <v>44459.443020833336</v>
      </c>
      <c r="Q154" s="81" t="s">
        <v>1308</v>
      </c>
      <c r="R154" s="81"/>
      <c r="S154" s="81"/>
      <c r="T154" s="81"/>
      <c r="U154" s="85" t="str">
        <f>HYPERLINK("https://pbs.twimg.com/media/E_uO6VOUYAALNHH.jpg")</f>
        <v>https://pbs.twimg.com/media/E_uO6VOUYAALNHH.jpg</v>
      </c>
      <c r="V154" s="85" t="str">
        <f>HYPERLINK("https://pbs.twimg.com/media/E_uO6VOUYAALNHH.jpg")</f>
        <v>https://pbs.twimg.com/media/E_uO6VOUYAALNHH.jpg</v>
      </c>
      <c r="W154" s="83">
        <v>44459.443020833336</v>
      </c>
      <c r="X154" s="89">
        <v>44459</v>
      </c>
      <c r="Y154" s="87" t="s">
        <v>1907</v>
      </c>
      <c r="Z154" s="85" t="str">
        <f>HYPERLINK("https://twitter.com/karantinapdg/status/1439901641013010436")</f>
        <v>https://twitter.com/karantinapdg/status/1439901641013010436</v>
      </c>
      <c r="AA154" s="81"/>
      <c r="AB154" s="81"/>
      <c r="AC154" s="87" t="s">
        <v>2829</v>
      </c>
      <c r="AD154" s="81"/>
      <c r="AE154" s="81" t="b">
        <v>0</v>
      </c>
      <c r="AF154" s="81">
        <v>1</v>
      </c>
      <c r="AG154" s="87" t="s">
        <v>3924</v>
      </c>
      <c r="AH154" s="81" t="b">
        <v>0</v>
      </c>
      <c r="AI154" s="81" t="s">
        <v>4092</v>
      </c>
      <c r="AJ154" s="81"/>
      <c r="AK154" s="87" t="s">
        <v>3875</v>
      </c>
      <c r="AL154" s="81" t="b">
        <v>0</v>
      </c>
      <c r="AM154" s="81">
        <v>0</v>
      </c>
      <c r="AN154" s="87" t="s">
        <v>3875</v>
      </c>
      <c r="AO154" s="87" t="s">
        <v>4109</v>
      </c>
      <c r="AP154" s="81" t="b">
        <v>0</v>
      </c>
      <c r="AQ154" s="87" t="s">
        <v>2829</v>
      </c>
      <c r="AR154" s="81" t="s">
        <v>179</v>
      </c>
      <c r="AS154" s="81">
        <v>0</v>
      </c>
      <c r="AT154" s="81">
        <v>0</v>
      </c>
      <c r="AU154" s="81"/>
      <c r="AV154" s="81"/>
      <c r="AW154" s="81"/>
      <c r="AX154" s="81"/>
      <c r="AY154" s="81"/>
      <c r="AZ154" s="81"/>
      <c r="BA154" s="81"/>
      <c r="BB154" s="81"/>
    </row>
    <row r="155" spans="1:54" x14ac:dyDescent="0.35">
      <c r="A155" s="66" t="s">
        <v>321</v>
      </c>
      <c r="B155" s="66" t="s">
        <v>1050</v>
      </c>
      <c r="C155" s="67"/>
      <c r="D155" s="68"/>
      <c r="E155" s="69"/>
      <c r="F155" s="70"/>
      <c r="G155" s="67"/>
      <c r="H155" s="71"/>
      <c r="I155" s="72"/>
      <c r="J155" s="72"/>
      <c r="K155" s="36"/>
      <c r="L155" s="79"/>
      <c r="M155" s="79"/>
      <c r="N155" s="74"/>
      <c r="O155" s="81" t="s">
        <v>1208</v>
      </c>
      <c r="P155" s="83">
        <v>44459.451631944445</v>
      </c>
      <c r="Q155" s="81" t="s">
        <v>1309</v>
      </c>
      <c r="R155" s="81"/>
      <c r="S155" s="81"/>
      <c r="T155" s="81"/>
      <c r="U155" s="81"/>
      <c r="V155" s="85" t="str">
        <f>HYPERLINK("https://pbs.twimg.com/profile_images/1413044392483459072/r-AIBdCA_normal.jpg")</f>
        <v>https://pbs.twimg.com/profile_images/1413044392483459072/r-AIBdCA_normal.jpg</v>
      </c>
      <c r="W155" s="83">
        <v>44459.451631944445</v>
      </c>
      <c r="X155" s="89">
        <v>44459</v>
      </c>
      <c r="Y155" s="87" t="s">
        <v>1908</v>
      </c>
      <c r="Z155" s="85" t="str">
        <f>HYPERLINK("https://twitter.com/udinbikul/status/1439904760316841984")</f>
        <v>https://twitter.com/udinbikul/status/1439904760316841984</v>
      </c>
      <c r="AA155" s="81"/>
      <c r="AB155" s="81"/>
      <c r="AC155" s="87" t="s">
        <v>2830</v>
      </c>
      <c r="AD155" s="87" t="s">
        <v>3692</v>
      </c>
      <c r="AE155" s="81" t="b">
        <v>0</v>
      </c>
      <c r="AF155" s="81">
        <v>0</v>
      </c>
      <c r="AG155" s="87" t="s">
        <v>3925</v>
      </c>
      <c r="AH155" s="81" t="b">
        <v>0</v>
      </c>
      <c r="AI155" s="81" t="s">
        <v>4092</v>
      </c>
      <c r="AJ155" s="81"/>
      <c r="AK155" s="87" t="s">
        <v>3875</v>
      </c>
      <c r="AL155" s="81" t="b">
        <v>0</v>
      </c>
      <c r="AM155" s="81">
        <v>0</v>
      </c>
      <c r="AN155" s="87" t="s">
        <v>3875</v>
      </c>
      <c r="AO155" s="87" t="s">
        <v>4109</v>
      </c>
      <c r="AP155" s="81" t="b">
        <v>0</v>
      </c>
      <c r="AQ155" s="87" t="s">
        <v>3692</v>
      </c>
      <c r="AR155" s="81" t="s">
        <v>179</v>
      </c>
      <c r="AS155" s="81">
        <v>0</v>
      </c>
      <c r="AT155" s="81">
        <v>0</v>
      </c>
      <c r="AU155" s="81"/>
      <c r="AV155" s="81"/>
      <c r="AW155" s="81"/>
      <c r="AX155" s="81"/>
      <c r="AY155" s="81"/>
      <c r="AZ155" s="81"/>
      <c r="BA155" s="81"/>
      <c r="BB155" s="81"/>
    </row>
    <row r="156" spans="1:54" x14ac:dyDescent="0.35">
      <c r="A156" s="66" t="s">
        <v>322</v>
      </c>
      <c r="B156" s="66" t="s">
        <v>1051</v>
      </c>
      <c r="C156" s="67"/>
      <c r="D156" s="68"/>
      <c r="E156" s="69"/>
      <c r="F156" s="70"/>
      <c r="G156" s="67"/>
      <c r="H156" s="71"/>
      <c r="I156" s="72"/>
      <c r="J156" s="72"/>
      <c r="K156" s="36"/>
      <c r="L156" s="79"/>
      <c r="M156" s="79"/>
      <c r="N156" s="74"/>
      <c r="O156" s="81" t="s">
        <v>1206</v>
      </c>
      <c r="P156" s="83">
        <v>44459.340011574073</v>
      </c>
      <c r="Q156" s="81" t="s">
        <v>1310</v>
      </c>
      <c r="R156" s="81"/>
      <c r="S156" s="81"/>
      <c r="T156" s="81"/>
      <c r="U156" s="81"/>
      <c r="V156" s="85" t="str">
        <f>HYPERLINK("https://pbs.twimg.com/profile_images/1419435387773014016/P5-cjMFz_normal.jpg")</f>
        <v>https://pbs.twimg.com/profile_images/1419435387773014016/P5-cjMFz_normal.jpg</v>
      </c>
      <c r="W156" s="83">
        <v>44459.340011574073</v>
      </c>
      <c r="X156" s="89">
        <v>44459</v>
      </c>
      <c r="Y156" s="87" t="s">
        <v>1909</v>
      </c>
      <c r="Z156" s="85" t="str">
        <f>HYPERLINK("https://twitter.com/dkardiwanto/status/1439864310423904258")</f>
        <v>https://twitter.com/dkardiwanto/status/1439864310423904258</v>
      </c>
      <c r="AA156" s="81"/>
      <c r="AB156" s="81"/>
      <c r="AC156" s="87" t="s">
        <v>2831</v>
      </c>
      <c r="AD156" s="81"/>
      <c r="AE156" s="81" t="b">
        <v>0</v>
      </c>
      <c r="AF156" s="81">
        <v>0</v>
      </c>
      <c r="AG156" s="87" t="s">
        <v>3875</v>
      </c>
      <c r="AH156" s="81" t="b">
        <v>0</v>
      </c>
      <c r="AI156" s="81" t="s">
        <v>4092</v>
      </c>
      <c r="AJ156" s="81"/>
      <c r="AK156" s="87" t="s">
        <v>3875</v>
      </c>
      <c r="AL156" s="81" t="b">
        <v>0</v>
      </c>
      <c r="AM156" s="81">
        <v>0</v>
      </c>
      <c r="AN156" s="87" t="s">
        <v>3875</v>
      </c>
      <c r="AO156" s="87" t="s">
        <v>4109</v>
      </c>
      <c r="AP156" s="81" t="b">
        <v>0</v>
      </c>
      <c r="AQ156" s="87" t="s">
        <v>2831</v>
      </c>
      <c r="AR156" s="81" t="s">
        <v>179</v>
      </c>
      <c r="AS156" s="81">
        <v>0</v>
      </c>
      <c r="AT156" s="81">
        <v>0</v>
      </c>
      <c r="AU156" s="81"/>
      <c r="AV156" s="81"/>
      <c r="AW156" s="81"/>
      <c r="AX156" s="81"/>
      <c r="AY156" s="81"/>
      <c r="AZ156" s="81"/>
      <c r="BA156" s="81"/>
      <c r="BB156" s="81"/>
    </row>
    <row r="157" spans="1:54" x14ac:dyDescent="0.35">
      <c r="A157" s="66" t="s">
        <v>322</v>
      </c>
      <c r="B157" s="66" t="s">
        <v>1033</v>
      </c>
      <c r="C157" s="67"/>
      <c r="D157" s="68"/>
      <c r="E157" s="69"/>
      <c r="F157" s="70"/>
      <c r="G157" s="67"/>
      <c r="H157" s="71"/>
      <c r="I157" s="72"/>
      <c r="J157" s="72"/>
      <c r="K157" s="36"/>
      <c r="L157" s="79"/>
      <c r="M157" s="79"/>
      <c r="N157" s="74"/>
      <c r="O157" s="81" t="s">
        <v>1208</v>
      </c>
      <c r="P157" s="83">
        <v>44459.490810185183</v>
      </c>
      <c r="Q157" s="81" t="s">
        <v>1311</v>
      </c>
      <c r="R157" s="81"/>
      <c r="S157" s="81"/>
      <c r="T157" s="81"/>
      <c r="U157" s="81"/>
      <c r="V157" s="85" t="str">
        <f>HYPERLINK("https://pbs.twimg.com/profile_images/1419435387773014016/P5-cjMFz_normal.jpg")</f>
        <v>https://pbs.twimg.com/profile_images/1419435387773014016/P5-cjMFz_normal.jpg</v>
      </c>
      <c r="W157" s="83">
        <v>44459.490810185183</v>
      </c>
      <c r="X157" s="89">
        <v>44459</v>
      </c>
      <c r="Y157" s="87" t="s">
        <v>1910</v>
      </c>
      <c r="Z157" s="85" t="str">
        <f>HYPERLINK("https://twitter.com/dkardiwanto/status/1439918959306838018")</f>
        <v>https://twitter.com/dkardiwanto/status/1439918959306838018</v>
      </c>
      <c r="AA157" s="81"/>
      <c r="AB157" s="81"/>
      <c r="AC157" s="87" t="s">
        <v>2832</v>
      </c>
      <c r="AD157" s="87" t="s">
        <v>3693</v>
      </c>
      <c r="AE157" s="81" t="b">
        <v>0</v>
      </c>
      <c r="AF157" s="81">
        <v>0</v>
      </c>
      <c r="AG157" s="87" t="s">
        <v>3926</v>
      </c>
      <c r="AH157" s="81" t="b">
        <v>0</v>
      </c>
      <c r="AI157" s="81" t="s">
        <v>4092</v>
      </c>
      <c r="AJ157" s="81"/>
      <c r="AK157" s="87" t="s">
        <v>3875</v>
      </c>
      <c r="AL157" s="81" t="b">
        <v>0</v>
      </c>
      <c r="AM157" s="81">
        <v>0</v>
      </c>
      <c r="AN157" s="87" t="s">
        <v>3875</v>
      </c>
      <c r="AO157" s="87" t="s">
        <v>4109</v>
      </c>
      <c r="AP157" s="81" t="b">
        <v>0</v>
      </c>
      <c r="AQ157" s="87" t="s">
        <v>3693</v>
      </c>
      <c r="AR157" s="81" t="s">
        <v>179</v>
      </c>
      <c r="AS157" s="81">
        <v>0</v>
      </c>
      <c r="AT157" s="81">
        <v>0</v>
      </c>
      <c r="AU157" s="81"/>
      <c r="AV157" s="81"/>
      <c r="AW157" s="81"/>
      <c r="AX157" s="81"/>
      <c r="AY157" s="81"/>
      <c r="AZ157" s="81"/>
      <c r="BA157" s="81"/>
      <c r="BB157" s="81"/>
    </row>
    <row r="158" spans="1:54" x14ac:dyDescent="0.35">
      <c r="A158" s="66" t="s">
        <v>323</v>
      </c>
      <c r="B158" s="66" t="s">
        <v>323</v>
      </c>
      <c r="C158" s="67"/>
      <c r="D158" s="68"/>
      <c r="E158" s="69"/>
      <c r="F158" s="70"/>
      <c r="G158" s="67"/>
      <c r="H158" s="71"/>
      <c r="I158" s="72"/>
      <c r="J158" s="72"/>
      <c r="K158" s="36"/>
      <c r="L158" s="79"/>
      <c r="M158" s="79"/>
      <c r="N158" s="74"/>
      <c r="O158" s="81" t="s">
        <v>179</v>
      </c>
      <c r="P158" s="83">
        <v>44459.506261574075</v>
      </c>
      <c r="Q158" s="81" t="s">
        <v>1312</v>
      </c>
      <c r="R158" s="81"/>
      <c r="S158" s="81"/>
      <c r="T158" s="81"/>
      <c r="U158" s="81"/>
      <c r="V158" s="85" t="str">
        <f>HYPERLINK("https://pbs.twimg.com/profile_images/1441597969883488259/Ip7EE70Z_normal.jpg")</f>
        <v>https://pbs.twimg.com/profile_images/1441597969883488259/Ip7EE70Z_normal.jpg</v>
      </c>
      <c r="W158" s="83">
        <v>44459.506261574075</v>
      </c>
      <c r="X158" s="89">
        <v>44459</v>
      </c>
      <c r="Y158" s="87" t="s">
        <v>1911</v>
      </c>
      <c r="Z158" s="85" t="str">
        <f>HYPERLINK("https://twitter.com/kaakikkaki/status/1439924554852225024")</f>
        <v>https://twitter.com/kaakikkaki/status/1439924554852225024</v>
      </c>
      <c r="AA158" s="81"/>
      <c r="AB158" s="81"/>
      <c r="AC158" s="87" t="s">
        <v>2833</v>
      </c>
      <c r="AD158" s="81"/>
      <c r="AE158" s="81" t="b">
        <v>0</v>
      </c>
      <c r="AF158" s="81">
        <v>0</v>
      </c>
      <c r="AG158" s="87" t="s">
        <v>3875</v>
      </c>
      <c r="AH158" s="81" t="b">
        <v>0</v>
      </c>
      <c r="AI158" s="81" t="s">
        <v>4092</v>
      </c>
      <c r="AJ158" s="81"/>
      <c r="AK158" s="87" t="s">
        <v>3875</v>
      </c>
      <c r="AL158" s="81" t="b">
        <v>0</v>
      </c>
      <c r="AM158" s="81">
        <v>0</v>
      </c>
      <c r="AN158" s="87" t="s">
        <v>3875</v>
      </c>
      <c r="AO158" s="87" t="s">
        <v>4109</v>
      </c>
      <c r="AP158" s="81" t="b">
        <v>0</v>
      </c>
      <c r="AQ158" s="87" t="s">
        <v>2833</v>
      </c>
      <c r="AR158" s="81" t="s">
        <v>179</v>
      </c>
      <c r="AS158" s="81">
        <v>0</v>
      </c>
      <c r="AT158" s="81">
        <v>0</v>
      </c>
      <c r="AU158" s="81"/>
      <c r="AV158" s="81"/>
      <c r="AW158" s="81"/>
      <c r="AX158" s="81"/>
      <c r="AY158" s="81"/>
      <c r="AZ158" s="81"/>
      <c r="BA158" s="81"/>
      <c r="BB158" s="81"/>
    </row>
    <row r="159" spans="1:54" x14ac:dyDescent="0.35">
      <c r="A159" s="66" t="s">
        <v>324</v>
      </c>
      <c r="B159" s="66" t="s">
        <v>1052</v>
      </c>
      <c r="C159" s="67"/>
      <c r="D159" s="68"/>
      <c r="E159" s="69"/>
      <c r="F159" s="70"/>
      <c r="G159" s="67"/>
      <c r="H159" s="71"/>
      <c r="I159" s="72"/>
      <c r="J159" s="72"/>
      <c r="K159" s="36"/>
      <c r="L159" s="79"/>
      <c r="M159" s="79"/>
      <c r="N159" s="74"/>
      <c r="O159" s="81" t="s">
        <v>1208</v>
      </c>
      <c r="P159" s="83">
        <v>44459.508206018516</v>
      </c>
      <c r="Q159" s="81" t="s">
        <v>1313</v>
      </c>
      <c r="R159" s="81"/>
      <c r="S159" s="81"/>
      <c r="T159" s="81"/>
      <c r="U159" s="81"/>
      <c r="V159" s="85" t="str">
        <f>HYPERLINK("https://pbs.twimg.com/profile_images/1430030321177698304/qvPpbqlh_normal.jpg")</f>
        <v>https://pbs.twimg.com/profile_images/1430030321177698304/qvPpbqlh_normal.jpg</v>
      </c>
      <c r="W159" s="83">
        <v>44459.508206018516</v>
      </c>
      <c r="X159" s="89">
        <v>44459</v>
      </c>
      <c r="Y159" s="87" t="s">
        <v>1912</v>
      </c>
      <c r="Z159" s="85" t="str">
        <f>HYPERLINK("https://twitter.com/peachhpeachy_/status/1439925260376104965")</f>
        <v>https://twitter.com/peachhpeachy_/status/1439925260376104965</v>
      </c>
      <c r="AA159" s="81"/>
      <c r="AB159" s="81"/>
      <c r="AC159" s="87" t="s">
        <v>2834</v>
      </c>
      <c r="AD159" s="87" t="s">
        <v>3694</v>
      </c>
      <c r="AE159" s="81" t="b">
        <v>0</v>
      </c>
      <c r="AF159" s="81">
        <v>0</v>
      </c>
      <c r="AG159" s="87" t="s">
        <v>3927</v>
      </c>
      <c r="AH159" s="81" t="b">
        <v>0</v>
      </c>
      <c r="AI159" s="81" t="s">
        <v>4092</v>
      </c>
      <c r="AJ159" s="81"/>
      <c r="AK159" s="87" t="s">
        <v>3875</v>
      </c>
      <c r="AL159" s="81" t="b">
        <v>0</v>
      </c>
      <c r="AM159" s="81">
        <v>0</v>
      </c>
      <c r="AN159" s="87" t="s">
        <v>3875</v>
      </c>
      <c r="AO159" s="87" t="s">
        <v>4110</v>
      </c>
      <c r="AP159" s="81" t="b">
        <v>0</v>
      </c>
      <c r="AQ159" s="87" t="s">
        <v>3694</v>
      </c>
      <c r="AR159" s="81" t="s">
        <v>179</v>
      </c>
      <c r="AS159" s="81">
        <v>0</v>
      </c>
      <c r="AT159" s="81">
        <v>0</v>
      </c>
      <c r="AU159" s="81"/>
      <c r="AV159" s="81"/>
      <c r="AW159" s="81"/>
      <c r="AX159" s="81"/>
      <c r="AY159" s="81"/>
      <c r="AZ159" s="81"/>
      <c r="BA159" s="81"/>
      <c r="BB159" s="81"/>
    </row>
    <row r="160" spans="1:54" x14ac:dyDescent="0.35">
      <c r="A160" s="66" t="s">
        <v>325</v>
      </c>
      <c r="B160" s="66" t="s">
        <v>325</v>
      </c>
      <c r="C160" s="67"/>
      <c r="D160" s="68"/>
      <c r="E160" s="69"/>
      <c r="F160" s="70"/>
      <c r="G160" s="67"/>
      <c r="H160" s="71"/>
      <c r="I160" s="72"/>
      <c r="J160" s="72"/>
      <c r="K160" s="36"/>
      <c r="L160" s="79"/>
      <c r="M160" s="79"/>
      <c r="N160" s="74"/>
      <c r="O160" s="81" t="s">
        <v>179</v>
      </c>
      <c r="P160" s="83">
        <v>44459.545624999999</v>
      </c>
      <c r="Q160" s="81" t="s">
        <v>1314</v>
      </c>
      <c r="R160" s="81"/>
      <c r="S160" s="81"/>
      <c r="T160" s="81"/>
      <c r="U160" s="81"/>
      <c r="V160" s="85" t="str">
        <f>HYPERLINK("https://pbs.twimg.com/profile_images/1325713555358806016/5XcnqK4i_normal.jpg")</f>
        <v>https://pbs.twimg.com/profile_images/1325713555358806016/5XcnqK4i_normal.jpg</v>
      </c>
      <c r="W160" s="83">
        <v>44459.545624999999</v>
      </c>
      <c r="X160" s="89">
        <v>44459</v>
      </c>
      <c r="Y160" s="87" t="s">
        <v>1913</v>
      </c>
      <c r="Z160" s="85" t="str">
        <f>HYPERLINK("https://twitter.com/worksfess/status/1439938822414888962")</f>
        <v>https://twitter.com/worksfess/status/1439938822414888962</v>
      </c>
      <c r="AA160" s="81"/>
      <c r="AB160" s="81"/>
      <c r="AC160" s="87" t="s">
        <v>2835</v>
      </c>
      <c r="AD160" s="81"/>
      <c r="AE160" s="81" t="b">
        <v>0</v>
      </c>
      <c r="AF160" s="81">
        <v>1</v>
      </c>
      <c r="AG160" s="87" t="s">
        <v>3875</v>
      </c>
      <c r="AH160" s="81" t="b">
        <v>0</v>
      </c>
      <c r="AI160" s="81" t="s">
        <v>4092</v>
      </c>
      <c r="AJ160" s="81"/>
      <c r="AK160" s="87" t="s">
        <v>3875</v>
      </c>
      <c r="AL160" s="81" t="b">
        <v>0</v>
      </c>
      <c r="AM160" s="81">
        <v>0</v>
      </c>
      <c r="AN160" s="87" t="s">
        <v>3875</v>
      </c>
      <c r="AO160" s="87" t="s">
        <v>4119</v>
      </c>
      <c r="AP160" s="81" t="b">
        <v>0</v>
      </c>
      <c r="AQ160" s="87" t="s">
        <v>2835</v>
      </c>
      <c r="AR160" s="81" t="s">
        <v>179</v>
      </c>
      <c r="AS160" s="81">
        <v>0</v>
      </c>
      <c r="AT160" s="81">
        <v>0</v>
      </c>
      <c r="AU160" s="81"/>
      <c r="AV160" s="81"/>
      <c r="AW160" s="81"/>
      <c r="AX160" s="81"/>
      <c r="AY160" s="81"/>
      <c r="AZ160" s="81"/>
      <c r="BA160" s="81"/>
      <c r="BB160" s="81"/>
    </row>
    <row r="161" spans="1:54" x14ac:dyDescent="0.35">
      <c r="A161" s="66" t="s">
        <v>326</v>
      </c>
      <c r="B161" s="66" t="s">
        <v>1033</v>
      </c>
      <c r="C161" s="67"/>
      <c r="D161" s="68"/>
      <c r="E161" s="69"/>
      <c r="F161" s="70"/>
      <c r="G161" s="67"/>
      <c r="H161" s="71"/>
      <c r="I161" s="72"/>
      <c r="J161" s="72"/>
      <c r="K161" s="36"/>
      <c r="L161" s="79"/>
      <c r="M161" s="79"/>
      <c r="N161" s="74"/>
      <c r="O161" s="81" t="s">
        <v>1206</v>
      </c>
      <c r="P161" s="83">
        <v>44459.529513888891</v>
      </c>
      <c r="Q161" s="81" t="s">
        <v>1315</v>
      </c>
      <c r="R161" s="81"/>
      <c r="S161" s="81"/>
      <c r="T161" s="81"/>
      <c r="U161" s="81"/>
      <c r="V161" s="85" t="str">
        <f>HYPERLINK("https://pbs.twimg.com/profile_images/1441400195250409472/XHShUUj4_normal.jpg")</f>
        <v>https://pbs.twimg.com/profile_images/1441400195250409472/XHShUUj4_normal.jpg</v>
      </c>
      <c r="W161" s="83">
        <v>44459.529513888891</v>
      </c>
      <c r="X161" s="89">
        <v>44459</v>
      </c>
      <c r="Y161" s="87" t="s">
        <v>1914</v>
      </c>
      <c r="Z161" s="85" t="str">
        <f>HYPERLINK("https://twitter.com/jensom_/status/1439932982739931136")</f>
        <v>https://twitter.com/jensom_/status/1439932982739931136</v>
      </c>
      <c r="AA161" s="81"/>
      <c r="AB161" s="81"/>
      <c r="AC161" s="87" t="s">
        <v>2836</v>
      </c>
      <c r="AD161" s="87" t="s">
        <v>3695</v>
      </c>
      <c r="AE161" s="81" t="b">
        <v>0</v>
      </c>
      <c r="AF161" s="81">
        <v>0</v>
      </c>
      <c r="AG161" s="87" t="s">
        <v>3928</v>
      </c>
      <c r="AH161" s="81" t="b">
        <v>0</v>
      </c>
      <c r="AI161" s="81" t="s">
        <v>4092</v>
      </c>
      <c r="AJ161" s="81"/>
      <c r="AK161" s="87" t="s">
        <v>3875</v>
      </c>
      <c r="AL161" s="81" t="b">
        <v>0</v>
      </c>
      <c r="AM161" s="81">
        <v>0</v>
      </c>
      <c r="AN161" s="87" t="s">
        <v>3875</v>
      </c>
      <c r="AO161" s="87" t="s">
        <v>4109</v>
      </c>
      <c r="AP161" s="81" t="b">
        <v>0</v>
      </c>
      <c r="AQ161" s="87" t="s">
        <v>3695</v>
      </c>
      <c r="AR161" s="81" t="s">
        <v>179</v>
      </c>
      <c r="AS161" s="81">
        <v>0</v>
      </c>
      <c r="AT161" s="81">
        <v>0</v>
      </c>
      <c r="AU161" s="81"/>
      <c r="AV161" s="81"/>
      <c r="AW161" s="81"/>
      <c r="AX161" s="81"/>
      <c r="AY161" s="81"/>
      <c r="AZ161" s="81"/>
      <c r="BA161" s="81"/>
      <c r="BB161" s="81"/>
    </row>
    <row r="162" spans="1:54" x14ac:dyDescent="0.35">
      <c r="A162" s="66" t="s">
        <v>327</v>
      </c>
      <c r="B162" s="66" t="s">
        <v>1033</v>
      </c>
      <c r="C162" s="67"/>
      <c r="D162" s="68"/>
      <c r="E162" s="69"/>
      <c r="F162" s="70"/>
      <c r="G162" s="67"/>
      <c r="H162" s="71"/>
      <c r="I162" s="72"/>
      <c r="J162" s="72"/>
      <c r="K162" s="36"/>
      <c r="L162" s="79"/>
      <c r="M162" s="79"/>
      <c r="N162" s="74"/>
      <c r="O162" s="81" t="s">
        <v>1206</v>
      </c>
      <c r="P162" s="83">
        <v>44459.557673611111</v>
      </c>
      <c r="Q162" s="81" t="s">
        <v>1316</v>
      </c>
      <c r="R162" s="81"/>
      <c r="S162" s="81"/>
      <c r="T162" s="81"/>
      <c r="U162" s="81"/>
      <c r="V162" s="85" t="str">
        <f>HYPERLINK("https://pbs.twimg.com/profile_images/1371802579877855233/BIgUnRgI_normal.jpg")</f>
        <v>https://pbs.twimg.com/profile_images/1371802579877855233/BIgUnRgI_normal.jpg</v>
      </c>
      <c r="W162" s="83">
        <v>44459.557673611111</v>
      </c>
      <c r="X162" s="89">
        <v>44459</v>
      </c>
      <c r="Y162" s="87" t="s">
        <v>1915</v>
      </c>
      <c r="Z162" s="85" t="str">
        <f>HYPERLINK("https://twitter.com/milahyt09/status/1439943188475625479")</f>
        <v>https://twitter.com/milahyt09/status/1439943188475625479</v>
      </c>
      <c r="AA162" s="81"/>
      <c r="AB162" s="81"/>
      <c r="AC162" s="87" t="s">
        <v>2837</v>
      </c>
      <c r="AD162" s="87" t="s">
        <v>2836</v>
      </c>
      <c r="AE162" s="81" t="b">
        <v>0</v>
      </c>
      <c r="AF162" s="81">
        <v>0</v>
      </c>
      <c r="AG162" s="87" t="s">
        <v>3929</v>
      </c>
      <c r="AH162" s="81" t="b">
        <v>0</v>
      </c>
      <c r="AI162" s="81" t="s">
        <v>4092</v>
      </c>
      <c r="AJ162" s="81"/>
      <c r="AK162" s="87" t="s">
        <v>3875</v>
      </c>
      <c r="AL162" s="81" t="b">
        <v>0</v>
      </c>
      <c r="AM162" s="81">
        <v>0</v>
      </c>
      <c r="AN162" s="87" t="s">
        <v>3875</v>
      </c>
      <c r="AO162" s="87" t="s">
        <v>4109</v>
      </c>
      <c r="AP162" s="81" t="b">
        <v>0</v>
      </c>
      <c r="AQ162" s="87" t="s">
        <v>2836</v>
      </c>
      <c r="AR162" s="81" t="s">
        <v>179</v>
      </c>
      <c r="AS162" s="81">
        <v>0</v>
      </c>
      <c r="AT162" s="81">
        <v>0</v>
      </c>
      <c r="AU162" s="81"/>
      <c r="AV162" s="81"/>
      <c r="AW162" s="81"/>
      <c r="AX162" s="81"/>
      <c r="AY162" s="81"/>
      <c r="AZ162" s="81"/>
      <c r="BA162" s="81"/>
      <c r="BB162" s="81"/>
    </row>
    <row r="163" spans="1:54" x14ac:dyDescent="0.35">
      <c r="A163" s="66" t="s">
        <v>326</v>
      </c>
      <c r="B163" s="66" t="s">
        <v>327</v>
      </c>
      <c r="C163" s="67"/>
      <c r="D163" s="68"/>
      <c r="E163" s="69"/>
      <c r="F163" s="70"/>
      <c r="G163" s="67"/>
      <c r="H163" s="71"/>
      <c r="I163" s="72"/>
      <c r="J163" s="72"/>
      <c r="K163" s="36"/>
      <c r="L163" s="79"/>
      <c r="M163" s="79"/>
      <c r="N163" s="74"/>
      <c r="O163" s="81" t="s">
        <v>1208</v>
      </c>
      <c r="P163" s="83">
        <v>44459.529513888891</v>
      </c>
      <c r="Q163" s="81" t="s">
        <v>1315</v>
      </c>
      <c r="R163" s="81"/>
      <c r="S163" s="81"/>
      <c r="T163" s="81"/>
      <c r="U163" s="81"/>
      <c r="V163" s="85" t="str">
        <f>HYPERLINK("https://pbs.twimg.com/profile_images/1441400195250409472/XHShUUj4_normal.jpg")</f>
        <v>https://pbs.twimg.com/profile_images/1441400195250409472/XHShUUj4_normal.jpg</v>
      </c>
      <c r="W163" s="83">
        <v>44459.529513888891</v>
      </c>
      <c r="X163" s="89">
        <v>44459</v>
      </c>
      <c r="Y163" s="87" t="s">
        <v>1914</v>
      </c>
      <c r="Z163" s="85" t="str">
        <f>HYPERLINK("https://twitter.com/jensom_/status/1439932982739931136")</f>
        <v>https://twitter.com/jensom_/status/1439932982739931136</v>
      </c>
      <c r="AA163" s="81"/>
      <c r="AB163" s="81"/>
      <c r="AC163" s="87" t="s">
        <v>2836</v>
      </c>
      <c r="AD163" s="87" t="s">
        <v>3695</v>
      </c>
      <c r="AE163" s="81" t="b">
        <v>0</v>
      </c>
      <c r="AF163" s="81">
        <v>0</v>
      </c>
      <c r="AG163" s="87" t="s">
        <v>3928</v>
      </c>
      <c r="AH163" s="81" t="b">
        <v>0</v>
      </c>
      <c r="AI163" s="81" t="s">
        <v>4092</v>
      </c>
      <c r="AJ163" s="81"/>
      <c r="AK163" s="87" t="s">
        <v>3875</v>
      </c>
      <c r="AL163" s="81" t="b">
        <v>0</v>
      </c>
      <c r="AM163" s="81">
        <v>0</v>
      </c>
      <c r="AN163" s="87" t="s">
        <v>3875</v>
      </c>
      <c r="AO163" s="87" t="s">
        <v>4109</v>
      </c>
      <c r="AP163" s="81" t="b">
        <v>0</v>
      </c>
      <c r="AQ163" s="87" t="s">
        <v>3695</v>
      </c>
      <c r="AR163" s="81" t="s">
        <v>179</v>
      </c>
      <c r="AS163" s="81">
        <v>0</v>
      </c>
      <c r="AT163" s="81">
        <v>0</v>
      </c>
      <c r="AU163" s="81"/>
      <c r="AV163" s="81"/>
      <c r="AW163" s="81"/>
      <c r="AX163" s="81"/>
      <c r="AY163" s="81"/>
      <c r="AZ163" s="81"/>
      <c r="BA163" s="81"/>
      <c r="BB163" s="81"/>
    </row>
    <row r="164" spans="1:54" x14ac:dyDescent="0.35">
      <c r="A164" s="66" t="s">
        <v>327</v>
      </c>
      <c r="B164" s="66" t="s">
        <v>326</v>
      </c>
      <c r="C164" s="67"/>
      <c r="D164" s="68"/>
      <c r="E164" s="69"/>
      <c r="F164" s="70"/>
      <c r="G164" s="67"/>
      <c r="H164" s="71"/>
      <c r="I164" s="72"/>
      <c r="J164" s="72"/>
      <c r="K164" s="36"/>
      <c r="L164" s="79"/>
      <c r="M164" s="79"/>
      <c r="N164" s="74"/>
      <c r="O164" s="81" t="s">
        <v>1208</v>
      </c>
      <c r="P164" s="83">
        <v>44459.557673611111</v>
      </c>
      <c r="Q164" s="81" t="s">
        <v>1316</v>
      </c>
      <c r="R164" s="81"/>
      <c r="S164" s="81"/>
      <c r="T164" s="81"/>
      <c r="U164" s="81"/>
      <c r="V164" s="85" t="str">
        <f>HYPERLINK("https://pbs.twimg.com/profile_images/1371802579877855233/BIgUnRgI_normal.jpg")</f>
        <v>https://pbs.twimg.com/profile_images/1371802579877855233/BIgUnRgI_normal.jpg</v>
      </c>
      <c r="W164" s="83">
        <v>44459.557673611111</v>
      </c>
      <c r="X164" s="89">
        <v>44459</v>
      </c>
      <c r="Y164" s="87" t="s">
        <v>1915</v>
      </c>
      <c r="Z164" s="85" t="str">
        <f>HYPERLINK("https://twitter.com/milahyt09/status/1439943188475625479")</f>
        <v>https://twitter.com/milahyt09/status/1439943188475625479</v>
      </c>
      <c r="AA164" s="81"/>
      <c r="AB164" s="81"/>
      <c r="AC164" s="87" t="s">
        <v>2837</v>
      </c>
      <c r="AD164" s="87" t="s">
        <v>2836</v>
      </c>
      <c r="AE164" s="81" t="b">
        <v>0</v>
      </c>
      <c r="AF164" s="81">
        <v>0</v>
      </c>
      <c r="AG164" s="87" t="s">
        <v>3929</v>
      </c>
      <c r="AH164" s="81" t="b">
        <v>0</v>
      </c>
      <c r="AI164" s="81" t="s">
        <v>4092</v>
      </c>
      <c r="AJ164" s="81"/>
      <c r="AK164" s="87" t="s">
        <v>3875</v>
      </c>
      <c r="AL164" s="81" t="b">
        <v>0</v>
      </c>
      <c r="AM164" s="81">
        <v>0</v>
      </c>
      <c r="AN164" s="87" t="s">
        <v>3875</v>
      </c>
      <c r="AO164" s="87" t="s">
        <v>4109</v>
      </c>
      <c r="AP164" s="81" t="b">
        <v>0</v>
      </c>
      <c r="AQ164" s="87" t="s">
        <v>2836</v>
      </c>
      <c r="AR164" s="81" t="s">
        <v>179</v>
      </c>
      <c r="AS164" s="81">
        <v>0</v>
      </c>
      <c r="AT164" s="81">
        <v>0</v>
      </c>
      <c r="AU164" s="81"/>
      <c r="AV164" s="81"/>
      <c r="AW164" s="81"/>
      <c r="AX164" s="81"/>
      <c r="AY164" s="81"/>
      <c r="AZ164" s="81"/>
      <c r="BA164" s="81"/>
      <c r="BB164" s="81"/>
    </row>
    <row r="165" spans="1:54" x14ac:dyDescent="0.35">
      <c r="A165" s="66" t="s">
        <v>328</v>
      </c>
      <c r="B165" s="66" t="s">
        <v>330</v>
      </c>
      <c r="C165" s="67"/>
      <c r="D165" s="68"/>
      <c r="E165" s="69"/>
      <c r="F165" s="70"/>
      <c r="G165" s="67"/>
      <c r="H165" s="71"/>
      <c r="I165" s="72"/>
      <c r="J165" s="72"/>
      <c r="K165" s="36"/>
      <c r="L165" s="79"/>
      <c r="M165" s="79"/>
      <c r="N165" s="74"/>
      <c r="O165" s="81" t="s">
        <v>1205</v>
      </c>
      <c r="P165" s="83">
        <v>44459.588599537034</v>
      </c>
      <c r="Q165" s="81" t="s">
        <v>1317</v>
      </c>
      <c r="R165" s="81"/>
      <c r="S165" s="81"/>
      <c r="T165" s="81"/>
      <c r="U165" s="85" t="str">
        <f>HYPERLINK("https://pbs.twimg.com/media/E_u9rLMVgAQu14s.jpg")</f>
        <v>https://pbs.twimg.com/media/E_u9rLMVgAQu14s.jpg</v>
      </c>
      <c r="V165" s="85" t="str">
        <f>HYPERLINK("https://pbs.twimg.com/media/E_u9rLMVgAQu14s.jpg")</f>
        <v>https://pbs.twimg.com/media/E_u9rLMVgAQu14s.jpg</v>
      </c>
      <c r="W165" s="83">
        <v>44459.588599537034</v>
      </c>
      <c r="X165" s="89">
        <v>44459</v>
      </c>
      <c r="Y165" s="87" t="s">
        <v>1916</v>
      </c>
      <c r="Z165" s="85" t="str">
        <f>HYPERLINK("https://twitter.com/haeyerichan/status/1439954394183729156")</f>
        <v>https://twitter.com/haeyerichan/status/1439954394183729156</v>
      </c>
      <c r="AA165" s="81"/>
      <c r="AB165" s="81"/>
      <c r="AC165" s="87" t="s">
        <v>2838</v>
      </c>
      <c r="AD165" s="81"/>
      <c r="AE165" s="81" t="b">
        <v>0</v>
      </c>
      <c r="AF165" s="81">
        <v>0</v>
      </c>
      <c r="AG165" s="87" t="s">
        <v>3875</v>
      </c>
      <c r="AH165" s="81" t="b">
        <v>0</v>
      </c>
      <c r="AI165" s="81" t="s">
        <v>4092</v>
      </c>
      <c r="AJ165" s="81"/>
      <c r="AK165" s="87" t="s">
        <v>3875</v>
      </c>
      <c r="AL165" s="81" t="b">
        <v>0</v>
      </c>
      <c r="AM165" s="81">
        <v>5</v>
      </c>
      <c r="AN165" s="87" t="s">
        <v>2840</v>
      </c>
      <c r="AO165" s="87" t="s">
        <v>4109</v>
      </c>
      <c r="AP165" s="81" t="b">
        <v>0</v>
      </c>
      <c r="AQ165" s="87" t="s">
        <v>2840</v>
      </c>
      <c r="AR165" s="81" t="s">
        <v>179</v>
      </c>
      <c r="AS165" s="81">
        <v>0</v>
      </c>
      <c r="AT165" s="81">
        <v>0</v>
      </c>
      <c r="AU165" s="81"/>
      <c r="AV165" s="81"/>
      <c r="AW165" s="81"/>
      <c r="AX165" s="81"/>
      <c r="AY165" s="81"/>
      <c r="AZ165" s="81"/>
      <c r="BA165" s="81"/>
      <c r="BB165" s="81"/>
    </row>
    <row r="166" spans="1:54" x14ac:dyDescent="0.35">
      <c r="A166" s="66" t="s">
        <v>329</v>
      </c>
      <c r="B166" s="66" t="s">
        <v>330</v>
      </c>
      <c r="C166" s="67"/>
      <c r="D166" s="68"/>
      <c r="E166" s="69"/>
      <c r="F166" s="70"/>
      <c r="G166" s="67"/>
      <c r="H166" s="71"/>
      <c r="I166" s="72"/>
      <c r="J166" s="72"/>
      <c r="K166" s="36"/>
      <c r="L166" s="79"/>
      <c r="M166" s="79"/>
      <c r="N166" s="74"/>
      <c r="O166" s="81" t="s">
        <v>1205</v>
      </c>
      <c r="P166" s="83">
        <v>44459.60528935185</v>
      </c>
      <c r="Q166" s="81" t="s">
        <v>1317</v>
      </c>
      <c r="R166" s="81"/>
      <c r="S166" s="81"/>
      <c r="T166" s="81"/>
      <c r="U166" s="85" t="str">
        <f>HYPERLINK("https://pbs.twimg.com/media/E_u9rLMVgAQu14s.jpg")</f>
        <v>https://pbs.twimg.com/media/E_u9rLMVgAQu14s.jpg</v>
      </c>
      <c r="V166" s="85" t="str">
        <f>HYPERLINK("https://pbs.twimg.com/media/E_u9rLMVgAQu14s.jpg")</f>
        <v>https://pbs.twimg.com/media/E_u9rLMVgAQu14s.jpg</v>
      </c>
      <c r="W166" s="83">
        <v>44459.60528935185</v>
      </c>
      <c r="X166" s="89">
        <v>44459</v>
      </c>
      <c r="Y166" s="87" t="s">
        <v>1917</v>
      </c>
      <c r="Z166" s="85" t="str">
        <f>HYPERLINK("https://twitter.com/reyochi/status/1439960442722406401")</f>
        <v>https://twitter.com/reyochi/status/1439960442722406401</v>
      </c>
      <c r="AA166" s="81"/>
      <c r="AB166" s="81"/>
      <c r="AC166" s="87" t="s">
        <v>2839</v>
      </c>
      <c r="AD166" s="81"/>
      <c r="AE166" s="81" t="b">
        <v>0</v>
      </c>
      <c r="AF166" s="81">
        <v>0</v>
      </c>
      <c r="AG166" s="87" t="s">
        <v>3875</v>
      </c>
      <c r="AH166" s="81" t="b">
        <v>0</v>
      </c>
      <c r="AI166" s="81" t="s">
        <v>4092</v>
      </c>
      <c r="AJ166" s="81"/>
      <c r="AK166" s="87" t="s">
        <v>3875</v>
      </c>
      <c r="AL166" s="81" t="b">
        <v>0</v>
      </c>
      <c r="AM166" s="81">
        <v>5</v>
      </c>
      <c r="AN166" s="87" t="s">
        <v>2840</v>
      </c>
      <c r="AO166" s="87" t="s">
        <v>4109</v>
      </c>
      <c r="AP166" s="81" t="b">
        <v>0</v>
      </c>
      <c r="AQ166" s="87" t="s">
        <v>2840</v>
      </c>
      <c r="AR166" s="81" t="s">
        <v>179</v>
      </c>
      <c r="AS166" s="81">
        <v>0</v>
      </c>
      <c r="AT166" s="81">
        <v>0</v>
      </c>
      <c r="AU166" s="81"/>
      <c r="AV166" s="81"/>
      <c r="AW166" s="81"/>
      <c r="AX166" s="81"/>
      <c r="AY166" s="81"/>
      <c r="AZ166" s="81"/>
      <c r="BA166" s="81"/>
      <c r="BB166" s="81"/>
    </row>
    <row r="167" spans="1:54" x14ac:dyDescent="0.35">
      <c r="A167" s="66" t="s">
        <v>330</v>
      </c>
      <c r="B167" s="66" t="s">
        <v>330</v>
      </c>
      <c r="C167" s="67"/>
      <c r="D167" s="68"/>
      <c r="E167" s="69"/>
      <c r="F167" s="70"/>
      <c r="G167" s="67"/>
      <c r="H167" s="71"/>
      <c r="I167" s="72"/>
      <c r="J167" s="72"/>
      <c r="K167" s="36"/>
      <c r="L167" s="79"/>
      <c r="M167" s="79"/>
      <c r="N167" s="74"/>
      <c r="O167" s="81" t="s">
        <v>179</v>
      </c>
      <c r="P167" s="83">
        <v>44459.584907407407</v>
      </c>
      <c r="Q167" s="81" t="s">
        <v>1317</v>
      </c>
      <c r="R167" s="81"/>
      <c r="S167" s="81"/>
      <c r="T167" s="81"/>
      <c r="U167" s="85" t="str">
        <f>HYPERLINK("https://pbs.twimg.com/media/E_u9rLMVgAQu14s.jpg")</f>
        <v>https://pbs.twimg.com/media/E_u9rLMVgAQu14s.jpg</v>
      </c>
      <c r="V167" s="85" t="str">
        <f>HYPERLINK("https://pbs.twimg.com/media/E_u9rLMVgAQu14s.jpg")</f>
        <v>https://pbs.twimg.com/media/E_u9rLMVgAQu14s.jpg</v>
      </c>
      <c r="W167" s="83">
        <v>44459.584907407407</v>
      </c>
      <c r="X167" s="89">
        <v>44459</v>
      </c>
      <c r="Y167" s="87" t="s">
        <v>1918</v>
      </c>
      <c r="Z167" s="85" t="str">
        <f>HYPERLINK("https://twitter.com/rennhyvck/status/1439953058243383300")</f>
        <v>https://twitter.com/rennhyvck/status/1439953058243383300</v>
      </c>
      <c r="AA167" s="81"/>
      <c r="AB167" s="81"/>
      <c r="AC167" s="87" t="s">
        <v>2840</v>
      </c>
      <c r="AD167" s="87" t="s">
        <v>3696</v>
      </c>
      <c r="AE167" s="81" t="b">
        <v>0</v>
      </c>
      <c r="AF167" s="81">
        <v>7</v>
      </c>
      <c r="AG167" s="87" t="s">
        <v>3930</v>
      </c>
      <c r="AH167" s="81" t="b">
        <v>0</v>
      </c>
      <c r="AI167" s="81" t="s">
        <v>4092</v>
      </c>
      <c r="AJ167" s="81"/>
      <c r="AK167" s="87" t="s">
        <v>3875</v>
      </c>
      <c r="AL167" s="81" t="b">
        <v>0</v>
      </c>
      <c r="AM167" s="81">
        <v>5</v>
      </c>
      <c r="AN167" s="87" t="s">
        <v>3875</v>
      </c>
      <c r="AO167" s="87" t="s">
        <v>4109</v>
      </c>
      <c r="AP167" s="81" t="b">
        <v>0</v>
      </c>
      <c r="AQ167" s="87" t="s">
        <v>3696</v>
      </c>
      <c r="AR167" s="81" t="s">
        <v>179</v>
      </c>
      <c r="AS167" s="81">
        <v>0</v>
      </c>
      <c r="AT167" s="81">
        <v>0</v>
      </c>
      <c r="AU167" s="81"/>
      <c r="AV167" s="81"/>
      <c r="AW167" s="81"/>
      <c r="AX167" s="81"/>
      <c r="AY167" s="81"/>
      <c r="AZ167" s="81"/>
      <c r="BA167" s="81"/>
      <c r="BB167" s="81"/>
    </row>
    <row r="168" spans="1:54" x14ac:dyDescent="0.35">
      <c r="A168" s="66" t="s">
        <v>331</v>
      </c>
      <c r="B168" s="66" t="s">
        <v>330</v>
      </c>
      <c r="C168" s="67"/>
      <c r="D168" s="68"/>
      <c r="E168" s="69"/>
      <c r="F168" s="70"/>
      <c r="G168" s="67"/>
      <c r="H168" s="71"/>
      <c r="I168" s="72"/>
      <c r="J168" s="72"/>
      <c r="K168" s="36"/>
      <c r="L168" s="79"/>
      <c r="M168" s="79"/>
      <c r="N168" s="74"/>
      <c r="O168" s="81" t="s">
        <v>1205</v>
      </c>
      <c r="P168" s="83">
        <v>44459.605624999997</v>
      </c>
      <c r="Q168" s="81" t="s">
        <v>1317</v>
      </c>
      <c r="R168" s="81"/>
      <c r="S168" s="81"/>
      <c r="T168" s="81"/>
      <c r="U168" s="85" t="str">
        <f>HYPERLINK("https://pbs.twimg.com/media/E_u9rLMVgAQu14s.jpg")</f>
        <v>https://pbs.twimg.com/media/E_u9rLMVgAQu14s.jpg</v>
      </c>
      <c r="V168" s="85" t="str">
        <f>HYPERLINK("https://pbs.twimg.com/media/E_u9rLMVgAQu14s.jpg")</f>
        <v>https://pbs.twimg.com/media/E_u9rLMVgAQu14s.jpg</v>
      </c>
      <c r="W168" s="83">
        <v>44459.605624999997</v>
      </c>
      <c r="X168" s="89">
        <v>44459</v>
      </c>
      <c r="Y168" s="87" t="s">
        <v>1919</v>
      </c>
      <c r="Z168" s="85" t="str">
        <f>HYPERLINK("https://twitter.com/retaesung/status/1439960565590331415")</f>
        <v>https://twitter.com/retaesung/status/1439960565590331415</v>
      </c>
      <c r="AA168" s="81"/>
      <c r="AB168" s="81"/>
      <c r="AC168" s="87" t="s">
        <v>2841</v>
      </c>
      <c r="AD168" s="81"/>
      <c r="AE168" s="81" t="b">
        <v>0</v>
      </c>
      <c r="AF168" s="81">
        <v>0</v>
      </c>
      <c r="AG168" s="87" t="s">
        <v>3875</v>
      </c>
      <c r="AH168" s="81" t="b">
        <v>0</v>
      </c>
      <c r="AI168" s="81" t="s">
        <v>4092</v>
      </c>
      <c r="AJ168" s="81"/>
      <c r="AK168" s="87" t="s">
        <v>3875</v>
      </c>
      <c r="AL168" s="81" t="b">
        <v>0</v>
      </c>
      <c r="AM168" s="81">
        <v>5</v>
      </c>
      <c r="AN168" s="87" t="s">
        <v>2840</v>
      </c>
      <c r="AO168" s="87" t="s">
        <v>4109</v>
      </c>
      <c r="AP168" s="81" t="b">
        <v>0</v>
      </c>
      <c r="AQ168" s="87" t="s">
        <v>2840</v>
      </c>
      <c r="AR168" s="81" t="s">
        <v>179</v>
      </c>
      <c r="AS168" s="81">
        <v>0</v>
      </c>
      <c r="AT168" s="81">
        <v>0</v>
      </c>
      <c r="AU168" s="81"/>
      <c r="AV168" s="81"/>
      <c r="AW168" s="81"/>
      <c r="AX168" s="81"/>
      <c r="AY168" s="81"/>
      <c r="AZ168" s="81"/>
      <c r="BA168" s="81"/>
      <c r="BB168" s="81"/>
    </row>
    <row r="169" spans="1:54" x14ac:dyDescent="0.35">
      <c r="A169" s="66" t="s">
        <v>332</v>
      </c>
      <c r="B169" s="66" t="s">
        <v>754</v>
      </c>
      <c r="C169" s="67"/>
      <c r="D169" s="68"/>
      <c r="E169" s="69"/>
      <c r="F169" s="70"/>
      <c r="G169" s="67"/>
      <c r="H169" s="71"/>
      <c r="I169" s="72"/>
      <c r="J169" s="72"/>
      <c r="K169" s="36"/>
      <c r="L169" s="79"/>
      <c r="M169" s="79"/>
      <c r="N169" s="74"/>
      <c r="O169" s="81" t="s">
        <v>1208</v>
      </c>
      <c r="P169" s="83">
        <v>44459.655034722222</v>
      </c>
      <c r="Q169" s="81" t="s">
        <v>1318</v>
      </c>
      <c r="R169" s="81"/>
      <c r="S169" s="81"/>
      <c r="T169" s="81"/>
      <c r="U169" s="81"/>
      <c r="V169" s="85" t="str">
        <f>HYPERLINK("https://pbs.twimg.com/profile_images/1437576886167560196/QFLcGiPZ_normal.jpg")</f>
        <v>https://pbs.twimg.com/profile_images/1437576886167560196/QFLcGiPZ_normal.jpg</v>
      </c>
      <c r="W169" s="83">
        <v>44459.655034722222</v>
      </c>
      <c r="X169" s="89">
        <v>44459</v>
      </c>
      <c r="Y169" s="87" t="s">
        <v>1920</v>
      </c>
      <c r="Z169" s="85" t="str">
        <f>HYPERLINK("https://twitter.com/sanahmaswi/status/1439978470952484864")</f>
        <v>https://twitter.com/sanahmaswi/status/1439978470952484864</v>
      </c>
      <c r="AA169" s="81"/>
      <c r="AB169" s="81"/>
      <c r="AC169" s="87" t="s">
        <v>2842</v>
      </c>
      <c r="AD169" s="87" t="s">
        <v>3697</v>
      </c>
      <c r="AE169" s="81" t="b">
        <v>0</v>
      </c>
      <c r="AF169" s="81">
        <v>0</v>
      </c>
      <c r="AG169" s="87" t="s">
        <v>3880</v>
      </c>
      <c r="AH169" s="81" t="b">
        <v>0</v>
      </c>
      <c r="AI169" s="81" t="s">
        <v>4092</v>
      </c>
      <c r="AJ169" s="81"/>
      <c r="AK169" s="87" t="s">
        <v>3875</v>
      </c>
      <c r="AL169" s="81" t="b">
        <v>0</v>
      </c>
      <c r="AM169" s="81">
        <v>0</v>
      </c>
      <c r="AN169" s="87" t="s">
        <v>3875</v>
      </c>
      <c r="AO169" s="87" t="s">
        <v>4110</v>
      </c>
      <c r="AP169" s="81" t="b">
        <v>0</v>
      </c>
      <c r="AQ169" s="87" t="s">
        <v>3697</v>
      </c>
      <c r="AR169" s="81" t="s">
        <v>179</v>
      </c>
      <c r="AS169" s="81">
        <v>0</v>
      </c>
      <c r="AT169" s="81">
        <v>0</v>
      </c>
      <c r="AU169" s="81"/>
      <c r="AV169" s="81"/>
      <c r="AW169" s="81"/>
      <c r="AX169" s="81"/>
      <c r="AY169" s="81"/>
      <c r="AZ169" s="81"/>
      <c r="BA169" s="81"/>
      <c r="BB169" s="81"/>
    </row>
    <row r="170" spans="1:54" x14ac:dyDescent="0.35">
      <c r="A170" s="66" t="s">
        <v>333</v>
      </c>
      <c r="B170" s="66" t="s">
        <v>333</v>
      </c>
      <c r="C170" s="67"/>
      <c r="D170" s="68"/>
      <c r="E170" s="69"/>
      <c r="F170" s="70"/>
      <c r="G170" s="67"/>
      <c r="H170" s="71"/>
      <c r="I170" s="72"/>
      <c r="J170" s="72"/>
      <c r="K170" s="36"/>
      <c r="L170" s="79"/>
      <c r="M170" s="79"/>
      <c r="N170" s="74"/>
      <c r="O170" s="81" t="s">
        <v>179</v>
      </c>
      <c r="P170" s="83">
        <v>44459.66265046296</v>
      </c>
      <c r="Q170" s="81" t="s">
        <v>1319</v>
      </c>
      <c r="R170" s="81"/>
      <c r="S170" s="81"/>
      <c r="T170" s="81"/>
      <c r="U170" s="81"/>
      <c r="V170" s="85" t="str">
        <f>HYPERLINK("https://pbs.twimg.com/profile_images/1434713203657744386/YNQdOGN2_normal.jpg")</f>
        <v>https://pbs.twimg.com/profile_images/1434713203657744386/YNQdOGN2_normal.jpg</v>
      </c>
      <c r="W170" s="83">
        <v>44459.66265046296</v>
      </c>
      <c r="X170" s="89">
        <v>44459</v>
      </c>
      <c r="Y170" s="87" t="s">
        <v>1921</v>
      </c>
      <c r="Z170" s="85" t="str">
        <f>HYPERLINK("https://twitter.com/agakemosi/status/1439981232050241543")</f>
        <v>https://twitter.com/agakemosi/status/1439981232050241543</v>
      </c>
      <c r="AA170" s="81"/>
      <c r="AB170" s="81"/>
      <c r="AC170" s="87" t="s">
        <v>2843</v>
      </c>
      <c r="AD170" s="81"/>
      <c r="AE170" s="81" t="b">
        <v>0</v>
      </c>
      <c r="AF170" s="81">
        <v>0</v>
      </c>
      <c r="AG170" s="87" t="s">
        <v>3875</v>
      </c>
      <c r="AH170" s="81" t="b">
        <v>0</v>
      </c>
      <c r="AI170" s="81" t="s">
        <v>4092</v>
      </c>
      <c r="AJ170" s="81"/>
      <c r="AK170" s="87" t="s">
        <v>3875</v>
      </c>
      <c r="AL170" s="81" t="b">
        <v>0</v>
      </c>
      <c r="AM170" s="81">
        <v>0</v>
      </c>
      <c r="AN170" s="87" t="s">
        <v>3875</v>
      </c>
      <c r="AO170" s="87" t="s">
        <v>4109</v>
      </c>
      <c r="AP170" s="81" t="b">
        <v>0</v>
      </c>
      <c r="AQ170" s="87" t="s">
        <v>2843</v>
      </c>
      <c r="AR170" s="81" t="s">
        <v>179</v>
      </c>
      <c r="AS170" s="81">
        <v>0</v>
      </c>
      <c r="AT170" s="81">
        <v>0</v>
      </c>
      <c r="AU170" s="81"/>
      <c r="AV170" s="81"/>
      <c r="AW170" s="81"/>
      <c r="AX170" s="81"/>
      <c r="AY170" s="81"/>
      <c r="AZ170" s="81"/>
      <c r="BA170" s="81"/>
      <c r="BB170" s="81"/>
    </row>
    <row r="171" spans="1:54" x14ac:dyDescent="0.35">
      <c r="A171" s="66" t="s">
        <v>334</v>
      </c>
      <c r="B171" s="66" t="s">
        <v>1053</v>
      </c>
      <c r="C171" s="67"/>
      <c r="D171" s="68"/>
      <c r="E171" s="69"/>
      <c r="F171" s="70"/>
      <c r="G171" s="67"/>
      <c r="H171" s="71"/>
      <c r="I171" s="72"/>
      <c r="J171" s="72"/>
      <c r="K171" s="36"/>
      <c r="L171" s="79"/>
      <c r="M171" s="79"/>
      <c r="N171" s="74"/>
      <c r="O171" s="81" t="s">
        <v>1206</v>
      </c>
      <c r="P171" s="83">
        <v>44459.748425925929</v>
      </c>
      <c r="Q171" s="81" t="s">
        <v>1320</v>
      </c>
      <c r="R171" s="85" t="str">
        <f>HYPERLINK("https://twitter.com/ted_kho/status/1439805904329887744")</f>
        <v>https://twitter.com/ted_kho/status/1439805904329887744</v>
      </c>
      <c r="S171" s="81" t="s">
        <v>1731</v>
      </c>
      <c r="T171" s="81"/>
      <c r="U171" s="81"/>
      <c r="V171" s="85" t="str">
        <f>HYPERLINK("https://pbs.twimg.com/profile_images/1426146238106275843/L3Me2Akk_normal.jpg")</f>
        <v>https://pbs.twimg.com/profile_images/1426146238106275843/L3Me2Akk_normal.jpg</v>
      </c>
      <c r="W171" s="83">
        <v>44459.748425925929</v>
      </c>
      <c r="X171" s="89">
        <v>44459</v>
      </c>
      <c r="Y171" s="87" t="s">
        <v>1922</v>
      </c>
      <c r="Z171" s="85" t="str">
        <f>HYPERLINK("https://twitter.com/rifkansaf/status/1440012312593584135")</f>
        <v>https://twitter.com/rifkansaf/status/1440012312593584135</v>
      </c>
      <c r="AA171" s="81"/>
      <c r="AB171" s="81"/>
      <c r="AC171" s="87" t="s">
        <v>2844</v>
      </c>
      <c r="AD171" s="81"/>
      <c r="AE171" s="81" t="b">
        <v>0</v>
      </c>
      <c r="AF171" s="81">
        <v>0</v>
      </c>
      <c r="AG171" s="87" t="s">
        <v>3875</v>
      </c>
      <c r="AH171" s="81" t="b">
        <v>1</v>
      </c>
      <c r="AI171" s="81" t="s">
        <v>4092</v>
      </c>
      <c r="AJ171" s="81"/>
      <c r="AK171" s="87" t="s">
        <v>4100</v>
      </c>
      <c r="AL171" s="81" t="b">
        <v>0</v>
      </c>
      <c r="AM171" s="81">
        <v>0</v>
      </c>
      <c r="AN171" s="87" t="s">
        <v>3875</v>
      </c>
      <c r="AO171" s="87" t="s">
        <v>4109</v>
      </c>
      <c r="AP171" s="81" t="b">
        <v>0</v>
      </c>
      <c r="AQ171" s="87" t="s">
        <v>2844</v>
      </c>
      <c r="AR171" s="81" t="s">
        <v>179</v>
      </c>
      <c r="AS171" s="81">
        <v>0</v>
      </c>
      <c r="AT171" s="81">
        <v>0</v>
      </c>
      <c r="AU171" s="81"/>
      <c r="AV171" s="81"/>
      <c r="AW171" s="81"/>
      <c r="AX171" s="81"/>
      <c r="AY171" s="81"/>
      <c r="AZ171" s="81"/>
      <c r="BA171" s="81"/>
      <c r="BB171" s="81"/>
    </row>
    <row r="172" spans="1:54" x14ac:dyDescent="0.35">
      <c r="A172" s="66" t="s">
        <v>335</v>
      </c>
      <c r="B172" s="66" t="s">
        <v>1054</v>
      </c>
      <c r="C172" s="67"/>
      <c r="D172" s="68"/>
      <c r="E172" s="69"/>
      <c r="F172" s="70"/>
      <c r="G172" s="67"/>
      <c r="H172" s="71"/>
      <c r="I172" s="72"/>
      <c r="J172" s="72"/>
      <c r="K172" s="36"/>
      <c r="L172" s="79"/>
      <c r="M172" s="79"/>
      <c r="N172" s="74"/>
      <c r="O172" s="81" t="s">
        <v>1208</v>
      </c>
      <c r="P172" s="83">
        <v>44459.944166666668</v>
      </c>
      <c r="Q172" s="81" t="s">
        <v>1321</v>
      </c>
      <c r="R172" s="81"/>
      <c r="S172" s="81"/>
      <c r="T172" s="81"/>
      <c r="U172" s="81"/>
      <c r="V172" s="85" t="str">
        <f>HYPERLINK("https://pbs.twimg.com/profile_images/1300235489249640449/Cds6orNk_normal.jpg")</f>
        <v>https://pbs.twimg.com/profile_images/1300235489249640449/Cds6orNk_normal.jpg</v>
      </c>
      <c r="W172" s="83">
        <v>44459.944166666668</v>
      </c>
      <c r="X172" s="89">
        <v>44459</v>
      </c>
      <c r="Y172" s="87" t="s">
        <v>1923</v>
      </c>
      <c r="Z172" s="85" t="str">
        <f>HYPERLINK("https://twitter.com/memangakugendut/status/1440083246377672709")</f>
        <v>https://twitter.com/memangakugendut/status/1440083246377672709</v>
      </c>
      <c r="AA172" s="81"/>
      <c r="AB172" s="81"/>
      <c r="AC172" s="87" t="s">
        <v>2845</v>
      </c>
      <c r="AD172" s="87" t="s">
        <v>3698</v>
      </c>
      <c r="AE172" s="81" t="b">
        <v>0</v>
      </c>
      <c r="AF172" s="81">
        <v>0</v>
      </c>
      <c r="AG172" s="87" t="s">
        <v>3931</v>
      </c>
      <c r="AH172" s="81" t="b">
        <v>0</v>
      </c>
      <c r="AI172" s="81" t="s">
        <v>4092</v>
      </c>
      <c r="AJ172" s="81"/>
      <c r="AK172" s="87" t="s">
        <v>3875</v>
      </c>
      <c r="AL172" s="81" t="b">
        <v>0</v>
      </c>
      <c r="AM172" s="81">
        <v>0</v>
      </c>
      <c r="AN172" s="87" t="s">
        <v>3875</v>
      </c>
      <c r="AO172" s="87" t="s">
        <v>4109</v>
      </c>
      <c r="AP172" s="81" t="b">
        <v>0</v>
      </c>
      <c r="AQ172" s="87" t="s">
        <v>3698</v>
      </c>
      <c r="AR172" s="81" t="s">
        <v>179</v>
      </c>
      <c r="AS172" s="81">
        <v>0</v>
      </c>
      <c r="AT172" s="81">
        <v>0</v>
      </c>
      <c r="AU172" s="81"/>
      <c r="AV172" s="81"/>
      <c r="AW172" s="81"/>
      <c r="AX172" s="81"/>
      <c r="AY172" s="81"/>
      <c r="AZ172" s="81"/>
      <c r="BA172" s="81"/>
      <c r="BB172" s="81"/>
    </row>
    <row r="173" spans="1:54" x14ac:dyDescent="0.35">
      <c r="A173" s="66" t="s">
        <v>336</v>
      </c>
      <c r="B173" s="66" t="s">
        <v>981</v>
      </c>
      <c r="C173" s="67"/>
      <c r="D173" s="68"/>
      <c r="E173" s="69"/>
      <c r="F173" s="70"/>
      <c r="G173" s="67"/>
      <c r="H173" s="71"/>
      <c r="I173" s="72"/>
      <c r="J173" s="72"/>
      <c r="K173" s="36"/>
      <c r="L173" s="79"/>
      <c r="M173" s="79"/>
      <c r="N173" s="74"/>
      <c r="O173" s="81" t="s">
        <v>1205</v>
      </c>
      <c r="P173" s="83">
        <v>44459.285740740743</v>
      </c>
      <c r="Q173" s="81" t="s">
        <v>1269</v>
      </c>
      <c r="R173" s="81"/>
      <c r="S173" s="81"/>
      <c r="T173" s="87" t="s">
        <v>1761</v>
      </c>
      <c r="U173" s="85" t="str">
        <f>HYPERLINK("https://pbs.twimg.com/media/E_r8KZzVcAMmGuJ.jpg")</f>
        <v>https://pbs.twimg.com/media/E_r8KZzVcAMmGuJ.jpg</v>
      </c>
      <c r="V173" s="85" t="str">
        <f>HYPERLINK("https://pbs.twimg.com/media/E_r8KZzVcAMmGuJ.jpg")</f>
        <v>https://pbs.twimg.com/media/E_r8KZzVcAMmGuJ.jpg</v>
      </c>
      <c r="W173" s="83">
        <v>44459.285740740743</v>
      </c>
      <c r="X173" s="89">
        <v>44459</v>
      </c>
      <c r="Y173" s="87" t="s">
        <v>1924</v>
      </c>
      <c r="Z173" s="85" t="str">
        <f>HYPERLINK("https://twitter.com/jcawu/status/1439844641986154499")</f>
        <v>https://twitter.com/jcawu/status/1439844641986154499</v>
      </c>
      <c r="AA173" s="81"/>
      <c r="AB173" s="81"/>
      <c r="AC173" s="87" t="s">
        <v>2846</v>
      </c>
      <c r="AD173" s="81"/>
      <c r="AE173" s="81" t="b">
        <v>0</v>
      </c>
      <c r="AF173" s="81">
        <v>0</v>
      </c>
      <c r="AG173" s="87" t="s">
        <v>3875</v>
      </c>
      <c r="AH173" s="81" t="b">
        <v>0</v>
      </c>
      <c r="AI173" s="81" t="s">
        <v>4092</v>
      </c>
      <c r="AJ173" s="81"/>
      <c r="AK173" s="87" t="s">
        <v>3875</v>
      </c>
      <c r="AL173" s="81" t="b">
        <v>0</v>
      </c>
      <c r="AM173" s="81">
        <v>5</v>
      </c>
      <c r="AN173" s="87" t="s">
        <v>3619</v>
      </c>
      <c r="AO173" s="87" t="s">
        <v>4109</v>
      </c>
      <c r="AP173" s="81" t="b">
        <v>0</v>
      </c>
      <c r="AQ173" s="87" t="s">
        <v>3619</v>
      </c>
      <c r="AR173" s="81" t="s">
        <v>179</v>
      </c>
      <c r="AS173" s="81">
        <v>0</v>
      </c>
      <c r="AT173" s="81">
        <v>0</v>
      </c>
      <c r="AU173" s="81"/>
      <c r="AV173" s="81"/>
      <c r="AW173" s="81"/>
      <c r="AX173" s="81"/>
      <c r="AY173" s="81"/>
      <c r="AZ173" s="81"/>
      <c r="BA173" s="81"/>
      <c r="BB173" s="81"/>
    </row>
    <row r="174" spans="1:54" x14ac:dyDescent="0.35">
      <c r="A174" s="66" t="s">
        <v>336</v>
      </c>
      <c r="B174" s="66" t="s">
        <v>981</v>
      </c>
      <c r="C174" s="67"/>
      <c r="D174" s="68"/>
      <c r="E174" s="69"/>
      <c r="F174" s="70"/>
      <c r="G174" s="67"/>
      <c r="H174" s="71"/>
      <c r="I174" s="72"/>
      <c r="J174" s="72"/>
      <c r="K174" s="36"/>
      <c r="L174" s="79"/>
      <c r="M174" s="79"/>
      <c r="N174" s="74"/>
      <c r="O174" s="81" t="s">
        <v>1205</v>
      </c>
      <c r="P174" s="83">
        <v>44460.047037037039</v>
      </c>
      <c r="Q174" s="81" t="s">
        <v>1322</v>
      </c>
      <c r="R174" s="81"/>
      <c r="S174" s="81"/>
      <c r="T174" s="87" t="s">
        <v>1761</v>
      </c>
      <c r="U174" s="85" t="str">
        <f>HYPERLINK("https://pbs.twimg.com/media/E_w2xwgUcAcN61c.jpg")</f>
        <v>https://pbs.twimg.com/media/E_w2xwgUcAcN61c.jpg</v>
      </c>
      <c r="V174" s="85" t="str">
        <f>HYPERLINK("https://pbs.twimg.com/media/E_w2xwgUcAcN61c.jpg")</f>
        <v>https://pbs.twimg.com/media/E_w2xwgUcAcN61c.jpg</v>
      </c>
      <c r="W174" s="83">
        <v>44460.047037037039</v>
      </c>
      <c r="X174" s="89">
        <v>44460</v>
      </c>
      <c r="Y174" s="87" t="s">
        <v>1925</v>
      </c>
      <c r="Z174" s="85" t="str">
        <f>HYPERLINK("https://twitter.com/jcawu/status/1440120528132472836")</f>
        <v>https://twitter.com/jcawu/status/1440120528132472836</v>
      </c>
      <c r="AA174" s="81"/>
      <c r="AB174" s="81"/>
      <c r="AC174" s="87" t="s">
        <v>2847</v>
      </c>
      <c r="AD174" s="81"/>
      <c r="AE174" s="81" t="b">
        <v>0</v>
      </c>
      <c r="AF174" s="81">
        <v>0</v>
      </c>
      <c r="AG174" s="87" t="s">
        <v>3875</v>
      </c>
      <c r="AH174" s="81" t="b">
        <v>0</v>
      </c>
      <c r="AI174" s="81" t="s">
        <v>4092</v>
      </c>
      <c r="AJ174" s="81"/>
      <c r="AK174" s="87" t="s">
        <v>3875</v>
      </c>
      <c r="AL174" s="81" t="b">
        <v>0</v>
      </c>
      <c r="AM174" s="81">
        <v>5</v>
      </c>
      <c r="AN174" s="87" t="s">
        <v>3620</v>
      </c>
      <c r="AO174" s="87" t="s">
        <v>4109</v>
      </c>
      <c r="AP174" s="81" t="b">
        <v>0</v>
      </c>
      <c r="AQ174" s="87" t="s">
        <v>3620</v>
      </c>
      <c r="AR174" s="81" t="s">
        <v>179</v>
      </c>
      <c r="AS174" s="81">
        <v>0</v>
      </c>
      <c r="AT174" s="81">
        <v>0</v>
      </c>
      <c r="AU174" s="81"/>
      <c r="AV174" s="81"/>
      <c r="AW174" s="81"/>
      <c r="AX174" s="81"/>
      <c r="AY174" s="81"/>
      <c r="AZ174" s="81"/>
      <c r="BA174" s="81"/>
      <c r="BB174" s="81"/>
    </row>
    <row r="175" spans="1:54" x14ac:dyDescent="0.35">
      <c r="A175" s="66" t="s">
        <v>337</v>
      </c>
      <c r="B175" s="66" t="s">
        <v>337</v>
      </c>
      <c r="C175" s="67"/>
      <c r="D175" s="68"/>
      <c r="E175" s="69"/>
      <c r="F175" s="70"/>
      <c r="G175" s="67"/>
      <c r="H175" s="71"/>
      <c r="I175" s="72"/>
      <c r="J175" s="72"/>
      <c r="K175" s="36"/>
      <c r="L175" s="79"/>
      <c r="M175" s="79"/>
      <c r="N175" s="74"/>
      <c r="O175" s="81" t="s">
        <v>179</v>
      </c>
      <c r="P175" s="83">
        <v>44460.049444444441</v>
      </c>
      <c r="Q175" s="81" t="s">
        <v>1323</v>
      </c>
      <c r="R175" s="81"/>
      <c r="S175" s="81"/>
      <c r="T175" s="87" t="s">
        <v>1765</v>
      </c>
      <c r="U175" s="85" t="str">
        <f>HYPERLINK("https://pbs.twimg.com/media/E_xWxdVUUAIRsIf.jpg")</f>
        <v>https://pbs.twimg.com/media/E_xWxdVUUAIRsIf.jpg</v>
      </c>
      <c r="V175" s="85" t="str">
        <f>HYPERLINK("https://pbs.twimg.com/media/E_xWxdVUUAIRsIf.jpg")</f>
        <v>https://pbs.twimg.com/media/E_xWxdVUUAIRsIf.jpg</v>
      </c>
      <c r="W175" s="83">
        <v>44460.049444444441</v>
      </c>
      <c r="X175" s="89">
        <v>44460</v>
      </c>
      <c r="Y175" s="87" t="s">
        <v>1926</v>
      </c>
      <c r="Z175" s="85" t="str">
        <f>HYPERLINK("https://twitter.com/eljohnfmpku/status/1440121398827966470")</f>
        <v>https://twitter.com/eljohnfmpku/status/1440121398827966470</v>
      </c>
      <c r="AA175" s="81"/>
      <c r="AB175" s="81"/>
      <c r="AC175" s="87" t="s">
        <v>2848</v>
      </c>
      <c r="AD175" s="81"/>
      <c r="AE175" s="81" t="b">
        <v>0</v>
      </c>
      <c r="AF175" s="81">
        <v>0</v>
      </c>
      <c r="AG175" s="87" t="s">
        <v>3875</v>
      </c>
      <c r="AH175" s="81" t="b">
        <v>0</v>
      </c>
      <c r="AI175" s="81" t="s">
        <v>4092</v>
      </c>
      <c r="AJ175" s="81"/>
      <c r="AK175" s="87" t="s">
        <v>3875</v>
      </c>
      <c r="AL175" s="81" t="b">
        <v>0</v>
      </c>
      <c r="AM175" s="81">
        <v>0</v>
      </c>
      <c r="AN175" s="87" t="s">
        <v>3875</v>
      </c>
      <c r="AO175" s="87" t="s">
        <v>4110</v>
      </c>
      <c r="AP175" s="81" t="b">
        <v>0</v>
      </c>
      <c r="AQ175" s="87" t="s">
        <v>2848</v>
      </c>
      <c r="AR175" s="81" t="s">
        <v>179</v>
      </c>
      <c r="AS175" s="81">
        <v>0</v>
      </c>
      <c r="AT175" s="81">
        <v>0</v>
      </c>
      <c r="AU175" s="81"/>
      <c r="AV175" s="81"/>
      <c r="AW175" s="81"/>
      <c r="AX175" s="81"/>
      <c r="AY175" s="81"/>
      <c r="AZ175" s="81"/>
      <c r="BA175" s="81"/>
      <c r="BB175" s="81"/>
    </row>
    <row r="176" spans="1:54" x14ac:dyDescent="0.35">
      <c r="A176" s="66" t="s">
        <v>338</v>
      </c>
      <c r="B176" s="66" t="s">
        <v>1055</v>
      </c>
      <c r="C176" s="67"/>
      <c r="D176" s="68"/>
      <c r="E176" s="69"/>
      <c r="F176" s="70"/>
      <c r="G176" s="67"/>
      <c r="H176" s="71"/>
      <c r="I176" s="72"/>
      <c r="J176" s="72"/>
      <c r="K176" s="36"/>
      <c r="L176" s="79"/>
      <c r="M176" s="79"/>
      <c r="N176" s="74"/>
      <c r="O176" s="81" t="s">
        <v>1207</v>
      </c>
      <c r="P176" s="83">
        <v>44460.055046296293</v>
      </c>
      <c r="Q176" s="81" t="s">
        <v>1324</v>
      </c>
      <c r="R176" s="81"/>
      <c r="S176" s="81"/>
      <c r="T176" s="81"/>
      <c r="U176" s="85" t="str">
        <f>HYPERLINK("https://pbs.twimg.com/media/E_xVJy2VQAQerFe.jpg")</f>
        <v>https://pbs.twimg.com/media/E_xVJy2VQAQerFe.jpg</v>
      </c>
      <c r="V176" s="85" t="str">
        <f>HYPERLINK("https://pbs.twimg.com/media/E_xVJy2VQAQerFe.jpg")</f>
        <v>https://pbs.twimg.com/media/E_xVJy2VQAQerFe.jpg</v>
      </c>
      <c r="W176" s="83">
        <v>44460.055046296293</v>
      </c>
      <c r="X176" s="89">
        <v>44460</v>
      </c>
      <c r="Y176" s="87" t="s">
        <v>1927</v>
      </c>
      <c r="Z176" s="85" t="str">
        <f>HYPERLINK("https://twitter.com/sagita81774027/status/1440123430221717510")</f>
        <v>https://twitter.com/sagita81774027/status/1440123430221717510</v>
      </c>
      <c r="AA176" s="81"/>
      <c r="AB176" s="81"/>
      <c r="AC176" s="87" t="s">
        <v>2849</v>
      </c>
      <c r="AD176" s="81"/>
      <c r="AE176" s="81" t="b">
        <v>0</v>
      </c>
      <c r="AF176" s="81">
        <v>0</v>
      </c>
      <c r="AG176" s="87" t="s">
        <v>3875</v>
      </c>
      <c r="AH176" s="81" t="b">
        <v>0</v>
      </c>
      <c r="AI176" s="81" t="s">
        <v>4092</v>
      </c>
      <c r="AJ176" s="81"/>
      <c r="AK176" s="87" t="s">
        <v>3875</v>
      </c>
      <c r="AL176" s="81" t="b">
        <v>0</v>
      </c>
      <c r="AM176" s="81">
        <v>321</v>
      </c>
      <c r="AN176" s="87" t="s">
        <v>3520</v>
      </c>
      <c r="AO176" s="87" t="s">
        <v>4109</v>
      </c>
      <c r="AP176" s="81" t="b">
        <v>0</v>
      </c>
      <c r="AQ176" s="87" t="s">
        <v>3520</v>
      </c>
      <c r="AR176" s="81" t="s">
        <v>179</v>
      </c>
      <c r="AS176" s="81">
        <v>0</v>
      </c>
      <c r="AT176" s="81">
        <v>0</v>
      </c>
      <c r="AU176" s="81"/>
      <c r="AV176" s="81"/>
      <c r="AW176" s="81"/>
      <c r="AX176" s="81"/>
      <c r="AY176" s="81"/>
      <c r="AZ176" s="81"/>
      <c r="BA176" s="81"/>
      <c r="BB176" s="81"/>
    </row>
    <row r="177" spans="1:54" x14ac:dyDescent="0.35">
      <c r="A177" s="66" t="s">
        <v>338</v>
      </c>
      <c r="B177" s="66" t="s">
        <v>910</v>
      </c>
      <c r="C177" s="67"/>
      <c r="D177" s="68"/>
      <c r="E177" s="69"/>
      <c r="F177" s="70"/>
      <c r="G177" s="67"/>
      <c r="H177" s="71"/>
      <c r="I177" s="72"/>
      <c r="J177" s="72"/>
      <c r="K177" s="36"/>
      <c r="L177" s="79"/>
      <c r="M177" s="79"/>
      <c r="N177" s="74"/>
      <c r="O177" s="81" t="s">
        <v>1205</v>
      </c>
      <c r="P177" s="83">
        <v>44460.055046296293</v>
      </c>
      <c r="Q177" s="81" t="s">
        <v>1324</v>
      </c>
      <c r="R177" s="81"/>
      <c r="S177" s="81"/>
      <c r="T177" s="81"/>
      <c r="U177" s="85" t="str">
        <f>HYPERLINK("https://pbs.twimg.com/media/E_xVJy2VQAQerFe.jpg")</f>
        <v>https://pbs.twimg.com/media/E_xVJy2VQAQerFe.jpg</v>
      </c>
      <c r="V177" s="85" t="str">
        <f>HYPERLINK("https://pbs.twimg.com/media/E_xVJy2VQAQerFe.jpg")</f>
        <v>https://pbs.twimg.com/media/E_xVJy2VQAQerFe.jpg</v>
      </c>
      <c r="W177" s="83">
        <v>44460.055046296293</v>
      </c>
      <c r="X177" s="89">
        <v>44460</v>
      </c>
      <c r="Y177" s="87" t="s">
        <v>1927</v>
      </c>
      <c r="Z177" s="85" t="str">
        <f>HYPERLINK("https://twitter.com/sagita81774027/status/1440123430221717510")</f>
        <v>https://twitter.com/sagita81774027/status/1440123430221717510</v>
      </c>
      <c r="AA177" s="81"/>
      <c r="AB177" s="81"/>
      <c r="AC177" s="87" t="s">
        <v>2849</v>
      </c>
      <c r="AD177" s="81"/>
      <c r="AE177" s="81" t="b">
        <v>0</v>
      </c>
      <c r="AF177" s="81">
        <v>0</v>
      </c>
      <c r="AG177" s="87" t="s">
        <v>3875</v>
      </c>
      <c r="AH177" s="81" t="b">
        <v>0</v>
      </c>
      <c r="AI177" s="81" t="s">
        <v>4092</v>
      </c>
      <c r="AJ177" s="81"/>
      <c r="AK177" s="87" t="s">
        <v>3875</v>
      </c>
      <c r="AL177" s="81" t="b">
        <v>0</v>
      </c>
      <c r="AM177" s="81">
        <v>321</v>
      </c>
      <c r="AN177" s="87" t="s">
        <v>3520</v>
      </c>
      <c r="AO177" s="87" t="s">
        <v>4109</v>
      </c>
      <c r="AP177" s="81" t="b">
        <v>0</v>
      </c>
      <c r="AQ177" s="87" t="s">
        <v>3520</v>
      </c>
      <c r="AR177" s="81" t="s">
        <v>179</v>
      </c>
      <c r="AS177" s="81">
        <v>0</v>
      </c>
      <c r="AT177" s="81">
        <v>0</v>
      </c>
      <c r="AU177" s="81"/>
      <c r="AV177" s="81"/>
      <c r="AW177" s="81"/>
      <c r="AX177" s="81"/>
      <c r="AY177" s="81"/>
      <c r="AZ177" s="81"/>
      <c r="BA177" s="81"/>
      <c r="BB177" s="81"/>
    </row>
    <row r="178" spans="1:54" x14ac:dyDescent="0.35">
      <c r="A178" s="66" t="s">
        <v>339</v>
      </c>
      <c r="B178" s="66" t="s">
        <v>1055</v>
      </c>
      <c r="C178" s="67"/>
      <c r="D178" s="68"/>
      <c r="E178" s="69"/>
      <c r="F178" s="70"/>
      <c r="G178" s="67"/>
      <c r="H178" s="71"/>
      <c r="I178" s="72"/>
      <c r="J178" s="72"/>
      <c r="K178" s="36"/>
      <c r="L178" s="79"/>
      <c r="M178" s="79"/>
      <c r="N178" s="74"/>
      <c r="O178" s="81" t="s">
        <v>1207</v>
      </c>
      <c r="P178" s="83">
        <v>44460.057627314818</v>
      </c>
      <c r="Q178" s="81" t="s">
        <v>1324</v>
      </c>
      <c r="R178" s="81"/>
      <c r="S178" s="81"/>
      <c r="T178" s="81"/>
      <c r="U178" s="85" t="str">
        <f>HYPERLINK("https://pbs.twimg.com/media/E_xVJy2VQAQerFe.jpg")</f>
        <v>https://pbs.twimg.com/media/E_xVJy2VQAQerFe.jpg</v>
      </c>
      <c r="V178" s="85" t="str">
        <f>HYPERLINK("https://pbs.twimg.com/media/E_xVJy2VQAQerFe.jpg")</f>
        <v>https://pbs.twimg.com/media/E_xVJy2VQAQerFe.jpg</v>
      </c>
      <c r="W178" s="83">
        <v>44460.057627314818</v>
      </c>
      <c r="X178" s="89">
        <v>44460</v>
      </c>
      <c r="Y178" s="87" t="s">
        <v>1928</v>
      </c>
      <c r="Z178" s="85" t="str">
        <f>HYPERLINK("https://twitter.com/jho_junior911/status/1440124365228544007")</f>
        <v>https://twitter.com/jho_junior911/status/1440124365228544007</v>
      </c>
      <c r="AA178" s="81"/>
      <c r="AB178" s="81"/>
      <c r="AC178" s="87" t="s">
        <v>2850</v>
      </c>
      <c r="AD178" s="81"/>
      <c r="AE178" s="81" t="b">
        <v>0</v>
      </c>
      <c r="AF178" s="81">
        <v>0</v>
      </c>
      <c r="AG178" s="87" t="s">
        <v>3875</v>
      </c>
      <c r="AH178" s="81" t="b">
        <v>0</v>
      </c>
      <c r="AI178" s="81" t="s">
        <v>4092</v>
      </c>
      <c r="AJ178" s="81"/>
      <c r="AK178" s="87" t="s">
        <v>3875</v>
      </c>
      <c r="AL178" s="81" t="b">
        <v>0</v>
      </c>
      <c r="AM178" s="81">
        <v>321</v>
      </c>
      <c r="AN178" s="87" t="s">
        <v>3520</v>
      </c>
      <c r="AO178" s="87" t="s">
        <v>4109</v>
      </c>
      <c r="AP178" s="81" t="b">
        <v>0</v>
      </c>
      <c r="AQ178" s="87" t="s">
        <v>3520</v>
      </c>
      <c r="AR178" s="81" t="s">
        <v>179</v>
      </c>
      <c r="AS178" s="81">
        <v>0</v>
      </c>
      <c r="AT178" s="81">
        <v>0</v>
      </c>
      <c r="AU178" s="81"/>
      <c r="AV178" s="81"/>
      <c r="AW178" s="81"/>
      <c r="AX178" s="81"/>
      <c r="AY178" s="81"/>
      <c r="AZ178" s="81"/>
      <c r="BA178" s="81"/>
      <c r="BB178" s="81"/>
    </row>
    <row r="179" spans="1:54" x14ac:dyDescent="0.35">
      <c r="A179" s="66" t="s">
        <v>339</v>
      </c>
      <c r="B179" s="66" t="s">
        <v>910</v>
      </c>
      <c r="C179" s="67"/>
      <c r="D179" s="68"/>
      <c r="E179" s="69"/>
      <c r="F179" s="70"/>
      <c r="G179" s="67"/>
      <c r="H179" s="71"/>
      <c r="I179" s="72"/>
      <c r="J179" s="72"/>
      <c r="K179" s="36"/>
      <c r="L179" s="79"/>
      <c r="M179" s="79"/>
      <c r="N179" s="74"/>
      <c r="O179" s="81" t="s">
        <v>1205</v>
      </c>
      <c r="P179" s="83">
        <v>44460.057627314818</v>
      </c>
      <c r="Q179" s="81" t="s">
        <v>1324</v>
      </c>
      <c r="R179" s="81"/>
      <c r="S179" s="81"/>
      <c r="T179" s="81"/>
      <c r="U179" s="85" t="str">
        <f>HYPERLINK("https://pbs.twimg.com/media/E_xVJy2VQAQerFe.jpg")</f>
        <v>https://pbs.twimg.com/media/E_xVJy2VQAQerFe.jpg</v>
      </c>
      <c r="V179" s="85" t="str">
        <f>HYPERLINK("https://pbs.twimg.com/media/E_xVJy2VQAQerFe.jpg")</f>
        <v>https://pbs.twimg.com/media/E_xVJy2VQAQerFe.jpg</v>
      </c>
      <c r="W179" s="83">
        <v>44460.057627314818</v>
      </c>
      <c r="X179" s="89">
        <v>44460</v>
      </c>
      <c r="Y179" s="87" t="s">
        <v>1928</v>
      </c>
      <c r="Z179" s="85" t="str">
        <f>HYPERLINK("https://twitter.com/jho_junior911/status/1440124365228544007")</f>
        <v>https://twitter.com/jho_junior911/status/1440124365228544007</v>
      </c>
      <c r="AA179" s="81"/>
      <c r="AB179" s="81"/>
      <c r="AC179" s="87" t="s">
        <v>2850</v>
      </c>
      <c r="AD179" s="81"/>
      <c r="AE179" s="81" t="b">
        <v>0</v>
      </c>
      <c r="AF179" s="81">
        <v>0</v>
      </c>
      <c r="AG179" s="87" t="s">
        <v>3875</v>
      </c>
      <c r="AH179" s="81" t="b">
        <v>0</v>
      </c>
      <c r="AI179" s="81" t="s">
        <v>4092</v>
      </c>
      <c r="AJ179" s="81"/>
      <c r="AK179" s="87" t="s">
        <v>3875</v>
      </c>
      <c r="AL179" s="81" t="b">
        <v>0</v>
      </c>
      <c r="AM179" s="81">
        <v>321</v>
      </c>
      <c r="AN179" s="87" t="s">
        <v>3520</v>
      </c>
      <c r="AO179" s="87" t="s">
        <v>4109</v>
      </c>
      <c r="AP179" s="81" t="b">
        <v>0</v>
      </c>
      <c r="AQ179" s="87" t="s">
        <v>3520</v>
      </c>
      <c r="AR179" s="81" t="s">
        <v>179</v>
      </c>
      <c r="AS179" s="81">
        <v>0</v>
      </c>
      <c r="AT179" s="81">
        <v>0</v>
      </c>
      <c r="AU179" s="81"/>
      <c r="AV179" s="81"/>
      <c r="AW179" s="81"/>
      <c r="AX179" s="81"/>
      <c r="AY179" s="81"/>
      <c r="AZ179" s="81"/>
      <c r="BA179" s="81"/>
      <c r="BB179" s="81"/>
    </row>
    <row r="180" spans="1:54" x14ac:dyDescent="0.35">
      <c r="A180" s="66" t="s">
        <v>340</v>
      </c>
      <c r="B180" s="66" t="s">
        <v>1055</v>
      </c>
      <c r="C180" s="67"/>
      <c r="D180" s="68"/>
      <c r="E180" s="69"/>
      <c r="F180" s="70"/>
      <c r="G180" s="67"/>
      <c r="H180" s="71"/>
      <c r="I180" s="72"/>
      <c r="J180" s="72"/>
      <c r="K180" s="36"/>
      <c r="L180" s="79"/>
      <c r="M180" s="79"/>
      <c r="N180" s="74"/>
      <c r="O180" s="81" t="s">
        <v>1207</v>
      </c>
      <c r="P180" s="83">
        <v>44460.059328703705</v>
      </c>
      <c r="Q180" s="81" t="s">
        <v>1324</v>
      </c>
      <c r="R180" s="81"/>
      <c r="S180" s="81"/>
      <c r="T180" s="81"/>
      <c r="U180" s="85" t="str">
        <f>HYPERLINK("https://pbs.twimg.com/media/E_xVJy2VQAQerFe.jpg")</f>
        <v>https://pbs.twimg.com/media/E_xVJy2VQAQerFe.jpg</v>
      </c>
      <c r="V180" s="85" t="str">
        <f>HYPERLINK("https://pbs.twimg.com/media/E_xVJy2VQAQerFe.jpg")</f>
        <v>https://pbs.twimg.com/media/E_xVJy2VQAQerFe.jpg</v>
      </c>
      <c r="W180" s="83">
        <v>44460.059328703705</v>
      </c>
      <c r="X180" s="89">
        <v>44460</v>
      </c>
      <c r="Y180" s="87" t="s">
        <v>1929</v>
      </c>
      <c r="Z180" s="85" t="str">
        <f>HYPERLINK("https://twitter.com/imadesuarsa7/status/1440124980100931592")</f>
        <v>https://twitter.com/imadesuarsa7/status/1440124980100931592</v>
      </c>
      <c r="AA180" s="81"/>
      <c r="AB180" s="81"/>
      <c r="AC180" s="87" t="s">
        <v>2851</v>
      </c>
      <c r="AD180" s="81"/>
      <c r="AE180" s="81" t="b">
        <v>0</v>
      </c>
      <c r="AF180" s="81">
        <v>0</v>
      </c>
      <c r="AG180" s="87" t="s">
        <v>3875</v>
      </c>
      <c r="AH180" s="81" t="b">
        <v>0</v>
      </c>
      <c r="AI180" s="81" t="s">
        <v>4092</v>
      </c>
      <c r="AJ180" s="81"/>
      <c r="AK180" s="87" t="s">
        <v>3875</v>
      </c>
      <c r="AL180" s="81" t="b">
        <v>0</v>
      </c>
      <c r="AM180" s="81">
        <v>321</v>
      </c>
      <c r="AN180" s="87" t="s">
        <v>3520</v>
      </c>
      <c r="AO180" s="87" t="s">
        <v>4109</v>
      </c>
      <c r="AP180" s="81" t="b">
        <v>0</v>
      </c>
      <c r="AQ180" s="87" t="s">
        <v>3520</v>
      </c>
      <c r="AR180" s="81" t="s">
        <v>179</v>
      </c>
      <c r="AS180" s="81">
        <v>0</v>
      </c>
      <c r="AT180" s="81">
        <v>0</v>
      </c>
      <c r="AU180" s="81"/>
      <c r="AV180" s="81"/>
      <c r="AW180" s="81"/>
      <c r="AX180" s="81"/>
      <c r="AY180" s="81"/>
      <c r="AZ180" s="81"/>
      <c r="BA180" s="81"/>
      <c r="BB180" s="81"/>
    </row>
    <row r="181" spans="1:54" x14ac:dyDescent="0.35">
      <c r="A181" s="66" t="s">
        <v>340</v>
      </c>
      <c r="B181" s="66" t="s">
        <v>910</v>
      </c>
      <c r="C181" s="67"/>
      <c r="D181" s="68"/>
      <c r="E181" s="69"/>
      <c r="F181" s="70"/>
      <c r="G181" s="67"/>
      <c r="H181" s="71"/>
      <c r="I181" s="72"/>
      <c r="J181" s="72"/>
      <c r="K181" s="36"/>
      <c r="L181" s="79"/>
      <c r="M181" s="79"/>
      <c r="N181" s="74"/>
      <c r="O181" s="81" t="s">
        <v>1205</v>
      </c>
      <c r="P181" s="83">
        <v>44460.059328703705</v>
      </c>
      <c r="Q181" s="81" t="s">
        <v>1324</v>
      </c>
      <c r="R181" s="81"/>
      <c r="S181" s="81"/>
      <c r="T181" s="81"/>
      <c r="U181" s="85" t="str">
        <f>HYPERLINK("https://pbs.twimg.com/media/E_xVJy2VQAQerFe.jpg")</f>
        <v>https://pbs.twimg.com/media/E_xVJy2VQAQerFe.jpg</v>
      </c>
      <c r="V181" s="85" t="str">
        <f>HYPERLINK("https://pbs.twimg.com/media/E_xVJy2VQAQerFe.jpg")</f>
        <v>https://pbs.twimg.com/media/E_xVJy2VQAQerFe.jpg</v>
      </c>
      <c r="W181" s="83">
        <v>44460.059328703705</v>
      </c>
      <c r="X181" s="89">
        <v>44460</v>
      </c>
      <c r="Y181" s="87" t="s">
        <v>1929</v>
      </c>
      <c r="Z181" s="85" t="str">
        <f>HYPERLINK("https://twitter.com/imadesuarsa7/status/1440124980100931592")</f>
        <v>https://twitter.com/imadesuarsa7/status/1440124980100931592</v>
      </c>
      <c r="AA181" s="81"/>
      <c r="AB181" s="81"/>
      <c r="AC181" s="87" t="s">
        <v>2851</v>
      </c>
      <c r="AD181" s="81"/>
      <c r="AE181" s="81" t="b">
        <v>0</v>
      </c>
      <c r="AF181" s="81">
        <v>0</v>
      </c>
      <c r="AG181" s="87" t="s">
        <v>3875</v>
      </c>
      <c r="AH181" s="81" t="b">
        <v>0</v>
      </c>
      <c r="AI181" s="81" t="s">
        <v>4092</v>
      </c>
      <c r="AJ181" s="81"/>
      <c r="AK181" s="87" t="s">
        <v>3875</v>
      </c>
      <c r="AL181" s="81" t="b">
        <v>0</v>
      </c>
      <c r="AM181" s="81">
        <v>321</v>
      </c>
      <c r="AN181" s="87" t="s">
        <v>3520</v>
      </c>
      <c r="AO181" s="87" t="s">
        <v>4109</v>
      </c>
      <c r="AP181" s="81" t="b">
        <v>0</v>
      </c>
      <c r="AQ181" s="87" t="s">
        <v>3520</v>
      </c>
      <c r="AR181" s="81" t="s">
        <v>179</v>
      </c>
      <c r="AS181" s="81">
        <v>0</v>
      </c>
      <c r="AT181" s="81">
        <v>0</v>
      </c>
      <c r="AU181" s="81"/>
      <c r="AV181" s="81"/>
      <c r="AW181" s="81"/>
      <c r="AX181" s="81"/>
      <c r="AY181" s="81"/>
      <c r="AZ181" s="81"/>
      <c r="BA181" s="81"/>
      <c r="BB181" s="81"/>
    </row>
    <row r="182" spans="1:54" x14ac:dyDescent="0.35">
      <c r="A182" s="66" t="s">
        <v>341</v>
      </c>
      <c r="B182" s="66" t="s">
        <v>1055</v>
      </c>
      <c r="C182" s="67"/>
      <c r="D182" s="68"/>
      <c r="E182" s="69"/>
      <c r="F182" s="70"/>
      <c r="G182" s="67"/>
      <c r="H182" s="71"/>
      <c r="I182" s="72"/>
      <c r="J182" s="72"/>
      <c r="K182" s="36"/>
      <c r="L182" s="79"/>
      <c r="M182" s="79"/>
      <c r="N182" s="74"/>
      <c r="O182" s="81" t="s">
        <v>1207</v>
      </c>
      <c r="P182" s="83">
        <v>44460.060671296298</v>
      </c>
      <c r="Q182" s="81" t="s">
        <v>1324</v>
      </c>
      <c r="R182" s="81"/>
      <c r="S182" s="81"/>
      <c r="T182" s="81"/>
      <c r="U182" s="85" t="str">
        <f>HYPERLINK("https://pbs.twimg.com/media/E_xVJy2VQAQerFe.jpg")</f>
        <v>https://pbs.twimg.com/media/E_xVJy2VQAQerFe.jpg</v>
      </c>
      <c r="V182" s="85" t="str">
        <f>HYPERLINK("https://pbs.twimg.com/media/E_xVJy2VQAQerFe.jpg")</f>
        <v>https://pbs.twimg.com/media/E_xVJy2VQAQerFe.jpg</v>
      </c>
      <c r="W182" s="83">
        <v>44460.060671296298</v>
      </c>
      <c r="X182" s="89">
        <v>44460</v>
      </c>
      <c r="Y182" s="87" t="s">
        <v>1930</v>
      </c>
      <c r="Z182" s="85" t="str">
        <f>HYPERLINK("https://twitter.com/listy9021/status/1440125467013435397")</f>
        <v>https://twitter.com/listy9021/status/1440125467013435397</v>
      </c>
      <c r="AA182" s="81"/>
      <c r="AB182" s="81"/>
      <c r="AC182" s="87" t="s">
        <v>2852</v>
      </c>
      <c r="AD182" s="81"/>
      <c r="AE182" s="81" t="b">
        <v>0</v>
      </c>
      <c r="AF182" s="81">
        <v>0</v>
      </c>
      <c r="AG182" s="87" t="s">
        <v>3875</v>
      </c>
      <c r="AH182" s="81" t="b">
        <v>0</v>
      </c>
      <c r="AI182" s="81" t="s">
        <v>4092</v>
      </c>
      <c r="AJ182" s="81"/>
      <c r="AK182" s="87" t="s">
        <v>3875</v>
      </c>
      <c r="AL182" s="81" t="b">
        <v>0</v>
      </c>
      <c r="AM182" s="81">
        <v>321</v>
      </c>
      <c r="AN182" s="87" t="s">
        <v>3520</v>
      </c>
      <c r="AO182" s="87" t="s">
        <v>4109</v>
      </c>
      <c r="AP182" s="81" t="b">
        <v>0</v>
      </c>
      <c r="AQ182" s="87" t="s">
        <v>3520</v>
      </c>
      <c r="AR182" s="81" t="s">
        <v>179</v>
      </c>
      <c r="AS182" s="81">
        <v>0</v>
      </c>
      <c r="AT182" s="81">
        <v>0</v>
      </c>
      <c r="AU182" s="81"/>
      <c r="AV182" s="81"/>
      <c r="AW182" s="81"/>
      <c r="AX182" s="81"/>
      <c r="AY182" s="81"/>
      <c r="AZ182" s="81"/>
      <c r="BA182" s="81"/>
      <c r="BB182" s="81"/>
    </row>
    <row r="183" spans="1:54" x14ac:dyDescent="0.35">
      <c r="A183" s="66" t="s">
        <v>341</v>
      </c>
      <c r="B183" s="66" t="s">
        <v>910</v>
      </c>
      <c r="C183" s="67"/>
      <c r="D183" s="68"/>
      <c r="E183" s="69"/>
      <c r="F183" s="70"/>
      <c r="G183" s="67"/>
      <c r="H183" s="71"/>
      <c r="I183" s="72"/>
      <c r="J183" s="72"/>
      <c r="K183" s="36"/>
      <c r="L183" s="79"/>
      <c r="M183" s="79"/>
      <c r="N183" s="74"/>
      <c r="O183" s="81" t="s">
        <v>1205</v>
      </c>
      <c r="P183" s="83">
        <v>44460.060671296298</v>
      </c>
      <c r="Q183" s="81" t="s">
        <v>1324</v>
      </c>
      <c r="R183" s="81"/>
      <c r="S183" s="81"/>
      <c r="T183" s="81"/>
      <c r="U183" s="85" t="str">
        <f>HYPERLINK("https://pbs.twimg.com/media/E_xVJy2VQAQerFe.jpg")</f>
        <v>https://pbs.twimg.com/media/E_xVJy2VQAQerFe.jpg</v>
      </c>
      <c r="V183" s="85" t="str">
        <f>HYPERLINK("https://pbs.twimg.com/media/E_xVJy2VQAQerFe.jpg")</f>
        <v>https://pbs.twimg.com/media/E_xVJy2VQAQerFe.jpg</v>
      </c>
      <c r="W183" s="83">
        <v>44460.060671296298</v>
      </c>
      <c r="X183" s="89">
        <v>44460</v>
      </c>
      <c r="Y183" s="87" t="s">
        <v>1930</v>
      </c>
      <c r="Z183" s="85" t="str">
        <f>HYPERLINK("https://twitter.com/listy9021/status/1440125467013435397")</f>
        <v>https://twitter.com/listy9021/status/1440125467013435397</v>
      </c>
      <c r="AA183" s="81"/>
      <c r="AB183" s="81"/>
      <c r="AC183" s="87" t="s">
        <v>2852</v>
      </c>
      <c r="AD183" s="81"/>
      <c r="AE183" s="81" t="b">
        <v>0</v>
      </c>
      <c r="AF183" s="81">
        <v>0</v>
      </c>
      <c r="AG183" s="87" t="s">
        <v>3875</v>
      </c>
      <c r="AH183" s="81" t="b">
        <v>0</v>
      </c>
      <c r="AI183" s="81" t="s">
        <v>4092</v>
      </c>
      <c r="AJ183" s="81"/>
      <c r="AK183" s="87" t="s">
        <v>3875</v>
      </c>
      <c r="AL183" s="81" t="b">
        <v>0</v>
      </c>
      <c r="AM183" s="81">
        <v>321</v>
      </c>
      <c r="AN183" s="87" t="s">
        <v>3520</v>
      </c>
      <c r="AO183" s="87" t="s">
        <v>4109</v>
      </c>
      <c r="AP183" s="81" t="b">
        <v>0</v>
      </c>
      <c r="AQ183" s="87" t="s">
        <v>3520</v>
      </c>
      <c r="AR183" s="81" t="s">
        <v>179</v>
      </c>
      <c r="AS183" s="81">
        <v>0</v>
      </c>
      <c r="AT183" s="81">
        <v>0</v>
      </c>
      <c r="AU183" s="81"/>
      <c r="AV183" s="81"/>
      <c r="AW183" s="81"/>
      <c r="AX183" s="81"/>
      <c r="AY183" s="81"/>
      <c r="AZ183" s="81"/>
      <c r="BA183" s="81"/>
      <c r="BB183" s="81"/>
    </row>
    <row r="184" spans="1:54" x14ac:dyDescent="0.35">
      <c r="A184" s="66" t="s">
        <v>342</v>
      </c>
      <c r="B184" s="66" t="s">
        <v>1055</v>
      </c>
      <c r="C184" s="67"/>
      <c r="D184" s="68"/>
      <c r="E184" s="69"/>
      <c r="F184" s="70"/>
      <c r="G184" s="67"/>
      <c r="H184" s="71"/>
      <c r="I184" s="72"/>
      <c r="J184" s="72"/>
      <c r="K184" s="36"/>
      <c r="L184" s="79"/>
      <c r="M184" s="79"/>
      <c r="N184" s="74"/>
      <c r="O184" s="81" t="s">
        <v>1207</v>
      </c>
      <c r="P184" s="83">
        <v>44460.061215277776</v>
      </c>
      <c r="Q184" s="81" t="s">
        <v>1324</v>
      </c>
      <c r="R184" s="81"/>
      <c r="S184" s="81"/>
      <c r="T184" s="81"/>
      <c r="U184" s="85" t="str">
        <f>HYPERLINK("https://pbs.twimg.com/media/E_xVJy2VQAQerFe.jpg")</f>
        <v>https://pbs.twimg.com/media/E_xVJy2VQAQerFe.jpg</v>
      </c>
      <c r="V184" s="85" t="str">
        <f>HYPERLINK("https://pbs.twimg.com/media/E_xVJy2VQAQerFe.jpg")</f>
        <v>https://pbs.twimg.com/media/E_xVJy2VQAQerFe.jpg</v>
      </c>
      <c r="W184" s="83">
        <v>44460.061215277776</v>
      </c>
      <c r="X184" s="89">
        <v>44460</v>
      </c>
      <c r="Y184" s="87" t="s">
        <v>1931</v>
      </c>
      <c r="Z184" s="85" t="str">
        <f>HYPERLINK("https://twitter.com/lembuso36194672/status/1440125666125443075")</f>
        <v>https://twitter.com/lembuso36194672/status/1440125666125443075</v>
      </c>
      <c r="AA184" s="81"/>
      <c r="AB184" s="81"/>
      <c r="AC184" s="87" t="s">
        <v>2853</v>
      </c>
      <c r="AD184" s="81"/>
      <c r="AE184" s="81" t="b">
        <v>0</v>
      </c>
      <c r="AF184" s="81">
        <v>0</v>
      </c>
      <c r="AG184" s="87" t="s">
        <v>3875</v>
      </c>
      <c r="AH184" s="81" t="b">
        <v>0</v>
      </c>
      <c r="AI184" s="81" t="s">
        <v>4092</v>
      </c>
      <c r="AJ184" s="81"/>
      <c r="AK184" s="87" t="s">
        <v>3875</v>
      </c>
      <c r="AL184" s="81" t="b">
        <v>0</v>
      </c>
      <c r="AM184" s="81">
        <v>321</v>
      </c>
      <c r="AN184" s="87" t="s">
        <v>3520</v>
      </c>
      <c r="AO184" s="87" t="s">
        <v>4109</v>
      </c>
      <c r="AP184" s="81" t="b">
        <v>0</v>
      </c>
      <c r="AQ184" s="87" t="s">
        <v>3520</v>
      </c>
      <c r="AR184" s="81" t="s">
        <v>179</v>
      </c>
      <c r="AS184" s="81">
        <v>0</v>
      </c>
      <c r="AT184" s="81">
        <v>0</v>
      </c>
      <c r="AU184" s="81"/>
      <c r="AV184" s="81"/>
      <c r="AW184" s="81"/>
      <c r="AX184" s="81"/>
      <c r="AY184" s="81"/>
      <c r="AZ184" s="81"/>
      <c r="BA184" s="81"/>
      <c r="BB184" s="81"/>
    </row>
    <row r="185" spans="1:54" x14ac:dyDescent="0.35">
      <c r="A185" s="66" t="s">
        <v>342</v>
      </c>
      <c r="B185" s="66" t="s">
        <v>910</v>
      </c>
      <c r="C185" s="67"/>
      <c r="D185" s="68"/>
      <c r="E185" s="69"/>
      <c r="F185" s="70"/>
      <c r="G185" s="67"/>
      <c r="H185" s="71"/>
      <c r="I185" s="72"/>
      <c r="J185" s="72"/>
      <c r="K185" s="36"/>
      <c r="L185" s="79"/>
      <c r="M185" s="79"/>
      <c r="N185" s="74"/>
      <c r="O185" s="81" t="s">
        <v>1205</v>
      </c>
      <c r="P185" s="83">
        <v>44460.061215277776</v>
      </c>
      <c r="Q185" s="81" t="s">
        <v>1324</v>
      </c>
      <c r="R185" s="81"/>
      <c r="S185" s="81"/>
      <c r="T185" s="81"/>
      <c r="U185" s="85" t="str">
        <f>HYPERLINK("https://pbs.twimg.com/media/E_xVJy2VQAQerFe.jpg")</f>
        <v>https://pbs.twimg.com/media/E_xVJy2VQAQerFe.jpg</v>
      </c>
      <c r="V185" s="85" t="str">
        <f>HYPERLINK("https://pbs.twimg.com/media/E_xVJy2VQAQerFe.jpg")</f>
        <v>https://pbs.twimg.com/media/E_xVJy2VQAQerFe.jpg</v>
      </c>
      <c r="W185" s="83">
        <v>44460.061215277776</v>
      </c>
      <c r="X185" s="89">
        <v>44460</v>
      </c>
      <c r="Y185" s="87" t="s">
        <v>1931</v>
      </c>
      <c r="Z185" s="85" t="str">
        <f>HYPERLINK("https://twitter.com/lembuso36194672/status/1440125666125443075")</f>
        <v>https://twitter.com/lembuso36194672/status/1440125666125443075</v>
      </c>
      <c r="AA185" s="81"/>
      <c r="AB185" s="81"/>
      <c r="AC185" s="87" t="s">
        <v>2853</v>
      </c>
      <c r="AD185" s="81"/>
      <c r="AE185" s="81" t="b">
        <v>0</v>
      </c>
      <c r="AF185" s="81">
        <v>0</v>
      </c>
      <c r="AG185" s="87" t="s">
        <v>3875</v>
      </c>
      <c r="AH185" s="81" t="b">
        <v>0</v>
      </c>
      <c r="AI185" s="81" t="s">
        <v>4092</v>
      </c>
      <c r="AJ185" s="81"/>
      <c r="AK185" s="87" t="s">
        <v>3875</v>
      </c>
      <c r="AL185" s="81" t="b">
        <v>0</v>
      </c>
      <c r="AM185" s="81">
        <v>321</v>
      </c>
      <c r="AN185" s="87" t="s">
        <v>3520</v>
      </c>
      <c r="AO185" s="87" t="s">
        <v>4109</v>
      </c>
      <c r="AP185" s="81" t="b">
        <v>0</v>
      </c>
      <c r="AQ185" s="87" t="s">
        <v>3520</v>
      </c>
      <c r="AR185" s="81" t="s">
        <v>179</v>
      </c>
      <c r="AS185" s="81">
        <v>0</v>
      </c>
      <c r="AT185" s="81">
        <v>0</v>
      </c>
      <c r="AU185" s="81"/>
      <c r="AV185" s="81"/>
      <c r="AW185" s="81"/>
      <c r="AX185" s="81"/>
      <c r="AY185" s="81"/>
      <c r="AZ185" s="81"/>
      <c r="BA185" s="81"/>
      <c r="BB185" s="81"/>
    </row>
    <row r="186" spans="1:54" x14ac:dyDescent="0.35">
      <c r="A186" s="66" t="s">
        <v>343</v>
      </c>
      <c r="B186" s="66" t="s">
        <v>1055</v>
      </c>
      <c r="C186" s="67"/>
      <c r="D186" s="68"/>
      <c r="E186" s="69"/>
      <c r="F186" s="70"/>
      <c r="G186" s="67"/>
      <c r="H186" s="71"/>
      <c r="I186" s="72"/>
      <c r="J186" s="72"/>
      <c r="K186" s="36"/>
      <c r="L186" s="79"/>
      <c r="M186" s="79"/>
      <c r="N186" s="74"/>
      <c r="O186" s="81" t="s">
        <v>1207</v>
      </c>
      <c r="P186" s="83">
        <v>44460.062719907408</v>
      </c>
      <c r="Q186" s="81" t="s">
        <v>1324</v>
      </c>
      <c r="R186" s="81"/>
      <c r="S186" s="81"/>
      <c r="T186" s="81"/>
      <c r="U186" s="85" t="str">
        <f>HYPERLINK("https://pbs.twimg.com/media/E_xVJy2VQAQerFe.jpg")</f>
        <v>https://pbs.twimg.com/media/E_xVJy2VQAQerFe.jpg</v>
      </c>
      <c r="V186" s="85" t="str">
        <f>HYPERLINK("https://pbs.twimg.com/media/E_xVJy2VQAQerFe.jpg")</f>
        <v>https://pbs.twimg.com/media/E_xVJy2VQAQerFe.jpg</v>
      </c>
      <c r="W186" s="83">
        <v>44460.062719907408</v>
      </c>
      <c r="X186" s="89">
        <v>44460</v>
      </c>
      <c r="Y186" s="87" t="s">
        <v>1932</v>
      </c>
      <c r="Z186" s="85" t="str">
        <f>HYPERLINK("https://twitter.com/gjxx41/status/1440126212198649860")</f>
        <v>https://twitter.com/gjxx41/status/1440126212198649860</v>
      </c>
      <c r="AA186" s="81"/>
      <c r="AB186" s="81"/>
      <c r="AC186" s="87" t="s">
        <v>2854</v>
      </c>
      <c r="AD186" s="81"/>
      <c r="AE186" s="81" t="b">
        <v>0</v>
      </c>
      <c r="AF186" s="81">
        <v>0</v>
      </c>
      <c r="AG186" s="87" t="s">
        <v>3875</v>
      </c>
      <c r="AH186" s="81" t="b">
        <v>0</v>
      </c>
      <c r="AI186" s="81" t="s">
        <v>4092</v>
      </c>
      <c r="AJ186" s="81"/>
      <c r="AK186" s="87" t="s">
        <v>3875</v>
      </c>
      <c r="AL186" s="81" t="b">
        <v>0</v>
      </c>
      <c r="AM186" s="81">
        <v>321</v>
      </c>
      <c r="AN186" s="87" t="s">
        <v>3520</v>
      </c>
      <c r="AO186" s="87" t="s">
        <v>4110</v>
      </c>
      <c r="AP186" s="81" t="b">
        <v>0</v>
      </c>
      <c r="AQ186" s="87" t="s">
        <v>3520</v>
      </c>
      <c r="AR186" s="81" t="s">
        <v>179</v>
      </c>
      <c r="AS186" s="81">
        <v>0</v>
      </c>
      <c r="AT186" s="81">
        <v>0</v>
      </c>
      <c r="AU186" s="81"/>
      <c r="AV186" s="81"/>
      <c r="AW186" s="81"/>
      <c r="AX186" s="81"/>
      <c r="AY186" s="81"/>
      <c r="AZ186" s="81"/>
      <c r="BA186" s="81"/>
      <c r="BB186" s="81"/>
    </row>
    <row r="187" spans="1:54" x14ac:dyDescent="0.35">
      <c r="A187" s="66" t="s">
        <v>343</v>
      </c>
      <c r="B187" s="66" t="s">
        <v>910</v>
      </c>
      <c r="C187" s="67"/>
      <c r="D187" s="68"/>
      <c r="E187" s="69"/>
      <c r="F187" s="70"/>
      <c r="G187" s="67"/>
      <c r="H187" s="71"/>
      <c r="I187" s="72"/>
      <c r="J187" s="72"/>
      <c r="K187" s="36"/>
      <c r="L187" s="79"/>
      <c r="M187" s="79"/>
      <c r="N187" s="74"/>
      <c r="O187" s="81" t="s">
        <v>1205</v>
      </c>
      <c r="P187" s="83">
        <v>44460.062719907408</v>
      </c>
      <c r="Q187" s="81" t="s">
        <v>1324</v>
      </c>
      <c r="R187" s="81"/>
      <c r="S187" s="81"/>
      <c r="T187" s="81"/>
      <c r="U187" s="85" t="str">
        <f>HYPERLINK("https://pbs.twimg.com/media/E_xVJy2VQAQerFe.jpg")</f>
        <v>https://pbs.twimg.com/media/E_xVJy2VQAQerFe.jpg</v>
      </c>
      <c r="V187" s="85" t="str">
        <f>HYPERLINK("https://pbs.twimg.com/media/E_xVJy2VQAQerFe.jpg")</f>
        <v>https://pbs.twimg.com/media/E_xVJy2VQAQerFe.jpg</v>
      </c>
      <c r="W187" s="83">
        <v>44460.062719907408</v>
      </c>
      <c r="X187" s="89">
        <v>44460</v>
      </c>
      <c r="Y187" s="87" t="s">
        <v>1932</v>
      </c>
      <c r="Z187" s="85" t="str">
        <f>HYPERLINK("https://twitter.com/gjxx41/status/1440126212198649860")</f>
        <v>https://twitter.com/gjxx41/status/1440126212198649860</v>
      </c>
      <c r="AA187" s="81"/>
      <c r="AB187" s="81"/>
      <c r="AC187" s="87" t="s">
        <v>2854</v>
      </c>
      <c r="AD187" s="81"/>
      <c r="AE187" s="81" t="b">
        <v>0</v>
      </c>
      <c r="AF187" s="81">
        <v>0</v>
      </c>
      <c r="AG187" s="87" t="s">
        <v>3875</v>
      </c>
      <c r="AH187" s="81" t="b">
        <v>0</v>
      </c>
      <c r="AI187" s="81" t="s">
        <v>4092</v>
      </c>
      <c r="AJ187" s="81"/>
      <c r="AK187" s="87" t="s">
        <v>3875</v>
      </c>
      <c r="AL187" s="81" t="b">
        <v>0</v>
      </c>
      <c r="AM187" s="81">
        <v>321</v>
      </c>
      <c r="AN187" s="87" t="s">
        <v>3520</v>
      </c>
      <c r="AO187" s="87" t="s">
        <v>4110</v>
      </c>
      <c r="AP187" s="81" t="b">
        <v>0</v>
      </c>
      <c r="AQ187" s="87" t="s">
        <v>3520</v>
      </c>
      <c r="AR187" s="81" t="s">
        <v>179</v>
      </c>
      <c r="AS187" s="81">
        <v>0</v>
      </c>
      <c r="AT187" s="81">
        <v>0</v>
      </c>
      <c r="AU187" s="81"/>
      <c r="AV187" s="81"/>
      <c r="AW187" s="81"/>
      <c r="AX187" s="81"/>
      <c r="AY187" s="81"/>
      <c r="AZ187" s="81"/>
      <c r="BA187" s="81"/>
      <c r="BB187" s="81"/>
    </row>
    <row r="188" spans="1:54" x14ac:dyDescent="0.35">
      <c r="A188" s="66" t="s">
        <v>344</v>
      </c>
      <c r="B188" s="66" t="s">
        <v>1055</v>
      </c>
      <c r="C188" s="67"/>
      <c r="D188" s="68"/>
      <c r="E188" s="69"/>
      <c r="F188" s="70"/>
      <c r="G188" s="67"/>
      <c r="H188" s="71"/>
      <c r="I188" s="72"/>
      <c r="J188" s="72"/>
      <c r="K188" s="36"/>
      <c r="L188" s="79"/>
      <c r="M188" s="79"/>
      <c r="N188" s="74"/>
      <c r="O188" s="81" t="s">
        <v>1207</v>
      </c>
      <c r="P188" s="83">
        <v>44460.062997685185</v>
      </c>
      <c r="Q188" s="81" t="s">
        <v>1324</v>
      </c>
      <c r="R188" s="81"/>
      <c r="S188" s="81"/>
      <c r="T188" s="81"/>
      <c r="U188" s="85" t="str">
        <f>HYPERLINK("https://pbs.twimg.com/media/E_xVJy2VQAQerFe.jpg")</f>
        <v>https://pbs.twimg.com/media/E_xVJy2VQAQerFe.jpg</v>
      </c>
      <c r="V188" s="85" t="str">
        <f>HYPERLINK("https://pbs.twimg.com/media/E_xVJy2VQAQerFe.jpg")</f>
        <v>https://pbs.twimg.com/media/E_xVJy2VQAQerFe.jpg</v>
      </c>
      <c r="W188" s="83">
        <v>44460.062997685185</v>
      </c>
      <c r="X188" s="89">
        <v>44460</v>
      </c>
      <c r="Y188" s="87" t="s">
        <v>1933</v>
      </c>
      <c r="Z188" s="85" t="str">
        <f>HYPERLINK("https://twitter.com/lampahingurip/status/1440126310202761222")</f>
        <v>https://twitter.com/lampahingurip/status/1440126310202761222</v>
      </c>
      <c r="AA188" s="81"/>
      <c r="AB188" s="81"/>
      <c r="AC188" s="87" t="s">
        <v>2855</v>
      </c>
      <c r="AD188" s="81"/>
      <c r="AE188" s="81" t="b">
        <v>0</v>
      </c>
      <c r="AF188" s="81">
        <v>0</v>
      </c>
      <c r="AG188" s="87" t="s">
        <v>3875</v>
      </c>
      <c r="AH188" s="81" t="b">
        <v>0</v>
      </c>
      <c r="AI188" s="81" t="s">
        <v>4092</v>
      </c>
      <c r="AJ188" s="81"/>
      <c r="AK188" s="87" t="s">
        <v>3875</v>
      </c>
      <c r="AL188" s="81" t="b">
        <v>0</v>
      </c>
      <c r="AM188" s="81">
        <v>321</v>
      </c>
      <c r="AN188" s="87" t="s">
        <v>3520</v>
      </c>
      <c r="AO188" s="87" t="s">
        <v>4109</v>
      </c>
      <c r="AP188" s="81" t="b">
        <v>0</v>
      </c>
      <c r="AQ188" s="87" t="s">
        <v>3520</v>
      </c>
      <c r="AR188" s="81" t="s">
        <v>179</v>
      </c>
      <c r="AS188" s="81">
        <v>0</v>
      </c>
      <c r="AT188" s="81">
        <v>0</v>
      </c>
      <c r="AU188" s="81"/>
      <c r="AV188" s="81"/>
      <c r="AW188" s="81"/>
      <c r="AX188" s="81"/>
      <c r="AY188" s="81"/>
      <c r="AZ188" s="81"/>
      <c r="BA188" s="81"/>
      <c r="BB188" s="81"/>
    </row>
    <row r="189" spans="1:54" x14ac:dyDescent="0.35">
      <c r="A189" s="66" t="s">
        <v>344</v>
      </c>
      <c r="B189" s="66" t="s">
        <v>910</v>
      </c>
      <c r="C189" s="67"/>
      <c r="D189" s="68"/>
      <c r="E189" s="69"/>
      <c r="F189" s="70"/>
      <c r="G189" s="67"/>
      <c r="H189" s="71"/>
      <c r="I189" s="72"/>
      <c r="J189" s="72"/>
      <c r="K189" s="36"/>
      <c r="L189" s="79"/>
      <c r="M189" s="79"/>
      <c r="N189" s="74"/>
      <c r="O189" s="81" t="s">
        <v>1205</v>
      </c>
      <c r="P189" s="83">
        <v>44460.062997685185</v>
      </c>
      <c r="Q189" s="81" t="s">
        <v>1324</v>
      </c>
      <c r="R189" s="81"/>
      <c r="S189" s="81"/>
      <c r="T189" s="81"/>
      <c r="U189" s="85" t="str">
        <f>HYPERLINK("https://pbs.twimg.com/media/E_xVJy2VQAQerFe.jpg")</f>
        <v>https://pbs.twimg.com/media/E_xVJy2VQAQerFe.jpg</v>
      </c>
      <c r="V189" s="85" t="str">
        <f>HYPERLINK("https://pbs.twimg.com/media/E_xVJy2VQAQerFe.jpg")</f>
        <v>https://pbs.twimg.com/media/E_xVJy2VQAQerFe.jpg</v>
      </c>
      <c r="W189" s="83">
        <v>44460.062997685185</v>
      </c>
      <c r="X189" s="89">
        <v>44460</v>
      </c>
      <c r="Y189" s="87" t="s">
        <v>1933</v>
      </c>
      <c r="Z189" s="85" t="str">
        <f>HYPERLINK("https://twitter.com/lampahingurip/status/1440126310202761222")</f>
        <v>https://twitter.com/lampahingurip/status/1440126310202761222</v>
      </c>
      <c r="AA189" s="81"/>
      <c r="AB189" s="81"/>
      <c r="AC189" s="87" t="s">
        <v>2855</v>
      </c>
      <c r="AD189" s="81"/>
      <c r="AE189" s="81" t="b">
        <v>0</v>
      </c>
      <c r="AF189" s="81">
        <v>0</v>
      </c>
      <c r="AG189" s="87" t="s">
        <v>3875</v>
      </c>
      <c r="AH189" s="81" t="b">
        <v>0</v>
      </c>
      <c r="AI189" s="81" t="s">
        <v>4092</v>
      </c>
      <c r="AJ189" s="81"/>
      <c r="AK189" s="87" t="s">
        <v>3875</v>
      </c>
      <c r="AL189" s="81" t="b">
        <v>0</v>
      </c>
      <c r="AM189" s="81">
        <v>321</v>
      </c>
      <c r="AN189" s="87" t="s">
        <v>3520</v>
      </c>
      <c r="AO189" s="87" t="s">
        <v>4109</v>
      </c>
      <c r="AP189" s="81" t="b">
        <v>0</v>
      </c>
      <c r="AQ189" s="87" t="s">
        <v>3520</v>
      </c>
      <c r="AR189" s="81" t="s">
        <v>179</v>
      </c>
      <c r="AS189" s="81">
        <v>0</v>
      </c>
      <c r="AT189" s="81">
        <v>0</v>
      </c>
      <c r="AU189" s="81"/>
      <c r="AV189" s="81"/>
      <c r="AW189" s="81"/>
      <c r="AX189" s="81"/>
      <c r="AY189" s="81"/>
      <c r="AZ189" s="81"/>
      <c r="BA189" s="81"/>
      <c r="BB189" s="81"/>
    </row>
    <row r="190" spans="1:54" x14ac:dyDescent="0.35">
      <c r="A190" s="66" t="s">
        <v>345</v>
      </c>
      <c r="B190" s="66" t="s">
        <v>1055</v>
      </c>
      <c r="C190" s="67"/>
      <c r="D190" s="68"/>
      <c r="E190" s="69"/>
      <c r="F190" s="70"/>
      <c r="G190" s="67"/>
      <c r="H190" s="71"/>
      <c r="I190" s="72"/>
      <c r="J190" s="72"/>
      <c r="K190" s="36"/>
      <c r="L190" s="79"/>
      <c r="M190" s="79"/>
      <c r="N190" s="74"/>
      <c r="O190" s="81" t="s">
        <v>1207</v>
      </c>
      <c r="P190" s="83">
        <v>44460.063391203701</v>
      </c>
      <c r="Q190" s="81" t="s">
        <v>1324</v>
      </c>
      <c r="R190" s="81"/>
      <c r="S190" s="81"/>
      <c r="T190" s="81"/>
      <c r="U190" s="85" t="str">
        <f>HYPERLINK("https://pbs.twimg.com/media/E_xVJy2VQAQerFe.jpg")</f>
        <v>https://pbs.twimg.com/media/E_xVJy2VQAQerFe.jpg</v>
      </c>
      <c r="V190" s="85" t="str">
        <f>HYPERLINK("https://pbs.twimg.com/media/E_xVJy2VQAQerFe.jpg")</f>
        <v>https://pbs.twimg.com/media/E_xVJy2VQAQerFe.jpg</v>
      </c>
      <c r="W190" s="83">
        <v>44460.063391203701</v>
      </c>
      <c r="X190" s="89">
        <v>44460</v>
      </c>
      <c r="Y190" s="87" t="s">
        <v>1934</v>
      </c>
      <c r="Z190" s="85" t="str">
        <f>HYPERLINK("https://twitter.com/boytanj95264248/status/1440126452041596930")</f>
        <v>https://twitter.com/boytanj95264248/status/1440126452041596930</v>
      </c>
      <c r="AA190" s="81"/>
      <c r="AB190" s="81"/>
      <c r="AC190" s="87" t="s">
        <v>2856</v>
      </c>
      <c r="AD190" s="81"/>
      <c r="AE190" s="81" t="b">
        <v>0</v>
      </c>
      <c r="AF190" s="81">
        <v>0</v>
      </c>
      <c r="AG190" s="87" t="s">
        <v>3875</v>
      </c>
      <c r="AH190" s="81" t="b">
        <v>0</v>
      </c>
      <c r="AI190" s="81" t="s">
        <v>4092</v>
      </c>
      <c r="AJ190" s="81"/>
      <c r="AK190" s="87" t="s">
        <v>3875</v>
      </c>
      <c r="AL190" s="81" t="b">
        <v>0</v>
      </c>
      <c r="AM190" s="81">
        <v>321</v>
      </c>
      <c r="AN190" s="87" t="s">
        <v>3520</v>
      </c>
      <c r="AO190" s="87" t="s">
        <v>4109</v>
      </c>
      <c r="AP190" s="81" t="b">
        <v>0</v>
      </c>
      <c r="AQ190" s="87" t="s">
        <v>3520</v>
      </c>
      <c r="AR190" s="81" t="s">
        <v>179</v>
      </c>
      <c r="AS190" s="81">
        <v>0</v>
      </c>
      <c r="AT190" s="81">
        <v>0</v>
      </c>
      <c r="AU190" s="81"/>
      <c r="AV190" s="81"/>
      <c r="AW190" s="81"/>
      <c r="AX190" s="81"/>
      <c r="AY190" s="81"/>
      <c r="AZ190" s="81"/>
      <c r="BA190" s="81"/>
      <c r="BB190" s="81"/>
    </row>
    <row r="191" spans="1:54" x14ac:dyDescent="0.35">
      <c r="A191" s="66" t="s">
        <v>345</v>
      </c>
      <c r="B191" s="66" t="s">
        <v>910</v>
      </c>
      <c r="C191" s="67"/>
      <c r="D191" s="68"/>
      <c r="E191" s="69"/>
      <c r="F191" s="70"/>
      <c r="G191" s="67"/>
      <c r="H191" s="71"/>
      <c r="I191" s="72"/>
      <c r="J191" s="72"/>
      <c r="K191" s="36"/>
      <c r="L191" s="79"/>
      <c r="M191" s="79"/>
      <c r="N191" s="74"/>
      <c r="O191" s="81" t="s">
        <v>1205</v>
      </c>
      <c r="P191" s="83">
        <v>44460.063391203701</v>
      </c>
      <c r="Q191" s="81" t="s">
        <v>1324</v>
      </c>
      <c r="R191" s="81"/>
      <c r="S191" s="81"/>
      <c r="T191" s="81"/>
      <c r="U191" s="85" t="str">
        <f>HYPERLINK("https://pbs.twimg.com/media/E_xVJy2VQAQerFe.jpg")</f>
        <v>https://pbs.twimg.com/media/E_xVJy2VQAQerFe.jpg</v>
      </c>
      <c r="V191" s="85" t="str">
        <f>HYPERLINK("https://pbs.twimg.com/media/E_xVJy2VQAQerFe.jpg")</f>
        <v>https://pbs.twimg.com/media/E_xVJy2VQAQerFe.jpg</v>
      </c>
      <c r="W191" s="83">
        <v>44460.063391203701</v>
      </c>
      <c r="X191" s="89">
        <v>44460</v>
      </c>
      <c r="Y191" s="87" t="s">
        <v>1934</v>
      </c>
      <c r="Z191" s="85" t="str">
        <f>HYPERLINK("https://twitter.com/boytanj95264248/status/1440126452041596930")</f>
        <v>https://twitter.com/boytanj95264248/status/1440126452041596930</v>
      </c>
      <c r="AA191" s="81"/>
      <c r="AB191" s="81"/>
      <c r="AC191" s="87" t="s">
        <v>2856</v>
      </c>
      <c r="AD191" s="81"/>
      <c r="AE191" s="81" t="b">
        <v>0</v>
      </c>
      <c r="AF191" s="81">
        <v>0</v>
      </c>
      <c r="AG191" s="87" t="s">
        <v>3875</v>
      </c>
      <c r="AH191" s="81" t="b">
        <v>0</v>
      </c>
      <c r="AI191" s="81" t="s">
        <v>4092</v>
      </c>
      <c r="AJ191" s="81"/>
      <c r="AK191" s="87" t="s">
        <v>3875</v>
      </c>
      <c r="AL191" s="81" t="b">
        <v>0</v>
      </c>
      <c r="AM191" s="81">
        <v>321</v>
      </c>
      <c r="AN191" s="87" t="s">
        <v>3520</v>
      </c>
      <c r="AO191" s="87" t="s">
        <v>4109</v>
      </c>
      <c r="AP191" s="81" t="b">
        <v>0</v>
      </c>
      <c r="AQ191" s="87" t="s">
        <v>3520</v>
      </c>
      <c r="AR191" s="81" t="s">
        <v>179</v>
      </c>
      <c r="AS191" s="81">
        <v>0</v>
      </c>
      <c r="AT191" s="81">
        <v>0</v>
      </c>
      <c r="AU191" s="81"/>
      <c r="AV191" s="81"/>
      <c r="AW191" s="81"/>
      <c r="AX191" s="81"/>
      <c r="AY191" s="81"/>
      <c r="AZ191" s="81"/>
      <c r="BA191" s="81"/>
      <c r="BB191" s="81"/>
    </row>
    <row r="192" spans="1:54" x14ac:dyDescent="0.35">
      <c r="A192" s="66" t="s">
        <v>346</v>
      </c>
      <c r="B192" s="66" t="s">
        <v>1055</v>
      </c>
      <c r="C192" s="67"/>
      <c r="D192" s="68"/>
      <c r="E192" s="69"/>
      <c r="F192" s="70"/>
      <c r="G192" s="67"/>
      <c r="H192" s="71"/>
      <c r="I192" s="72"/>
      <c r="J192" s="72"/>
      <c r="K192" s="36"/>
      <c r="L192" s="79"/>
      <c r="M192" s="79"/>
      <c r="N192" s="74"/>
      <c r="O192" s="81" t="s">
        <v>1207</v>
      </c>
      <c r="P192" s="83">
        <v>44460.063437500001</v>
      </c>
      <c r="Q192" s="81" t="s">
        <v>1324</v>
      </c>
      <c r="R192" s="81"/>
      <c r="S192" s="81"/>
      <c r="T192" s="81"/>
      <c r="U192" s="85" t="str">
        <f>HYPERLINK("https://pbs.twimg.com/media/E_xVJy2VQAQerFe.jpg")</f>
        <v>https://pbs.twimg.com/media/E_xVJy2VQAQerFe.jpg</v>
      </c>
      <c r="V192" s="85" t="str">
        <f>HYPERLINK("https://pbs.twimg.com/media/E_xVJy2VQAQerFe.jpg")</f>
        <v>https://pbs.twimg.com/media/E_xVJy2VQAQerFe.jpg</v>
      </c>
      <c r="W192" s="83">
        <v>44460.063437500001</v>
      </c>
      <c r="X192" s="89">
        <v>44460</v>
      </c>
      <c r="Y192" s="87" t="s">
        <v>1935</v>
      </c>
      <c r="Z192" s="85" t="str">
        <f>HYPERLINK("https://twitter.com/lewan_p/status/1440126469099843584")</f>
        <v>https://twitter.com/lewan_p/status/1440126469099843584</v>
      </c>
      <c r="AA192" s="81"/>
      <c r="AB192" s="81"/>
      <c r="AC192" s="87" t="s">
        <v>2857</v>
      </c>
      <c r="AD192" s="81"/>
      <c r="AE192" s="81" t="b">
        <v>0</v>
      </c>
      <c r="AF192" s="81">
        <v>0</v>
      </c>
      <c r="AG192" s="87" t="s">
        <v>3875</v>
      </c>
      <c r="AH192" s="81" t="b">
        <v>0</v>
      </c>
      <c r="AI192" s="81" t="s">
        <v>4092</v>
      </c>
      <c r="AJ192" s="81"/>
      <c r="AK192" s="87" t="s">
        <v>3875</v>
      </c>
      <c r="AL192" s="81" t="b">
        <v>0</v>
      </c>
      <c r="AM192" s="81">
        <v>321</v>
      </c>
      <c r="AN192" s="87" t="s">
        <v>3520</v>
      </c>
      <c r="AO192" s="87" t="s">
        <v>4109</v>
      </c>
      <c r="AP192" s="81" t="b">
        <v>0</v>
      </c>
      <c r="AQ192" s="87" t="s">
        <v>3520</v>
      </c>
      <c r="AR192" s="81" t="s">
        <v>179</v>
      </c>
      <c r="AS192" s="81">
        <v>0</v>
      </c>
      <c r="AT192" s="81">
        <v>0</v>
      </c>
      <c r="AU192" s="81"/>
      <c r="AV192" s="81"/>
      <c r="AW192" s="81"/>
      <c r="AX192" s="81"/>
      <c r="AY192" s="81"/>
      <c r="AZ192" s="81"/>
      <c r="BA192" s="81"/>
      <c r="BB192" s="81"/>
    </row>
    <row r="193" spans="1:54" x14ac:dyDescent="0.35">
      <c r="A193" s="66" t="s">
        <v>346</v>
      </c>
      <c r="B193" s="66" t="s">
        <v>910</v>
      </c>
      <c r="C193" s="67"/>
      <c r="D193" s="68"/>
      <c r="E193" s="69"/>
      <c r="F193" s="70"/>
      <c r="G193" s="67"/>
      <c r="H193" s="71"/>
      <c r="I193" s="72"/>
      <c r="J193" s="72"/>
      <c r="K193" s="36"/>
      <c r="L193" s="79"/>
      <c r="M193" s="79"/>
      <c r="N193" s="74"/>
      <c r="O193" s="81" t="s">
        <v>1205</v>
      </c>
      <c r="P193" s="83">
        <v>44460.063437500001</v>
      </c>
      <c r="Q193" s="81" t="s">
        <v>1324</v>
      </c>
      <c r="R193" s="81"/>
      <c r="S193" s="81"/>
      <c r="T193" s="81"/>
      <c r="U193" s="85" t="str">
        <f>HYPERLINK("https://pbs.twimg.com/media/E_xVJy2VQAQerFe.jpg")</f>
        <v>https://pbs.twimg.com/media/E_xVJy2VQAQerFe.jpg</v>
      </c>
      <c r="V193" s="85" t="str">
        <f>HYPERLINK("https://pbs.twimg.com/media/E_xVJy2VQAQerFe.jpg")</f>
        <v>https://pbs.twimg.com/media/E_xVJy2VQAQerFe.jpg</v>
      </c>
      <c r="W193" s="83">
        <v>44460.063437500001</v>
      </c>
      <c r="X193" s="89">
        <v>44460</v>
      </c>
      <c r="Y193" s="87" t="s">
        <v>1935</v>
      </c>
      <c r="Z193" s="85" t="str">
        <f>HYPERLINK("https://twitter.com/lewan_p/status/1440126469099843584")</f>
        <v>https://twitter.com/lewan_p/status/1440126469099843584</v>
      </c>
      <c r="AA193" s="81"/>
      <c r="AB193" s="81"/>
      <c r="AC193" s="87" t="s">
        <v>2857</v>
      </c>
      <c r="AD193" s="81"/>
      <c r="AE193" s="81" t="b">
        <v>0</v>
      </c>
      <c r="AF193" s="81">
        <v>0</v>
      </c>
      <c r="AG193" s="87" t="s">
        <v>3875</v>
      </c>
      <c r="AH193" s="81" t="b">
        <v>0</v>
      </c>
      <c r="AI193" s="81" t="s">
        <v>4092</v>
      </c>
      <c r="AJ193" s="81"/>
      <c r="AK193" s="87" t="s">
        <v>3875</v>
      </c>
      <c r="AL193" s="81" t="b">
        <v>0</v>
      </c>
      <c r="AM193" s="81">
        <v>321</v>
      </c>
      <c r="AN193" s="87" t="s">
        <v>3520</v>
      </c>
      <c r="AO193" s="87" t="s">
        <v>4109</v>
      </c>
      <c r="AP193" s="81" t="b">
        <v>0</v>
      </c>
      <c r="AQ193" s="87" t="s">
        <v>3520</v>
      </c>
      <c r="AR193" s="81" t="s">
        <v>179</v>
      </c>
      <c r="AS193" s="81">
        <v>0</v>
      </c>
      <c r="AT193" s="81">
        <v>0</v>
      </c>
      <c r="AU193" s="81"/>
      <c r="AV193" s="81"/>
      <c r="AW193" s="81"/>
      <c r="AX193" s="81"/>
      <c r="AY193" s="81"/>
      <c r="AZ193" s="81"/>
      <c r="BA193" s="81"/>
      <c r="BB193" s="81"/>
    </row>
    <row r="194" spans="1:54" x14ac:dyDescent="0.35">
      <c r="A194" s="66" t="s">
        <v>347</v>
      </c>
      <c r="B194" s="66" t="s">
        <v>1055</v>
      </c>
      <c r="C194" s="67"/>
      <c r="D194" s="68"/>
      <c r="E194" s="69"/>
      <c r="F194" s="70"/>
      <c r="G194" s="67"/>
      <c r="H194" s="71"/>
      <c r="I194" s="72"/>
      <c r="J194" s="72"/>
      <c r="K194" s="36"/>
      <c r="L194" s="79"/>
      <c r="M194" s="79"/>
      <c r="N194" s="74"/>
      <c r="O194" s="81" t="s">
        <v>1207</v>
      </c>
      <c r="P194" s="83">
        <v>44460.069687499999</v>
      </c>
      <c r="Q194" s="81" t="s">
        <v>1324</v>
      </c>
      <c r="R194" s="81"/>
      <c r="S194" s="81"/>
      <c r="T194" s="81"/>
      <c r="U194" s="85" t="str">
        <f>HYPERLINK("https://pbs.twimg.com/media/E_xVJy2VQAQerFe.jpg")</f>
        <v>https://pbs.twimg.com/media/E_xVJy2VQAQerFe.jpg</v>
      </c>
      <c r="V194" s="85" t="str">
        <f>HYPERLINK("https://pbs.twimg.com/media/E_xVJy2VQAQerFe.jpg")</f>
        <v>https://pbs.twimg.com/media/E_xVJy2VQAQerFe.jpg</v>
      </c>
      <c r="W194" s="83">
        <v>44460.069687499999</v>
      </c>
      <c r="X194" s="89">
        <v>44460</v>
      </c>
      <c r="Y194" s="87" t="s">
        <v>1936</v>
      </c>
      <c r="Z194" s="85" t="str">
        <f>HYPERLINK("https://twitter.com/wonk_jawi/status/1440128736947363840")</f>
        <v>https://twitter.com/wonk_jawi/status/1440128736947363840</v>
      </c>
      <c r="AA194" s="81"/>
      <c r="AB194" s="81"/>
      <c r="AC194" s="87" t="s">
        <v>2858</v>
      </c>
      <c r="AD194" s="81"/>
      <c r="AE194" s="81" t="b">
        <v>0</v>
      </c>
      <c r="AF194" s="81">
        <v>0</v>
      </c>
      <c r="AG194" s="87" t="s">
        <v>3875</v>
      </c>
      <c r="AH194" s="81" t="b">
        <v>0</v>
      </c>
      <c r="AI194" s="81" t="s">
        <v>4092</v>
      </c>
      <c r="AJ194" s="81"/>
      <c r="AK194" s="87" t="s">
        <v>3875</v>
      </c>
      <c r="AL194" s="81" t="b">
        <v>0</v>
      </c>
      <c r="AM194" s="81">
        <v>321</v>
      </c>
      <c r="AN194" s="87" t="s">
        <v>3520</v>
      </c>
      <c r="AO194" s="87" t="s">
        <v>4109</v>
      </c>
      <c r="AP194" s="81" t="b">
        <v>0</v>
      </c>
      <c r="AQ194" s="87" t="s">
        <v>3520</v>
      </c>
      <c r="AR194" s="81" t="s">
        <v>179</v>
      </c>
      <c r="AS194" s="81">
        <v>0</v>
      </c>
      <c r="AT194" s="81">
        <v>0</v>
      </c>
      <c r="AU194" s="81"/>
      <c r="AV194" s="81"/>
      <c r="AW194" s="81"/>
      <c r="AX194" s="81"/>
      <c r="AY194" s="81"/>
      <c r="AZ194" s="81"/>
      <c r="BA194" s="81"/>
      <c r="BB194" s="81"/>
    </row>
    <row r="195" spans="1:54" x14ac:dyDescent="0.35">
      <c r="A195" s="66" t="s">
        <v>347</v>
      </c>
      <c r="B195" s="66" t="s">
        <v>910</v>
      </c>
      <c r="C195" s="67"/>
      <c r="D195" s="68"/>
      <c r="E195" s="69"/>
      <c r="F195" s="70"/>
      <c r="G195" s="67"/>
      <c r="H195" s="71"/>
      <c r="I195" s="72"/>
      <c r="J195" s="72"/>
      <c r="K195" s="36"/>
      <c r="L195" s="79"/>
      <c r="M195" s="79"/>
      <c r="N195" s="74"/>
      <c r="O195" s="81" t="s">
        <v>1205</v>
      </c>
      <c r="P195" s="83">
        <v>44460.069687499999</v>
      </c>
      <c r="Q195" s="81" t="s">
        <v>1324</v>
      </c>
      <c r="R195" s="81"/>
      <c r="S195" s="81"/>
      <c r="T195" s="81"/>
      <c r="U195" s="85" t="str">
        <f>HYPERLINK("https://pbs.twimg.com/media/E_xVJy2VQAQerFe.jpg")</f>
        <v>https://pbs.twimg.com/media/E_xVJy2VQAQerFe.jpg</v>
      </c>
      <c r="V195" s="85" t="str">
        <f>HYPERLINK("https://pbs.twimg.com/media/E_xVJy2VQAQerFe.jpg")</f>
        <v>https://pbs.twimg.com/media/E_xVJy2VQAQerFe.jpg</v>
      </c>
      <c r="W195" s="83">
        <v>44460.069687499999</v>
      </c>
      <c r="X195" s="89">
        <v>44460</v>
      </c>
      <c r="Y195" s="87" t="s">
        <v>1936</v>
      </c>
      <c r="Z195" s="85" t="str">
        <f>HYPERLINK("https://twitter.com/wonk_jawi/status/1440128736947363840")</f>
        <v>https://twitter.com/wonk_jawi/status/1440128736947363840</v>
      </c>
      <c r="AA195" s="81"/>
      <c r="AB195" s="81"/>
      <c r="AC195" s="87" t="s">
        <v>2858</v>
      </c>
      <c r="AD195" s="81"/>
      <c r="AE195" s="81" t="b">
        <v>0</v>
      </c>
      <c r="AF195" s="81">
        <v>0</v>
      </c>
      <c r="AG195" s="87" t="s">
        <v>3875</v>
      </c>
      <c r="AH195" s="81" t="b">
        <v>0</v>
      </c>
      <c r="AI195" s="81" t="s">
        <v>4092</v>
      </c>
      <c r="AJ195" s="81"/>
      <c r="AK195" s="87" t="s">
        <v>3875</v>
      </c>
      <c r="AL195" s="81" t="b">
        <v>0</v>
      </c>
      <c r="AM195" s="81">
        <v>321</v>
      </c>
      <c r="AN195" s="87" t="s">
        <v>3520</v>
      </c>
      <c r="AO195" s="87" t="s">
        <v>4109</v>
      </c>
      <c r="AP195" s="81" t="b">
        <v>0</v>
      </c>
      <c r="AQ195" s="87" t="s">
        <v>3520</v>
      </c>
      <c r="AR195" s="81" t="s">
        <v>179</v>
      </c>
      <c r="AS195" s="81">
        <v>0</v>
      </c>
      <c r="AT195" s="81">
        <v>0</v>
      </c>
      <c r="AU195" s="81"/>
      <c r="AV195" s="81"/>
      <c r="AW195" s="81"/>
      <c r="AX195" s="81"/>
      <c r="AY195" s="81"/>
      <c r="AZ195" s="81"/>
      <c r="BA195" s="81"/>
      <c r="BB195" s="81"/>
    </row>
    <row r="196" spans="1:54" x14ac:dyDescent="0.35">
      <c r="A196" s="66" t="s">
        <v>348</v>
      </c>
      <c r="B196" s="66" t="s">
        <v>1055</v>
      </c>
      <c r="C196" s="67"/>
      <c r="D196" s="68"/>
      <c r="E196" s="69"/>
      <c r="F196" s="70"/>
      <c r="G196" s="67"/>
      <c r="H196" s="71"/>
      <c r="I196" s="72"/>
      <c r="J196" s="72"/>
      <c r="K196" s="36"/>
      <c r="L196" s="79"/>
      <c r="M196" s="79"/>
      <c r="N196" s="74"/>
      <c r="O196" s="81" t="s">
        <v>1207</v>
      </c>
      <c r="P196" s="83">
        <v>44460.071053240739</v>
      </c>
      <c r="Q196" s="81" t="s">
        <v>1324</v>
      </c>
      <c r="R196" s="81"/>
      <c r="S196" s="81"/>
      <c r="T196" s="81"/>
      <c r="U196" s="85" t="str">
        <f>HYPERLINK("https://pbs.twimg.com/media/E_xVJy2VQAQerFe.jpg")</f>
        <v>https://pbs.twimg.com/media/E_xVJy2VQAQerFe.jpg</v>
      </c>
      <c r="V196" s="85" t="str">
        <f>HYPERLINK("https://pbs.twimg.com/media/E_xVJy2VQAQerFe.jpg")</f>
        <v>https://pbs.twimg.com/media/E_xVJy2VQAQerFe.jpg</v>
      </c>
      <c r="W196" s="83">
        <v>44460.071053240739</v>
      </c>
      <c r="X196" s="89">
        <v>44460</v>
      </c>
      <c r="Y196" s="87" t="s">
        <v>1937</v>
      </c>
      <c r="Z196" s="85" t="str">
        <f>HYPERLINK("https://twitter.com/kuasaangin02/status/1440129231262924802")</f>
        <v>https://twitter.com/kuasaangin02/status/1440129231262924802</v>
      </c>
      <c r="AA196" s="81"/>
      <c r="AB196" s="81"/>
      <c r="AC196" s="87" t="s">
        <v>2859</v>
      </c>
      <c r="AD196" s="81"/>
      <c r="AE196" s="81" t="b">
        <v>0</v>
      </c>
      <c r="AF196" s="81">
        <v>0</v>
      </c>
      <c r="AG196" s="87" t="s">
        <v>3875</v>
      </c>
      <c r="AH196" s="81" t="b">
        <v>0</v>
      </c>
      <c r="AI196" s="81" t="s">
        <v>4092</v>
      </c>
      <c r="AJ196" s="81"/>
      <c r="AK196" s="87" t="s">
        <v>3875</v>
      </c>
      <c r="AL196" s="81" t="b">
        <v>0</v>
      </c>
      <c r="AM196" s="81">
        <v>321</v>
      </c>
      <c r="AN196" s="87" t="s">
        <v>3520</v>
      </c>
      <c r="AO196" s="87" t="s">
        <v>4109</v>
      </c>
      <c r="AP196" s="81" t="b">
        <v>0</v>
      </c>
      <c r="AQ196" s="87" t="s">
        <v>3520</v>
      </c>
      <c r="AR196" s="81" t="s">
        <v>179</v>
      </c>
      <c r="AS196" s="81">
        <v>0</v>
      </c>
      <c r="AT196" s="81">
        <v>0</v>
      </c>
      <c r="AU196" s="81"/>
      <c r="AV196" s="81"/>
      <c r="AW196" s="81"/>
      <c r="AX196" s="81"/>
      <c r="AY196" s="81"/>
      <c r="AZ196" s="81"/>
      <c r="BA196" s="81"/>
      <c r="BB196" s="81"/>
    </row>
    <row r="197" spans="1:54" x14ac:dyDescent="0.35">
      <c r="A197" s="66" t="s">
        <v>348</v>
      </c>
      <c r="B197" s="66" t="s">
        <v>910</v>
      </c>
      <c r="C197" s="67"/>
      <c r="D197" s="68"/>
      <c r="E197" s="69"/>
      <c r="F197" s="70"/>
      <c r="G197" s="67"/>
      <c r="H197" s="71"/>
      <c r="I197" s="72"/>
      <c r="J197" s="72"/>
      <c r="K197" s="36"/>
      <c r="L197" s="79"/>
      <c r="M197" s="79"/>
      <c r="N197" s="74"/>
      <c r="O197" s="81" t="s">
        <v>1205</v>
      </c>
      <c r="P197" s="83">
        <v>44460.071053240739</v>
      </c>
      <c r="Q197" s="81" t="s">
        <v>1324</v>
      </c>
      <c r="R197" s="81"/>
      <c r="S197" s="81"/>
      <c r="T197" s="81"/>
      <c r="U197" s="85" t="str">
        <f>HYPERLINK("https://pbs.twimg.com/media/E_xVJy2VQAQerFe.jpg")</f>
        <v>https://pbs.twimg.com/media/E_xVJy2VQAQerFe.jpg</v>
      </c>
      <c r="V197" s="85" t="str">
        <f>HYPERLINK("https://pbs.twimg.com/media/E_xVJy2VQAQerFe.jpg")</f>
        <v>https://pbs.twimg.com/media/E_xVJy2VQAQerFe.jpg</v>
      </c>
      <c r="W197" s="83">
        <v>44460.071053240739</v>
      </c>
      <c r="X197" s="89">
        <v>44460</v>
      </c>
      <c r="Y197" s="87" t="s">
        <v>1937</v>
      </c>
      <c r="Z197" s="85" t="str">
        <f>HYPERLINK("https://twitter.com/kuasaangin02/status/1440129231262924802")</f>
        <v>https://twitter.com/kuasaangin02/status/1440129231262924802</v>
      </c>
      <c r="AA197" s="81"/>
      <c r="AB197" s="81"/>
      <c r="AC197" s="87" t="s">
        <v>2859</v>
      </c>
      <c r="AD197" s="81"/>
      <c r="AE197" s="81" t="b">
        <v>0</v>
      </c>
      <c r="AF197" s="81">
        <v>0</v>
      </c>
      <c r="AG197" s="87" t="s">
        <v>3875</v>
      </c>
      <c r="AH197" s="81" t="b">
        <v>0</v>
      </c>
      <c r="AI197" s="81" t="s">
        <v>4092</v>
      </c>
      <c r="AJ197" s="81"/>
      <c r="AK197" s="87" t="s">
        <v>3875</v>
      </c>
      <c r="AL197" s="81" t="b">
        <v>0</v>
      </c>
      <c r="AM197" s="81">
        <v>321</v>
      </c>
      <c r="AN197" s="87" t="s">
        <v>3520</v>
      </c>
      <c r="AO197" s="87" t="s">
        <v>4109</v>
      </c>
      <c r="AP197" s="81" t="b">
        <v>0</v>
      </c>
      <c r="AQ197" s="87" t="s">
        <v>3520</v>
      </c>
      <c r="AR197" s="81" t="s">
        <v>179</v>
      </c>
      <c r="AS197" s="81">
        <v>0</v>
      </c>
      <c r="AT197" s="81">
        <v>0</v>
      </c>
      <c r="AU197" s="81"/>
      <c r="AV197" s="81"/>
      <c r="AW197" s="81"/>
      <c r="AX197" s="81"/>
      <c r="AY197" s="81"/>
      <c r="AZ197" s="81"/>
      <c r="BA197" s="81"/>
      <c r="BB197" s="81"/>
    </row>
    <row r="198" spans="1:54" x14ac:dyDescent="0.35">
      <c r="A198" s="66" t="s">
        <v>349</v>
      </c>
      <c r="B198" s="66" t="s">
        <v>1055</v>
      </c>
      <c r="C198" s="67"/>
      <c r="D198" s="68"/>
      <c r="E198" s="69"/>
      <c r="F198" s="70"/>
      <c r="G198" s="67"/>
      <c r="H198" s="71"/>
      <c r="I198" s="72"/>
      <c r="J198" s="72"/>
      <c r="K198" s="36"/>
      <c r="L198" s="79"/>
      <c r="M198" s="79"/>
      <c r="N198" s="74"/>
      <c r="O198" s="81" t="s">
        <v>1207</v>
      </c>
      <c r="P198" s="83">
        <v>44460.074259259258</v>
      </c>
      <c r="Q198" s="81" t="s">
        <v>1324</v>
      </c>
      <c r="R198" s="81"/>
      <c r="S198" s="81"/>
      <c r="T198" s="81"/>
      <c r="U198" s="85" t="str">
        <f>HYPERLINK("https://pbs.twimg.com/media/E_xVJy2VQAQerFe.jpg")</f>
        <v>https://pbs.twimg.com/media/E_xVJy2VQAQerFe.jpg</v>
      </c>
      <c r="V198" s="85" t="str">
        <f>HYPERLINK("https://pbs.twimg.com/media/E_xVJy2VQAQerFe.jpg")</f>
        <v>https://pbs.twimg.com/media/E_xVJy2VQAQerFe.jpg</v>
      </c>
      <c r="W198" s="83">
        <v>44460.074259259258</v>
      </c>
      <c r="X198" s="89">
        <v>44460</v>
      </c>
      <c r="Y198" s="87" t="s">
        <v>1938</v>
      </c>
      <c r="Z198" s="85" t="str">
        <f>HYPERLINK("https://twitter.com/fs_fms/status/1440130391122219010")</f>
        <v>https://twitter.com/fs_fms/status/1440130391122219010</v>
      </c>
      <c r="AA198" s="81"/>
      <c r="AB198" s="81"/>
      <c r="AC198" s="87" t="s">
        <v>2860</v>
      </c>
      <c r="AD198" s="81"/>
      <c r="AE198" s="81" t="b">
        <v>0</v>
      </c>
      <c r="AF198" s="81">
        <v>0</v>
      </c>
      <c r="AG198" s="87" t="s">
        <v>3875</v>
      </c>
      <c r="AH198" s="81" t="b">
        <v>0</v>
      </c>
      <c r="AI198" s="81" t="s">
        <v>4092</v>
      </c>
      <c r="AJ198" s="81"/>
      <c r="AK198" s="87" t="s">
        <v>3875</v>
      </c>
      <c r="AL198" s="81" t="b">
        <v>0</v>
      </c>
      <c r="AM198" s="81">
        <v>321</v>
      </c>
      <c r="AN198" s="87" t="s">
        <v>3520</v>
      </c>
      <c r="AO198" s="87" t="s">
        <v>4111</v>
      </c>
      <c r="AP198" s="81" t="b">
        <v>0</v>
      </c>
      <c r="AQ198" s="87" t="s">
        <v>3520</v>
      </c>
      <c r="AR198" s="81" t="s">
        <v>179</v>
      </c>
      <c r="AS198" s="81">
        <v>0</v>
      </c>
      <c r="AT198" s="81">
        <v>0</v>
      </c>
      <c r="AU198" s="81"/>
      <c r="AV198" s="81"/>
      <c r="AW198" s="81"/>
      <c r="AX198" s="81"/>
      <c r="AY198" s="81"/>
      <c r="AZ198" s="81"/>
      <c r="BA198" s="81"/>
      <c r="BB198" s="81"/>
    </row>
    <row r="199" spans="1:54" x14ac:dyDescent="0.35">
      <c r="A199" s="66" t="s">
        <v>349</v>
      </c>
      <c r="B199" s="66" t="s">
        <v>910</v>
      </c>
      <c r="C199" s="67"/>
      <c r="D199" s="68"/>
      <c r="E199" s="69"/>
      <c r="F199" s="70"/>
      <c r="G199" s="67"/>
      <c r="H199" s="71"/>
      <c r="I199" s="72"/>
      <c r="J199" s="72"/>
      <c r="K199" s="36"/>
      <c r="L199" s="79"/>
      <c r="M199" s="79"/>
      <c r="N199" s="74"/>
      <c r="O199" s="81" t="s">
        <v>1205</v>
      </c>
      <c r="P199" s="83">
        <v>44460.074259259258</v>
      </c>
      <c r="Q199" s="81" t="s">
        <v>1324</v>
      </c>
      <c r="R199" s="81"/>
      <c r="S199" s="81"/>
      <c r="T199" s="81"/>
      <c r="U199" s="85" t="str">
        <f>HYPERLINK("https://pbs.twimg.com/media/E_xVJy2VQAQerFe.jpg")</f>
        <v>https://pbs.twimg.com/media/E_xVJy2VQAQerFe.jpg</v>
      </c>
      <c r="V199" s="85" t="str">
        <f>HYPERLINK("https://pbs.twimg.com/media/E_xVJy2VQAQerFe.jpg")</f>
        <v>https://pbs.twimg.com/media/E_xVJy2VQAQerFe.jpg</v>
      </c>
      <c r="W199" s="83">
        <v>44460.074259259258</v>
      </c>
      <c r="X199" s="89">
        <v>44460</v>
      </c>
      <c r="Y199" s="87" t="s">
        <v>1938</v>
      </c>
      <c r="Z199" s="85" t="str">
        <f>HYPERLINK("https://twitter.com/fs_fms/status/1440130391122219010")</f>
        <v>https://twitter.com/fs_fms/status/1440130391122219010</v>
      </c>
      <c r="AA199" s="81"/>
      <c r="AB199" s="81"/>
      <c r="AC199" s="87" t="s">
        <v>2860</v>
      </c>
      <c r="AD199" s="81"/>
      <c r="AE199" s="81" t="b">
        <v>0</v>
      </c>
      <c r="AF199" s="81">
        <v>0</v>
      </c>
      <c r="AG199" s="87" t="s">
        <v>3875</v>
      </c>
      <c r="AH199" s="81" t="b">
        <v>0</v>
      </c>
      <c r="AI199" s="81" t="s">
        <v>4092</v>
      </c>
      <c r="AJ199" s="81"/>
      <c r="AK199" s="87" t="s">
        <v>3875</v>
      </c>
      <c r="AL199" s="81" t="b">
        <v>0</v>
      </c>
      <c r="AM199" s="81">
        <v>321</v>
      </c>
      <c r="AN199" s="87" t="s">
        <v>3520</v>
      </c>
      <c r="AO199" s="87" t="s">
        <v>4111</v>
      </c>
      <c r="AP199" s="81" t="b">
        <v>0</v>
      </c>
      <c r="AQ199" s="87" t="s">
        <v>3520</v>
      </c>
      <c r="AR199" s="81" t="s">
        <v>179</v>
      </c>
      <c r="AS199" s="81">
        <v>0</v>
      </c>
      <c r="AT199" s="81">
        <v>0</v>
      </c>
      <c r="AU199" s="81"/>
      <c r="AV199" s="81"/>
      <c r="AW199" s="81"/>
      <c r="AX199" s="81"/>
      <c r="AY199" s="81"/>
      <c r="AZ199" s="81"/>
      <c r="BA199" s="81"/>
      <c r="BB199" s="81"/>
    </row>
    <row r="200" spans="1:54" x14ac:dyDescent="0.35">
      <c r="A200" s="66" t="s">
        <v>350</v>
      </c>
      <c r="B200" s="66" t="s">
        <v>1055</v>
      </c>
      <c r="C200" s="67"/>
      <c r="D200" s="68"/>
      <c r="E200" s="69"/>
      <c r="F200" s="70"/>
      <c r="G200" s="67"/>
      <c r="H200" s="71"/>
      <c r="I200" s="72"/>
      <c r="J200" s="72"/>
      <c r="K200" s="36"/>
      <c r="L200" s="79"/>
      <c r="M200" s="79"/>
      <c r="N200" s="74"/>
      <c r="O200" s="81" t="s">
        <v>1207</v>
      </c>
      <c r="P200" s="83">
        <v>44460.076053240744</v>
      </c>
      <c r="Q200" s="81" t="s">
        <v>1324</v>
      </c>
      <c r="R200" s="81"/>
      <c r="S200" s="81"/>
      <c r="T200" s="81"/>
      <c r="U200" s="85" t="str">
        <f>HYPERLINK("https://pbs.twimg.com/media/E_xVJy2VQAQerFe.jpg")</f>
        <v>https://pbs.twimg.com/media/E_xVJy2VQAQerFe.jpg</v>
      </c>
      <c r="V200" s="85" t="str">
        <f>HYPERLINK("https://pbs.twimg.com/media/E_xVJy2VQAQerFe.jpg")</f>
        <v>https://pbs.twimg.com/media/E_xVJy2VQAQerFe.jpg</v>
      </c>
      <c r="W200" s="83">
        <v>44460.076053240744</v>
      </c>
      <c r="X200" s="89">
        <v>44460</v>
      </c>
      <c r="Y200" s="87" t="s">
        <v>1939</v>
      </c>
      <c r="Z200" s="85" t="str">
        <f>HYPERLINK("https://twitter.com/atha879/status/1440131040975020033")</f>
        <v>https://twitter.com/atha879/status/1440131040975020033</v>
      </c>
      <c r="AA200" s="81"/>
      <c r="AB200" s="81"/>
      <c r="AC200" s="87" t="s">
        <v>2861</v>
      </c>
      <c r="AD200" s="81"/>
      <c r="AE200" s="81" t="b">
        <v>0</v>
      </c>
      <c r="AF200" s="81">
        <v>0</v>
      </c>
      <c r="AG200" s="87" t="s">
        <v>3875</v>
      </c>
      <c r="AH200" s="81" t="b">
        <v>0</v>
      </c>
      <c r="AI200" s="81" t="s">
        <v>4092</v>
      </c>
      <c r="AJ200" s="81"/>
      <c r="AK200" s="87" t="s">
        <v>3875</v>
      </c>
      <c r="AL200" s="81" t="b">
        <v>0</v>
      </c>
      <c r="AM200" s="81">
        <v>321</v>
      </c>
      <c r="AN200" s="87" t="s">
        <v>3520</v>
      </c>
      <c r="AO200" s="87" t="s">
        <v>4109</v>
      </c>
      <c r="AP200" s="81" t="b">
        <v>0</v>
      </c>
      <c r="AQ200" s="87" t="s">
        <v>3520</v>
      </c>
      <c r="AR200" s="81" t="s">
        <v>179</v>
      </c>
      <c r="AS200" s="81">
        <v>0</v>
      </c>
      <c r="AT200" s="81">
        <v>0</v>
      </c>
      <c r="AU200" s="81"/>
      <c r="AV200" s="81"/>
      <c r="AW200" s="81"/>
      <c r="AX200" s="81"/>
      <c r="AY200" s="81"/>
      <c r="AZ200" s="81"/>
      <c r="BA200" s="81"/>
      <c r="BB200" s="81"/>
    </row>
    <row r="201" spans="1:54" x14ac:dyDescent="0.35">
      <c r="A201" s="66" t="s">
        <v>350</v>
      </c>
      <c r="B201" s="66" t="s">
        <v>910</v>
      </c>
      <c r="C201" s="67"/>
      <c r="D201" s="68"/>
      <c r="E201" s="69"/>
      <c r="F201" s="70"/>
      <c r="G201" s="67"/>
      <c r="H201" s="71"/>
      <c r="I201" s="72"/>
      <c r="J201" s="72"/>
      <c r="K201" s="36"/>
      <c r="L201" s="79"/>
      <c r="M201" s="79"/>
      <c r="N201" s="74"/>
      <c r="O201" s="81" t="s">
        <v>1205</v>
      </c>
      <c r="P201" s="83">
        <v>44460.076053240744</v>
      </c>
      <c r="Q201" s="81" t="s">
        <v>1324</v>
      </c>
      <c r="R201" s="81"/>
      <c r="S201" s="81"/>
      <c r="T201" s="81"/>
      <c r="U201" s="85" t="str">
        <f>HYPERLINK("https://pbs.twimg.com/media/E_xVJy2VQAQerFe.jpg")</f>
        <v>https://pbs.twimg.com/media/E_xVJy2VQAQerFe.jpg</v>
      </c>
      <c r="V201" s="85" t="str">
        <f>HYPERLINK("https://pbs.twimg.com/media/E_xVJy2VQAQerFe.jpg")</f>
        <v>https://pbs.twimg.com/media/E_xVJy2VQAQerFe.jpg</v>
      </c>
      <c r="W201" s="83">
        <v>44460.076053240744</v>
      </c>
      <c r="X201" s="89">
        <v>44460</v>
      </c>
      <c r="Y201" s="87" t="s">
        <v>1939</v>
      </c>
      <c r="Z201" s="85" t="str">
        <f>HYPERLINK("https://twitter.com/atha879/status/1440131040975020033")</f>
        <v>https://twitter.com/atha879/status/1440131040975020033</v>
      </c>
      <c r="AA201" s="81"/>
      <c r="AB201" s="81"/>
      <c r="AC201" s="87" t="s">
        <v>2861</v>
      </c>
      <c r="AD201" s="81"/>
      <c r="AE201" s="81" t="b">
        <v>0</v>
      </c>
      <c r="AF201" s="81">
        <v>0</v>
      </c>
      <c r="AG201" s="87" t="s">
        <v>3875</v>
      </c>
      <c r="AH201" s="81" t="b">
        <v>0</v>
      </c>
      <c r="AI201" s="81" t="s">
        <v>4092</v>
      </c>
      <c r="AJ201" s="81"/>
      <c r="AK201" s="87" t="s">
        <v>3875</v>
      </c>
      <c r="AL201" s="81" t="b">
        <v>0</v>
      </c>
      <c r="AM201" s="81">
        <v>321</v>
      </c>
      <c r="AN201" s="87" t="s">
        <v>3520</v>
      </c>
      <c r="AO201" s="87" t="s">
        <v>4109</v>
      </c>
      <c r="AP201" s="81" t="b">
        <v>0</v>
      </c>
      <c r="AQ201" s="87" t="s">
        <v>3520</v>
      </c>
      <c r="AR201" s="81" t="s">
        <v>179</v>
      </c>
      <c r="AS201" s="81">
        <v>0</v>
      </c>
      <c r="AT201" s="81">
        <v>0</v>
      </c>
      <c r="AU201" s="81"/>
      <c r="AV201" s="81"/>
      <c r="AW201" s="81"/>
      <c r="AX201" s="81"/>
      <c r="AY201" s="81"/>
      <c r="AZ201" s="81"/>
      <c r="BA201" s="81"/>
      <c r="BB201" s="81"/>
    </row>
    <row r="202" spans="1:54" x14ac:dyDescent="0.35">
      <c r="A202" s="66" t="s">
        <v>351</v>
      </c>
      <c r="B202" s="66" t="s">
        <v>1055</v>
      </c>
      <c r="C202" s="67"/>
      <c r="D202" s="68"/>
      <c r="E202" s="69"/>
      <c r="F202" s="70"/>
      <c r="G202" s="67"/>
      <c r="H202" s="71"/>
      <c r="I202" s="72"/>
      <c r="J202" s="72"/>
      <c r="K202" s="36"/>
      <c r="L202" s="79"/>
      <c r="M202" s="79"/>
      <c r="N202" s="74"/>
      <c r="O202" s="81" t="s">
        <v>1207</v>
      </c>
      <c r="P202" s="83">
        <v>44460.078842592593</v>
      </c>
      <c r="Q202" s="81" t="s">
        <v>1324</v>
      </c>
      <c r="R202" s="81"/>
      <c r="S202" s="81"/>
      <c r="T202" s="81"/>
      <c r="U202" s="85" t="str">
        <f>HYPERLINK("https://pbs.twimg.com/media/E_xVJy2VQAQerFe.jpg")</f>
        <v>https://pbs.twimg.com/media/E_xVJy2VQAQerFe.jpg</v>
      </c>
      <c r="V202" s="85" t="str">
        <f>HYPERLINK("https://pbs.twimg.com/media/E_xVJy2VQAQerFe.jpg")</f>
        <v>https://pbs.twimg.com/media/E_xVJy2VQAQerFe.jpg</v>
      </c>
      <c r="W202" s="83">
        <v>44460.078842592593</v>
      </c>
      <c r="X202" s="89">
        <v>44460</v>
      </c>
      <c r="Y202" s="87" t="s">
        <v>1940</v>
      </c>
      <c r="Z202" s="85" t="str">
        <f>HYPERLINK("https://twitter.com/syanazmanis/status/1440132051630391296")</f>
        <v>https://twitter.com/syanazmanis/status/1440132051630391296</v>
      </c>
      <c r="AA202" s="81"/>
      <c r="AB202" s="81"/>
      <c r="AC202" s="87" t="s">
        <v>2862</v>
      </c>
      <c r="AD202" s="81"/>
      <c r="AE202" s="81" t="b">
        <v>0</v>
      </c>
      <c r="AF202" s="81">
        <v>0</v>
      </c>
      <c r="AG202" s="87" t="s">
        <v>3875</v>
      </c>
      <c r="AH202" s="81" t="b">
        <v>0</v>
      </c>
      <c r="AI202" s="81" t="s">
        <v>4092</v>
      </c>
      <c r="AJ202" s="81"/>
      <c r="AK202" s="87" t="s">
        <v>3875</v>
      </c>
      <c r="AL202" s="81" t="b">
        <v>0</v>
      </c>
      <c r="AM202" s="81">
        <v>321</v>
      </c>
      <c r="AN202" s="87" t="s">
        <v>3520</v>
      </c>
      <c r="AO202" s="87" t="s">
        <v>4109</v>
      </c>
      <c r="AP202" s="81" t="b">
        <v>0</v>
      </c>
      <c r="AQ202" s="87" t="s">
        <v>3520</v>
      </c>
      <c r="AR202" s="81" t="s">
        <v>179</v>
      </c>
      <c r="AS202" s="81">
        <v>0</v>
      </c>
      <c r="AT202" s="81">
        <v>0</v>
      </c>
      <c r="AU202" s="81"/>
      <c r="AV202" s="81"/>
      <c r="AW202" s="81"/>
      <c r="AX202" s="81"/>
      <c r="AY202" s="81"/>
      <c r="AZ202" s="81"/>
      <c r="BA202" s="81"/>
      <c r="BB202" s="81"/>
    </row>
    <row r="203" spans="1:54" x14ac:dyDescent="0.35">
      <c r="A203" s="66" t="s">
        <v>351</v>
      </c>
      <c r="B203" s="66" t="s">
        <v>910</v>
      </c>
      <c r="C203" s="67"/>
      <c r="D203" s="68"/>
      <c r="E203" s="69"/>
      <c r="F203" s="70"/>
      <c r="G203" s="67"/>
      <c r="H203" s="71"/>
      <c r="I203" s="72"/>
      <c r="J203" s="72"/>
      <c r="K203" s="36"/>
      <c r="L203" s="79"/>
      <c r="M203" s="79"/>
      <c r="N203" s="74"/>
      <c r="O203" s="81" t="s">
        <v>1205</v>
      </c>
      <c r="P203" s="83">
        <v>44460.078842592593</v>
      </c>
      <c r="Q203" s="81" t="s">
        <v>1324</v>
      </c>
      <c r="R203" s="81"/>
      <c r="S203" s="81"/>
      <c r="T203" s="81"/>
      <c r="U203" s="85" t="str">
        <f>HYPERLINK("https://pbs.twimg.com/media/E_xVJy2VQAQerFe.jpg")</f>
        <v>https://pbs.twimg.com/media/E_xVJy2VQAQerFe.jpg</v>
      </c>
      <c r="V203" s="85" t="str">
        <f>HYPERLINK("https://pbs.twimg.com/media/E_xVJy2VQAQerFe.jpg")</f>
        <v>https://pbs.twimg.com/media/E_xVJy2VQAQerFe.jpg</v>
      </c>
      <c r="W203" s="83">
        <v>44460.078842592593</v>
      </c>
      <c r="X203" s="89">
        <v>44460</v>
      </c>
      <c r="Y203" s="87" t="s">
        <v>1940</v>
      </c>
      <c r="Z203" s="85" t="str">
        <f>HYPERLINK("https://twitter.com/syanazmanis/status/1440132051630391296")</f>
        <v>https://twitter.com/syanazmanis/status/1440132051630391296</v>
      </c>
      <c r="AA203" s="81"/>
      <c r="AB203" s="81"/>
      <c r="AC203" s="87" t="s">
        <v>2862</v>
      </c>
      <c r="AD203" s="81"/>
      <c r="AE203" s="81" t="b">
        <v>0</v>
      </c>
      <c r="AF203" s="81">
        <v>0</v>
      </c>
      <c r="AG203" s="87" t="s">
        <v>3875</v>
      </c>
      <c r="AH203" s="81" t="b">
        <v>0</v>
      </c>
      <c r="AI203" s="81" t="s">
        <v>4092</v>
      </c>
      <c r="AJ203" s="81"/>
      <c r="AK203" s="87" t="s">
        <v>3875</v>
      </c>
      <c r="AL203" s="81" t="b">
        <v>0</v>
      </c>
      <c r="AM203" s="81">
        <v>321</v>
      </c>
      <c r="AN203" s="87" t="s">
        <v>3520</v>
      </c>
      <c r="AO203" s="87" t="s">
        <v>4109</v>
      </c>
      <c r="AP203" s="81" t="b">
        <v>0</v>
      </c>
      <c r="AQ203" s="87" t="s">
        <v>3520</v>
      </c>
      <c r="AR203" s="81" t="s">
        <v>179</v>
      </c>
      <c r="AS203" s="81">
        <v>0</v>
      </c>
      <c r="AT203" s="81">
        <v>0</v>
      </c>
      <c r="AU203" s="81"/>
      <c r="AV203" s="81"/>
      <c r="AW203" s="81"/>
      <c r="AX203" s="81"/>
      <c r="AY203" s="81"/>
      <c r="AZ203" s="81"/>
      <c r="BA203" s="81"/>
      <c r="BB203" s="81"/>
    </row>
    <row r="204" spans="1:54" x14ac:dyDescent="0.35">
      <c r="A204" s="66" t="s">
        <v>352</v>
      </c>
      <c r="B204" s="66" t="s">
        <v>1055</v>
      </c>
      <c r="C204" s="67"/>
      <c r="D204" s="68"/>
      <c r="E204" s="69"/>
      <c r="F204" s="70"/>
      <c r="G204" s="67"/>
      <c r="H204" s="71"/>
      <c r="I204" s="72"/>
      <c r="J204" s="72"/>
      <c r="K204" s="36"/>
      <c r="L204" s="79"/>
      <c r="M204" s="79"/>
      <c r="N204" s="74"/>
      <c r="O204" s="81" t="s">
        <v>1207</v>
      </c>
      <c r="P204" s="83">
        <v>44460.079340277778</v>
      </c>
      <c r="Q204" s="81" t="s">
        <v>1324</v>
      </c>
      <c r="R204" s="81"/>
      <c r="S204" s="81"/>
      <c r="T204" s="81"/>
      <c r="U204" s="85" t="str">
        <f>HYPERLINK("https://pbs.twimg.com/media/E_xVJy2VQAQerFe.jpg")</f>
        <v>https://pbs.twimg.com/media/E_xVJy2VQAQerFe.jpg</v>
      </c>
      <c r="V204" s="85" t="str">
        <f>HYPERLINK("https://pbs.twimg.com/media/E_xVJy2VQAQerFe.jpg")</f>
        <v>https://pbs.twimg.com/media/E_xVJy2VQAQerFe.jpg</v>
      </c>
      <c r="W204" s="83">
        <v>44460.079340277778</v>
      </c>
      <c r="X204" s="89">
        <v>44460</v>
      </c>
      <c r="Y204" s="87" t="s">
        <v>1941</v>
      </c>
      <c r="Z204" s="85" t="str">
        <f>HYPERLINK("https://twitter.com/mark_zepper/status/1440132234082586625")</f>
        <v>https://twitter.com/mark_zepper/status/1440132234082586625</v>
      </c>
      <c r="AA204" s="81"/>
      <c r="AB204" s="81"/>
      <c r="AC204" s="87" t="s">
        <v>2863</v>
      </c>
      <c r="AD204" s="81"/>
      <c r="AE204" s="81" t="b">
        <v>0</v>
      </c>
      <c r="AF204" s="81">
        <v>0</v>
      </c>
      <c r="AG204" s="87" t="s">
        <v>3875</v>
      </c>
      <c r="AH204" s="81" t="b">
        <v>0</v>
      </c>
      <c r="AI204" s="81" t="s">
        <v>4092</v>
      </c>
      <c r="AJ204" s="81"/>
      <c r="AK204" s="87" t="s">
        <v>3875</v>
      </c>
      <c r="AL204" s="81" t="b">
        <v>0</v>
      </c>
      <c r="AM204" s="81">
        <v>321</v>
      </c>
      <c r="AN204" s="87" t="s">
        <v>3520</v>
      </c>
      <c r="AO204" s="87" t="s">
        <v>4109</v>
      </c>
      <c r="AP204" s="81" t="b">
        <v>0</v>
      </c>
      <c r="AQ204" s="87" t="s">
        <v>3520</v>
      </c>
      <c r="AR204" s="81" t="s">
        <v>179</v>
      </c>
      <c r="AS204" s="81">
        <v>0</v>
      </c>
      <c r="AT204" s="81">
        <v>0</v>
      </c>
      <c r="AU204" s="81"/>
      <c r="AV204" s="81"/>
      <c r="AW204" s="81"/>
      <c r="AX204" s="81"/>
      <c r="AY204" s="81"/>
      <c r="AZ204" s="81"/>
      <c r="BA204" s="81"/>
      <c r="BB204" s="81"/>
    </row>
    <row r="205" spans="1:54" x14ac:dyDescent="0.35">
      <c r="A205" s="66" t="s">
        <v>352</v>
      </c>
      <c r="B205" s="66" t="s">
        <v>910</v>
      </c>
      <c r="C205" s="67"/>
      <c r="D205" s="68"/>
      <c r="E205" s="69"/>
      <c r="F205" s="70"/>
      <c r="G205" s="67"/>
      <c r="H205" s="71"/>
      <c r="I205" s="72"/>
      <c r="J205" s="72"/>
      <c r="K205" s="36"/>
      <c r="L205" s="79"/>
      <c r="M205" s="79"/>
      <c r="N205" s="74"/>
      <c r="O205" s="81" t="s">
        <v>1205</v>
      </c>
      <c r="P205" s="83">
        <v>44460.079340277778</v>
      </c>
      <c r="Q205" s="81" t="s">
        <v>1324</v>
      </c>
      <c r="R205" s="81"/>
      <c r="S205" s="81"/>
      <c r="T205" s="81"/>
      <c r="U205" s="85" t="str">
        <f>HYPERLINK("https://pbs.twimg.com/media/E_xVJy2VQAQerFe.jpg")</f>
        <v>https://pbs.twimg.com/media/E_xVJy2VQAQerFe.jpg</v>
      </c>
      <c r="V205" s="85" t="str">
        <f>HYPERLINK("https://pbs.twimg.com/media/E_xVJy2VQAQerFe.jpg")</f>
        <v>https://pbs.twimg.com/media/E_xVJy2VQAQerFe.jpg</v>
      </c>
      <c r="W205" s="83">
        <v>44460.079340277778</v>
      </c>
      <c r="X205" s="89">
        <v>44460</v>
      </c>
      <c r="Y205" s="87" t="s">
        <v>1941</v>
      </c>
      <c r="Z205" s="85" t="str">
        <f>HYPERLINK("https://twitter.com/mark_zepper/status/1440132234082586625")</f>
        <v>https://twitter.com/mark_zepper/status/1440132234082586625</v>
      </c>
      <c r="AA205" s="81"/>
      <c r="AB205" s="81"/>
      <c r="AC205" s="87" t="s">
        <v>2863</v>
      </c>
      <c r="AD205" s="81"/>
      <c r="AE205" s="81" t="b">
        <v>0</v>
      </c>
      <c r="AF205" s="81">
        <v>0</v>
      </c>
      <c r="AG205" s="87" t="s">
        <v>3875</v>
      </c>
      <c r="AH205" s="81" t="b">
        <v>0</v>
      </c>
      <c r="AI205" s="81" t="s">
        <v>4092</v>
      </c>
      <c r="AJ205" s="81"/>
      <c r="AK205" s="87" t="s">
        <v>3875</v>
      </c>
      <c r="AL205" s="81" t="b">
        <v>0</v>
      </c>
      <c r="AM205" s="81">
        <v>321</v>
      </c>
      <c r="AN205" s="87" t="s">
        <v>3520</v>
      </c>
      <c r="AO205" s="87" t="s">
        <v>4109</v>
      </c>
      <c r="AP205" s="81" t="b">
        <v>0</v>
      </c>
      <c r="AQ205" s="87" t="s">
        <v>3520</v>
      </c>
      <c r="AR205" s="81" t="s">
        <v>179</v>
      </c>
      <c r="AS205" s="81">
        <v>0</v>
      </c>
      <c r="AT205" s="81">
        <v>0</v>
      </c>
      <c r="AU205" s="81"/>
      <c r="AV205" s="81"/>
      <c r="AW205" s="81"/>
      <c r="AX205" s="81"/>
      <c r="AY205" s="81"/>
      <c r="AZ205" s="81"/>
      <c r="BA205" s="81"/>
      <c r="BB205" s="81"/>
    </row>
    <row r="206" spans="1:54" x14ac:dyDescent="0.35">
      <c r="A206" s="66" t="s">
        <v>353</v>
      </c>
      <c r="B206" s="66" t="s">
        <v>1055</v>
      </c>
      <c r="C206" s="67"/>
      <c r="D206" s="68"/>
      <c r="E206" s="69"/>
      <c r="F206" s="70"/>
      <c r="G206" s="67"/>
      <c r="H206" s="71"/>
      <c r="I206" s="72"/>
      <c r="J206" s="72"/>
      <c r="K206" s="36"/>
      <c r="L206" s="79"/>
      <c r="M206" s="79"/>
      <c r="N206" s="74"/>
      <c r="O206" s="81" t="s">
        <v>1207</v>
      </c>
      <c r="P206" s="83">
        <v>44460.079733796294</v>
      </c>
      <c r="Q206" s="81" t="s">
        <v>1324</v>
      </c>
      <c r="R206" s="81"/>
      <c r="S206" s="81"/>
      <c r="T206" s="81"/>
      <c r="U206" s="85" t="str">
        <f>HYPERLINK("https://pbs.twimg.com/media/E_xVJy2VQAQerFe.jpg")</f>
        <v>https://pbs.twimg.com/media/E_xVJy2VQAQerFe.jpg</v>
      </c>
      <c r="V206" s="85" t="str">
        <f>HYPERLINK("https://pbs.twimg.com/media/E_xVJy2VQAQerFe.jpg")</f>
        <v>https://pbs.twimg.com/media/E_xVJy2VQAQerFe.jpg</v>
      </c>
      <c r="W206" s="83">
        <v>44460.079733796294</v>
      </c>
      <c r="X206" s="89">
        <v>44460</v>
      </c>
      <c r="Y206" s="87" t="s">
        <v>1942</v>
      </c>
      <c r="Z206" s="85" t="str">
        <f>HYPERLINK("https://twitter.com/telorfadar/status/1440132374205919232")</f>
        <v>https://twitter.com/telorfadar/status/1440132374205919232</v>
      </c>
      <c r="AA206" s="81"/>
      <c r="AB206" s="81"/>
      <c r="AC206" s="87" t="s">
        <v>2864</v>
      </c>
      <c r="AD206" s="81"/>
      <c r="AE206" s="81" t="b">
        <v>0</v>
      </c>
      <c r="AF206" s="81">
        <v>0</v>
      </c>
      <c r="AG206" s="87" t="s">
        <v>3875</v>
      </c>
      <c r="AH206" s="81" t="b">
        <v>0</v>
      </c>
      <c r="AI206" s="81" t="s">
        <v>4092</v>
      </c>
      <c r="AJ206" s="81"/>
      <c r="AK206" s="87" t="s">
        <v>3875</v>
      </c>
      <c r="AL206" s="81" t="b">
        <v>0</v>
      </c>
      <c r="AM206" s="81">
        <v>321</v>
      </c>
      <c r="AN206" s="87" t="s">
        <v>3520</v>
      </c>
      <c r="AO206" s="87" t="s">
        <v>4109</v>
      </c>
      <c r="AP206" s="81" t="b">
        <v>0</v>
      </c>
      <c r="AQ206" s="87" t="s">
        <v>3520</v>
      </c>
      <c r="AR206" s="81" t="s">
        <v>179</v>
      </c>
      <c r="AS206" s="81">
        <v>0</v>
      </c>
      <c r="AT206" s="81">
        <v>0</v>
      </c>
      <c r="AU206" s="81"/>
      <c r="AV206" s="81"/>
      <c r="AW206" s="81"/>
      <c r="AX206" s="81"/>
      <c r="AY206" s="81"/>
      <c r="AZ206" s="81"/>
      <c r="BA206" s="81"/>
      <c r="BB206" s="81"/>
    </row>
    <row r="207" spans="1:54" x14ac:dyDescent="0.35">
      <c r="A207" s="66" t="s">
        <v>353</v>
      </c>
      <c r="B207" s="66" t="s">
        <v>910</v>
      </c>
      <c r="C207" s="67"/>
      <c r="D207" s="68"/>
      <c r="E207" s="69"/>
      <c r="F207" s="70"/>
      <c r="G207" s="67"/>
      <c r="H207" s="71"/>
      <c r="I207" s="72"/>
      <c r="J207" s="72"/>
      <c r="K207" s="36"/>
      <c r="L207" s="79"/>
      <c r="M207" s="79"/>
      <c r="N207" s="74"/>
      <c r="O207" s="81" t="s">
        <v>1205</v>
      </c>
      <c r="P207" s="83">
        <v>44460.079733796294</v>
      </c>
      <c r="Q207" s="81" t="s">
        <v>1324</v>
      </c>
      <c r="R207" s="81"/>
      <c r="S207" s="81"/>
      <c r="T207" s="81"/>
      <c r="U207" s="85" t="str">
        <f>HYPERLINK("https://pbs.twimg.com/media/E_xVJy2VQAQerFe.jpg")</f>
        <v>https://pbs.twimg.com/media/E_xVJy2VQAQerFe.jpg</v>
      </c>
      <c r="V207" s="85" t="str">
        <f>HYPERLINK("https://pbs.twimg.com/media/E_xVJy2VQAQerFe.jpg")</f>
        <v>https://pbs.twimg.com/media/E_xVJy2VQAQerFe.jpg</v>
      </c>
      <c r="W207" s="83">
        <v>44460.079733796294</v>
      </c>
      <c r="X207" s="89">
        <v>44460</v>
      </c>
      <c r="Y207" s="87" t="s">
        <v>1942</v>
      </c>
      <c r="Z207" s="85" t="str">
        <f>HYPERLINK("https://twitter.com/telorfadar/status/1440132374205919232")</f>
        <v>https://twitter.com/telorfadar/status/1440132374205919232</v>
      </c>
      <c r="AA207" s="81"/>
      <c r="AB207" s="81"/>
      <c r="AC207" s="87" t="s">
        <v>2864</v>
      </c>
      <c r="AD207" s="81"/>
      <c r="AE207" s="81" t="b">
        <v>0</v>
      </c>
      <c r="AF207" s="81">
        <v>0</v>
      </c>
      <c r="AG207" s="87" t="s">
        <v>3875</v>
      </c>
      <c r="AH207" s="81" t="b">
        <v>0</v>
      </c>
      <c r="AI207" s="81" t="s">
        <v>4092</v>
      </c>
      <c r="AJ207" s="81"/>
      <c r="AK207" s="87" t="s">
        <v>3875</v>
      </c>
      <c r="AL207" s="81" t="b">
        <v>0</v>
      </c>
      <c r="AM207" s="81">
        <v>321</v>
      </c>
      <c r="AN207" s="87" t="s">
        <v>3520</v>
      </c>
      <c r="AO207" s="87" t="s">
        <v>4109</v>
      </c>
      <c r="AP207" s="81" t="b">
        <v>0</v>
      </c>
      <c r="AQ207" s="87" t="s">
        <v>3520</v>
      </c>
      <c r="AR207" s="81" t="s">
        <v>179</v>
      </c>
      <c r="AS207" s="81">
        <v>0</v>
      </c>
      <c r="AT207" s="81">
        <v>0</v>
      </c>
      <c r="AU207" s="81"/>
      <c r="AV207" s="81"/>
      <c r="AW207" s="81"/>
      <c r="AX207" s="81"/>
      <c r="AY207" s="81"/>
      <c r="AZ207" s="81"/>
      <c r="BA207" s="81"/>
      <c r="BB207" s="81"/>
    </row>
    <row r="208" spans="1:54" x14ac:dyDescent="0.35">
      <c r="A208" s="66" t="s">
        <v>354</v>
      </c>
      <c r="B208" s="66" t="s">
        <v>1055</v>
      </c>
      <c r="C208" s="67"/>
      <c r="D208" s="68"/>
      <c r="E208" s="69"/>
      <c r="F208" s="70"/>
      <c r="G208" s="67"/>
      <c r="H208" s="71"/>
      <c r="I208" s="72"/>
      <c r="J208" s="72"/>
      <c r="K208" s="36"/>
      <c r="L208" s="79"/>
      <c r="M208" s="79"/>
      <c r="N208" s="74"/>
      <c r="O208" s="81" t="s">
        <v>1207</v>
      </c>
      <c r="P208" s="83">
        <v>44460.082187499997</v>
      </c>
      <c r="Q208" s="81" t="s">
        <v>1324</v>
      </c>
      <c r="R208" s="81"/>
      <c r="S208" s="81"/>
      <c r="T208" s="81"/>
      <c r="U208" s="85" t="str">
        <f>HYPERLINK("https://pbs.twimg.com/media/E_xVJy2VQAQerFe.jpg")</f>
        <v>https://pbs.twimg.com/media/E_xVJy2VQAQerFe.jpg</v>
      </c>
      <c r="V208" s="85" t="str">
        <f>HYPERLINK("https://pbs.twimg.com/media/E_xVJy2VQAQerFe.jpg")</f>
        <v>https://pbs.twimg.com/media/E_xVJy2VQAQerFe.jpg</v>
      </c>
      <c r="W208" s="83">
        <v>44460.082187499997</v>
      </c>
      <c r="X208" s="89">
        <v>44460</v>
      </c>
      <c r="Y208" s="87" t="s">
        <v>1943</v>
      </c>
      <c r="Z208" s="85" t="str">
        <f>HYPERLINK("https://twitter.com/umbetik/status/1440133266338504710")</f>
        <v>https://twitter.com/umbetik/status/1440133266338504710</v>
      </c>
      <c r="AA208" s="81"/>
      <c r="AB208" s="81"/>
      <c r="AC208" s="87" t="s">
        <v>2865</v>
      </c>
      <c r="AD208" s="81"/>
      <c r="AE208" s="81" t="b">
        <v>0</v>
      </c>
      <c r="AF208" s="81">
        <v>0</v>
      </c>
      <c r="AG208" s="87" t="s">
        <v>3875</v>
      </c>
      <c r="AH208" s="81" t="b">
        <v>0</v>
      </c>
      <c r="AI208" s="81" t="s">
        <v>4092</v>
      </c>
      <c r="AJ208" s="81"/>
      <c r="AK208" s="87" t="s">
        <v>3875</v>
      </c>
      <c r="AL208" s="81" t="b">
        <v>0</v>
      </c>
      <c r="AM208" s="81">
        <v>321</v>
      </c>
      <c r="AN208" s="87" t="s">
        <v>3520</v>
      </c>
      <c r="AO208" s="87" t="s">
        <v>4109</v>
      </c>
      <c r="AP208" s="81" t="b">
        <v>0</v>
      </c>
      <c r="AQ208" s="87" t="s">
        <v>3520</v>
      </c>
      <c r="AR208" s="81" t="s">
        <v>179</v>
      </c>
      <c r="AS208" s="81">
        <v>0</v>
      </c>
      <c r="AT208" s="81">
        <v>0</v>
      </c>
      <c r="AU208" s="81"/>
      <c r="AV208" s="81"/>
      <c r="AW208" s="81"/>
      <c r="AX208" s="81"/>
      <c r="AY208" s="81"/>
      <c r="AZ208" s="81"/>
      <c r="BA208" s="81"/>
      <c r="BB208" s="81"/>
    </row>
    <row r="209" spans="1:54" x14ac:dyDescent="0.35">
      <c r="A209" s="66" t="s">
        <v>354</v>
      </c>
      <c r="B209" s="66" t="s">
        <v>910</v>
      </c>
      <c r="C209" s="67"/>
      <c r="D209" s="68"/>
      <c r="E209" s="69"/>
      <c r="F209" s="70"/>
      <c r="G209" s="67"/>
      <c r="H209" s="71"/>
      <c r="I209" s="72"/>
      <c r="J209" s="72"/>
      <c r="K209" s="36"/>
      <c r="L209" s="79"/>
      <c r="M209" s="79"/>
      <c r="N209" s="74"/>
      <c r="O209" s="81" t="s">
        <v>1205</v>
      </c>
      <c r="P209" s="83">
        <v>44460.082187499997</v>
      </c>
      <c r="Q209" s="81" t="s">
        <v>1324</v>
      </c>
      <c r="R209" s="81"/>
      <c r="S209" s="81"/>
      <c r="T209" s="81"/>
      <c r="U209" s="85" t="str">
        <f>HYPERLINK("https://pbs.twimg.com/media/E_xVJy2VQAQerFe.jpg")</f>
        <v>https://pbs.twimg.com/media/E_xVJy2VQAQerFe.jpg</v>
      </c>
      <c r="V209" s="85" t="str">
        <f>HYPERLINK("https://pbs.twimg.com/media/E_xVJy2VQAQerFe.jpg")</f>
        <v>https://pbs.twimg.com/media/E_xVJy2VQAQerFe.jpg</v>
      </c>
      <c r="W209" s="83">
        <v>44460.082187499997</v>
      </c>
      <c r="X209" s="89">
        <v>44460</v>
      </c>
      <c r="Y209" s="87" t="s">
        <v>1943</v>
      </c>
      <c r="Z209" s="85" t="str">
        <f>HYPERLINK("https://twitter.com/umbetik/status/1440133266338504710")</f>
        <v>https://twitter.com/umbetik/status/1440133266338504710</v>
      </c>
      <c r="AA209" s="81"/>
      <c r="AB209" s="81"/>
      <c r="AC209" s="87" t="s">
        <v>2865</v>
      </c>
      <c r="AD209" s="81"/>
      <c r="AE209" s="81" t="b">
        <v>0</v>
      </c>
      <c r="AF209" s="81">
        <v>0</v>
      </c>
      <c r="AG209" s="87" t="s">
        <v>3875</v>
      </c>
      <c r="AH209" s="81" t="b">
        <v>0</v>
      </c>
      <c r="AI209" s="81" t="s">
        <v>4092</v>
      </c>
      <c r="AJ209" s="81"/>
      <c r="AK209" s="87" t="s">
        <v>3875</v>
      </c>
      <c r="AL209" s="81" t="b">
        <v>0</v>
      </c>
      <c r="AM209" s="81">
        <v>321</v>
      </c>
      <c r="AN209" s="87" t="s">
        <v>3520</v>
      </c>
      <c r="AO209" s="87" t="s">
        <v>4109</v>
      </c>
      <c r="AP209" s="81" t="b">
        <v>0</v>
      </c>
      <c r="AQ209" s="87" t="s">
        <v>3520</v>
      </c>
      <c r="AR209" s="81" t="s">
        <v>179</v>
      </c>
      <c r="AS209" s="81">
        <v>0</v>
      </c>
      <c r="AT209" s="81">
        <v>0</v>
      </c>
      <c r="AU209" s="81"/>
      <c r="AV209" s="81"/>
      <c r="AW209" s="81"/>
      <c r="AX209" s="81"/>
      <c r="AY209" s="81"/>
      <c r="AZ209" s="81"/>
      <c r="BA209" s="81"/>
      <c r="BB209" s="81"/>
    </row>
    <row r="210" spans="1:54" x14ac:dyDescent="0.35">
      <c r="A210" s="66" t="s">
        <v>355</v>
      </c>
      <c r="B210" s="66" t="s">
        <v>1055</v>
      </c>
      <c r="C210" s="67"/>
      <c r="D210" s="68"/>
      <c r="E210" s="69"/>
      <c r="F210" s="70"/>
      <c r="G210" s="67"/>
      <c r="H210" s="71"/>
      <c r="I210" s="72"/>
      <c r="J210" s="72"/>
      <c r="K210" s="36"/>
      <c r="L210" s="79"/>
      <c r="M210" s="79"/>
      <c r="N210" s="74"/>
      <c r="O210" s="81" t="s">
        <v>1207</v>
      </c>
      <c r="P210" s="83">
        <v>44460.084791666668</v>
      </c>
      <c r="Q210" s="81" t="s">
        <v>1324</v>
      </c>
      <c r="R210" s="81"/>
      <c r="S210" s="81"/>
      <c r="T210" s="81"/>
      <c r="U210" s="85" t="str">
        <f>HYPERLINK("https://pbs.twimg.com/media/E_xVJy2VQAQerFe.jpg")</f>
        <v>https://pbs.twimg.com/media/E_xVJy2VQAQerFe.jpg</v>
      </c>
      <c r="V210" s="85" t="str">
        <f>HYPERLINK("https://pbs.twimg.com/media/E_xVJy2VQAQerFe.jpg")</f>
        <v>https://pbs.twimg.com/media/E_xVJy2VQAQerFe.jpg</v>
      </c>
      <c r="W210" s="83">
        <v>44460.084791666668</v>
      </c>
      <c r="X210" s="89">
        <v>44460</v>
      </c>
      <c r="Y210" s="87" t="s">
        <v>1944</v>
      </c>
      <c r="Z210" s="85" t="str">
        <f>HYPERLINK("https://twitter.com/toddylauw1/status/1440134210866466818")</f>
        <v>https://twitter.com/toddylauw1/status/1440134210866466818</v>
      </c>
      <c r="AA210" s="81"/>
      <c r="AB210" s="81"/>
      <c r="AC210" s="87" t="s">
        <v>2866</v>
      </c>
      <c r="AD210" s="81"/>
      <c r="AE210" s="81" t="b">
        <v>0</v>
      </c>
      <c r="AF210" s="81">
        <v>0</v>
      </c>
      <c r="AG210" s="87" t="s">
        <v>3875</v>
      </c>
      <c r="AH210" s="81" t="b">
        <v>0</v>
      </c>
      <c r="AI210" s="81" t="s">
        <v>4092</v>
      </c>
      <c r="AJ210" s="81"/>
      <c r="AK210" s="87" t="s">
        <v>3875</v>
      </c>
      <c r="AL210" s="81" t="b">
        <v>0</v>
      </c>
      <c r="AM210" s="81">
        <v>321</v>
      </c>
      <c r="AN210" s="87" t="s">
        <v>3520</v>
      </c>
      <c r="AO210" s="87" t="s">
        <v>4109</v>
      </c>
      <c r="AP210" s="81" t="b">
        <v>0</v>
      </c>
      <c r="AQ210" s="87" t="s">
        <v>3520</v>
      </c>
      <c r="AR210" s="81" t="s">
        <v>179</v>
      </c>
      <c r="AS210" s="81">
        <v>0</v>
      </c>
      <c r="AT210" s="81">
        <v>0</v>
      </c>
      <c r="AU210" s="81"/>
      <c r="AV210" s="81"/>
      <c r="AW210" s="81"/>
      <c r="AX210" s="81"/>
      <c r="AY210" s="81"/>
      <c r="AZ210" s="81"/>
      <c r="BA210" s="81"/>
      <c r="BB210" s="81"/>
    </row>
    <row r="211" spans="1:54" x14ac:dyDescent="0.35">
      <c r="A211" s="66" t="s">
        <v>355</v>
      </c>
      <c r="B211" s="66" t="s">
        <v>910</v>
      </c>
      <c r="C211" s="67"/>
      <c r="D211" s="68"/>
      <c r="E211" s="69"/>
      <c r="F211" s="70"/>
      <c r="G211" s="67"/>
      <c r="H211" s="71"/>
      <c r="I211" s="72"/>
      <c r="J211" s="72"/>
      <c r="K211" s="36"/>
      <c r="L211" s="79"/>
      <c r="M211" s="79"/>
      <c r="N211" s="74"/>
      <c r="O211" s="81" t="s">
        <v>1205</v>
      </c>
      <c r="P211" s="83">
        <v>44460.084791666668</v>
      </c>
      <c r="Q211" s="81" t="s">
        <v>1324</v>
      </c>
      <c r="R211" s="81"/>
      <c r="S211" s="81"/>
      <c r="T211" s="81"/>
      <c r="U211" s="85" t="str">
        <f>HYPERLINK("https://pbs.twimg.com/media/E_xVJy2VQAQerFe.jpg")</f>
        <v>https://pbs.twimg.com/media/E_xVJy2VQAQerFe.jpg</v>
      </c>
      <c r="V211" s="85" t="str">
        <f>HYPERLINK("https://pbs.twimg.com/media/E_xVJy2VQAQerFe.jpg")</f>
        <v>https://pbs.twimg.com/media/E_xVJy2VQAQerFe.jpg</v>
      </c>
      <c r="W211" s="83">
        <v>44460.084791666668</v>
      </c>
      <c r="X211" s="89">
        <v>44460</v>
      </c>
      <c r="Y211" s="87" t="s">
        <v>1944</v>
      </c>
      <c r="Z211" s="85" t="str">
        <f>HYPERLINK("https://twitter.com/toddylauw1/status/1440134210866466818")</f>
        <v>https://twitter.com/toddylauw1/status/1440134210866466818</v>
      </c>
      <c r="AA211" s="81"/>
      <c r="AB211" s="81"/>
      <c r="AC211" s="87" t="s">
        <v>2866</v>
      </c>
      <c r="AD211" s="81"/>
      <c r="AE211" s="81" t="b">
        <v>0</v>
      </c>
      <c r="AF211" s="81">
        <v>0</v>
      </c>
      <c r="AG211" s="87" t="s">
        <v>3875</v>
      </c>
      <c r="AH211" s="81" t="b">
        <v>0</v>
      </c>
      <c r="AI211" s="81" t="s">
        <v>4092</v>
      </c>
      <c r="AJ211" s="81"/>
      <c r="AK211" s="87" t="s">
        <v>3875</v>
      </c>
      <c r="AL211" s="81" t="b">
        <v>0</v>
      </c>
      <c r="AM211" s="81">
        <v>321</v>
      </c>
      <c r="AN211" s="87" t="s">
        <v>3520</v>
      </c>
      <c r="AO211" s="87" t="s">
        <v>4109</v>
      </c>
      <c r="AP211" s="81" t="b">
        <v>0</v>
      </c>
      <c r="AQ211" s="87" t="s">
        <v>3520</v>
      </c>
      <c r="AR211" s="81" t="s">
        <v>179</v>
      </c>
      <c r="AS211" s="81">
        <v>0</v>
      </c>
      <c r="AT211" s="81">
        <v>0</v>
      </c>
      <c r="AU211" s="81"/>
      <c r="AV211" s="81"/>
      <c r="AW211" s="81"/>
      <c r="AX211" s="81"/>
      <c r="AY211" s="81"/>
      <c r="AZ211" s="81"/>
      <c r="BA211" s="81"/>
      <c r="BB211" s="81"/>
    </row>
    <row r="212" spans="1:54" x14ac:dyDescent="0.35">
      <c r="A212" s="66" t="s">
        <v>356</v>
      </c>
      <c r="B212" s="66" t="s">
        <v>1055</v>
      </c>
      <c r="C212" s="67"/>
      <c r="D212" s="68"/>
      <c r="E212" s="69"/>
      <c r="F212" s="70"/>
      <c r="G212" s="67"/>
      <c r="H212" s="71"/>
      <c r="I212" s="72"/>
      <c r="J212" s="72"/>
      <c r="K212" s="36"/>
      <c r="L212" s="79"/>
      <c r="M212" s="79"/>
      <c r="N212" s="74"/>
      <c r="O212" s="81" t="s">
        <v>1207</v>
      </c>
      <c r="P212" s="83">
        <v>44460.085856481484</v>
      </c>
      <c r="Q212" s="81" t="s">
        <v>1324</v>
      </c>
      <c r="R212" s="81"/>
      <c r="S212" s="81"/>
      <c r="T212" s="81"/>
      <c r="U212" s="85" t="str">
        <f>HYPERLINK("https://pbs.twimg.com/media/E_xVJy2VQAQerFe.jpg")</f>
        <v>https://pbs.twimg.com/media/E_xVJy2VQAQerFe.jpg</v>
      </c>
      <c r="V212" s="85" t="str">
        <f>HYPERLINK("https://pbs.twimg.com/media/E_xVJy2VQAQerFe.jpg")</f>
        <v>https://pbs.twimg.com/media/E_xVJy2VQAQerFe.jpg</v>
      </c>
      <c r="W212" s="83">
        <v>44460.085856481484</v>
      </c>
      <c r="X212" s="89">
        <v>44460</v>
      </c>
      <c r="Y212" s="87" t="s">
        <v>1945</v>
      </c>
      <c r="Z212" s="85" t="str">
        <f>HYPERLINK("https://twitter.com/fahayabi/status/1440134594678833158")</f>
        <v>https://twitter.com/fahayabi/status/1440134594678833158</v>
      </c>
      <c r="AA212" s="81"/>
      <c r="AB212" s="81"/>
      <c r="AC212" s="87" t="s">
        <v>2867</v>
      </c>
      <c r="AD212" s="81"/>
      <c r="AE212" s="81" t="b">
        <v>0</v>
      </c>
      <c r="AF212" s="81">
        <v>0</v>
      </c>
      <c r="AG212" s="87" t="s">
        <v>3875</v>
      </c>
      <c r="AH212" s="81" t="b">
        <v>0</v>
      </c>
      <c r="AI212" s="81" t="s">
        <v>4092</v>
      </c>
      <c r="AJ212" s="81"/>
      <c r="AK212" s="87" t="s">
        <v>3875</v>
      </c>
      <c r="AL212" s="81" t="b">
        <v>0</v>
      </c>
      <c r="AM212" s="81">
        <v>321</v>
      </c>
      <c r="AN212" s="87" t="s">
        <v>3520</v>
      </c>
      <c r="AO212" s="87" t="s">
        <v>4109</v>
      </c>
      <c r="AP212" s="81" t="b">
        <v>0</v>
      </c>
      <c r="AQ212" s="87" t="s">
        <v>3520</v>
      </c>
      <c r="AR212" s="81" t="s">
        <v>179</v>
      </c>
      <c r="AS212" s="81">
        <v>0</v>
      </c>
      <c r="AT212" s="81">
        <v>0</v>
      </c>
      <c r="AU212" s="81"/>
      <c r="AV212" s="81"/>
      <c r="AW212" s="81"/>
      <c r="AX212" s="81"/>
      <c r="AY212" s="81"/>
      <c r="AZ212" s="81"/>
      <c r="BA212" s="81"/>
      <c r="BB212" s="81"/>
    </row>
    <row r="213" spans="1:54" x14ac:dyDescent="0.35">
      <c r="A213" s="66" t="s">
        <v>356</v>
      </c>
      <c r="B213" s="66" t="s">
        <v>910</v>
      </c>
      <c r="C213" s="67"/>
      <c r="D213" s="68"/>
      <c r="E213" s="69"/>
      <c r="F213" s="70"/>
      <c r="G213" s="67"/>
      <c r="H213" s="71"/>
      <c r="I213" s="72"/>
      <c r="J213" s="72"/>
      <c r="K213" s="36"/>
      <c r="L213" s="79"/>
      <c r="M213" s="79"/>
      <c r="N213" s="74"/>
      <c r="O213" s="81" t="s">
        <v>1205</v>
      </c>
      <c r="P213" s="83">
        <v>44460.085856481484</v>
      </c>
      <c r="Q213" s="81" t="s">
        <v>1324</v>
      </c>
      <c r="R213" s="81"/>
      <c r="S213" s="81"/>
      <c r="T213" s="81"/>
      <c r="U213" s="85" t="str">
        <f>HYPERLINK("https://pbs.twimg.com/media/E_xVJy2VQAQerFe.jpg")</f>
        <v>https://pbs.twimg.com/media/E_xVJy2VQAQerFe.jpg</v>
      </c>
      <c r="V213" s="85" t="str">
        <f>HYPERLINK("https://pbs.twimg.com/media/E_xVJy2VQAQerFe.jpg")</f>
        <v>https://pbs.twimg.com/media/E_xVJy2VQAQerFe.jpg</v>
      </c>
      <c r="W213" s="83">
        <v>44460.085856481484</v>
      </c>
      <c r="X213" s="89">
        <v>44460</v>
      </c>
      <c r="Y213" s="87" t="s">
        <v>1945</v>
      </c>
      <c r="Z213" s="85" t="str">
        <f>HYPERLINK("https://twitter.com/fahayabi/status/1440134594678833158")</f>
        <v>https://twitter.com/fahayabi/status/1440134594678833158</v>
      </c>
      <c r="AA213" s="81"/>
      <c r="AB213" s="81"/>
      <c r="AC213" s="87" t="s">
        <v>2867</v>
      </c>
      <c r="AD213" s="81"/>
      <c r="AE213" s="81" t="b">
        <v>0</v>
      </c>
      <c r="AF213" s="81">
        <v>0</v>
      </c>
      <c r="AG213" s="87" t="s">
        <v>3875</v>
      </c>
      <c r="AH213" s="81" t="b">
        <v>0</v>
      </c>
      <c r="AI213" s="81" t="s">
        <v>4092</v>
      </c>
      <c r="AJ213" s="81"/>
      <c r="AK213" s="87" t="s">
        <v>3875</v>
      </c>
      <c r="AL213" s="81" t="b">
        <v>0</v>
      </c>
      <c r="AM213" s="81">
        <v>321</v>
      </c>
      <c r="AN213" s="87" t="s">
        <v>3520</v>
      </c>
      <c r="AO213" s="87" t="s">
        <v>4109</v>
      </c>
      <c r="AP213" s="81" t="b">
        <v>0</v>
      </c>
      <c r="AQ213" s="87" t="s">
        <v>3520</v>
      </c>
      <c r="AR213" s="81" t="s">
        <v>179</v>
      </c>
      <c r="AS213" s="81">
        <v>0</v>
      </c>
      <c r="AT213" s="81">
        <v>0</v>
      </c>
      <c r="AU213" s="81"/>
      <c r="AV213" s="81"/>
      <c r="AW213" s="81"/>
      <c r="AX213" s="81"/>
      <c r="AY213" s="81"/>
      <c r="AZ213" s="81"/>
      <c r="BA213" s="81"/>
      <c r="BB213" s="81"/>
    </row>
    <row r="214" spans="1:54" x14ac:dyDescent="0.35">
      <c r="A214" s="66" t="s">
        <v>357</v>
      </c>
      <c r="B214" s="66" t="s">
        <v>1055</v>
      </c>
      <c r="C214" s="67"/>
      <c r="D214" s="68"/>
      <c r="E214" s="69"/>
      <c r="F214" s="70"/>
      <c r="G214" s="67"/>
      <c r="H214" s="71"/>
      <c r="I214" s="72"/>
      <c r="J214" s="72"/>
      <c r="K214" s="36"/>
      <c r="L214" s="79"/>
      <c r="M214" s="79"/>
      <c r="N214" s="74"/>
      <c r="O214" s="81" t="s">
        <v>1207</v>
      </c>
      <c r="P214" s="83">
        <v>44460.086412037039</v>
      </c>
      <c r="Q214" s="81" t="s">
        <v>1324</v>
      </c>
      <c r="R214" s="81"/>
      <c r="S214" s="81"/>
      <c r="T214" s="81"/>
      <c r="U214" s="85" t="str">
        <f>HYPERLINK("https://pbs.twimg.com/media/E_xVJy2VQAQerFe.jpg")</f>
        <v>https://pbs.twimg.com/media/E_xVJy2VQAQerFe.jpg</v>
      </c>
      <c r="V214" s="85" t="str">
        <f>HYPERLINK("https://pbs.twimg.com/media/E_xVJy2VQAQerFe.jpg")</f>
        <v>https://pbs.twimg.com/media/E_xVJy2VQAQerFe.jpg</v>
      </c>
      <c r="W214" s="83">
        <v>44460.086412037039</v>
      </c>
      <c r="X214" s="89">
        <v>44460</v>
      </c>
      <c r="Y214" s="87" t="s">
        <v>1946</v>
      </c>
      <c r="Z214" s="85" t="str">
        <f>HYPERLINK("https://twitter.com/boncusho/status/1440134796491956224")</f>
        <v>https://twitter.com/boncusho/status/1440134796491956224</v>
      </c>
      <c r="AA214" s="81"/>
      <c r="AB214" s="81"/>
      <c r="AC214" s="87" t="s">
        <v>2868</v>
      </c>
      <c r="AD214" s="81"/>
      <c r="AE214" s="81" t="b">
        <v>0</v>
      </c>
      <c r="AF214" s="81">
        <v>0</v>
      </c>
      <c r="AG214" s="87" t="s">
        <v>3875</v>
      </c>
      <c r="AH214" s="81" t="b">
        <v>0</v>
      </c>
      <c r="AI214" s="81" t="s">
        <v>4092</v>
      </c>
      <c r="AJ214" s="81"/>
      <c r="AK214" s="87" t="s">
        <v>3875</v>
      </c>
      <c r="AL214" s="81" t="b">
        <v>0</v>
      </c>
      <c r="AM214" s="81">
        <v>321</v>
      </c>
      <c r="AN214" s="87" t="s">
        <v>3520</v>
      </c>
      <c r="AO214" s="87" t="s">
        <v>4109</v>
      </c>
      <c r="AP214" s="81" t="b">
        <v>0</v>
      </c>
      <c r="AQ214" s="87" t="s">
        <v>3520</v>
      </c>
      <c r="AR214" s="81" t="s">
        <v>179</v>
      </c>
      <c r="AS214" s="81">
        <v>0</v>
      </c>
      <c r="AT214" s="81">
        <v>0</v>
      </c>
      <c r="AU214" s="81"/>
      <c r="AV214" s="81"/>
      <c r="AW214" s="81"/>
      <c r="AX214" s="81"/>
      <c r="AY214" s="81"/>
      <c r="AZ214" s="81"/>
      <c r="BA214" s="81"/>
      <c r="BB214" s="81"/>
    </row>
    <row r="215" spans="1:54" x14ac:dyDescent="0.35">
      <c r="A215" s="66" t="s">
        <v>357</v>
      </c>
      <c r="B215" s="66" t="s">
        <v>910</v>
      </c>
      <c r="C215" s="67"/>
      <c r="D215" s="68"/>
      <c r="E215" s="69"/>
      <c r="F215" s="70"/>
      <c r="G215" s="67"/>
      <c r="H215" s="71"/>
      <c r="I215" s="72"/>
      <c r="J215" s="72"/>
      <c r="K215" s="36"/>
      <c r="L215" s="79"/>
      <c r="M215" s="79"/>
      <c r="N215" s="74"/>
      <c r="O215" s="81" t="s">
        <v>1205</v>
      </c>
      <c r="P215" s="83">
        <v>44460.086412037039</v>
      </c>
      <c r="Q215" s="81" t="s">
        <v>1324</v>
      </c>
      <c r="R215" s="81"/>
      <c r="S215" s="81"/>
      <c r="T215" s="81"/>
      <c r="U215" s="85" t="str">
        <f>HYPERLINK("https://pbs.twimg.com/media/E_xVJy2VQAQerFe.jpg")</f>
        <v>https://pbs.twimg.com/media/E_xVJy2VQAQerFe.jpg</v>
      </c>
      <c r="V215" s="85" t="str">
        <f>HYPERLINK("https://pbs.twimg.com/media/E_xVJy2VQAQerFe.jpg")</f>
        <v>https://pbs.twimg.com/media/E_xVJy2VQAQerFe.jpg</v>
      </c>
      <c r="W215" s="83">
        <v>44460.086412037039</v>
      </c>
      <c r="X215" s="89">
        <v>44460</v>
      </c>
      <c r="Y215" s="87" t="s">
        <v>1946</v>
      </c>
      <c r="Z215" s="85" t="str">
        <f>HYPERLINK("https://twitter.com/boncusho/status/1440134796491956224")</f>
        <v>https://twitter.com/boncusho/status/1440134796491956224</v>
      </c>
      <c r="AA215" s="81"/>
      <c r="AB215" s="81"/>
      <c r="AC215" s="87" t="s">
        <v>2868</v>
      </c>
      <c r="AD215" s="81"/>
      <c r="AE215" s="81" t="b">
        <v>0</v>
      </c>
      <c r="AF215" s="81">
        <v>0</v>
      </c>
      <c r="AG215" s="87" t="s">
        <v>3875</v>
      </c>
      <c r="AH215" s="81" t="b">
        <v>0</v>
      </c>
      <c r="AI215" s="81" t="s">
        <v>4092</v>
      </c>
      <c r="AJ215" s="81"/>
      <c r="AK215" s="87" t="s">
        <v>3875</v>
      </c>
      <c r="AL215" s="81" t="b">
        <v>0</v>
      </c>
      <c r="AM215" s="81">
        <v>321</v>
      </c>
      <c r="AN215" s="87" t="s">
        <v>3520</v>
      </c>
      <c r="AO215" s="87" t="s">
        <v>4109</v>
      </c>
      <c r="AP215" s="81" t="b">
        <v>0</v>
      </c>
      <c r="AQ215" s="87" t="s">
        <v>3520</v>
      </c>
      <c r="AR215" s="81" t="s">
        <v>179</v>
      </c>
      <c r="AS215" s="81">
        <v>0</v>
      </c>
      <c r="AT215" s="81">
        <v>0</v>
      </c>
      <c r="AU215" s="81"/>
      <c r="AV215" s="81"/>
      <c r="AW215" s="81"/>
      <c r="AX215" s="81"/>
      <c r="AY215" s="81"/>
      <c r="AZ215" s="81"/>
      <c r="BA215" s="81"/>
      <c r="BB215" s="81"/>
    </row>
    <row r="216" spans="1:54" x14ac:dyDescent="0.35">
      <c r="A216" s="66" t="s">
        <v>358</v>
      </c>
      <c r="B216" s="66" t="s">
        <v>1055</v>
      </c>
      <c r="C216" s="67"/>
      <c r="D216" s="68"/>
      <c r="E216" s="69"/>
      <c r="F216" s="70"/>
      <c r="G216" s="67"/>
      <c r="H216" s="71"/>
      <c r="I216" s="72"/>
      <c r="J216" s="72"/>
      <c r="K216" s="36"/>
      <c r="L216" s="79"/>
      <c r="M216" s="79"/>
      <c r="N216" s="74"/>
      <c r="O216" s="81" t="s">
        <v>1207</v>
      </c>
      <c r="P216" s="83">
        <v>44460.087268518517</v>
      </c>
      <c r="Q216" s="81" t="s">
        <v>1324</v>
      </c>
      <c r="R216" s="81"/>
      <c r="S216" s="81"/>
      <c r="T216" s="81"/>
      <c r="U216" s="85" t="str">
        <f>HYPERLINK("https://pbs.twimg.com/media/E_xVJy2VQAQerFe.jpg")</f>
        <v>https://pbs.twimg.com/media/E_xVJy2VQAQerFe.jpg</v>
      </c>
      <c r="V216" s="85" t="str">
        <f>HYPERLINK("https://pbs.twimg.com/media/E_xVJy2VQAQerFe.jpg")</f>
        <v>https://pbs.twimg.com/media/E_xVJy2VQAQerFe.jpg</v>
      </c>
      <c r="W216" s="83">
        <v>44460.087268518517</v>
      </c>
      <c r="X216" s="89">
        <v>44460</v>
      </c>
      <c r="Y216" s="87" t="s">
        <v>1947</v>
      </c>
      <c r="Z216" s="85" t="str">
        <f>HYPERLINK("https://twitter.com/hdayak1/status/1440135108254519302")</f>
        <v>https://twitter.com/hdayak1/status/1440135108254519302</v>
      </c>
      <c r="AA216" s="81"/>
      <c r="AB216" s="81"/>
      <c r="AC216" s="87" t="s">
        <v>2869</v>
      </c>
      <c r="AD216" s="81"/>
      <c r="AE216" s="81" t="b">
        <v>0</v>
      </c>
      <c r="AF216" s="81">
        <v>0</v>
      </c>
      <c r="AG216" s="87" t="s">
        <v>3875</v>
      </c>
      <c r="AH216" s="81" t="b">
        <v>0</v>
      </c>
      <c r="AI216" s="81" t="s">
        <v>4092</v>
      </c>
      <c r="AJ216" s="81"/>
      <c r="AK216" s="87" t="s">
        <v>3875</v>
      </c>
      <c r="AL216" s="81" t="b">
        <v>0</v>
      </c>
      <c r="AM216" s="81">
        <v>321</v>
      </c>
      <c r="AN216" s="87" t="s">
        <v>3520</v>
      </c>
      <c r="AO216" s="87" t="s">
        <v>4109</v>
      </c>
      <c r="AP216" s="81" t="b">
        <v>0</v>
      </c>
      <c r="AQ216" s="87" t="s">
        <v>3520</v>
      </c>
      <c r="AR216" s="81" t="s">
        <v>179</v>
      </c>
      <c r="AS216" s="81">
        <v>0</v>
      </c>
      <c r="AT216" s="81">
        <v>0</v>
      </c>
      <c r="AU216" s="81"/>
      <c r="AV216" s="81"/>
      <c r="AW216" s="81"/>
      <c r="AX216" s="81"/>
      <c r="AY216" s="81"/>
      <c r="AZ216" s="81"/>
      <c r="BA216" s="81"/>
      <c r="BB216" s="81"/>
    </row>
    <row r="217" spans="1:54" x14ac:dyDescent="0.35">
      <c r="A217" s="66" t="s">
        <v>358</v>
      </c>
      <c r="B217" s="66" t="s">
        <v>910</v>
      </c>
      <c r="C217" s="67"/>
      <c r="D217" s="68"/>
      <c r="E217" s="69"/>
      <c r="F217" s="70"/>
      <c r="G217" s="67"/>
      <c r="H217" s="71"/>
      <c r="I217" s="72"/>
      <c r="J217" s="72"/>
      <c r="K217" s="36"/>
      <c r="L217" s="79"/>
      <c r="M217" s="79"/>
      <c r="N217" s="74"/>
      <c r="O217" s="81" t="s">
        <v>1205</v>
      </c>
      <c r="P217" s="83">
        <v>44460.087268518517</v>
      </c>
      <c r="Q217" s="81" t="s">
        <v>1324</v>
      </c>
      <c r="R217" s="81"/>
      <c r="S217" s="81"/>
      <c r="T217" s="81"/>
      <c r="U217" s="85" t="str">
        <f>HYPERLINK("https://pbs.twimg.com/media/E_xVJy2VQAQerFe.jpg")</f>
        <v>https://pbs.twimg.com/media/E_xVJy2VQAQerFe.jpg</v>
      </c>
      <c r="V217" s="85" t="str">
        <f>HYPERLINK("https://pbs.twimg.com/media/E_xVJy2VQAQerFe.jpg")</f>
        <v>https://pbs.twimg.com/media/E_xVJy2VQAQerFe.jpg</v>
      </c>
      <c r="W217" s="83">
        <v>44460.087268518517</v>
      </c>
      <c r="X217" s="89">
        <v>44460</v>
      </c>
      <c r="Y217" s="87" t="s">
        <v>1947</v>
      </c>
      <c r="Z217" s="85" t="str">
        <f>HYPERLINK("https://twitter.com/hdayak1/status/1440135108254519302")</f>
        <v>https://twitter.com/hdayak1/status/1440135108254519302</v>
      </c>
      <c r="AA217" s="81"/>
      <c r="AB217" s="81"/>
      <c r="AC217" s="87" t="s">
        <v>2869</v>
      </c>
      <c r="AD217" s="81"/>
      <c r="AE217" s="81" t="b">
        <v>0</v>
      </c>
      <c r="AF217" s="81">
        <v>0</v>
      </c>
      <c r="AG217" s="87" t="s">
        <v>3875</v>
      </c>
      <c r="AH217" s="81" t="b">
        <v>0</v>
      </c>
      <c r="AI217" s="81" t="s">
        <v>4092</v>
      </c>
      <c r="AJ217" s="81"/>
      <c r="AK217" s="87" t="s">
        <v>3875</v>
      </c>
      <c r="AL217" s="81" t="b">
        <v>0</v>
      </c>
      <c r="AM217" s="81">
        <v>321</v>
      </c>
      <c r="AN217" s="87" t="s">
        <v>3520</v>
      </c>
      <c r="AO217" s="87" t="s">
        <v>4109</v>
      </c>
      <c r="AP217" s="81" t="b">
        <v>0</v>
      </c>
      <c r="AQ217" s="87" t="s">
        <v>3520</v>
      </c>
      <c r="AR217" s="81" t="s">
        <v>179</v>
      </c>
      <c r="AS217" s="81">
        <v>0</v>
      </c>
      <c r="AT217" s="81">
        <v>0</v>
      </c>
      <c r="AU217" s="81"/>
      <c r="AV217" s="81"/>
      <c r="AW217" s="81"/>
      <c r="AX217" s="81"/>
      <c r="AY217" s="81"/>
      <c r="AZ217" s="81"/>
      <c r="BA217" s="81"/>
      <c r="BB217" s="81"/>
    </row>
    <row r="218" spans="1:54" x14ac:dyDescent="0.35">
      <c r="A218" s="66" t="s">
        <v>359</v>
      </c>
      <c r="B218" s="66" t="s">
        <v>1055</v>
      </c>
      <c r="C218" s="67"/>
      <c r="D218" s="68"/>
      <c r="E218" s="69"/>
      <c r="F218" s="70"/>
      <c r="G218" s="67"/>
      <c r="H218" s="71"/>
      <c r="I218" s="72"/>
      <c r="J218" s="72"/>
      <c r="K218" s="36"/>
      <c r="L218" s="79"/>
      <c r="M218" s="79"/>
      <c r="N218" s="74"/>
      <c r="O218" s="81" t="s">
        <v>1207</v>
      </c>
      <c r="P218" s="83">
        <v>44460.088622685187</v>
      </c>
      <c r="Q218" s="81" t="s">
        <v>1324</v>
      </c>
      <c r="R218" s="81"/>
      <c r="S218" s="81"/>
      <c r="T218" s="81"/>
      <c r="U218" s="85" t="str">
        <f>HYPERLINK("https://pbs.twimg.com/media/E_xVJy2VQAQerFe.jpg")</f>
        <v>https://pbs.twimg.com/media/E_xVJy2VQAQerFe.jpg</v>
      </c>
      <c r="V218" s="85" t="str">
        <f>HYPERLINK("https://pbs.twimg.com/media/E_xVJy2VQAQerFe.jpg")</f>
        <v>https://pbs.twimg.com/media/E_xVJy2VQAQerFe.jpg</v>
      </c>
      <c r="W218" s="83">
        <v>44460.088622685187</v>
      </c>
      <c r="X218" s="89">
        <v>44460</v>
      </c>
      <c r="Y218" s="87" t="s">
        <v>1948</v>
      </c>
      <c r="Z218" s="85" t="str">
        <f>HYPERLINK("https://twitter.com/reemeora1/status/1440135595565617153")</f>
        <v>https://twitter.com/reemeora1/status/1440135595565617153</v>
      </c>
      <c r="AA218" s="81"/>
      <c r="AB218" s="81"/>
      <c r="AC218" s="87" t="s">
        <v>2870</v>
      </c>
      <c r="AD218" s="81"/>
      <c r="AE218" s="81" t="b">
        <v>0</v>
      </c>
      <c r="AF218" s="81">
        <v>0</v>
      </c>
      <c r="AG218" s="87" t="s">
        <v>3875</v>
      </c>
      <c r="AH218" s="81" t="b">
        <v>0</v>
      </c>
      <c r="AI218" s="81" t="s">
        <v>4092</v>
      </c>
      <c r="AJ218" s="81"/>
      <c r="AK218" s="87" t="s">
        <v>3875</v>
      </c>
      <c r="AL218" s="81" t="b">
        <v>0</v>
      </c>
      <c r="AM218" s="81">
        <v>321</v>
      </c>
      <c r="AN218" s="87" t="s">
        <v>3520</v>
      </c>
      <c r="AO218" s="87" t="s">
        <v>4109</v>
      </c>
      <c r="AP218" s="81" t="b">
        <v>0</v>
      </c>
      <c r="AQ218" s="87" t="s">
        <v>3520</v>
      </c>
      <c r="AR218" s="81" t="s">
        <v>179</v>
      </c>
      <c r="AS218" s="81">
        <v>0</v>
      </c>
      <c r="AT218" s="81">
        <v>0</v>
      </c>
      <c r="AU218" s="81"/>
      <c r="AV218" s="81"/>
      <c r="AW218" s="81"/>
      <c r="AX218" s="81"/>
      <c r="AY218" s="81"/>
      <c r="AZ218" s="81"/>
      <c r="BA218" s="81"/>
      <c r="BB218" s="81"/>
    </row>
    <row r="219" spans="1:54" x14ac:dyDescent="0.35">
      <c r="A219" s="66" t="s">
        <v>359</v>
      </c>
      <c r="B219" s="66" t="s">
        <v>910</v>
      </c>
      <c r="C219" s="67"/>
      <c r="D219" s="68"/>
      <c r="E219" s="69"/>
      <c r="F219" s="70"/>
      <c r="G219" s="67"/>
      <c r="H219" s="71"/>
      <c r="I219" s="72"/>
      <c r="J219" s="72"/>
      <c r="K219" s="36"/>
      <c r="L219" s="79"/>
      <c r="M219" s="79"/>
      <c r="N219" s="74"/>
      <c r="O219" s="81" t="s">
        <v>1205</v>
      </c>
      <c r="P219" s="83">
        <v>44460.088622685187</v>
      </c>
      <c r="Q219" s="81" t="s">
        <v>1324</v>
      </c>
      <c r="R219" s="81"/>
      <c r="S219" s="81"/>
      <c r="T219" s="81"/>
      <c r="U219" s="85" t="str">
        <f>HYPERLINK("https://pbs.twimg.com/media/E_xVJy2VQAQerFe.jpg")</f>
        <v>https://pbs.twimg.com/media/E_xVJy2VQAQerFe.jpg</v>
      </c>
      <c r="V219" s="85" t="str">
        <f>HYPERLINK("https://pbs.twimg.com/media/E_xVJy2VQAQerFe.jpg")</f>
        <v>https://pbs.twimg.com/media/E_xVJy2VQAQerFe.jpg</v>
      </c>
      <c r="W219" s="83">
        <v>44460.088622685187</v>
      </c>
      <c r="X219" s="89">
        <v>44460</v>
      </c>
      <c r="Y219" s="87" t="s">
        <v>1948</v>
      </c>
      <c r="Z219" s="85" t="str">
        <f>HYPERLINK("https://twitter.com/reemeora1/status/1440135595565617153")</f>
        <v>https://twitter.com/reemeora1/status/1440135595565617153</v>
      </c>
      <c r="AA219" s="81"/>
      <c r="AB219" s="81"/>
      <c r="AC219" s="87" t="s">
        <v>2870</v>
      </c>
      <c r="AD219" s="81"/>
      <c r="AE219" s="81" t="b">
        <v>0</v>
      </c>
      <c r="AF219" s="81">
        <v>0</v>
      </c>
      <c r="AG219" s="87" t="s">
        <v>3875</v>
      </c>
      <c r="AH219" s="81" t="b">
        <v>0</v>
      </c>
      <c r="AI219" s="81" t="s">
        <v>4092</v>
      </c>
      <c r="AJ219" s="81"/>
      <c r="AK219" s="87" t="s">
        <v>3875</v>
      </c>
      <c r="AL219" s="81" t="b">
        <v>0</v>
      </c>
      <c r="AM219" s="81">
        <v>321</v>
      </c>
      <c r="AN219" s="87" t="s">
        <v>3520</v>
      </c>
      <c r="AO219" s="87" t="s">
        <v>4109</v>
      </c>
      <c r="AP219" s="81" t="b">
        <v>0</v>
      </c>
      <c r="AQ219" s="87" t="s">
        <v>3520</v>
      </c>
      <c r="AR219" s="81" t="s">
        <v>179</v>
      </c>
      <c r="AS219" s="81">
        <v>0</v>
      </c>
      <c r="AT219" s="81">
        <v>0</v>
      </c>
      <c r="AU219" s="81"/>
      <c r="AV219" s="81"/>
      <c r="AW219" s="81"/>
      <c r="AX219" s="81"/>
      <c r="AY219" s="81"/>
      <c r="AZ219" s="81"/>
      <c r="BA219" s="81"/>
      <c r="BB219" s="81"/>
    </row>
    <row r="220" spans="1:54" x14ac:dyDescent="0.35">
      <c r="A220" s="66" t="s">
        <v>360</v>
      </c>
      <c r="B220" s="66" t="s">
        <v>1055</v>
      </c>
      <c r="C220" s="67"/>
      <c r="D220" s="68"/>
      <c r="E220" s="69"/>
      <c r="F220" s="70"/>
      <c r="G220" s="67"/>
      <c r="H220" s="71"/>
      <c r="I220" s="72"/>
      <c r="J220" s="72"/>
      <c r="K220" s="36"/>
      <c r="L220" s="79"/>
      <c r="M220" s="79"/>
      <c r="N220" s="74"/>
      <c r="O220" s="81" t="s">
        <v>1207</v>
      </c>
      <c r="P220" s="83">
        <v>44460.092442129629</v>
      </c>
      <c r="Q220" s="81" t="s">
        <v>1324</v>
      </c>
      <c r="R220" s="81"/>
      <c r="S220" s="81"/>
      <c r="T220" s="81"/>
      <c r="U220" s="85" t="str">
        <f>HYPERLINK("https://pbs.twimg.com/media/E_xVJy2VQAQerFe.jpg")</f>
        <v>https://pbs.twimg.com/media/E_xVJy2VQAQerFe.jpg</v>
      </c>
      <c r="V220" s="85" t="str">
        <f>HYPERLINK("https://pbs.twimg.com/media/E_xVJy2VQAQerFe.jpg")</f>
        <v>https://pbs.twimg.com/media/E_xVJy2VQAQerFe.jpg</v>
      </c>
      <c r="W220" s="83">
        <v>44460.092442129629</v>
      </c>
      <c r="X220" s="89">
        <v>44460</v>
      </c>
      <c r="Y220" s="87" t="s">
        <v>1949</v>
      </c>
      <c r="Z220" s="85" t="str">
        <f>HYPERLINK("https://twitter.com/nurcahy02969790/status/1440136983049736200")</f>
        <v>https://twitter.com/nurcahy02969790/status/1440136983049736200</v>
      </c>
      <c r="AA220" s="81"/>
      <c r="AB220" s="81"/>
      <c r="AC220" s="87" t="s">
        <v>2871</v>
      </c>
      <c r="AD220" s="81"/>
      <c r="AE220" s="81" t="b">
        <v>0</v>
      </c>
      <c r="AF220" s="81">
        <v>0</v>
      </c>
      <c r="AG220" s="87" t="s">
        <v>3875</v>
      </c>
      <c r="AH220" s="81" t="b">
        <v>0</v>
      </c>
      <c r="AI220" s="81" t="s">
        <v>4092</v>
      </c>
      <c r="AJ220" s="81"/>
      <c r="AK220" s="87" t="s">
        <v>3875</v>
      </c>
      <c r="AL220" s="81" t="b">
        <v>0</v>
      </c>
      <c r="AM220" s="81">
        <v>321</v>
      </c>
      <c r="AN220" s="87" t="s">
        <v>3520</v>
      </c>
      <c r="AO220" s="87" t="s">
        <v>4109</v>
      </c>
      <c r="AP220" s="81" t="b">
        <v>0</v>
      </c>
      <c r="AQ220" s="87" t="s">
        <v>3520</v>
      </c>
      <c r="AR220" s="81" t="s">
        <v>179</v>
      </c>
      <c r="AS220" s="81">
        <v>0</v>
      </c>
      <c r="AT220" s="81">
        <v>0</v>
      </c>
      <c r="AU220" s="81"/>
      <c r="AV220" s="81"/>
      <c r="AW220" s="81"/>
      <c r="AX220" s="81"/>
      <c r="AY220" s="81"/>
      <c r="AZ220" s="81"/>
      <c r="BA220" s="81"/>
      <c r="BB220" s="81"/>
    </row>
    <row r="221" spans="1:54" x14ac:dyDescent="0.35">
      <c r="A221" s="66" t="s">
        <v>360</v>
      </c>
      <c r="B221" s="66" t="s">
        <v>910</v>
      </c>
      <c r="C221" s="67"/>
      <c r="D221" s="68"/>
      <c r="E221" s="69"/>
      <c r="F221" s="70"/>
      <c r="G221" s="67"/>
      <c r="H221" s="71"/>
      <c r="I221" s="72"/>
      <c r="J221" s="72"/>
      <c r="K221" s="36"/>
      <c r="L221" s="79"/>
      <c r="M221" s="79"/>
      <c r="N221" s="74"/>
      <c r="O221" s="81" t="s">
        <v>1205</v>
      </c>
      <c r="P221" s="83">
        <v>44460.092442129629</v>
      </c>
      <c r="Q221" s="81" t="s">
        <v>1324</v>
      </c>
      <c r="R221" s="81"/>
      <c r="S221" s="81"/>
      <c r="T221" s="81"/>
      <c r="U221" s="85" t="str">
        <f>HYPERLINK("https://pbs.twimg.com/media/E_xVJy2VQAQerFe.jpg")</f>
        <v>https://pbs.twimg.com/media/E_xVJy2VQAQerFe.jpg</v>
      </c>
      <c r="V221" s="85" t="str">
        <f>HYPERLINK("https://pbs.twimg.com/media/E_xVJy2VQAQerFe.jpg")</f>
        <v>https://pbs.twimg.com/media/E_xVJy2VQAQerFe.jpg</v>
      </c>
      <c r="W221" s="83">
        <v>44460.092442129629</v>
      </c>
      <c r="X221" s="89">
        <v>44460</v>
      </c>
      <c r="Y221" s="87" t="s">
        <v>1949</v>
      </c>
      <c r="Z221" s="85" t="str">
        <f>HYPERLINK("https://twitter.com/nurcahy02969790/status/1440136983049736200")</f>
        <v>https://twitter.com/nurcahy02969790/status/1440136983049736200</v>
      </c>
      <c r="AA221" s="81"/>
      <c r="AB221" s="81"/>
      <c r="AC221" s="87" t="s">
        <v>2871</v>
      </c>
      <c r="AD221" s="81"/>
      <c r="AE221" s="81" t="b">
        <v>0</v>
      </c>
      <c r="AF221" s="81">
        <v>0</v>
      </c>
      <c r="AG221" s="87" t="s">
        <v>3875</v>
      </c>
      <c r="AH221" s="81" t="b">
        <v>0</v>
      </c>
      <c r="AI221" s="81" t="s">
        <v>4092</v>
      </c>
      <c r="AJ221" s="81"/>
      <c r="AK221" s="87" t="s">
        <v>3875</v>
      </c>
      <c r="AL221" s="81" t="b">
        <v>0</v>
      </c>
      <c r="AM221" s="81">
        <v>321</v>
      </c>
      <c r="AN221" s="87" t="s">
        <v>3520</v>
      </c>
      <c r="AO221" s="87" t="s">
        <v>4109</v>
      </c>
      <c r="AP221" s="81" t="b">
        <v>0</v>
      </c>
      <c r="AQ221" s="87" t="s">
        <v>3520</v>
      </c>
      <c r="AR221" s="81" t="s">
        <v>179</v>
      </c>
      <c r="AS221" s="81">
        <v>0</v>
      </c>
      <c r="AT221" s="81">
        <v>0</v>
      </c>
      <c r="AU221" s="81"/>
      <c r="AV221" s="81"/>
      <c r="AW221" s="81"/>
      <c r="AX221" s="81"/>
      <c r="AY221" s="81"/>
      <c r="AZ221" s="81"/>
      <c r="BA221" s="81"/>
      <c r="BB221" s="81"/>
    </row>
    <row r="222" spans="1:54" x14ac:dyDescent="0.35">
      <c r="A222" s="66" t="s">
        <v>361</v>
      </c>
      <c r="B222" s="66" t="s">
        <v>1055</v>
      </c>
      <c r="C222" s="67"/>
      <c r="D222" s="68"/>
      <c r="E222" s="69"/>
      <c r="F222" s="70"/>
      <c r="G222" s="67"/>
      <c r="H222" s="71"/>
      <c r="I222" s="72"/>
      <c r="J222" s="72"/>
      <c r="K222" s="36"/>
      <c r="L222" s="79"/>
      <c r="M222" s="79"/>
      <c r="N222" s="74"/>
      <c r="O222" s="81" t="s">
        <v>1207</v>
      </c>
      <c r="P222" s="83">
        <v>44460.093298611115</v>
      </c>
      <c r="Q222" s="81" t="s">
        <v>1324</v>
      </c>
      <c r="R222" s="81"/>
      <c r="S222" s="81"/>
      <c r="T222" s="81"/>
      <c r="U222" s="85" t="str">
        <f>HYPERLINK("https://pbs.twimg.com/media/E_xVJy2VQAQerFe.jpg")</f>
        <v>https://pbs.twimg.com/media/E_xVJy2VQAQerFe.jpg</v>
      </c>
      <c r="V222" s="85" t="str">
        <f>HYPERLINK("https://pbs.twimg.com/media/E_xVJy2VQAQerFe.jpg")</f>
        <v>https://pbs.twimg.com/media/E_xVJy2VQAQerFe.jpg</v>
      </c>
      <c r="W222" s="83">
        <v>44460.093298611115</v>
      </c>
      <c r="X222" s="89">
        <v>44460</v>
      </c>
      <c r="Y222" s="87" t="s">
        <v>1950</v>
      </c>
      <c r="Z222" s="85" t="str">
        <f>HYPERLINK("https://twitter.com/reddytanubrata/status/1440137290567733253")</f>
        <v>https://twitter.com/reddytanubrata/status/1440137290567733253</v>
      </c>
      <c r="AA222" s="81"/>
      <c r="AB222" s="81"/>
      <c r="AC222" s="87" t="s">
        <v>2872</v>
      </c>
      <c r="AD222" s="81"/>
      <c r="AE222" s="81" t="b">
        <v>0</v>
      </c>
      <c r="AF222" s="81">
        <v>0</v>
      </c>
      <c r="AG222" s="87" t="s">
        <v>3875</v>
      </c>
      <c r="AH222" s="81" t="b">
        <v>0</v>
      </c>
      <c r="AI222" s="81" t="s">
        <v>4092</v>
      </c>
      <c r="AJ222" s="81"/>
      <c r="AK222" s="87" t="s">
        <v>3875</v>
      </c>
      <c r="AL222" s="81" t="b">
        <v>0</v>
      </c>
      <c r="AM222" s="81">
        <v>321</v>
      </c>
      <c r="AN222" s="87" t="s">
        <v>3520</v>
      </c>
      <c r="AO222" s="87" t="s">
        <v>4110</v>
      </c>
      <c r="AP222" s="81" t="b">
        <v>0</v>
      </c>
      <c r="AQ222" s="87" t="s">
        <v>3520</v>
      </c>
      <c r="AR222" s="81" t="s">
        <v>179</v>
      </c>
      <c r="AS222" s="81">
        <v>0</v>
      </c>
      <c r="AT222" s="81">
        <v>0</v>
      </c>
      <c r="AU222" s="81"/>
      <c r="AV222" s="81"/>
      <c r="AW222" s="81"/>
      <c r="AX222" s="81"/>
      <c r="AY222" s="81"/>
      <c r="AZ222" s="81"/>
      <c r="BA222" s="81"/>
      <c r="BB222" s="81"/>
    </row>
    <row r="223" spans="1:54" x14ac:dyDescent="0.35">
      <c r="A223" s="66" t="s">
        <v>361</v>
      </c>
      <c r="B223" s="66" t="s">
        <v>910</v>
      </c>
      <c r="C223" s="67"/>
      <c r="D223" s="68"/>
      <c r="E223" s="69"/>
      <c r="F223" s="70"/>
      <c r="G223" s="67"/>
      <c r="H223" s="71"/>
      <c r="I223" s="72"/>
      <c r="J223" s="72"/>
      <c r="K223" s="36"/>
      <c r="L223" s="79"/>
      <c r="M223" s="79"/>
      <c r="N223" s="74"/>
      <c r="O223" s="81" t="s">
        <v>1205</v>
      </c>
      <c r="P223" s="83">
        <v>44460.093298611115</v>
      </c>
      <c r="Q223" s="81" t="s">
        <v>1324</v>
      </c>
      <c r="R223" s="81"/>
      <c r="S223" s="81"/>
      <c r="T223" s="81"/>
      <c r="U223" s="85" t="str">
        <f>HYPERLINK("https://pbs.twimg.com/media/E_xVJy2VQAQerFe.jpg")</f>
        <v>https://pbs.twimg.com/media/E_xVJy2VQAQerFe.jpg</v>
      </c>
      <c r="V223" s="85" t="str">
        <f>HYPERLINK("https://pbs.twimg.com/media/E_xVJy2VQAQerFe.jpg")</f>
        <v>https://pbs.twimg.com/media/E_xVJy2VQAQerFe.jpg</v>
      </c>
      <c r="W223" s="83">
        <v>44460.093298611115</v>
      </c>
      <c r="X223" s="89">
        <v>44460</v>
      </c>
      <c r="Y223" s="87" t="s">
        <v>1950</v>
      </c>
      <c r="Z223" s="85" t="str">
        <f>HYPERLINK("https://twitter.com/reddytanubrata/status/1440137290567733253")</f>
        <v>https://twitter.com/reddytanubrata/status/1440137290567733253</v>
      </c>
      <c r="AA223" s="81"/>
      <c r="AB223" s="81"/>
      <c r="AC223" s="87" t="s">
        <v>2872</v>
      </c>
      <c r="AD223" s="81"/>
      <c r="AE223" s="81" t="b">
        <v>0</v>
      </c>
      <c r="AF223" s="81">
        <v>0</v>
      </c>
      <c r="AG223" s="87" t="s">
        <v>3875</v>
      </c>
      <c r="AH223" s="81" t="b">
        <v>0</v>
      </c>
      <c r="AI223" s="81" t="s">
        <v>4092</v>
      </c>
      <c r="AJ223" s="81"/>
      <c r="AK223" s="87" t="s">
        <v>3875</v>
      </c>
      <c r="AL223" s="81" t="b">
        <v>0</v>
      </c>
      <c r="AM223" s="81">
        <v>321</v>
      </c>
      <c r="AN223" s="87" t="s">
        <v>3520</v>
      </c>
      <c r="AO223" s="87" t="s">
        <v>4110</v>
      </c>
      <c r="AP223" s="81" t="b">
        <v>0</v>
      </c>
      <c r="AQ223" s="87" t="s">
        <v>3520</v>
      </c>
      <c r="AR223" s="81" t="s">
        <v>179</v>
      </c>
      <c r="AS223" s="81">
        <v>0</v>
      </c>
      <c r="AT223" s="81">
        <v>0</v>
      </c>
      <c r="AU223" s="81"/>
      <c r="AV223" s="81"/>
      <c r="AW223" s="81"/>
      <c r="AX223" s="81"/>
      <c r="AY223" s="81"/>
      <c r="AZ223" s="81"/>
      <c r="BA223" s="81"/>
      <c r="BB223" s="81"/>
    </row>
    <row r="224" spans="1:54" x14ac:dyDescent="0.35">
      <c r="A224" s="66" t="s">
        <v>362</v>
      </c>
      <c r="B224" s="66" t="s">
        <v>1055</v>
      </c>
      <c r="C224" s="67"/>
      <c r="D224" s="68"/>
      <c r="E224" s="69"/>
      <c r="F224" s="70"/>
      <c r="G224" s="67"/>
      <c r="H224" s="71"/>
      <c r="I224" s="72"/>
      <c r="J224" s="72"/>
      <c r="K224" s="36"/>
      <c r="L224" s="79"/>
      <c r="M224" s="79"/>
      <c r="N224" s="74"/>
      <c r="O224" s="81" t="s">
        <v>1207</v>
      </c>
      <c r="P224" s="83">
        <v>44460.094143518516</v>
      </c>
      <c r="Q224" s="81" t="s">
        <v>1324</v>
      </c>
      <c r="R224" s="81"/>
      <c r="S224" s="81"/>
      <c r="T224" s="81"/>
      <c r="U224" s="85" t="str">
        <f>HYPERLINK("https://pbs.twimg.com/media/E_xVJy2VQAQerFe.jpg")</f>
        <v>https://pbs.twimg.com/media/E_xVJy2VQAQerFe.jpg</v>
      </c>
      <c r="V224" s="85" t="str">
        <f>HYPERLINK("https://pbs.twimg.com/media/E_xVJy2VQAQerFe.jpg")</f>
        <v>https://pbs.twimg.com/media/E_xVJy2VQAQerFe.jpg</v>
      </c>
      <c r="W224" s="83">
        <v>44460.094143518516</v>
      </c>
      <c r="X224" s="89">
        <v>44460</v>
      </c>
      <c r="Y224" s="87" t="s">
        <v>1951</v>
      </c>
      <c r="Z224" s="85" t="str">
        <f>HYPERLINK("https://twitter.com/saukur1heureuy2/status/1440137597984985089")</f>
        <v>https://twitter.com/saukur1heureuy2/status/1440137597984985089</v>
      </c>
      <c r="AA224" s="81"/>
      <c r="AB224" s="81"/>
      <c r="AC224" s="87" t="s">
        <v>2873</v>
      </c>
      <c r="AD224" s="81"/>
      <c r="AE224" s="81" t="b">
        <v>0</v>
      </c>
      <c r="AF224" s="81">
        <v>0</v>
      </c>
      <c r="AG224" s="87" t="s">
        <v>3875</v>
      </c>
      <c r="AH224" s="81" t="b">
        <v>0</v>
      </c>
      <c r="AI224" s="81" t="s">
        <v>4092</v>
      </c>
      <c r="AJ224" s="81"/>
      <c r="AK224" s="87" t="s">
        <v>3875</v>
      </c>
      <c r="AL224" s="81" t="b">
        <v>0</v>
      </c>
      <c r="AM224" s="81">
        <v>321</v>
      </c>
      <c r="AN224" s="87" t="s">
        <v>3520</v>
      </c>
      <c r="AO224" s="87" t="s">
        <v>4109</v>
      </c>
      <c r="AP224" s="81" t="b">
        <v>0</v>
      </c>
      <c r="AQ224" s="87" t="s">
        <v>3520</v>
      </c>
      <c r="AR224" s="81" t="s">
        <v>179</v>
      </c>
      <c r="AS224" s="81">
        <v>0</v>
      </c>
      <c r="AT224" s="81">
        <v>0</v>
      </c>
      <c r="AU224" s="81"/>
      <c r="AV224" s="81"/>
      <c r="AW224" s="81"/>
      <c r="AX224" s="81"/>
      <c r="AY224" s="81"/>
      <c r="AZ224" s="81"/>
      <c r="BA224" s="81"/>
      <c r="BB224" s="81"/>
    </row>
    <row r="225" spans="1:54" x14ac:dyDescent="0.35">
      <c r="A225" s="66" t="s">
        <v>362</v>
      </c>
      <c r="B225" s="66" t="s">
        <v>910</v>
      </c>
      <c r="C225" s="67"/>
      <c r="D225" s="68"/>
      <c r="E225" s="69"/>
      <c r="F225" s="70"/>
      <c r="G225" s="67"/>
      <c r="H225" s="71"/>
      <c r="I225" s="72"/>
      <c r="J225" s="72"/>
      <c r="K225" s="36"/>
      <c r="L225" s="79"/>
      <c r="M225" s="79"/>
      <c r="N225" s="74"/>
      <c r="O225" s="81" t="s">
        <v>1205</v>
      </c>
      <c r="P225" s="83">
        <v>44460.094143518516</v>
      </c>
      <c r="Q225" s="81" t="s">
        <v>1324</v>
      </c>
      <c r="R225" s="81"/>
      <c r="S225" s="81"/>
      <c r="T225" s="81"/>
      <c r="U225" s="85" t="str">
        <f>HYPERLINK("https://pbs.twimg.com/media/E_xVJy2VQAQerFe.jpg")</f>
        <v>https://pbs.twimg.com/media/E_xVJy2VQAQerFe.jpg</v>
      </c>
      <c r="V225" s="85" t="str">
        <f>HYPERLINK("https://pbs.twimg.com/media/E_xVJy2VQAQerFe.jpg")</f>
        <v>https://pbs.twimg.com/media/E_xVJy2VQAQerFe.jpg</v>
      </c>
      <c r="W225" s="83">
        <v>44460.094143518516</v>
      </c>
      <c r="X225" s="89">
        <v>44460</v>
      </c>
      <c r="Y225" s="87" t="s">
        <v>1951</v>
      </c>
      <c r="Z225" s="85" t="str">
        <f>HYPERLINK("https://twitter.com/saukur1heureuy2/status/1440137597984985089")</f>
        <v>https://twitter.com/saukur1heureuy2/status/1440137597984985089</v>
      </c>
      <c r="AA225" s="81"/>
      <c r="AB225" s="81"/>
      <c r="AC225" s="87" t="s">
        <v>2873</v>
      </c>
      <c r="AD225" s="81"/>
      <c r="AE225" s="81" t="b">
        <v>0</v>
      </c>
      <c r="AF225" s="81">
        <v>0</v>
      </c>
      <c r="AG225" s="87" t="s">
        <v>3875</v>
      </c>
      <c r="AH225" s="81" t="b">
        <v>0</v>
      </c>
      <c r="AI225" s="81" t="s">
        <v>4092</v>
      </c>
      <c r="AJ225" s="81"/>
      <c r="AK225" s="87" t="s">
        <v>3875</v>
      </c>
      <c r="AL225" s="81" t="b">
        <v>0</v>
      </c>
      <c r="AM225" s="81">
        <v>321</v>
      </c>
      <c r="AN225" s="87" t="s">
        <v>3520</v>
      </c>
      <c r="AO225" s="87" t="s">
        <v>4109</v>
      </c>
      <c r="AP225" s="81" t="b">
        <v>0</v>
      </c>
      <c r="AQ225" s="87" t="s">
        <v>3520</v>
      </c>
      <c r="AR225" s="81" t="s">
        <v>179</v>
      </c>
      <c r="AS225" s="81">
        <v>0</v>
      </c>
      <c r="AT225" s="81">
        <v>0</v>
      </c>
      <c r="AU225" s="81"/>
      <c r="AV225" s="81"/>
      <c r="AW225" s="81"/>
      <c r="AX225" s="81"/>
      <c r="AY225" s="81"/>
      <c r="AZ225" s="81"/>
      <c r="BA225" s="81"/>
      <c r="BB225" s="81"/>
    </row>
    <row r="226" spans="1:54" x14ac:dyDescent="0.35">
      <c r="A226" s="66" t="s">
        <v>363</v>
      </c>
      <c r="B226" s="66" t="s">
        <v>1055</v>
      </c>
      <c r="C226" s="67"/>
      <c r="D226" s="68"/>
      <c r="E226" s="69"/>
      <c r="F226" s="70"/>
      <c r="G226" s="67"/>
      <c r="H226" s="71"/>
      <c r="I226" s="72"/>
      <c r="J226" s="72"/>
      <c r="K226" s="36"/>
      <c r="L226" s="79"/>
      <c r="M226" s="79"/>
      <c r="N226" s="74"/>
      <c r="O226" s="81" t="s">
        <v>1207</v>
      </c>
      <c r="P226" s="83">
        <v>44460.094629629632</v>
      </c>
      <c r="Q226" s="81" t="s">
        <v>1324</v>
      </c>
      <c r="R226" s="81"/>
      <c r="S226" s="81"/>
      <c r="T226" s="81"/>
      <c r="U226" s="85" t="str">
        <f>HYPERLINK("https://pbs.twimg.com/media/E_xVJy2VQAQerFe.jpg")</f>
        <v>https://pbs.twimg.com/media/E_xVJy2VQAQerFe.jpg</v>
      </c>
      <c r="V226" s="85" t="str">
        <f>HYPERLINK("https://pbs.twimg.com/media/E_xVJy2VQAQerFe.jpg")</f>
        <v>https://pbs.twimg.com/media/E_xVJy2VQAQerFe.jpg</v>
      </c>
      <c r="W226" s="83">
        <v>44460.094629629632</v>
      </c>
      <c r="X226" s="89">
        <v>44460</v>
      </c>
      <c r="Y226" s="87" t="s">
        <v>1952</v>
      </c>
      <c r="Z226" s="85" t="str">
        <f>HYPERLINK("https://twitter.com/anakmel53043582/status/1440137772396793861")</f>
        <v>https://twitter.com/anakmel53043582/status/1440137772396793861</v>
      </c>
      <c r="AA226" s="81"/>
      <c r="AB226" s="81"/>
      <c r="AC226" s="87" t="s">
        <v>2874</v>
      </c>
      <c r="AD226" s="81"/>
      <c r="AE226" s="81" t="b">
        <v>0</v>
      </c>
      <c r="AF226" s="81">
        <v>0</v>
      </c>
      <c r="AG226" s="87" t="s">
        <v>3875</v>
      </c>
      <c r="AH226" s="81" t="b">
        <v>0</v>
      </c>
      <c r="AI226" s="81" t="s">
        <v>4092</v>
      </c>
      <c r="AJ226" s="81"/>
      <c r="AK226" s="87" t="s">
        <v>3875</v>
      </c>
      <c r="AL226" s="81" t="b">
        <v>0</v>
      </c>
      <c r="AM226" s="81">
        <v>321</v>
      </c>
      <c r="AN226" s="87" t="s">
        <v>3520</v>
      </c>
      <c r="AO226" s="87" t="s">
        <v>4109</v>
      </c>
      <c r="AP226" s="81" t="b">
        <v>0</v>
      </c>
      <c r="AQ226" s="87" t="s">
        <v>3520</v>
      </c>
      <c r="AR226" s="81" t="s">
        <v>179</v>
      </c>
      <c r="AS226" s="81">
        <v>0</v>
      </c>
      <c r="AT226" s="81">
        <v>0</v>
      </c>
      <c r="AU226" s="81"/>
      <c r="AV226" s="81"/>
      <c r="AW226" s="81"/>
      <c r="AX226" s="81"/>
      <c r="AY226" s="81"/>
      <c r="AZ226" s="81"/>
      <c r="BA226" s="81"/>
      <c r="BB226" s="81"/>
    </row>
    <row r="227" spans="1:54" x14ac:dyDescent="0.35">
      <c r="A227" s="66" t="s">
        <v>363</v>
      </c>
      <c r="B227" s="66" t="s">
        <v>910</v>
      </c>
      <c r="C227" s="67"/>
      <c r="D227" s="68"/>
      <c r="E227" s="69"/>
      <c r="F227" s="70"/>
      <c r="G227" s="67"/>
      <c r="H227" s="71"/>
      <c r="I227" s="72"/>
      <c r="J227" s="72"/>
      <c r="K227" s="36"/>
      <c r="L227" s="79"/>
      <c r="M227" s="79"/>
      <c r="N227" s="74"/>
      <c r="O227" s="81" t="s">
        <v>1205</v>
      </c>
      <c r="P227" s="83">
        <v>44460.094629629632</v>
      </c>
      <c r="Q227" s="81" t="s">
        <v>1324</v>
      </c>
      <c r="R227" s="81"/>
      <c r="S227" s="81"/>
      <c r="T227" s="81"/>
      <c r="U227" s="85" t="str">
        <f>HYPERLINK("https://pbs.twimg.com/media/E_xVJy2VQAQerFe.jpg")</f>
        <v>https://pbs.twimg.com/media/E_xVJy2VQAQerFe.jpg</v>
      </c>
      <c r="V227" s="85" t="str">
        <f>HYPERLINK("https://pbs.twimg.com/media/E_xVJy2VQAQerFe.jpg")</f>
        <v>https://pbs.twimg.com/media/E_xVJy2VQAQerFe.jpg</v>
      </c>
      <c r="W227" s="83">
        <v>44460.094629629632</v>
      </c>
      <c r="X227" s="89">
        <v>44460</v>
      </c>
      <c r="Y227" s="87" t="s">
        <v>1952</v>
      </c>
      <c r="Z227" s="85" t="str">
        <f>HYPERLINK("https://twitter.com/anakmel53043582/status/1440137772396793861")</f>
        <v>https://twitter.com/anakmel53043582/status/1440137772396793861</v>
      </c>
      <c r="AA227" s="81"/>
      <c r="AB227" s="81"/>
      <c r="AC227" s="87" t="s">
        <v>2874</v>
      </c>
      <c r="AD227" s="81"/>
      <c r="AE227" s="81" t="b">
        <v>0</v>
      </c>
      <c r="AF227" s="81">
        <v>0</v>
      </c>
      <c r="AG227" s="87" t="s">
        <v>3875</v>
      </c>
      <c r="AH227" s="81" t="b">
        <v>0</v>
      </c>
      <c r="AI227" s="81" t="s">
        <v>4092</v>
      </c>
      <c r="AJ227" s="81"/>
      <c r="AK227" s="87" t="s">
        <v>3875</v>
      </c>
      <c r="AL227" s="81" t="b">
        <v>0</v>
      </c>
      <c r="AM227" s="81">
        <v>321</v>
      </c>
      <c r="AN227" s="87" t="s">
        <v>3520</v>
      </c>
      <c r="AO227" s="87" t="s">
        <v>4109</v>
      </c>
      <c r="AP227" s="81" t="b">
        <v>0</v>
      </c>
      <c r="AQ227" s="87" t="s">
        <v>3520</v>
      </c>
      <c r="AR227" s="81" t="s">
        <v>179</v>
      </c>
      <c r="AS227" s="81">
        <v>0</v>
      </c>
      <c r="AT227" s="81">
        <v>0</v>
      </c>
      <c r="AU227" s="81"/>
      <c r="AV227" s="81"/>
      <c r="AW227" s="81"/>
      <c r="AX227" s="81"/>
      <c r="AY227" s="81"/>
      <c r="AZ227" s="81"/>
      <c r="BA227" s="81"/>
      <c r="BB227" s="81"/>
    </row>
    <row r="228" spans="1:54" x14ac:dyDescent="0.35">
      <c r="A228" s="66" t="s">
        <v>364</v>
      </c>
      <c r="B228" s="66" t="s">
        <v>1055</v>
      </c>
      <c r="C228" s="67"/>
      <c r="D228" s="68"/>
      <c r="E228" s="69"/>
      <c r="F228" s="70"/>
      <c r="G228" s="67"/>
      <c r="H228" s="71"/>
      <c r="I228" s="72"/>
      <c r="J228" s="72"/>
      <c r="K228" s="36"/>
      <c r="L228" s="79"/>
      <c r="M228" s="79"/>
      <c r="N228" s="74"/>
      <c r="O228" s="81" t="s">
        <v>1207</v>
      </c>
      <c r="P228" s="83">
        <v>44460.094837962963</v>
      </c>
      <c r="Q228" s="81" t="s">
        <v>1324</v>
      </c>
      <c r="R228" s="81"/>
      <c r="S228" s="81"/>
      <c r="T228" s="81"/>
      <c r="U228" s="85" t="str">
        <f>HYPERLINK("https://pbs.twimg.com/media/E_xVJy2VQAQerFe.jpg")</f>
        <v>https://pbs.twimg.com/media/E_xVJy2VQAQerFe.jpg</v>
      </c>
      <c r="V228" s="85" t="str">
        <f>HYPERLINK("https://pbs.twimg.com/media/E_xVJy2VQAQerFe.jpg")</f>
        <v>https://pbs.twimg.com/media/E_xVJy2VQAQerFe.jpg</v>
      </c>
      <c r="W228" s="83">
        <v>44460.094837962963</v>
      </c>
      <c r="X228" s="89">
        <v>44460</v>
      </c>
      <c r="Y228" s="87" t="s">
        <v>1953</v>
      </c>
      <c r="Z228" s="85" t="str">
        <f>HYPERLINK("https://twitter.com/achzam_prabu/status/1440137851748843526")</f>
        <v>https://twitter.com/achzam_prabu/status/1440137851748843526</v>
      </c>
      <c r="AA228" s="81"/>
      <c r="AB228" s="81"/>
      <c r="AC228" s="87" t="s">
        <v>2875</v>
      </c>
      <c r="AD228" s="81"/>
      <c r="AE228" s="81" t="b">
        <v>0</v>
      </c>
      <c r="AF228" s="81">
        <v>0</v>
      </c>
      <c r="AG228" s="87" t="s">
        <v>3875</v>
      </c>
      <c r="AH228" s="81" t="b">
        <v>0</v>
      </c>
      <c r="AI228" s="81" t="s">
        <v>4092</v>
      </c>
      <c r="AJ228" s="81"/>
      <c r="AK228" s="87" t="s">
        <v>3875</v>
      </c>
      <c r="AL228" s="81" t="b">
        <v>0</v>
      </c>
      <c r="AM228" s="81">
        <v>321</v>
      </c>
      <c r="AN228" s="87" t="s">
        <v>3520</v>
      </c>
      <c r="AO228" s="87" t="s">
        <v>4109</v>
      </c>
      <c r="AP228" s="81" t="b">
        <v>0</v>
      </c>
      <c r="AQ228" s="87" t="s">
        <v>3520</v>
      </c>
      <c r="AR228" s="81" t="s">
        <v>179</v>
      </c>
      <c r="AS228" s="81">
        <v>0</v>
      </c>
      <c r="AT228" s="81">
        <v>0</v>
      </c>
      <c r="AU228" s="81"/>
      <c r="AV228" s="81"/>
      <c r="AW228" s="81"/>
      <c r="AX228" s="81"/>
      <c r="AY228" s="81"/>
      <c r="AZ228" s="81"/>
      <c r="BA228" s="81"/>
      <c r="BB228" s="81"/>
    </row>
    <row r="229" spans="1:54" x14ac:dyDescent="0.35">
      <c r="A229" s="66" t="s">
        <v>364</v>
      </c>
      <c r="B229" s="66" t="s">
        <v>910</v>
      </c>
      <c r="C229" s="67"/>
      <c r="D229" s="68"/>
      <c r="E229" s="69"/>
      <c r="F229" s="70"/>
      <c r="G229" s="67"/>
      <c r="H229" s="71"/>
      <c r="I229" s="72"/>
      <c r="J229" s="72"/>
      <c r="K229" s="36"/>
      <c r="L229" s="79"/>
      <c r="M229" s="79"/>
      <c r="N229" s="74"/>
      <c r="O229" s="81" t="s">
        <v>1205</v>
      </c>
      <c r="P229" s="83">
        <v>44460.094837962963</v>
      </c>
      <c r="Q229" s="81" t="s">
        <v>1324</v>
      </c>
      <c r="R229" s="81"/>
      <c r="S229" s="81"/>
      <c r="T229" s="81"/>
      <c r="U229" s="85" t="str">
        <f>HYPERLINK("https://pbs.twimg.com/media/E_xVJy2VQAQerFe.jpg")</f>
        <v>https://pbs.twimg.com/media/E_xVJy2VQAQerFe.jpg</v>
      </c>
      <c r="V229" s="85" t="str">
        <f>HYPERLINK("https://pbs.twimg.com/media/E_xVJy2VQAQerFe.jpg")</f>
        <v>https://pbs.twimg.com/media/E_xVJy2VQAQerFe.jpg</v>
      </c>
      <c r="W229" s="83">
        <v>44460.094837962963</v>
      </c>
      <c r="X229" s="89">
        <v>44460</v>
      </c>
      <c r="Y229" s="87" t="s">
        <v>1953</v>
      </c>
      <c r="Z229" s="85" t="str">
        <f>HYPERLINK("https://twitter.com/achzam_prabu/status/1440137851748843526")</f>
        <v>https://twitter.com/achzam_prabu/status/1440137851748843526</v>
      </c>
      <c r="AA229" s="81"/>
      <c r="AB229" s="81"/>
      <c r="AC229" s="87" t="s">
        <v>2875</v>
      </c>
      <c r="AD229" s="81"/>
      <c r="AE229" s="81" t="b">
        <v>0</v>
      </c>
      <c r="AF229" s="81">
        <v>0</v>
      </c>
      <c r="AG229" s="87" t="s">
        <v>3875</v>
      </c>
      <c r="AH229" s="81" t="b">
        <v>0</v>
      </c>
      <c r="AI229" s="81" t="s">
        <v>4092</v>
      </c>
      <c r="AJ229" s="81"/>
      <c r="AK229" s="87" t="s">
        <v>3875</v>
      </c>
      <c r="AL229" s="81" t="b">
        <v>0</v>
      </c>
      <c r="AM229" s="81">
        <v>321</v>
      </c>
      <c r="AN229" s="87" t="s">
        <v>3520</v>
      </c>
      <c r="AO229" s="87" t="s">
        <v>4109</v>
      </c>
      <c r="AP229" s="81" t="b">
        <v>0</v>
      </c>
      <c r="AQ229" s="87" t="s">
        <v>3520</v>
      </c>
      <c r="AR229" s="81" t="s">
        <v>179</v>
      </c>
      <c r="AS229" s="81">
        <v>0</v>
      </c>
      <c r="AT229" s="81">
        <v>0</v>
      </c>
      <c r="AU229" s="81"/>
      <c r="AV229" s="81"/>
      <c r="AW229" s="81"/>
      <c r="AX229" s="81"/>
      <c r="AY229" s="81"/>
      <c r="AZ229" s="81"/>
      <c r="BA229" s="81"/>
      <c r="BB229" s="81"/>
    </row>
    <row r="230" spans="1:54" x14ac:dyDescent="0.35">
      <c r="A230" s="66" t="s">
        <v>365</v>
      </c>
      <c r="B230" s="66" t="s">
        <v>1055</v>
      </c>
      <c r="C230" s="67"/>
      <c r="D230" s="68"/>
      <c r="E230" s="69"/>
      <c r="F230" s="70"/>
      <c r="G230" s="67"/>
      <c r="H230" s="71"/>
      <c r="I230" s="72"/>
      <c r="J230" s="72"/>
      <c r="K230" s="36"/>
      <c r="L230" s="79"/>
      <c r="M230" s="79"/>
      <c r="N230" s="74"/>
      <c r="O230" s="81" t="s">
        <v>1207</v>
      </c>
      <c r="P230" s="83">
        <v>44460.096666666665</v>
      </c>
      <c r="Q230" s="81" t="s">
        <v>1324</v>
      </c>
      <c r="R230" s="81"/>
      <c r="S230" s="81"/>
      <c r="T230" s="81"/>
      <c r="U230" s="85" t="str">
        <f>HYPERLINK("https://pbs.twimg.com/media/E_xVJy2VQAQerFe.jpg")</f>
        <v>https://pbs.twimg.com/media/E_xVJy2VQAQerFe.jpg</v>
      </c>
      <c r="V230" s="85" t="str">
        <f>HYPERLINK("https://pbs.twimg.com/media/E_xVJy2VQAQerFe.jpg")</f>
        <v>https://pbs.twimg.com/media/E_xVJy2VQAQerFe.jpg</v>
      </c>
      <c r="W230" s="83">
        <v>44460.096666666665</v>
      </c>
      <c r="X230" s="89">
        <v>44460</v>
      </c>
      <c r="Y230" s="87" t="s">
        <v>1954</v>
      </c>
      <c r="Z230" s="85" t="str">
        <f>HYPERLINK("https://twitter.com/debley11/status/1440138511236022279")</f>
        <v>https://twitter.com/debley11/status/1440138511236022279</v>
      </c>
      <c r="AA230" s="81"/>
      <c r="AB230" s="81"/>
      <c r="AC230" s="87" t="s">
        <v>2876</v>
      </c>
      <c r="AD230" s="81"/>
      <c r="AE230" s="81" t="b">
        <v>0</v>
      </c>
      <c r="AF230" s="81">
        <v>0</v>
      </c>
      <c r="AG230" s="87" t="s">
        <v>3875</v>
      </c>
      <c r="AH230" s="81" t="b">
        <v>0</v>
      </c>
      <c r="AI230" s="81" t="s">
        <v>4092</v>
      </c>
      <c r="AJ230" s="81"/>
      <c r="AK230" s="87" t="s">
        <v>3875</v>
      </c>
      <c r="AL230" s="81" t="b">
        <v>0</v>
      </c>
      <c r="AM230" s="81">
        <v>321</v>
      </c>
      <c r="AN230" s="87" t="s">
        <v>3520</v>
      </c>
      <c r="AO230" s="87" t="s">
        <v>4109</v>
      </c>
      <c r="AP230" s="81" t="b">
        <v>0</v>
      </c>
      <c r="AQ230" s="87" t="s">
        <v>3520</v>
      </c>
      <c r="AR230" s="81" t="s">
        <v>179</v>
      </c>
      <c r="AS230" s="81">
        <v>0</v>
      </c>
      <c r="AT230" s="81">
        <v>0</v>
      </c>
      <c r="AU230" s="81"/>
      <c r="AV230" s="81"/>
      <c r="AW230" s="81"/>
      <c r="AX230" s="81"/>
      <c r="AY230" s="81"/>
      <c r="AZ230" s="81"/>
      <c r="BA230" s="81"/>
      <c r="BB230" s="81"/>
    </row>
    <row r="231" spans="1:54" x14ac:dyDescent="0.35">
      <c r="A231" s="66" t="s">
        <v>365</v>
      </c>
      <c r="B231" s="66" t="s">
        <v>910</v>
      </c>
      <c r="C231" s="67"/>
      <c r="D231" s="68"/>
      <c r="E231" s="69"/>
      <c r="F231" s="70"/>
      <c r="G231" s="67"/>
      <c r="H231" s="71"/>
      <c r="I231" s="72"/>
      <c r="J231" s="72"/>
      <c r="K231" s="36"/>
      <c r="L231" s="79"/>
      <c r="M231" s="79"/>
      <c r="N231" s="74"/>
      <c r="O231" s="81" t="s">
        <v>1205</v>
      </c>
      <c r="P231" s="83">
        <v>44460.096666666665</v>
      </c>
      <c r="Q231" s="81" t="s">
        <v>1324</v>
      </c>
      <c r="R231" s="81"/>
      <c r="S231" s="81"/>
      <c r="T231" s="81"/>
      <c r="U231" s="85" t="str">
        <f>HYPERLINK("https://pbs.twimg.com/media/E_xVJy2VQAQerFe.jpg")</f>
        <v>https://pbs.twimg.com/media/E_xVJy2VQAQerFe.jpg</v>
      </c>
      <c r="V231" s="85" t="str">
        <f>HYPERLINK("https://pbs.twimg.com/media/E_xVJy2VQAQerFe.jpg")</f>
        <v>https://pbs.twimg.com/media/E_xVJy2VQAQerFe.jpg</v>
      </c>
      <c r="W231" s="83">
        <v>44460.096666666665</v>
      </c>
      <c r="X231" s="89">
        <v>44460</v>
      </c>
      <c r="Y231" s="87" t="s">
        <v>1954</v>
      </c>
      <c r="Z231" s="85" t="str">
        <f>HYPERLINK("https://twitter.com/debley11/status/1440138511236022279")</f>
        <v>https://twitter.com/debley11/status/1440138511236022279</v>
      </c>
      <c r="AA231" s="81"/>
      <c r="AB231" s="81"/>
      <c r="AC231" s="87" t="s">
        <v>2876</v>
      </c>
      <c r="AD231" s="81"/>
      <c r="AE231" s="81" t="b">
        <v>0</v>
      </c>
      <c r="AF231" s="81">
        <v>0</v>
      </c>
      <c r="AG231" s="87" t="s">
        <v>3875</v>
      </c>
      <c r="AH231" s="81" t="b">
        <v>0</v>
      </c>
      <c r="AI231" s="81" t="s">
        <v>4092</v>
      </c>
      <c r="AJ231" s="81"/>
      <c r="AK231" s="87" t="s">
        <v>3875</v>
      </c>
      <c r="AL231" s="81" t="b">
        <v>0</v>
      </c>
      <c r="AM231" s="81">
        <v>321</v>
      </c>
      <c r="AN231" s="87" t="s">
        <v>3520</v>
      </c>
      <c r="AO231" s="87" t="s">
        <v>4109</v>
      </c>
      <c r="AP231" s="81" t="b">
        <v>0</v>
      </c>
      <c r="AQ231" s="87" t="s">
        <v>3520</v>
      </c>
      <c r="AR231" s="81" t="s">
        <v>179</v>
      </c>
      <c r="AS231" s="81">
        <v>0</v>
      </c>
      <c r="AT231" s="81">
        <v>0</v>
      </c>
      <c r="AU231" s="81"/>
      <c r="AV231" s="81"/>
      <c r="AW231" s="81"/>
      <c r="AX231" s="81"/>
      <c r="AY231" s="81"/>
      <c r="AZ231" s="81"/>
      <c r="BA231" s="81"/>
      <c r="BB231" s="81"/>
    </row>
    <row r="232" spans="1:54" x14ac:dyDescent="0.35">
      <c r="A232" s="66" t="s">
        <v>366</v>
      </c>
      <c r="B232" s="66" t="s">
        <v>1055</v>
      </c>
      <c r="C232" s="67"/>
      <c r="D232" s="68"/>
      <c r="E232" s="69"/>
      <c r="F232" s="70"/>
      <c r="G232" s="67"/>
      <c r="H232" s="71"/>
      <c r="I232" s="72"/>
      <c r="J232" s="72"/>
      <c r="K232" s="36"/>
      <c r="L232" s="79"/>
      <c r="M232" s="79"/>
      <c r="N232" s="74"/>
      <c r="O232" s="81" t="s">
        <v>1207</v>
      </c>
      <c r="P232" s="83">
        <v>44460.096712962964</v>
      </c>
      <c r="Q232" s="81" t="s">
        <v>1324</v>
      </c>
      <c r="R232" s="81"/>
      <c r="S232" s="81"/>
      <c r="T232" s="81"/>
      <c r="U232" s="85" t="str">
        <f>HYPERLINK("https://pbs.twimg.com/media/E_xVJy2VQAQerFe.jpg")</f>
        <v>https://pbs.twimg.com/media/E_xVJy2VQAQerFe.jpg</v>
      </c>
      <c r="V232" s="85" t="str">
        <f>HYPERLINK("https://pbs.twimg.com/media/E_xVJy2VQAQerFe.jpg")</f>
        <v>https://pbs.twimg.com/media/E_xVJy2VQAQerFe.jpg</v>
      </c>
      <c r="W232" s="83">
        <v>44460.096712962964</v>
      </c>
      <c r="X232" s="89">
        <v>44460</v>
      </c>
      <c r="Y232" s="87" t="s">
        <v>1955</v>
      </c>
      <c r="Z232" s="85" t="str">
        <f>HYPERLINK("https://twitter.com/indrazustisi/status/1440138528101322752")</f>
        <v>https://twitter.com/indrazustisi/status/1440138528101322752</v>
      </c>
      <c r="AA232" s="81"/>
      <c r="AB232" s="81"/>
      <c r="AC232" s="87" t="s">
        <v>2877</v>
      </c>
      <c r="AD232" s="81"/>
      <c r="AE232" s="81" t="b">
        <v>0</v>
      </c>
      <c r="AF232" s="81">
        <v>0</v>
      </c>
      <c r="AG232" s="87" t="s">
        <v>3875</v>
      </c>
      <c r="AH232" s="81" t="b">
        <v>0</v>
      </c>
      <c r="AI232" s="81" t="s">
        <v>4092</v>
      </c>
      <c r="AJ232" s="81"/>
      <c r="AK232" s="87" t="s">
        <v>3875</v>
      </c>
      <c r="AL232" s="81" t="b">
        <v>0</v>
      </c>
      <c r="AM232" s="81">
        <v>321</v>
      </c>
      <c r="AN232" s="87" t="s">
        <v>3520</v>
      </c>
      <c r="AO232" s="87" t="s">
        <v>4109</v>
      </c>
      <c r="AP232" s="81" t="b">
        <v>0</v>
      </c>
      <c r="AQ232" s="87" t="s">
        <v>3520</v>
      </c>
      <c r="AR232" s="81" t="s">
        <v>179</v>
      </c>
      <c r="AS232" s="81">
        <v>0</v>
      </c>
      <c r="AT232" s="81">
        <v>0</v>
      </c>
      <c r="AU232" s="81"/>
      <c r="AV232" s="81"/>
      <c r="AW232" s="81"/>
      <c r="AX232" s="81"/>
      <c r="AY232" s="81"/>
      <c r="AZ232" s="81"/>
      <c r="BA232" s="81"/>
      <c r="BB232" s="81"/>
    </row>
    <row r="233" spans="1:54" x14ac:dyDescent="0.35">
      <c r="A233" s="66" t="s">
        <v>366</v>
      </c>
      <c r="B233" s="66" t="s">
        <v>910</v>
      </c>
      <c r="C233" s="67"/>
      <c r="D233" s="68"/>
      <c r="E233" s="69"/>
      <c r="F233" s="70"/>
      <c r="G233" s="67"/>
      <c r="H233" s="71"/>
      <c r="I233" s="72"/>
      <c r="J233" s="72"/>
      <c r="K233" s="36"/>
      <c r="L233" s="79"/>
      <c r="M233" s="79"/>
      <c r="N233" s="74"/>
      <c r="O233" s="81" t="s">
        <v>1205</v>
      </c>
      <c r="P233" s="83">
        <v>44460.096712962964</v>
      </c>
      <c r="Q233" s="81" t="s">
        <v>1324</v>
      </c>
      <c r="R233" s="81"/>
      <c r="S233" s="81"/>
      <c r="T233" s="81"/>
      <c r="U233" s="85" t="str">
        <f>HYPERLINK("https://pbs.twimg.com/media/E_xVJy2VQAQerFe.jpg")</f>
        <v>https://pbs.twimg.com/media/E_xVJy2VQAQerFe.jpg</v>
      </c>
      <c r="V233" s="85" t="str">
        <f>HYPERLINK("https://pbs.twimg.com/media/E_xVJy2VQAQerFe.jpg")</f>
        <v>https://pbs.twimg.com/media/E_xVJy2VQAQerFe.jpg</v>
      </c>
      <c r="W233" s="83">
        <v>44460.096712962964</v>
      </c>
      <c r="X233" s="89">
        <v>44460</v>
      </c>
      <c r="Y233" s="87" t="s">
        <v>1955</v>
      </c>
      <c r="Z233" s="85" t="str">
        <f>HYPERLINK("https://twitter.com/indrazustisi/status/1440138528101322752")</f>
        <v>https://twitter.com/indrazustisi/status/1440138528101322752</v>
      </c>
      <c r="AA233" s="81"/>
      <c r="AB233" s="81"/>
      <c r="AC233" s="87" t="s">
        <v>2877</v>
      </c>
      <c r="AD233" s="81"/>
      <c r="AE233" s="81" t="b">
        <v>0</v>
      </c>
      <c r="AF233" s="81">
        <v>0</v>
      </c>
      <c r="AG233" s="87" t="s">
        <v>3875</v>
      </c>
      <c r="AH233" s="81" t="b">
        <v>0</v>
      </c>
      <c r="AI233" s="81" t="s">
        <v>4092</v>
      </c>
      <c r="AJ233" s="81"/>
      <c r="AK233" s="87" t="s">
        <v>3875</v>
      </c>
      <c r="AL233" s="81" t="b">
        <v>0</v>
      </c>
      <c r="AM233" s="81">
        <v>321</v>
      </c>
      <c r="AN233" s="87" t="s">
        <v>3520</v>
      </c>
      <c r="AO233" s="87" t="s">
        <v>4109</v>
      </c>
      <c r="AP233" s="81" t="b">
        <v>0</v>
      </c>
      <c r="AQ233" s="87" t="s">
        <v>3520</v>
      </c>
      <c r="AR233" s="81" t="s">
        <v>179</v>
      </c>
      <c r="AS233" s="81">
        <v>0</v>
      </c>
      <c r="AT233" s="81">
        <v>0</v>
      </c>
      <c r="AU233" s="81"/>
      <c r="AV233" s="81"/>
      <c r="AW233" s="81"/>
      <c r="AX233" s="81"/>
      <c r="AY233" s="81"/>
      <c r="AZ233" s="81"/>
      <c r="BA233" s="81"/>
      <c r="BB233" s="81"/>
    </row>
    <row r="234" spans="1:54" x14ac:dyDescent="0.35">
      <c r="A234" s="66" t="s">
        <v>367</v>
      </c>
      <c r="B234" s="66" t="s">
        <v>1055</v>
      </c>
      <c r="C234" s="67"/>
      <c r="D234" s="68"/>
      <c r="E234" s="69"/>
      <c r="F234" s="70"/>
      <c r="G234" s="67"/>
      <c r="H234" s="71"/>
      <c r="I234" s="72"/>
      <c r="J234" s="72"/>
      <c r="K234" s="36"/>
      <c r="L234" s="79"/>
      <c r="M234" s="79"/>
      <c r="N234" s="74"/>
      <c r="O234" s="81" t="s">
        <v>1207</v>
      </c>
      <c r="P234" s="83">
        <v>44460.097500000003</v>
      </c>
      <c r="Q234" s="81" t="s">
        <v>1324</v>
      </c>
      <c r="R234" s="81"/>
      <c r="S234" s="81"/>
      <c r="T234" s="81"/>
      <c r="U234" s="85" t="str">
        <f>HYPERLINK("https://pbs.twimg.com/media/E_xVJy2VQAQerFe.jpg")</f>
        <v>https://pbs.twimg.com/media/E_xVJy2VQAQerFe.jpg</v>
      </c>
      <c r="V234" s="85" t="str">
        <f>HYPERLINK("https://pbs.twimg.com/media/E_xVJy2VQAQerFe.jpg")</f>
        <v>https://pbs.twimg.com/media/E_xVJy2VQAQerFe.jpg</v>
      </c>
      <c r="W234" s="83">
        <v>44460.097500000003</v>
      </c>
      <c r="X234" s="89">
        <v>44460</v>
      </c>
      <c r="Y234" s="87" t="s">
        <v>1956</v>
      </c>
      <c r="Z234" s="85" t="str">
        <f>HYPERLINK("https://twitter.com/aw_astono/status/1440138816166109189")</f>
        <v>https://twitter.com/aw_astono/status/1440138816166109189</v>
      </c>
      <c r="AA234" s="81"/>
      <c r="AB234" s="81"/>
      <c r="AC234" s="87" t="s">
        <v>2878</v>
      </c>
      <c r="AD234" s="81"/>
      <c r="AE234" s="81" t="b">
        <v>0</v>
      </c>
      <c r="AF234" s="81">
        <v>0</v>
      </c>
      <c r="AG234" s="87" t="s">
        <v>3875</v>
      </c>
      <c r="AH234" s="81" t="b">
        <v>0</v>
      </c>
      <c r="AI234" s="81" t="s">
        <v>4092</v>
      </c>
      <c r="AJ234" s="81"/>
      <c r="AK234" s="87" t="s">
        <v>3875</v>
      </c>
      <c r="AL234" s="81" t="b">
        <v>0</v>
      </c>
      <c r="AM234" s="81">
        <v>321</v>
      </c>
      <c r="AN234" s="87" t="s">
        <v>3520</v>
      </c>
      <c r="AO234" s="87" t="s">
        <v>4109</v>
      </c>
      <c r="AP234" s="81" t="b">
        <v>0</v>
      </c>
      <c r="AQ234" s="87" t="s">
        <v>3520</v>
      </c>
      <c r="AR234" s="81" t="s">
        <v>179</v>
      </c>
      <c r="AS234" s="81">
        <v>0</v>
      </c>
      <c r="AT234" s="81">
        <v>0</v>
      </c>
      <c r="AU234" s="81"/>
      <c r="AV234" s="81"/>
      <c r="AW234" s="81"/>
      <c r="AX234" s="81"/>
      <c r="AY234" s="81"/>
      <c r="AZ234" s="81"/>
      <c r="BA234" s="81"/>
      <c r="BB234" s="81"/>
    </row>
    <row r="235" spans="1:54" x14ac:dyDescent="0.35">
      <c r="A235" s="66" t="s">
        <v>367</v>
      </c>
      <c r="B235" s="66" t="s">
        <v>910</v>
      </c>
      <c r="C235" s="67"/>
      <c r="D235" s="68"/>
      <c r="E235" s="69"/>
      <c r="F235" s="70"/>
      <c r="G235" s="67"/>
      <c r="H235" s="71"/>
      <c r="I235" s="72"/>
      <c r="J235" s="72"/>
      <c r="K235" s="36"/>
      <c r="L235" s="79"/>
      <c r="M235" s="79"/>
      <c r="N235" s="74"/>
      <c r="O235" s="81" t="s">
        <v>1205</v>
      </c>
      <c r="P235" s="83">
        <v>44460.097500000003</v>
      </c>
      <c r="Q235" s="81" t="s">
        <v>1324</v>
      </c>
      <c r="R235" s="81"/>
      <c r="S235" s="81"/>
      <c r="T235" s="81"/>
      <c r="U235" s="85" t="str">
        <f>HYPERLINK("https://pbs.twimg.com/media/E_xVJy2VQAQerFe.jpg")</f>
        <v>https://pbs.twimg.com/media/E_xVJy2VQAQerFe.jpg</v>
      </c>
      <c r="V235" s="85" t="str">
        <f>HYPERLINK("https://pbs.twimg.com/media/E_xVJy2VQAQerFe.jpg")</f>
        <v>https://pbs.twimg.com/media/E_xVJy2VQAQerFe.jpg</v>
      </c>
      <c r="W235" s="83">
        <v>44460.097500000003</v>
      </c>
      <c r="X235" s="89">
        <v>44460</v>
      </c>
      <c r="Y235" s="87" t="s">
        <v>1956</v>
      </c>
      <c r="Z235" s="85" t="str">
        <f>HYPERLINK("https://twitter.com/aw_astono/status/1440138816166109189")</f>
        <v>https://twitter.com/aw_astono/status/1440138816166109189</v>
      </c>
      <c r="AA235" s="81"/>
      <c r="AB235" s="81"/>
      <c r="AC235" s="87" t="s">
        <v>2878</v>
      </c>
      <c r="AD235" s="81"/>
      <c r="AE235" s="81" t="b">
        <v>0</v>
      </c>
      <c r="AF235" s="81">
        <v>0</v>
      </c>
      <c r="AG235" s="87" t="s">
        <v>3875</v>
      </c>
      <c r="AH235" s="81" t="b">
        <v>0</v>
      </c>
      <c r="AI235" s="81" t="s">
        <v>4092</v>
      </c>
      <c r="AJ235" s="81"/>
      <c r="AK235" s="87" t="s">
        <v>3875</v>
      </c>
      <c r="AL235" s="81" t="b">
        <v>0</v>
      </c>
      <c r="AM235" s="81">
        <v>321</v>
      </c>
      <c r="AN235" s="87" t="s">
        <v>3520</v>
      </c>
      <c r="AO235" s="87" t="s">
        <v>4109</v>
      </c>
      <c r="AP235" s="81" t="b">
        <v>0</v>
      </c>
      <c r="AQ235" s="87" t="s">
        <v>3520</v>
      </c>
      <c r="AR235" s="81" t="s">
        <v>179</v>
      </c>
      <c r="AS235" s="81">
        <v>0</v>
      </c>
      <c r="AT235" s="81">
        <v>0</v>
      </c>
      <c r="AU235" s="81"/>
      <c r="AV235" s="81"/>
      <c r="AW235" s="81"/>
      <c r="AX235" s="81"/>
      <c r="AY235" s="81"/>
      <c r="AZ235" s="81"/>
      <c r="BA235" s="81"/>
      <c r="BB235" s="81"/>
    </row>
    <row r="236" spans="1:54" x14ac:dyDescent="0.35">
      <c r="A236" s="66" t="s">
        <v>368</v>
      </c>
      <c r="B236" s="66" t="s">
        <v>1055</v>
      </c>
      <c r="C236" s="67"/>
      <c r="D236" s="68"/>
      <c r="E236" s="69"/>
      <c r="F236" s="70"/>
      <c r="G236" s="67"/>
      <c r="H236" s="71"/>
      <c r="I236" s="72"/>
      <c r="J236" s="72"/>
      <c r="K236" s="36"/>
      <c r="L236" s="79"/>
      <c r="M236" s="79"/>
      <c r="N236" s="74"/>
      <c r="O236" s="81" t="s">
        <v>1207</v>
      </c>
      <c r="P236" s="83">
        <v>44460.102118055554</v>
      </c>
      <c r="Q236" s="81" t="s">
        <v>1324</v>
      </c>
      <c r="R236" s="81"/>
      <c r="S236" s="81"/>
      <c r="T236" s="81"/>
      <c r="U236" s="85" t="str">
        <f>HYPERLINK("https://pbs.twimg.com/media/E_xVJy2VQAQerFe.jpg")</f>
        <v>https://pbs.twimg.com/media/E_xVJy2VQAQerFe.jpg</v>
      </c>
      <c r="V236" s="85" t="str">
        <f>HYPERLINK("https://pbs.twimg.com/media/E_xVJy2VQAQerFe.jpg")</f>
        <v>https://pbs.twimg.com/media/E_xVJy2VQAQerFe.jpg</v>
      </c>
      <c r="W236" s="83">
        <v>44460.102118055554</v>
      </c>
      <c r="X236" s="89">
        <v>44460</v>
      </c>
      <c r="Y236" s="87" t="s">
        <v>1957</v>
      </c>
      <c r="Z236" s="85" t="str">
        <f>HYPERLINK("https://twitter.com/dave_otek/status/1440140488317702151")</f>
        <v>https://twitter.com/dave_otek/status/1440140488317702151</v>
      </c>
      <c r="AA236" s="81"/>
      <c r="AB236" s="81"/>
      <c r="AC236" s="87" t="s">
        <v>2879</v>
      </c>
      <c r="AD236" s="81"/>
      <c r="AE236" s="81" t="b">
        <v>0</v>
      </c>
      <c r="AF236" s="81">
        <v>0</v>
      </c>
      <c r="AG236" s="87" t="s">
        <v>3875</v>
      </c>
      <c r="AH236" s="81" t="b">
        <v>0</v>
      </c>
      <c r="AI236" s="81" t="s">
        <v>4092</v>
      </c>
      <c r="AJ236" s="81"/>
      <c r="AK236" s="87" t="s">
        <v>3875</v>
      </c>
      <c r="AL236" s="81" t="b">
        <v>0</v>
      </c>
      <c r="AM236" s="81">
        <v>321</v>
      </c>
      <c r="AN236" s="87" t="s">
        <v>3520</v>
      </c>
      <c r="AO236" s="87" t="s">
        <v>4109</v>
      </c>
      <c r="AP236" s="81" t="b">
        <v>0</v>
      </c>
      <c r="AQ236" s="87" t="s">
        <v>3520</v>
      </c>
      <c r="AR236" s="81" t="s">
        <v>179</v>
      </c>
      <c r="AS236" s="81">
        <v>0</v>
      </c>
      <c r="AT236" s="81">
        <v>0</v>
      </c>
      <c r="AU236" s="81"/>
      <c r="AV236" s="81"/>
      <c r="AW236" s="81"/>
      <c r="AX236" s="81"/>
      <c r="AY236" s="81"/>
      <c r="AZ236" s="81"/>
      <c r="BA236" s="81"/>
      <c r="BB236" s="81"/>
    </row>
    <row r="237" spans="1:54" x14ac:dyDescent="0.35">
      <c r="A237" s="66" t="s">
        <v>368</v>
      </c>
      <c r="B237" s="66" t="s">
        <v>910</v>
      </c>
      <c r="C237" s="67"/>
      <c r="D237" s="68"/>
      <c r="E237" s="69"/>
      <c r="F237" s="70"/>
      <c r="G237" s="67"/>
      <c r="H237" s="71"/>
      <c r="I237" s="72"/>
      <c r="J237" s="72"/>
      <c r="K237" s="36"/>
      <c r="L237" s="79"/>
      <c r="M237" s="79"/>
      <c r="N237" s="74"/>
      <c r="O237" s="81" t="s">
        <v>1205</v>
      </c>
      <c r="P237" s="83">
        <v>44460.102118055554</v>
      </c>
      <c r="Q237" s="81" t="s">
        <v>1324</v>
      </c>
      <c r="R237" s="81"/>
      <c r="S237" s="81"/>
      <c r="T237" s="81"/>
      <c r="U237" s="85" t="str">
        <f>HYPERLINK("https://pbs.twimg.com/media/E_xVJy2VQAQerFe.jpg")</f>
        <v>https://pbs.twimg.com/media/E_xVJy2VQAQerFe.jpg</v>
      </c>
      <c r="V237" s="85" t="str">
        <f>HYPERLINK("https://pbs.twimg.com/media/E_xVJy2VQAQerFe.jpg")</f>
        <v>https://pbs.twimg.com/media/E_xVJy2VQAQerFe.jpg</v>
      </c>
      <c r="W237" s="83">
        <v>44460.102118055554</v>
      </c>
      <c r="X237" s="89">
        <v>44460</v>
      </c>
      <c r="Y237" s="87" t="s">
        <v>1957</v>
      </c>
      <c r="Z237" s="85" t="str">
        <f>HYPERLINK("https://twitter.com/dave_otek/status/1440140488317702151")</f>
        <v>https://twitter.com/dave_otek/status/1440140488317702151</v>
      </c>
      <c r="AA237" s="81"/>
      <c r="AB237" s="81"/>
      <c r="AC237" s="87" t="s">
        <v>2879</v>
      </c>
      <c r="AD237" s="81"/>
      <c r="AE237" s="81" t="b">
        <v>0</v>
      </c>
      <c r="AF237" s="81">
        <v>0</v>
      </c>
      <c r="AG237" s="87" t="s">
        <v>3875</v>
      </c>
      <c r="AH237" s="81" t="b">
        <v>0</v>
      </c>
      <c r="AI237" s="81" t="s">
        <v>4092</v>
      </c>
      <c r="AJ237" s="81"/>
      <c r="AK237" s="87" t="s">
        <v>3875</v>
      </c>
      <c r="AL237" s="81" t="b">
        <v>0</v>
      </c>
      <c r="AM237" s="81">
        <v>321</v>
      </c>
      <c r="AN237" s="87" t="s">
        <v>3520</v>
      </c>
      <c r="AO237" s="87" t="s">
        <v>4109</v>
      </c>
      <c r="AP237" s="81" t="b">
        <v>0</v>
      </c>
      <c r="AQ237" s="87" t="s">
        <v>3520</v>
      </c>
      <c r="AR237" s="81" t="s">
        <v>179</v>
      </c>
      <c r="AS237" s="81">
        <v>0</v>
      </c>
      <c r="AT237" s="81">
        <v>0</v>
      </c>
      <c r="AU237" s="81"/>
      <c r="AV237" s="81"/>
      <c r="AW237" s="81"/>
      <c r="AX237" s="81"/>
      <c r="AY237" s="81"/>
      <c r="AZ237" s="81"/>
      <c r="BA237" s="81"/>
      <c r="BB237" s="81"/>
    </row>
    <row r="238" spans="1:54" x14ac:dyDescent="0.35">
      <c r="A238" s="66" t="s">
        <v>369</v>
      </c>
      <c r="B238" s="66" t="s">
        <v>1056</v>
      </c>
      <c r="C238" s="67"/>
      <c r="D238" s="68"/>
      <c r="E238" s="69"/>
      <c r="F238" s="70"/>
      <c r="G238" s="67"/>
      <c r="H238" s="71"/>
      <c r="I238" s="72"/>
      <c r="J238" s="72"/>
      <c r="K238" s="36"/>
      <c r="L238" s="79"/>
      <c r="M238" s="79"/>
      <c r="N238" s="74"/>
      <c r="O238" s="81" t="s">
        <v>1206</v>
      </c>
      <c r="P238" s="83">
        <v>44460.102766203701</v>
      </c>
      <c r="Q238" s="81" t="s">
        <v>1325</v>
      </c>
      <c r="R238" s="81"/>
      <c r="S238" s="81"/>
      <c r="T238" s="81"/>
      <c r="U238" s="81"/>
      <c r="V238" s="85" t="str">
        <f>HYPERLINK("https://pbs.twimg.com/profile_images/1441593778050011137/XdV-4M0r_normal.jpg")</f>
        <v>https://pbs.twimg.com/profile_images/1441593778050011137/XdV-4M0r_normal.jpg</v>
      </c>
      <c r="W238" s="83">
        <v>44460.102766203701</v>
      </c>
      <c r="X238" s="89">
        <v>44460</v>
      </c>
      <c r="Y238" s="87" t="s">
        <v>1958</v>
      </c>
      <c r="Z238" s="85" t="str">
        <f>HYPERLINK("https://twitter.com/diptanotes/status/1440140722846388233")</f>
        <v>https://twitter.com/diptanotes/status/1440140722846388233</v>
      </c>
      <c r="AA238" s="81"/>
      <c r="AB238" s="81"/>
      <c r="AC238" s="87" t="s">
        <v>2880</v>
      </c>
      <c r="AD238" s="87" t="s">
        <v>3699</v>
      </c>
      <c r="AE238" s="81" t="b">
        <v>0</v>
      </c>
      <c r="AF238" s="81">
        <v>0</v>
      </c>
      <c r="AG238" s="87" t="s">
        <v>3932</v>
      </c>
      <c r="AH238" s="81" t="b">
        <v>0</v>
      </c>
      <c r="AI238" s="81" t="s">
        <v>4092</v>
      </c>
      <c r="AJ238" s="81"/>
      <c r="AK238" s="87" t="s">
        <v>3875</v>
      </c>
      <c r="AL238" s="81" t="b">
        <v>0</v>
      </c>
      <c r="AM238" s="81">
        <v>0</v>
      </c>
      <c r="AN238" s="87" t="s">
        <v>3875</v>
      </c>
      <c r="AO238" s="87" t="s">
        <v>4109</v>
      </c>
      <c r="AP238" s="81" t="b">
        <v>0</v>
      </c>
      <c r="AQ238" s="87" t="s">
        <v>3699</v>
      </c>
      <c r="AR238" s="81" t="s">
        <v>179</v>
      </c>
      <c r="AS238" s="81">
        <v>0</v>
      </c>
      <c r="AT238" s="81">
        <v>0</v>
      </c>
      <c r="AU238" s="81"/>
      <c r="AV238" s="81"/>
      <c r="AW238" s="81"/>
      <c r="AX238" s="81"/>
      <c r="AY238" s="81"/>
      <c r="AZ238" s="81"/>
      <c r="BA238" s="81"/>
      <c r="BB238" s="81"/>
    </row>
    <row r="239" spans="1:54" x14ac:dyDescent="0.35">
      <c r="A239" s="66" t="s">
        <v>369</v>
      </c>
      <c r="B239" s="66" t="s">
        <v>1057</v>
      </c>
      <c r="C239" s="67"/>
      <c r="D239" s="68"/>
      <c r="E239" s="69"/>
      <c r="F239" s="70"/>
      <c r="G239" s="67"/>
      <c r="H239" s="71"/>
      <c r="I239" s="72"/>
      <c r="J239" s="72"/>
      <c r="K239" s="36"/>
      <c r="L239" s="79"/>
      <c r="M239" s="79"/>
      <c r="N239" s="74"/>
      <c r="O239" s="81" t="s">
        <v>1208</v>
      </c>
      <c r="P239" s="83">
        <v>44460.102766203701</v>
      </c>
      <c r="Q239" s="81" t="s">
        <v>1325</v>
      </c>
      <c r="R239" s="81"/>
      <c r="S239" s="81"/>
      <c r="T239" s="81"/>
      <c r="U239" s="81"/>
      <c r="V239" s="85" t="str">
        <f>HYPERLINK("https://pbs.twimg.com/profile_images/1441593778050011137/XdV-4M0r_normal.jpg")</f>
        <v>https://pbs.twimg.com/profile_images/1441593778050011137/XdV-4M0r_normal.jpg</v>
      </c>
      <c r="W239" s="83">
        <v>44460.102766203701</v>
      </c>
      <c r="X239" s="89">
        <v>44460</v>
      </c>
      <c r="Y239" s="87" t="s">
        <v>1958</v>
      </c>
      <c r="Z239" s="85" t="str">
        <f>HYPERLINK("https://twitter.com/diptanotes/status/1440140722846388233")</f>
        <v>https://twitter.com/diptanotes/status/1440140722846388233</v>
      </c>
      <c r="AA239" s="81"/>
      <c r="AB239" s="81"/>
      <c r="AC239" s="87" t="s">
        <v>2880</v>
      </c>
      <c r="AD239" s="87" t="s">
        <v>3699</v>
      </c>
      <c r="AE239" s="81" t="b">
        <v>0</v>
      </c>
      <c r="AF239" s="81">
        <v>0</v>
      </c>
      <c r="AG239" s="87" t="s">
        <v>3932</v>
      </c>
      <c r="AH239" s="81" t="b">
        <v>0</v>
      </c>
      <c r="AI239" s="81" t="s">
        <v>4092</v>
      </c>
      <c r="AJ239" s="81"/>
      <c r="AK239" s="87" t="s">
        <v>3875</v>
      </c>
      <c r="AL239" s="81" t="b">
        <v>0</v>
      </c>
      <c r="AM239" s="81">
        <v>0</v>
      </c>
      <c r="AN239" s="87" t="s">
        <v>3875</v>
      </c>
      <c r="AO239" s="87" t="s">
        <v>4109</v>
      </c>
      <c r="AP239" s="81" t="b">
        <v>0</v>
      </c>
      <c r="AQ239" s="87" t="s">
        <v>3699</v>
      </c>
      <c r="AR239" s="81" t="s">
        <v>179</v>
      </c>
      <c r="AS239" s="81">
        <v>0</v>
      </c>
      <c r="AT239" s="81">
        <v>0</v>
      </c>
      <c r="AU239" s="81"/>
      <c r="AV239" s="81"/>
      <c r="AW239" s="81"/>
      <c r="AX239" s="81"/>
      <c r="AY239" s="81"/>
      <c r="AZ239" s="81"/>
      <c r="BA239" s="81"/>
      <c r="BB239" s="81"/>
    </row>
    <row r="240" spans="1:54" x14ac:dyDescent="0.35">
      <c r="A240" s="66" t="s">
        <v>370</v>
      </c>
      <c r="B240" s="66" t="s">
        <v>1055</v>
      </c>
      <c r="C240" s="67"/>
      <c r="D240" s="68"/>
      <c r="E240" s="69"/>
      <c r="F240" s="70"/>
      <c r="G240" s="67"/>
      <c r="H240" s="71"/>
      <c r="I240" s="72"/>
      <c r="J240" s="72"/>
      <c r="K240" s="36"/>
      <c r="L240" s="79"/>
      <c r="M240" s="79"/>
      <c r="N240" s="74"/>
      <c r="O240" s="81" t="s">
        <v>1207</v>
      </c>
      <c r="P240" s="83">
        <v>44460.103587962964</v>
      </c>
      <c r="Q240" s="81" t="s">
        <v>1324</v>
      </c>
      <c r="R240" s="81"/>
      <c r="S240" s="81"/>
      <c r="T240" s="81"/>
      <c r="U240" s="85" t="str">
        <f>HYPERLINK("https://pbs.twimg.com/media/E_xVJy2VQAQerFe.jpg")</f>
        <v>https://pbs.twimg.com/media/E_xVJy2VQAQerFe.jpg</v>
      </c>
      <c r="V240" s="85" t="str">
        <f>HYPERLINK("https://pbs.twimg.com/media/E_xVJy2VQAQerFe.jpg")</f>
        <v>https://pbs.twimg.com/media/E_xVJy2VQAQerFe.jpg</v>
      </c>
      <c r="W240" s="83">
        <v>44460.103587962964</v>
      </c>
      <c r="X240" s="89">
        <v>44460</v>
      </c>
      <c r="Y240" s="87" t="s">
        <v>1959</v>
      </c>
      <c r="Z240" s="85" t="str">
        <f>HYPERLINK("https://twitter.com/pekaklonto67/status/1440141022646837254")</f>
        <v>https://twitter.com/pekaklonto67/status/1440141022646837254</v>
      </c>
      <c r="AA240" s="81"/>
      <c r="AB240" s="81"/>
      <c r="AC240" s="87" t="s">
        <v>2881</v>
      </c>
      <c r="AD240" s="81"/>
      <c r="AE240" s="81" t="b">
        <v>0</v>
      </c>
      <c r="AF240" s="81">
        <v>0</v>
      </c>
      <c r="AG240" s="87" t="s">
        <v>3875</v>
      </c>
      <c r="AH240" s="81" t="b">
        <v>0</v>
      </c>
      <c r="AI240" s="81" t="s">
        <v>4092</v>
      </c>
      <c r="AJ240" s="81"/>
      <c r="AK240" s="87" t="s">
        <v>3875</v>
      </c>
      <c r="AL240" s="81" t="b">
        <v>0</v>
      </c>
      <c r="AM240" s="81">
        <v>321</v>
      </c>
      <c r="AN240" s="87" t="s">
        <v>3520</v>
      </c>
      <c r="AO240" s="87" t="s">
        <v>4109</v>
      </c>
      <c r="AP240" s="81" t="b">
        <v>0</v>
      </c>
      <c r="AQ240" s="87" t="s">
        <v>3520</v>
      </c>
      <c r="AR240" s="81" t="s">
        <v>179</v>
      </c>
      <c r="AS240" s="81">
        <v>0</v>
      </c>
      <c r="AT240" s="81">
        <v>0</v>
      </c>
      <c r="AU240" s="81"/>
      <c r="AV240" s="81"/>
      <c r="AW240" s="81"/>
      <c r="AX240" s="81"/>
      <c r="AY240" s="81"/>
      <c r="AZ240" s="81"/>
      <c r="BA240" s="81"/>
      <c r="BB240" s="81"/>
    </row>
    <row r="241" spans="1:54" x14ac:dyDescent="0.35">
      <c r="A241" s="66" t="s">
        <v>370</v>
      </c>
      <c r="B241" s="66" t="s">
        <v>910</v>
      </c>
      <c r="C241" s="67"/>
      <c r="D241" s="68"/>
      <c r="E241" s="69"/>
      <c r="F241" s="70"/>
      <c r="G241" s="67"/>
      <c r="H241" s="71"/>
      <c r="I241" s="72"/>
      <c r="J241" s="72"/>
      <c r="K241" s="36"/>
      <c r="L241" s="79"/>
      <c r="M241" s="79"/>
      <c r="N241" s="74"/>
      <c r="O241" s="81" t="s">
        <v>1205</v>
      </c>
      <c r="P241" s="83">
        <v>44460.103587962964</v>
      </c>
      <c r="Q241" s="81" t="s">
        <v>1324</v>
      </c>
      <c r="R241" s="81"/>
      <c r="S241" s="81"/>
      <c r="T241" s="81"/>
      <c r="U241" s="85" t="str">
        <f>HYPERLINK("https://pbs.twimg.com/media/E_xVJy2VQAQerFe.jpg")</f>
        <v>https://pbs.twimg.com/media/E_xVJy2VQAQerFe.jpg</v>
      </c>
      <c r="V241" s="85" t="str">
        <f>HYPERLINK("https://pbs.twimg.com/media/E_xVJy2VQAQerFe.jpg")</f>
        <v>https://pbs.twimg.com/media/E_xVJy2VQAQerFe.jpg</v>
      </c>
      <c r="W241" s="83">
        <v>44460.103587962964</v>
      </c>
      <c r="X241" s="89">
        <v>44460</v>
      </c>
      <c r="Y241" s="87" t="s">
        <v>1959</v>
      </c>
      <c r="Z241" s="85" t="str">
        <f>HYPERLINK("https://twitter.com/pekaklonto67/status/1440141022646837254")</f>
        <v>https://twitter.com/pekaklonto67/status/1440141022646837254</v>
      </c>
      <c r="AA241" s="81"/>
      <c r="AB241" s="81"/>
      <c r="AC241" s="87" t="s">
        <v>2881</v>
      </c>
      <c r="AD241" s="81"/>
      <c r="AE241" s="81" t="b">
        <v>0</v>
      </c>
      <c r="AF241" s="81">
        <v>0</v>
      </c>
      <c r="AG241" s="87" t="s">
        <v>3875</v>
      </c>
      <c r="AH241" s="81" t="b">
        <v>0</v>
      </c>
      <c r="AI241" s="81" t="s">
        <v>4092</v>
      </c>
      <c r="AJ241" s="81"/>
      <c r="AK241" s="87" t="s">
        <v>3875</v>
      </c>
      <c r="AL241" s="81" t="b">
        <v>0</v>
      </c>
      <c r="AM241" s="81">
        <v>321</v>
      </c>
      <c r="AN241" s="87" t="s">
        <v>3520</v>
      </c>
      <c r="AO241" s="87" t="s">
        <v>4109</v>
      </c>
      <c r="AP241" s="81" t="b">
        <v>0</v>
      </c>
      <c r="AQ241" s="87" t="s">
        <v>3520</v>
      </c>
      <c r="AR241" s="81" t="s">
        <v>179</v>
      </c>
      <c r="AS241" s="81">
        <v>0</v>
      </c>
      <c r="AT241" s="81">
        <v>0</v>
      </c>
      <c r="AU241" s="81"/>
      <c r="AV241" s="81"/>
      <c r="AW241" s="81"/>
      <c r="AX241" s="81"/>
      <c r="AY241" s="81"/>
      <c r="AZ241" s="81"/>
      <c r="BA241" s="81"/>
      <c r="BB241" s="81"/>
    </row>
    <row r="242" spans="1:54" x14ac:dyDescent="0.35">
      <c r="A242" s="66" t="s">
        <v>371</v>
      </c>
      <c r="B242" s="66" t="s">
        <v>1055</v>
      </c>
      <c r="C242" s="67"/>
      <c r="D242" s="68"/>
      <c r="E242" s="69"/>
      <c r="F242" s="70"/>
      <c r="G242" s="67"/>
      <c r="H242" s="71"/>
      <c r="I242" s="72"/>
      <c r="J242" s="72"/>
      <c r="K242" s="36"/>
      <c r="L242" s="79"/>
      <c r="M242" s="79"/>
      <c r="N242" s="74"/>
      <c r="O242" s="81" t="s">
        <v>1207</v>
      </c>
      <c r="P242" s="83">
        <v>44460.106898148151</v>
      </c>
      <c r="Q242" s="81" t="s">
        <v>1324</v>
      </c>
      <c r="R242" s="81"/>
      <c r="S242" s="81"/>
      <c r="T242" s="81"/>
      <c r="U242" s="85" t="str">
        <f>HYPERLINK("https://pbs.twimg.com/media/E_xVJy2VQAQerFe.jpg")</f>
        <v>https://pbs.twimg.com/media/E_xVJy2VQAQerFe.jpg</v>
      </c>
      <c r="V242" s="85" t="str">
        <f>HYPERLINK("https://pbs.twimg.com/media/E_xVJy2VQAQerFe.jpg")</f>
        <v>https://pbs.twimg.com/media/E_xVJy2VQAQerFe.jpg</v>
      </c>
      <c r="W242" s="83">
        <v>44460.106898148151</v>
      </c>
      <c r="X242" s="89">
        <v>44460</v>
      </c>
      <c r="Y242" s="87" t="s">
        <v>1960</v>
      </c>
      <c r="Z242" s="85" t="str">
        <f>HYPERLINK("https://twitter.com/toni_chelsky88/status/1440142218870681604")</f>
        <v>https://twitter.com/toni_chelsky88/status/1440142218870681604</v>
      </c>
      <c r="AA242" s="81"/>
      <c r="AB242" s="81"/>
      <c r="AC242" s="87" t="s">
        <v>2882</v>
      </c>
      <c r="AD242" s="81"/>
      <c r="AE242" s="81" t="b">
        <v>0</v>
      </c>
      <c r="AF242" s="81">
        <v>0</v>
      </c>
      <c r="AG242" s="87" t="s">
        <v>3875</v>
      </c>
      <c r="AH242" s="81" t="b">
        <v>0</v>
      </c>
      <c r="AI242" s="81" t="s">
        <v>4092</v>
      </c>
      <c r="AJ242" s="81"/>
      <c r="AK242" s="87" t="s">
        <v>3875</v>
      </c>
      <c r="AL242" s="81" t="b">
        <v>0</v>
      </c>
      <c r="AM242" s="81">
        <v>321</v>
      </c>
      <c r="AN242" s="87" t="s">
        <v>3520</v>
      </c>
      <c r="AO242" s="87" t="s">
        <v>4109</v>
      </c>
      <c r="AP242" s="81" t="b">
        <v>0</v>
      </c>
      <c r="AQ242" s="87" t="s">
        <v>3520</v>
      </c>
      <c r="AR242" s="81" t="s">
        <v>179</v>
      </c>
      <c r="AS242" s="81">
        <v>0</v>
      </c>
      <c r="AT242" s="81">
        <v>0</v>
      </c>
      <c r="AU242" s="81"/>
      <c r="AV242" s="81"/>
      <c r="AW242" s="81"/>
      <c r="AX242" s="81"/>
      <c r="AY242" s="81"/>
      <c r="AZ242" s="81"/>
      <c r="BA242" s="81"/>
      <c r="BB242" s="81"/>
    </row>
    <row r="243" spans="1:54" x14ac:dyDescent="0.35">
      <c r="A243" s="66" t="s">
        <v>371</v>
      </c>
      <c r="B243" s="66" t="s">
        <v>910</v>
      </c>
      <c r="C243" s="67"/>
      <c r="D243" s="68"/>
      <c r="E243" s="69"/>
      <c r="F243" s="70"/>
      <c r="G243" s="67"/>
      <c r="H243" s="71"/>
      <c r="I243" s="72"/>
      <c r="J243" s="72"/>
      <c r="K243" s="36"/>
      <c r="L243" s="79"/>
      <c r="M243" s="79"/>
      <c r="N243" s="74"/>
      <c r="O243" s="81" t="s">
        <v>1205</v>
      </c>
      <c r="P243" s="83">
        <v>44460.106898148151</v>
      </c>
      <c r="Q243" s="81" t="s">
        <v>1324</v>
      </c>
      <c r="R243" s="81"/>
      <c r="S243" s="81"/>
      <c r="T243" s="81"/>
      <c r="U243" s="85" t="str">
        <f>HYPERLINK("https://pbs.twimg.com/media/E_xVJy2VQAQerFe.jpg")</f>
        <v>https://pbs.twimg.com/media/E_xVJy2VQAQerFe.jpg</v>
      </c>
      <c r="V243" s="85" t="str">
        <f>HYPERLINK("https://pbs.twimg.com/media/E_xVJy2VQAQerFe.jpg")</f>
        <v>https://pbs.twimg.com/media/E_xVJy2VQAQerFe.jpg</v>
      </c>
      <c r="W243" s="83">
        <v>44460.106898148151</v>
      </c>
      <c r="X243" s="89">
        <v>44460</v>
      </c>
      <c r="Y243" s="87" t="s">
        <v>1960</v>
      </c>
      <c r="Z243" s="85" t="str">
        <f>HYPERLINK("https://twitter.com/toni_chelsky88/status/1440142218870681604")</f>
        <v>https://twitter.com/toni_chelsky88/status/1440142218870681604</v>
      </c>
      <c r="AA243" s="81"/>
      <c r="AB243" s="81"/>
      <c r="AC243" s="87" t="s">
        <v>2882</v>
      </c>
      <c r="AD243" s="81"/>
      <c r="AE243" s="81" t="b">
        <v>0</v>
      </c>
      <c r="AF243" s="81">
        <v>0</v>
      </c>
      <c r="AG243" s="87" t="s">
        <v>3875</v>
      </c>
      <c r="AH243" s="81" t="b">
        <v>0</v>
      </c>
      <c r="AI243" s="81" t="s">
        <v>4092</v>
      </c>
      <c r="AJ243" s="81"/>
      <c r="AK243" s="87" t="s">
        <v>3875</v>
      </c>
      <c r="AL243" s="81" t="b">
        <v>0</v>
      </c>
      <c r="AM243" s="81">
        <v>321</v>
      </c>
      <c r="AN243" s="87" t="s">
        <v>3520</v>
      </c>
      <c r="AO243" s="87" t="s">
        <v>4109</v>
      </c>
      <c r="AP243" s="81" t="b">
        <v>0</v>
      </c>
      <c r="AQ243" s="87" t="s">
        <v>3520</v>
      </c>
      <c r="AR243" s="81" t="s">
        <v>179</v>
      </c>
      <c r="AS243" s="81">
        <v>0</v>
      </c>
      <c r="AT243" s="81">
        <v>0</v>
      </c>
      <c r="AU243" s="81"/>
      <c r="AV243" s="81"/>
      <c r="AW243" s="81"/>
      <c r="AX243" s="81"/>
      <c r="AY243" s="81"/>
      <c r="AZ243" s="81"/>
      <c r="BA243" s="81"/>
      <c r="BB243" s="81"/>
    </row>
    <row r="244" spans="1:54" x14ac:dyDescent="0.35">
      <c r="A244" s="66" t="s">
        <v>372</v>
      </c>
      <c r="B244" s="66" t="s">
        <v>1055</v>
      </c>
      <c r="C244" s="67"/>
      <c r="D244" s="68"/>
      <c r="E244" s="69"/>
      <c r="F244" s="70"/>
      <c r="G244" s="67"/>
      <c r="H244" s="71"/>
      <c r="I244" s="72"/>
      <c r="J244" s="72"/>
      <c r="K244" s="36"/>
      <c r="L244" s="79"/>
      <c r="M244" s="79"/>
      <c r="N244" s="74"/>
      <c r="O244" s="81" t="s">
        <v>1207</v>
      </c>
      <c r="P244" s="83">
        <v>44460.106909722221</v>
      </c>
      <c r="Q244" s="81" t="s">
        <v>1324</v>
      </c>
      <c r="R244" s="81"/>
      <c r="S244" s="81"/>
      <c r="T244" s="81"/>
      <c r="U244" s="85" t="str">
        <f>HYPERLINK("https://pbs.twimg.com/media/E_xVJy2VQAQerFe.jpg")</f>
        <v>https://pbs.twimg.com/media/E_xVJy2VQAQerFe.jpg</v>
      </c>
      <c r="V244" s="85" t="str">
        <f>HYPERLINK("https://pbs.twimg.com/media/E_xVJy2VQAQerFe.jpg")</f>
        <v>https://pbs.twimg.com/media/E_xVJy2VQAQerFe.jpg</v>
      </c>
      <c r="W244" s="83">
        <v>44460.106909722221</v>
      </c>
      <c r="X244" s="89">
        <v>44460</v>
      </c>
      <c r="Y244" s="87" t="s">
        <v>1961</v>
      </c>
      <c r="Z244" s="85" t="str">
        <f>HYPERLINK("https://twitter.com/emastok/status/1440142223102775297")</f>
        <v>https://twitter.com/emastok/status/1440142223102775297</v>
      </c>
      <c r="AA244" s="81"/>
      <c r="AB244" s="81"/>
      <c r="AC244" s="87" t="s">
        <v>2883</v>
      </c>
      <c r="AD244" s="81"/>
      <c r="AE244" s="81" t="b">
        <v>0</v>
      </c>
      <c r="AF244" s="81">
        <v>0</v>
      </c>
      <c r="AG244" s="87" t="s">
        <v>3875</v>
      </c>
      <c r="AH244" s="81" t="b">
        <v>0</v>
      </c>
      <c r="AI244" s="81" t="s">
        <v>4092</v>
      </c>
      <c r="AJ244" s="81"/>
      <c r="AK244" s="87" t="s">
        <v>3875</v>
      </c>
      <c r="AL244" s="81" t="b">
        <v>0</v>
      </c>
      <c r="AM244" s="81">
        <v>321</v>
      </c>
      <c r="AN244" s="87" t="s">
        <v>3520</v>
      </c>
      <c r="AO244" s="87" t="s">
        <v>4109</v>
      </c>
      <c r="AP244" s="81" t="b">
        <v>0</v>
      </c>
      <c r="AQ244" s="87" t="s">
        <v>3520</v>
      </c>
      <c r="AR244" s="81" t="s">
        <v>179</v>
      </c>
      <c r="AS244" s="81">
        <v>0</v>
      </c>
      <c r="AT244" s="81">
        <v>0</v>
      </c>
      <c r="AU244" s="81"/>
      <c r="AV244" s="81"/>
      <c r="AW244" s="81"/>
      <c r="AX244" s="81"/>
      <c r="AY244" s="81"/>
      <c r="AZ244" s="81"/>
      <c r="BA244" s="81"/>
      <c r="BB244" s="81"/>
    </row>
    <row r="245" spans="1:54" x14ac:dyDescent="0.35">
      <c r="A245" s="66" t="s">
        <v>372</v>
      </c>
      <c r="B245" s="66" t="s">
        <v>910</v>
      </c>
      <c r="C245" s="67"/>
      <c r="D245" s="68"/>
      <c r="E245" s="69"/>
      <c r="F245" s="70"/>
      <c r="G245" s="67"/>
      <c r="H245" s="71"/>
      <c r="I245" s="72"/>
      <c r="J245" s="72"/>
      <c r="K245" s="36"/>
      <c r="L245" s="79"/>
      <c r="M245" s="79"/>
      <c r="N245" s="74"/>
      <c r="O245" s="81" t="s">
        <v>1205</v>
      </c>
      <c r="P245" s="83">
        <v>44460.106909722221</v>
      </c>
      <c r="Q245" s="81" t="s">
        <v>1324</v>
      </c>
      <c r="R245" s="81"/>
      <c r="S245" s="81"/>
      <c r="T245" s="81"/>
      <c r="U245" s="85" t="str">
        <f>HYPERLINK("https://pbs.twimg.com/media/E_xVJy2VQAQerFe.jpg")</f>
        <v>https://pbs.twimg.com/media/E_xVJy2VQAQerFe.jpg</v>
      </c>
      <c r="V245" s="85" t="str">
        <f>HYPERLINK("https://pbs.twimg.com/media/E_xVJy2VQAQerFe.jpg")</f>
        <v>https://pbs.twimg.com/media/E_xVJy2VQAQerFe.jpg</v>
      </c>
      <c r="W245" s="83">
        <v>44460.106909722221</v>
      </c>
      <c r="X245" s="89">
        <v>44460</v>
      </c>
      <c r="Y245" s="87" t="s">
        <v>1961</v>
      </c>
      <c r="Z245" s="85" t="str">
        <f>HYPERLINK("https://twitter.com/emastok/status/1440142223102775297")</f>
        <v>https://twitter.com/emastok/status/1440142223102775297</v>
      </c>
      <c r="AA245" s="81"/>
      <c r="AB245" s="81"/>
      <c r="AC245" s="87" t="s">
        <v>2883</v>
      </c>
      <c r="AD245" s="81"/>
      <c r="AE245" s="81" t="b">
        <v>0</v>
      </c>
      <c r="AF245" s="81">
        <v>0</v>
      </c>
      <c r="AG245" s="87" t="s">
        <v>3875</v>
      </c>
      <c r="AH245" s="81" t="b">
        <v>0</v>
      </c>
      <c r="AI245" s="81" t="s">
        <v>4092</v>
      </c>
      <c r="AJ245" s="81"/>
      <c r="AK245" s="87" t="s">
        <v>3875</v>
      </c>
      <c r="AL245" s="81" t="b">
        <v>0</v>
      </c>
      <c r="AM245" s="81">
        <v>321</v>
      </c>
      <c r="AN245" s="87" t="s">
        <v>3520</v>
      </c>
      <c r="AO245" s="87" t="s">
        <v>4109</v>
      </c>
      <c r="AP245" s="81" t="b">
        <v>0</v>
      </c>
      <c r="AQ245" s="87" t="s">
        <v>3520</v>
      </c>
      <c r="AR245" s="81" t="s">
        <v>179</v>
      </c>
      <c r="AS245" s="81">
        <v>0</v>
      </c>
      <c r="AT245" s="81">
        <v>0</v>
      </c>
      <c r="AU245" s="81"/>
      <c r="AV245" s="81"/>
      <c r="AW245" s="81"/>
      <c r="AX245" s="81"/>
      <c r="AY245" s="81"/>
      <c r="AZ245" s="81"/>
      <c r="BA245" s="81"/>
      <c r="BB245" s="81"/>
    </row>
    <row r="246" spans="1:54" x14ac:dyDescent="0.35">
      <c r="A246" s="66" t="s">
        <v>373</v>
      </c>
      <c r="B246" s="66" t="s">
        <v>1055</v>
      </c>
      <c r="C246" s="67"/>
      <c r="D246" s="68"/>
      <c r="E246" s="69"/>
      <c r="F246" s="70"/>
      <c r="G246" s="67"/>
      <c r="H246" s="71"/>
      <c r="I246" s="72"/>
      <c r="J246" s="72"/>
      <c r="K246" s="36"/>
      <c r="L246" s="79"/>
      <c r="M246" s="79"/>
      <c r="N246" s="74"/>
      <c r="O246" s="81" t="s">
        <v>1207</v>
      </c>
      <c r="P246" s="83">
        <v>44460.108263888891</v>
      </c>
      <c r="Q246" s="81" t="s">
        <v>1324</v>
      </c>
      <c r="R246" s="81"/>
      <c r="S246" s="81"/>
      <c r="T246" s="81"/>
      <c r="U246" s="85" t="str">
        <f>HYPERLINK("https://pbs.twimg.com/media/E_xVJy2VQAQerFe.jpg")</f>
        <v>https://pbs.twimg.com/media/E_xVJy2VQAQerFe.jpg</v>
      </c>
      <c r="V246" s="85" t="str">
        <f>HYPERLINK("https://pbs.twimg.com/media/E_xVJy2VQAQerFe.jpg")</f>
        <v>https://pbs.twimg.com/media/E_xVJy2VQAQerFe.jpg</v>
      </c>
      <c r="W246" s="83">
        <v>44460.108263888891</v>
      </c>
      <c r="X246" s="89">
        <v>44460</v>
      </c>
      <c r="Y246" s="87" t="s">
        <v>1962</v>
      </c>
      <c r="Z246" s="85" t="str">
        <f>HYPERLINK("https://twitter.com/ewinwinarti/status/1440142715090472970")</f>
        <v>https://twitter.com/ewinwinarti/status/1440142715090472970</v>
      </c>
      <c r="AA246" s="81"/>
      <c r="AB246" s="81"/>
      <c r="AC246" s="87" t="s">
        <v>2884</v>
      </c>
      <c r="AD246" s="81"/>
      <c r="AE246" s="81" t="b">
        <v>0</v>
      </c>
      <c r="AF246" s="81">
        <v>0</v>
      </c>
      <c r="AG246" s="87" t="s">
        <v>3875</v>
      </c>
      <c r="AH246" s="81" t="b">
        <v>0</v>
      </c>
      <c r="AI246" s="81" t="s">
        <v>4092</v>
      </c>
      <c r="AJ246" s="81"/>
      <c r="AK246" s="87" t="s">
        <v>3875</v>
      </c>
      <c r="AL246" s="81" t="b">
        <v>0</v>
      </c>
      <c r="AM246" s="81">
        <v>321</v>
      </c>
      <c r="AN246" s="87" t="s">
        <v>3520</v>
      </c>
      <c r="AO246" s="87" t="s">
        <v>4109</v>
      </c>
      <c r="AP246" s="81" t="b">
        <v>0</v>
      </c>
      <c r="AQ246" s="87" t="s">
        <v>3520</v>
      </c>
      <c r="AR246" s="81" t="s">
        <v>179</v>
      </c>
      <c r="AS246" s="81">
        <v>0</v>
      </c>
      <c r="AT246" s="81">
        <v>0</v>
      </c>
      <c r="AU246" s="81"/>
      <c r="AV246" s="81"/>
      <c r="AW246" s="81"/>
      <c r="AX246" s="81"/>
      <c r="AY246" s="81"/>
      <c r="AZ246" s="81"/>
      <c r="BA246" s="81"/>
      <c r="BB246" s="81"/>
    </row>
    <row r="247" spans="1:54" x14ac:dyDescent="0.35">
      <c r="A247" s="66" t="s">
        <v>373</v>
      </c>
      <c r="B247" s="66" t="s">
        <v>910</v>
      </c>
      <c r="C247" s="67"/>
      <c r="D247" s="68"/>
      <c r="E247" s="69"/>
      <c r="F247" s="70"/>
      <c r="G247" s="67"/>
      <c r="H247" s="71"/>
      <c r="I247" s="72"/>
      <c r="J247" s="72"/>
      <c r="K247" s="36"/>
      <c r="L247" s="79"/>
      <c r="M247" s="79"/>
      <c r="N247" s="74"/>
      <c r="O247" s="81" t="s">
        <v>1205</v>
      </c>
      <c r="P247" s="83">
        <v>44460.108263888891</v>
      </c>
      <c r="Q247" s="81" t="s">
        <v>1324</v>
      </c>
      <c r="R247" s="81"/>
      <c r="S247" s="81"/>
      <c r="T247" s="81"/>
      <c r="U247" s="85" t="str">
        <f>HYPERLINK("https://pbs.twimg.com/media/E_xVJy2VQAQerFe.jpg")</f>
        <v>https://pbs.twimg.com/media/E_xVJy2VQAQerFe.jpg</v>
      </c>
      <c r="V247" s="85" t="str">
        <f>HYPERLINK("https://pbs.twimg.com/media/E_xVJy2VQAQerFe.jpg")</f>
        <v>https://pbs.twimg.com/media/E_xVJy2VQAQerFe.jpg</v>
      </c>
      <c r="W247" s="83">
        <v>44460.108263888891</v>
      </c>
      <c r="X247" s="89">
        <v>44460</v>
      </c>
      <c r="Y247" s="87" t="s">
        <v>1962</v>
      </c>
      <c r="Z247" s="85" t="str">
        <f>HYPERLINK("https://twitter.com/ewinwinarti/status/1440142715090472970")</f>
        <v>https://twitter.com/ewinwinarti/status/1440142715090472970</v>
      </c>
      <c r="AA247" s="81"/>
      <c r="AB247" s="81"/>
      <c r="AC247" s="87" t="s">
        <v>2884</v>
      </c>
      <c r="AD247" s="81"/>
      <c r="AE247" s="81" t="b">
        <v>0</v>
      </c>
      <c r="AF247" s="81">
        <v>0</v>
      </c>
      <c r="AG247" s="87" t="s">
        <v>3875</v>
      </c>
      <c r="AH247" s="81" t="b">
        <v>0</v>
      </c>
      <c r="AI247" s="81" t="s">
        <v>4092</v>
      </c>
      <c r="AJ247" s="81"/>
      <c r="AK247" s="87" t="s">
        <v>3875</v>
      </c>
      <c r="AL247" s="81" t="b">
        <v>0</v>
      </c>
      <c r="AM247" s="81">
        <v>321</v>
      </c>
      <c r="AN247" s="87" t="s">
        <v>3520</v>
      </c>
      <c r="AO247" s="87" t="s">
        <v>4109</v>
      </c>
      <c r="AP247" s="81" t="b">
        <v>0</v>
      </c>
      <c r="AQ247" s="87" t="s">
        <v>3520</v>
      </c>
      <c r="AR247" s="81" t="s">
        <v>179</v>
      </c>
      <c r="AS247" s="81">
        <v>0</v>
      </c>
      <c r="AT247" s="81">
        <v>0</v>
      </c>
      <c r="AU247" s="81"/>
      <c r="AV247" s="81"/>
      <c r="AW247" s="81"/>
      <c r="AX247" s="81"/>
      <c r="AY247" s="81"/>
      <c r="AZ247" s="81"/>
      <c r="BA247" s="81"/>
      <c r="BB247" s="81"/>
    </row>
    <row r="248" spans="1:54" x14ac:dyDescent="0.35">
      <c r="A248" s="66" t="s">
        <v>374</v>
      </c>
      <c r="B248" s="66" t="s">
        <v>1055</v>
      </c>
      <c r="C248" s="67"/>
      <c r="D248" s="68"/>
      <c r="E248" s="69"/>
      <c r="F248" s="70"/>
      <c r="G248" s="67"/>
      <c r="H248" s="71"/>
      <c r="I248" s="72"/>
      <c r="J248" s="72"/>
      <c r="K248" s="36"/>
      <c r="L248" s="79"/>
      <c r="M248" s="79"/>
      <c r="N248" s="74"/>
      <c r="O248" s="81" t="s">
        <v>1207</v>
      </c>
      <c r="P248" s="83">
        <v>44460.109432870369</v>
      </c>
      <c r="Q248" s="81" t="s">
        <v>1324</v>
      </c>
      <c r="R248" s="81"/>
      <c r="S248" s="81"/>
      <c r="T248" s="81"/>
      <c r="U248" s="85" t="str">
        <f>HYPERLINK("https://pbs.twimg.com/media/E_xVJy2VQAQerFe.jpg")</f>
        <v>https://pbs.twimg.com/media/E_xVJy2VQAQerFe.jpg</v>
      </c>
      <c r="V248" s="85" t="str">
        <f>HYPERLINK("https://pbs.twimg.com/media/E_xVJy2VQAQerFe.jpg")</f>
        <v>https://pbs.twimg.com/media/E_xVJy2VQAQerFe.jpg</v>
      </c>
      <c r="W248" s="83">
        <v>44460.109432870369</v>
      </c>
      <c r="X248" s="89">
        <v>44460</v>
      </c>
      <c r="Y248" s="87" t="s">
        <v>1963</v>
      </c>
      <c r="Z248" s="85" t="str">
        <f>HYPERLINK("https://twitter.com/wisnukombot/status/1440143137372917763")</f>
        <v>https://twitter.com/wisnukombot/status/1440143137372917763</v>
      </c>
      <c r="AA248" s="81"/>
      <c r="AB248" s="81"/>
      <c r="AC248" s="87" t="s">
        <v>2885</v>
      </c>
      <c r="AD248" s="81"/>
      <c r="AE248" s="81" t="b">
        <v>0</v>
      </c>
      <c r="AF248" s="81">
        <v>0</v>
      </c>
      <c r="AG248" s="87" t="s">
        <v>3875</v>
      </c>
      <c r="AH248" s="81" t="b">
        <v>0</v>
      </c>
      <c r="AI248" s="81" t="s">
        <v>4092</v>
      </c>
      <c r="AJ248" s="81"/>
      <c r="AK248" s="87" t="s">
        <v>3875</v>
      </c>
      <c r="AL248" s="81" t="b">
        <v>0</v>
      </c>
      <c r="AM248" s="81">
        <v>321</v>
      </c>
      <c r="AN248" s="87" t="s">
        <v>3520</v>
      </c>
      <c r="AO248" s="87" t="s">
        <v>4109</v>
      </c>
      <c r="AP248" s="81" t="b">
        <v>0</v>
      </c>
      <c r="AQ248" s="87" t="s">
        <v>3520</v>
      </c>
      <c r="AR248" s="81" t="s">
        <v>179</v>
      </c>
      <c r="AS248" s="81">
        <v>0</v>
      </c>
      <c r="AT248" s="81">
        <v>0</v>
      </c>
      <c r="AU248" s="81"/>
      <c r="AV248" s="81"/>
      <c r="AW248" s="81"/>
      <c r="AX248" s="81"/>
      <c r="AY248" s="81"/>
      <c r="AZ248" s="81"/>
      <c r="BA248" s="81"/>
      <c r="BB248" s="81"/>
    </row>
    <row r="249" spans="1:54" x14ac:dyDescent="0.35">
      <c r="A249" s="66" t="s">
        <v>374</v>
      </c>
      <c r="B249" s="66" t="s">
        <v>910</v>
      </c>
      <c r="C249" s="67"/>
      <c r="D249" s="68"/>
      <c r="E249" s="69"/>
      <c r="F249" s="70"/>
      <c r="G249" s="67"/>
      <c r="H249" s="71"/>
      <c r="I249" s="72"/>
      <c r="J249" s="72"/>
      <c r="K249" s="36"/>
      <c r="L249" s="79"/>
      <c r="M249" s="79"/>
      <c r="N249" s="74"/>
      <c r="O249" s="81" t="s">
        <v>1205</v>
      </c>
      <c r="P249" s="83">
        <v>44460.109432870369</v>
      </c>
      <c r="Q249" s="81" t="s">
        <v>1324</v>
      </c>
      <c r="R249" s="81"/>
      <c r="S249" s="81"/>
      <c r="T249" s="81"/>
      <c r="U249" s="85" t="str">
        <f>HYPERLINK("https://pbs.twimg.com/media/E_xVJy2VQAQerFe.jpg")</f>
        <v>https://pbs.twimg.com/media/E_xVJy2VQAQerFe.jpg</v>
      </c>
      <c r="V249" s="85" t="str">
        <f>HYPERLINK("https://pbs.twimg.com/media/E_xVJy2VQAQerFe.jpg")</f>
        <v>https://pbs.twimg.com/media/E_xVJy2VQAQerFe.jpg</v>
      </c>
      <c r="W249" s="83">
        <v>44460.109432870369</v>
      </c>
      <c r="X249" s="89">
        <v>44460</v>
      </c>
      <c r="Y249" s="87" t="s">
        <v>1963</v>
      </c>
      <c r="Z249" s="85" t="str">
        <f>HYPERLINK("https://twitter.com/wisnukombot/status/1440143137372917763")</f>
        <v>https://twitter.com/wisnukombot/status/1440143137372917763</v>
      </c>
      <c r="AA249" s="81"/>
      <c r="AB249" s="81"/>
      <c r="AC249" s="87" t="s">
        <v>2885</v>
      </c>
      <c r="AD249" s="81"/>
      <c r="AE249" s="81" t="b">
        <v>0</v>
      </c>
      <c r="AF249" s="81">
        <v>0</v>
      </c>
      <c r="AG249" s="87" t="s">
        <v>3875</v>
      </c>
      <c r="AH249" s="81" t="b">
        <v>0</v>
      </c>
      <c r="AI249" s="81" t="s">
        <v>4092</v>
      </c>
      <c r="AJ249" s="81"/>
      <c r="AK249" s="87" t="s">
        <v>3875</v>
      </c>
      <c r="AL249" s="81" t="b">
        <v>0</v>
      </c>
      <c r="AM249" s="81">
        <v>321</v>
      </c>
      <c r="AN249" s="87" t="s">
        <v>3520</v>
      </c>
      <c r="AO249" s="87" t="s">
        <v>4109</v>
      </c>
      <c r="AP249" s="81" t="b">
        <v>0</v>
      </c>
      <c r="AQ249" s="87" t="s">
        <v>3520</v>
      </c>
      <c r="AR249" s="81" t="s">
        <v>179</v>
      </c>
      <c r="AS249" s="81">
        <v>0</v>
      </c>
      <c r="AT249" s="81">
        <v>0</v>
      </c>
      <c r="AU249" s="81"/>
      <c r="AV249" s="81"/>
      <c r="AW249" s="81"/>
      <c r="AX249" s="81"/>
      <c r="AY249" s="81"/>
      <c r="AZ249" s="81"/>
      <c r="BA249" s="81"/>
      <c r="BB249" s="81"/>
    </row>
    <row r="250" spans="1:54" x14ac:dyDescent="0.35">
      <c r="A250" s="66" t="s">
        <v>375</v>
      </c>
      <c r="B250" s="66" t="s">
        <v>1010</v>
      </c>
      <c r="C250" s="67"/>
      <c r="D250" s="68"/>
      <c r="E250" s="69"/>
      <c r="F250" s="70"/>
      <c r="G250" s="67"/>
      <c r="H250" s="71"/>
      <c r="I250" s="72"/>
      <c r="J250" s="72"/>
      <c r="K250" s="36"/>
      <c r="L250" s="79"/>
      <c r="M250" s="79"/>
      <c r="N250" s="74"/>
      <c r="O250" s="81" t="s">
        <v>1206</v>
      </c>
      <c r="P250" s="83">
        <v>44458.585659722223</v>
      </c>
      <c r="Q250" s="81" t="s">
        <v>1248</v>
      </c>
      <c r="R250" s="85" t="str">
        <f>HYPERLINK("https://kerjha.com/pos-indonesia-gandeng-nujek-dan-perkenalkan-o-ranger-mawar/")</f>
        <v>https://kerjha.com/pos-indonesia-gandeng-nujek-dan-perkenalkan-o-ranger-mawar/</v>
      </c>
      <c r="S250" s="81" t="s">
        <v>1735</v>
      </c>
      <c r="T250" s="81"/>
      <c r="U250" s="81"/>
      <c r="V250" s="85" t="str">
        <f>HYPERLINK("https://pbs.twimg.com/profile_images/1372795753656057857/w9mDheRu_normal.jpg")</f>
        <v>https://pbs.twimg.com/profile_images/1372795753656057857/w9mDheRu_normal.jpg</v>
      </c>
      <c r="W250" s="83">
        <v>44458.585659722223</v>
      </c>
      <c r="X250" s="89">
        <v>44458</v>
      </c>
      <c r="Y250" s="87" t="s">
        <v>1964</v>
      </c>
      <c r="Z250" s="85" t="str">
        <f>HYPERLINK("https://twitter.com/kardosony/status/1439590940331495426")</f>
        <v>https://twitter.com/kardosony/status/1439590940331495426</v>
      </c>
      <c r="AA250" s="81"/>
      <c r="AB250" s="81"/>
      <c r="AC250" s="87" t="s">
        <v>2886</v>
      </c>
      <c r="AD250" s="81"/>
      <c r="AE250" s="81" t="b">
        <v>0</v>
      </c>
      <c r="AF250" s="81">
        <v>18</v>
      </c>
      <c r="AG250" s="87" t="s">
        <v>3875</v>
      </c>
      <c r="AH250" s="81" t="b">
        <v>0</v>
      </c>
      <c r="AI250" s="81" t="s">
        <v>4092</v>
      </c>
      <c r="AJ250" s="81"/>
      <c r="AK250" s="87" t="s">
        <v>3875</v>
      </c>
      <c r="AL250" s="81" t="b">
        <v>0</v>
      </c>
      <c r="AM250" s="81">
        <v>10</v>
      </c>
      <c r="AN250" s="87" t="s">
        <v>3875</v>
      </c>
      <c r="AO250" s="87" t="s">
        <v>4109</v>
      </c>
      <c r="AP250" s="81" t="b">
        <v>0</v>
      </c>
      <c r="AQ250" s="87" t="s">
        <v>2886</v>
      </c>
      <c r="AR250" s="81" t="s">
        <v>179</v>
      </c>
      <c r="AS250" s="81">
        <v>0</v>
      </c>
      <c r="AT250" s="81">
        <v>0</v>
      </c>
      <c r="AU250" s="81"/>
      <c r="AV250" s="81"/>
      <c r="AW250" s="81"/>
      <c r="AX250" s="81"/>
      <c r="AY250" s="81"/>
      <c r="AZ250" s="81"/>
      <c r="BA250" s="81"/>
      <c r="BB250" s="81"/>
    </row>
    <row r="251" spans="1:54" x14ac:dyDescent="0.35">
      <c r="A251" s="66" t="s">
        <v>376</v>
      </c>
      <c r="B251" s="66" t="s">
        <v>1010</v>
      </c>
      <c r="C251" s="67"/>
      <c r="D251" s="68"/>
      <c r="E251" s="69"/>
      <c r="F251" s="70"/>
      <c r="G251" s="67"/>
      <c r="H251" s="71"/>
      <c r="I251" s="72"/>
      <c r="J251" s="72"/>
      <c r="K251" s="36"/>
      <c r="L251" s="79"/>
      <c r="M251" s="79"/>
      <c r="N251" s="74"/>
      <c r="O251" s="81" t="s">
        <v>1207</v>
      </c>
      <c r="P251" s="83">
        <v>44458.632731481484</v>
      </c>
      <c r="Q251" s="81" t="s">
        <v>1248</v>
      </c>
      <c r="R251" s="85" t="str">
        <f>HYPERLINK("https://kerjha.com/pos-indonesia-gandeng-nujek-dan-perkenalkan-o-ranger-mawar/")</f>
        <v>https://kerjha.com/pos-indonesia-gandeng-nujek-dan-perkenalkan-o-ranger-mawar/</v>
      </c>
      <c r="S251" s="81" t="s">
        <v>1735</v>
      </c>
      <c r="T251" s="81"/>
      <c r="U251" s="81"/>
      <c r="V251" s="85" t="str">
        <f>HYPERLINK("https://pbs.twimg.com/profile_images/1393511664851439619/8-0jz544_normal.jpg")</f>
        <v>https://pbs.twimg.com/profile_images/1393511664851439619/8-0jz544_normal.jpg</v>
      </c>
      <c r="W251" s="83">
        <v>44458.632731481484</v>
      </c>
      <c r="X251" s="89">
        <v>44458</v>
      </c>
      <c r="Y251" s="87" t="s">
        <v>1965</v>
      </c>
      <c r="Z251" s="85" t="str">
        <f>HYPERLINK("https://twitter.com/moekartho/status/1439608001850068995")</f>
        <v>https://twitter.com/moekartho/status/1439608001850068995</v>
      </c>
      <c r="AA251" s="81"/>
      <c r="AB251" s="81"/>
      <c r="AC251" s="87" t="s">
        <v>2887</v>
      </c>
      <c r="AD251" s="81"/>
      <c r="AE251" s="81" t="b">
        <v>0</v>
      </c>
      <c r="AF251" s="81">
        <v>0</v>
      </c>
      <c r="AG251" s="87" t="s">
        <v>3875</v>
      </c>
      <c r="AH251" s="81" t="b">
        <v>0</v>
      </c>
      <c r="AI251" s="81" t="s">
        <v>4092</v>
      </c>
      <c r="AJ251" s="81"/>
      <c r="AK251" s="87" t="s">
        <v>3875</v>
      </c>
      <c r="AL251" s="81" t="b">
        <v>0</v>
      </c>
      <c r="AM251" s="81">
        <v>10</v>
      </c>
      <c r="AN251" s="87" t="s">
        <v>2886</v>
      </c>
      <c r="AO251" s="87" t="s">
        <v>4111</v>
      </c>
      <c r="AP251" s="81" t="b">
        <v>0</v>
      </c>
      <c r="AQ251" s="87" t="s">
        <v>2886</v>
      </c>
      <c r="AR251" s="81" t="s">
        <v>179</v>
      </c>
      <c r="AS251" s="81">
        <v>0</v>
      </c>
      <c r="AT251" s="81">
        <v>0</v>
      </c>
      <c r="AU251" s="81"/>
      <c r="AV251" s="81"/>
      <c r="AW251" s="81"/>
      <c r="AX251" s="81"/>
      <c r="AY251" s="81"/>
      <c r="AZ251" s="81"/>
      <c r="BA251" s="81"/>
      <c r="BB251" s="81"/>
    </row>
    <row r="252" spans="1:54" x14ac:dyDescent="0.35">
      <c r="A252" s="66" t="s">
        <v>376</v>
      </c>
      <c r="B252" s="66" t="s">
        <v>375</v>
      </c>
      <c r="C252" s="67"/>
      <c r="D252" s="68"/>
      <c r="E252" s="69"/>
      <c r="F252" s="70"/>
      <c r="G252" s="67"/>
      <c r="H252" s="71"/>
      <c r="I252" s="72"/>
      <c r="J252" s="72"/>
      <c r="K252" s="36"/>
      <c r="L252" s="79"/>
      <c r="M252" s="79"/>
      <c r="N252" s="74"/>
      <c r="O252" s="81" t="s">
        <v>1205</v>
      </c>
      <c r="P252" s="83">
        <v>44458.632731481484</v>
      </c>
      <c r="Q252" s="81" t="s">
        <v>1248</v>
      </c>
      <c r="R252" s="85" t="str">
        <f>HYPERLINK("https://kerjha.com/pos-indonesia-gandeng-nujek-dan-perkenalkan-o-ranger-mawar/")</f>
        <v>https://kerjha.com/pos-indonesia-gandeng-nujek-dan-perkenalkan-o-ranger-mawar/</v>
      </c>
      <c r="S252" s="81" t="s">
        <v>1735</v>
      </c>
      <c r="T252" s="81"/>
      <c r="U252" s="81"/>
      <c r="V252" s="85" t="str">
        <f>HYPERLINK("https://pbs.twimg.com/profile_images/1393511664851439619/8-0jz544_normal.jpg")</f>
        <v>https://pbs.twimg.com/profile_images/1393511664851439619/8-0jz544_normal.jpg</v>
      </c>
      <c r="W252" s="83">
        <v>44458.632731481484</v>
      </c>
      <c r="X252" s="89">
        <v>44458</v>
      </c>
      <c r="Y252" s="87" t="s">
        <v>1965</v>
      </c>
      <c r="Z252" s="85" t="str">
        <f>HYPERLINK("https://twitter.com/moekartho/status/1439608001850068995")</f>
        <v>https://twitter.com/moekartho/status/1439608001850068995</v>
      </c>
      <c r="AA252" s="81"/>
      <c r="AB252" s="81"/>
      <c r="AC252" s="87" t="s">
        <v>2887</v>
      </c>
      <c r="AD252" s="81"/>
      <c r="AE252" s="81" t="b">
        <v>0</v>
      </c>
      <c r="AF252" s="81">
        <v>0</v>
      </c>
      <c r="AG252" s="87" t="s">
        <v>3875</v>
      </c>
      <c r="AH252" s="81" t="b">
        <v>0</v>
      </c>
      <c r="AI252" s="81" t="s">
        <v>4092</v>
      </c>
      <c r="AJ252" s="81"/>
      <c r="AK252" s="87" t="s">
        <v>3875</v>
      </c>
      <c r="AL252" s="81" t="b">
        <v>0</v>
      </c>
      <c r="AM252" s="81">
        <v>10</v>
      </c>
      <c r="AN252" s="87" t="s">
        <v>2886</v>
      </c>
      <c r="AO252" s="87" t="s">
        <v>4111</v>
      </c>
      <c r="AP252" s="81" t="b">
        <v>0</v>
      </c>
      <c r="AQ252" s="87" t="s">
        <v>2886</v>
      </c>
      <c r="AR252" s="81" t="s">
        <v>179</v>
      </c>
      <c r="AS252" s="81">
        <v>0</v>
      </c>
      <c r="AT252" s="81">
        <v>0</v>
      </c>
      <c r="AU252" s="81"/>
      <c r="AV252" s="81"/>
      <c r="AW252" s="81"/>
      <c r="AX252" s="81"/>
      <c r="AY252" s="81"/>
      <c r="AZ252" s="81"/>
      <c r="BA252" s="81"/>
      <c r="BB252" s="81"/>
    </row>
    <row r="253" spans="1:54" x14ac:dyDescent="0.35">
      <c r="A253" s="66" t="s">
        <v>376</v>
      </c>
      <c r="B253" s="66" t="s">
        <v>1055</v>
      </c>
      <c r="C253" s="67"/>
      <c r="D253" s="68"/>
      <c r="E253" s="69"/>
      <c r="F253" s="70"/>
      <c r="G253" s="67"/>
      <c r="H253" s="71"/>
      <c r="I253" s="72"/>
      <c r="J253" s="72"/>
      <c r="K253" s="36"/>
      <c r="L253" s="79"/>
      <c r="M253" s="79"/>
      <c r="N253" s="74"/>
      <c r="O253" s="81" t="s">
        <v>1207</v>
      </c>
      <c r="P253" s="83">
        <v>44460.109826388885</v>
      </c>
      <c r="Q253" s="81" t="s">
        <v>1324</v>
      </c>
      <c r="R253" s="81"/>
      <c r="S253" s="81"/>
      <c r="T253" s="81"/>
      <c r="U253" s="85" t="str">
        <f>HYPERLINK("https://pbs.twimg.com/media/E_xVJy2VQAQerFe.jpg")</f>
        <v>https://pbs.twimg.com/media/E_xVJy2VQAQerFe.jpg</v>
      </c>
      <c r="V253" s="85" t="str">
        <f>HYPERLINK("https://pbs.twimg.com/media/E_xVJy2VQAQerFe.jpg")</f>
        <v>https://pbs.twimg.com/media/E_xVJy2VQAQerFe.jpg</v>
      </c>
      <c r="W253" s="83">
        <v>44460.109826388885</v>
      </c>
      <c r="X253" s="89">
        <v>44460</v>
      </c>
      <c r="Y253" s="87" t="s">
        <v>1966</v>
      </c>
      <c r="Z253" s="85" t="str">
        <f>HYPERLINK("https://twitter.com/moekartho/status/1440143280885231620")</f>
        <v>https://twitter.com/moekartho/status/1440143280885231620</v>
      </c>
      <c r="AA253" s="81"/>
      <c r="AB253" s="81"/>
      <c r="AC253" s="87" t="s">
        <v>2888</v>
      </c>
      <c r="AD253" s="81"/>
      <c r="AE253" s="81" t="b">
        <v>0</v>
      </c>
      <c r="AF253" s="81">
        <v>0</v>
      </c>
      <c r="AG253" s="87" t="s">
        <v>3875</v>
      </c>
      <c r="AH253" s="81" t="b">
        <v>0</v>
      </c>
      <c r="AI253" s="81" t="s">
        <v>4092</v>
      </c>
      <c r="AJ253" s="81"/>
      <c r="AK253" s="87" t="s">
        <v>3875</v>
      </c>
      <c r="AL253" s="81" t="b">
        <v>0</v>
      </c>
      <c r="AM253" s="81">
        <v>321</v>
      </c>
      <c r="AN253" s="87" t="s">
        <v>3520</v>
      </c>
      <c r="AO253" s="87" t="s">
        <v>4109</v>
      </c>
      <c r="AP253" s="81" t="b">
        <v>0</v>
      </c>
      <c r="AQ253" s="87" t="s">
        <v>3520</v>
      </c>
      <c r="AR253" s="81" t="s">
        <v>179</v>
      </c>
      <c r="AS253" s="81">
        <v>0</v>
      </c>
      <c r="AT253" s="81">
        <v>0</v>
      </c>
      <c r="AU253" s="81"/>
      <c r="AV253" s="81"/>
      <c r="AW253" s="81"/>
      <c r="AX253" s="81"/>
      <c r="AY253" s="81"/>
      <c r="AZ253" s="81"/>
      <c r="BA253" s="81"/>
      <c r="BB253" s="81"/>
    </row>
    <row r="254" spans="1:54" x14ac:dyDescent="0.35">
      <c r="A254" s="66" t="s">
        <v>376</v>
      </c>
      <c r="B254" s="66" t="s">
        <v>910</v>
      </c>
      <c r="C254" s="67"/>
      <c r="D254" s="68"/>
      <c r="E254" s="69"/>
      <c r="F254" s="70"/>
      <c r="G254" s="67"/>
      <c r="H254" s="71"/>
      <c r="I254" s="72"/>
      <c r="J254" s="72"/>
      <c r="K254" s="36"/>
      <c r="L254" s="79"/>
      <c r="M254" s="79"/>
      <c r="N254" s="74"/>
      <c r="O254" s="81" t="s">
        <v>1205</v>
      </c>
      <c r="P254" s="83">
        <v>44460.109826388885</v>
      </c>
      <c r="Q254" s="81" t="s">
        <v>1324</v>
      </c>
      <c r="R254" s="81"/>
      <c r="S254" s="81"/>
      <c r="T254" s="81"/>
      <c r="U254" s="85" t="str">
        <f>HYPERLINK("https://pbs.twimg.com/media/E_xVJy2VQAQerFe.jpg")</f>
        <v>https://pbs.twimg.com/media/E_xVJy2VQAQerFe.jpg</v>
      </c>
      <c r="V254" s="85" t="str">
        <f>HYPERLINK("https://pbs.twimg.com/media/E_xVJy2VQAQerFe.jpg")</f>
        <v>https://pbs.twimg.com/media/E_xVJy2VQAQerFe.jpg</v>
      </c>
      <c r="W254" s="83">
        <v>44460.109826388885</v>
      </c>
      <c r="X254" s="89">
        <v>44460</v>
      </c>
      <c r="Y254" s="87" t="s">
        <v>1966</v>
      </c>
      <c r="Z254" s="85" t="str">
        <f>HYPERLINK("https://twitter.com/moekartho/status/1440143280885231620")</f>
        <v>https://twitter.com/moekartho/status/1440143280885231620</v>
      </c>
      <c r="AA254" s="81"/>
      <c r="AB254" s="81"/>
      <c r="AC254" s="87" t="s">
        <v>2888</v>
      </c>
      <c r="AD254" s="81"/>
      <c r="AE254" s="81" t="b">
        <v>0</v>
      </c>
      <c r="AF254" s="81">
        <v>0</v>
      </c>
      <c r="AG254" s="87" t="s">
        <v>3875</v>
      </c>
      <c r="AH254" s="81" t="b">
        <v>0</v>
      </c>
      <c r="AI254" s="81" t="s">
        <v>4092</v>
      </c>
      <c r="AJ254" s="81"/>
      <c r="AK254" s="87" t="s">
        <v>3875</v>
      </c>
      <c r="AL254" s="81" t="b">
        <v>0</v>
      </c>
      <c r="AM254" s="81">
        <v>321</v>
      </c>
      <c r="AN254" s="87" t="s">
        <v>3520</v>
      </c>
      <c r="AO254" s="87" t="s">
        <v>4109</v>
      </c>
      <c r="AP254" s="81" t="b">
        <v>0</v>
      </c>
      <c r="AQ254" s="87" t="s">
        <v>3520</v>
      </c>
      <c r="AR254" s="81" t="s">
        <v>179</v>
      </c>
      <c r="AS254" s="81">
        <v>0</v>
      </c>
      <c r="AT254" s="81">
        <v>0</v>
      </c>
      <c r="AU254" s="81"/>
      <c r="AV254" s="81"/>
      <c r="AW254" s="81"/>
      <c r="AX254" s="81"/>
      <c r="AY254" s="81"/>
      <c r="AZ254" s="81"/>
      <c r="BA254" s="81"/>
      <c r="BB254" s="81"/>
    </row>
    <row r="255" spans="1:54" x14ac:dyDescent="0.35">
      <c r="A255" s="66" t="s">
        <v>377</v>
      </c>
      <c r="B255" s="66" t="s">
        <v>981</v>
      </c>
      <c r="C255" s="67"/>
      <c r="D255" s="68"/>
      <c r="E255" s="69"/>
      <c r="F255" s="70"/>
      <c r="G255" s="67"/>
      <c r="H255" s="71"/>
      <c r="I255" s="72"/>
      <c r="J255" s="72"/>
      <c r="K255" s="36"/>
      <c r="L255" s="79"/>
      <c r="M255" s="79"/>
      <c r="N255" s="74"/>
      <c r="O255" s="81" t="s">
        <v>1205</v>
      </c>
      <c r="P255" s="83">
        <v>44460.112812500003</v>
      </c>
      <c r="Q255" s="81" t="s">
        <v>1322</v>
      </c>
      <c r="R255" s="81"/>
      <c r="S255" s="81"/>
      <c r="T255" s="87" t="s">
        <v>1761</v>
      </c>
      <c r="U255" s="85" t="str">
        <f>HYPERLINK("https://pbs.twimg.com/media/E_w2xwgUcAcN61c.jpg")</f>
        <v>https://pbs.twimg.com/media/E_w2xwgUcAcN61c.jpg</v>
      </c>
      <c r="V255" s="85" t="str">
        <f>HYPERLINK("https://pbs.twimg.com/media/E_w2xwgUcAcN61c.jpg")</f>
        <v>https://pbs.twimg.com/media/E_w2xwgUcAcN61c.jpg</v>
      </c>
      <c r="W255" s="83">
        <v>44460.112812500003</v>
      </c>
      <c r="X255" s="89">
        <v>44460</v>
      </c>
      <c r="Y255" s="87" t="s">
        <v>1967</v>
      </c>
      <c r="Z255" s="85" t="str">
        <f>HYPERLINK("https://twitter.com/kartasaputra7/status/1440144362214547466")</f>
        <v>https://twitter.com/kartasaputra7/status/1440144362214547466</v>
      </c>
      <c r="AA255" s="81"/>
      <c r="AB255" s="81"/>
      <c r="AC255" s="87" t="s">
        <v>2889</v>
      </c>
      <c r="AD255" s="81"/>
      <c r="AE255" s="81" t="b">
        <v>0</v>
      </c>
      <c r="AF255" s="81">
        <v>0</v>
      </c>
      <c r="AG255" s="87" t="s">
        <v>3875</v>
      </c>
      <c r="AH255" s="81" t="b">
        <v>0</v>
      </c>
      <c r="AI255" s="81" t="s">
        <v>4092</v>
      </c>
      <c r="AJ255" s="81"/>
      <c r="AK255" s="87" t="s">
        <v>3875</v>
      </c>
      <c r="AL255" s="81" t="b">
        <v>0</v>
      </c>
      <c r="AM255" s="81">
        <v>5</v>
      </c>
      <c r="AN255" s="87" t="s">
        <v>3620</v>
      </c>
      <c r="AO255" s="87" t="s">
        <v>4109</v>
      </c>
      <c r="AP255" s="81" t="b">
        <v>0</v>
      </c>
      <c r="AQ255" s="87" t="s">
        <v>3620</v>
      </c>
      <c r="AR255" s="81" t="s">
        <v>179</v>
      </c>
      <c r="AS255" s="81">
        <v>0</v>
      </c>
      <c r="AT255" s="81">
        <v>0</v>
      </c>
      <c r="AU255" s="81"/>
      <c r="AV255" s="81"/>
      <c r="AW255" s="81"/>
      <c r="AX255" s="81"/>
      <c r="AY255" s="81"/>
      <c r="AZ255" s="81"/>
      <c r="BA255" s="81"/>
      <c r="BB255" s="81"/>
    </row>
    <row r="256" spans="1:54" x14ac:dyDescent="0.35">
      <c r="A256" s="66" t="s">
        <v>378</v>
      </c>
      <c r="B256" s="66" t="s">
        <v>1055</v>
      </c>
      <c r="C256" s="67"/>
      <c r="D256" s="68"/>
      <c r="E256" s="69"/>
      <c r="F256" s="70"/>
      <c r="G256" s="67"/>
      <c r="H256" s="71"/>
      <c r="I256" s="72"/>
      <c r="J256" s="72"/>
      <c r="K256" s="36"/>
      <c r="L256" s="79"/>
      <c r="M256" s="79"/>
      <c r="N256" s="74"/>
      <c r="O256" s="81" t="s">
        <v>1207</v>
      </c>
      <c r="P256" s="83">
        <v>44460.114525462966</v>
      </c>
      <c r="Q256" s="81" t="s">
        <v>1324</v>
      </c>
      <c r="R256" s="81"/>
      <c r="S256" s="81"/>
      <c r="T256" s="81"/>
      <c r="U256" s="85" t="str">
        <f>HYPERLINK("https://pbs.twimg.com/media/E_xVJy2VQAQerFe.jpg")</f>
        <v>https://pbs.twimg.com/media/E_xVJy2VQAQerFe.jpg</v>
      </c>
      <c r="V256" s="85" t="str">
        <f>HYPERLINK("https://pbs.twimg.com/media/E_xVJy2VQAQerFe.jpg")</f>
        <v>https://pbs.twimg.com/media/E_xVJy2VQAQerFe.jpg</v>
      </c>
      <c r="W256" s="83">
        <v>44460.114525462966</v>
      </c>
      <c r="X256" s="89">
        <v>44460</v>
      </c>
      <c r="Y256" s="87" t="s">
        <v>1968</v>
      </c>
      <c r="Z256" s="85" t="str">
        <f>HYPERLINK("https://twitter.com/lennasjam/status/1440144983273578497")</f>
        <v>https://twitter.com/lennasjam/status/1440144983273578497</v>
      </c>
      <c r="AA256" s="81"/>
      <c r="AB256" s="81"/>
      <c r="AC256" s="87" t="s">
        <v>2890</v>
      </c>
      <c r="AD256" s="81"/>
      <c r="AE256" s="81" t="b">
        <v>0</v>
      </c>
      <c r="AF256" s="81">
        <v>0</v>
      </c>
      <c r="AG256" s="87" t="s">
        <v>3875</v>
      </c>
      <c r="AH256" s="81" t="b">
        <v>0</v>
      </c>
      <c r="AI256" s="81" t="s">
        <v>4092</v>
      </c>
      <c r="AJ256" s="81"/>
      <c r="AK256" s="87" t="s">
        <v>3875</v>
      </c>
      <c r="AL256" s="81" t="b">
        <v>0</v>
      </c>
      <c r="AM256" s="81">
        <v>321</v>
      </c>
      <c r="AN256" s="87" t="s">
        <v>3520</v>
      </c>
      <c r="AO256" s="87" t="s">
        <v>4109</v>
      </c>
      <c r="AP256" s="81" t="b">
        <v>0</v>
      </c>
      <c r="AQ256" s="87" t="s">
        <v>3520</v>
      </c>
      <c r="AR256" s="81" t="s">
        <v>179</v>
      </c>
      <c r="AS256" s="81">
        <v>0</v>
      </c>
      <c r="AT256" s="81">
        <v>0</v>
      </c>
      <c r="AU256" s="81"/>
      <c r="AV256" s="81"/>
      <c r="AW256" s="81"/>
      <c r="AX256" s="81"/>
      <c r="AY256" s="81"/>
      <c r="AZ256" s="81"/>
      <c r="BA256" s="81"/>
      <c r="BB256" s="81"/>
    </row>
    <row r="257" spans="1:54" x14ac:dyDescent="0.35">
      <c r="A257" s="66" t="s">
        <v>378</v>
      </c>
      <c r="B257" s="66" t="s">
        <v>910</v>
      </c>
      <c r="C257" s="67"/>
      <c r="D257" s="68"/>
      <c r="E257" s="69"/>
      <c r="F257" s="70"/>
      <c r="G257" s="67"/>
      <c r="H257" s="71"/>
      <c r="I257" s="72"/>
      <c r="J257" s="72"/>
      <c r="K257" s="36"/>
      <c r="L257" s="79"/>
      <c r="M257" s="79"/>
      <c r="N257" s="74"/>
      <c r="O257" s="81" t="s">
        <v>1205</v>
      </c>
      <c r="P257" s="83">
        <v>44460.114525462966</v>
      </c>
      <c r="Q257" s="81" t="s">
        <v>1324</v>
      </c>
      <c r="R257" s="81"/>
      <c r="S257" s="81"/>
      <c r="T257" s="81"/>
      <c r="U257" s="85" t="str">
        <f>HYPERLINK("https://pbs.twimg.com/media/E_xVJy2VQAQerFe.jpg")</f>
        <v>https://pbs.twimg.com/media/E_xVJy2VQAQerFe.jpg</v>
      </c>
      <c r="V257" s="85" t="str">
        <f>HYPERLINK("https://pbs.twimg.com/media/E_xVJy2VQAQerFe.jpg")</f>
        <v>https://pbs.twimg.com/media/E_xVJy2VQAQerFe.jpg</v>
      </c>
      <c r="W257" s="83">
        <v>44460.114525462966</v>
      </c>
      <c r="X257" s="89">
        <v>44460</v>
      </c>
      <c r="Y257" s="87" t="s">
        <v>1968</v>
      </c>
      <c r="Z257" s="85" t="str">
        <f>HYPERLINK("https://twitter.com/lennasjam/status/1440144983273578497")</f>
        <v>https://twitter.com/lennasjam/status/1440144983273578497</v>
      </c>
      <c r="AA257" s="81"/>
      <c r="AB257" s="81"/>
      <c r="AC257" s="87" t="s">
        <v>2890</v>
      </c>
      <c r="AD257" s="81"/>
      <c r="AE257" s="81" t="b">
        <v>0</v>
      </c>
      <c r="AF257" s="81">
        <v>0</v>
      </c>
      <c r="AG257" s="87" t="s">
        <v>3875</v>
      </c>
      <c r="AH257" s="81" t="b">
        <v>0</v>
      </c>
      <c r="AI257" s="81" t="s">
        <v>4092</v>
      </c>
      <c r="AJ257" s="81"/>
      <c r="AK257" s="87" t="s">
        <v>3875</v>
      </c>
      <c r="AL257" s="81" t="b">
        <v>0</v>
      </c>
      <c r="AM257" s="81">
        <v>321</v>
      </c>
      <c r="AN257" s="87" t="s">
        <v>3520</v>
      </c>
      <c r="AO257" s="87" t="s">
        <v>4109</v>
      </c>
      <c r="AP257" s="81" t="b">
        <v>0</v>
      </c>
      <c r="AQ257" s="87" t="s">
        <v>3520</v>
      </c>
      <c r="AR257" s="81" t="s">
        <v>179</v>
      </c>
      <c r="AS257" s="81">
        <v>0</v>
      </c>
      <c r="AT257" s="81">
        <v>0</v>
      </c>
      <c r="AU257" s="81"/>
      <c r="AV257" s="81"/>
      <c r="AW257" s="81"/>
      <c r="AX257" s="81"/>
      <c r="AY257" s="81"/>
      <c r="AZ257" s="81"/>
      <c r="BA257" s="81"/>
      <c r="BB257" s="81"/>
    </row>
    <row r="258" spans="1:54" x14ac:dyDescent="0.35">
      <c r="A258" s="66" t="s">
        <v>379</v>
      </c>
      <c r="B258" s="66" t="s">
        <v>1055</v>
      </c>
      <c r="C258" s="67"/>
      <c r="D258" s="68"/>
      <c r="E258" s="69"/>
      <c r="F258" s="70"/>
      <c r="G258" s="67"/>
      <c r="H258" s="71"/>
      <c r="I258" s="72"/>
      <c r="J258" s="72"/>
      <c r="K258" s="36"/>
      <c r="L258" s="79"/>
      <c r="M258" s="79"/>
      <c r="N258" s="74"/>
      <c r="O258" s="81" t="s">
        <v>1207</v>
      </c>
      <c r="P258" s="83">
        <v>44460.115636574075</v>
      </c>
      <c r="Q258" s="81" t="s">
        <v>1324</v>
      </c>
      <c r="R258" s="81"/>
      <c r="S258" s="81"/>
      <c r="T258" s="81"/>
      <c r="U258" s="85" t="str">
        <f>HYPERLINK("https://pbs.twimg.com/media/E_xVJy2VQAQerFe.jpg")</f>
        <v>https://pbs.twimg.com/media/E_xVJy2VQAQerFe.jpg</v>
      </c>
      <c r="V258" s="85" t="str">
        <f>HYPERLINK("https://pbs.twimg.com/media/E_xVJy2VQAQerFe.jpg")</f>
        <v>https://pbs.twimg.com/media/E_xVJy2VQAQerFe.jpg</v>
      </c>
      <c r="W258" s="83">
        <v>44460.115636574075</v>
      </c>
      <c r="X258" s="89">
        <v>44460</v>
      </c>
      <c r="Y258" s="87" t="s">
        <v>1969</v>
      </c>
      <c r="Z258" s="85" t="str">
        <f>HYPERLINK("https://twitter.com/agoessoesanto2/status/1440145386706931713")</f>
        <v>https://twitter.com/agoessoesanto2/status/1440145386706931713</v>
      </c>
      <c r="AA258" s="81"/>
      <c r="AB258" s="81"/>
      <c r="AC258" s="87" t="s">
        <v>2891</v>
      </c>
      <c r="AD258" s="81"/>
      <c r="AE258" s="81" t="b">
        <v>0</v>
      </c>
      <c r="AF258" s="81">
        <v>0</v>
      </c>
      <c r="AG258" s="87" t="s">
        <v>3875</v>
      </c>
      <c r="AH258" s="81" t="b">
        <v>0</v>
      </c>
      <c r="AI258" s="81" t="s">
        <v>4092</v>
      </c>
      <c r="AJ258" s="81"/>
      <c r="AK258" s="87" t="s">
        <v>3875</v>
      </c>
      <c r="AL258" s="81" t="b">
        <v>0</v>
      </c>
      <c r="AM258" s="81">
        <v>321</v>
      </c>
      <c r="AN258" s="87" t="s">
        <v>3520</v>
      </c>
      <c r="AO258" s="87" t="s">
        <v>4109</v>
      </c>
      <c r="AP258" s="81" t="b">
        <v>0</v>
      </c>
      <c r="AQ258" s="87" t="s">
        <v>3520</v>
      </c>
      <c r="AR258" s="81" t="s">
        <v>179</v>
      </c>
      <c r="AS258" s="81">
        <v>0</v>
      </c>
      <c r="AT258" s="81">
        <v>0</v>
      </c>
      <c r="AU258" s="81"/>
      <c r="AV258" s="81"/>
      <c r="AW258" s="81"/>
      <c r="AX258" s="81"/>
      <c r="AY258" s="81"/>
      <c r="AZ258" s="81"/>
      <c r="BA258" s="81"/>
      <c r="BB258" s="81"/>
    </row>
    <row r="259" spans="1:54" x14ac:dyDescent="0.35">
      <c r="A259" s="66" t="s">
        <v>379</v>
      </c>
      <c r="B259" s="66" t="s">
        <v>910</v>
      </c>
      <c r="C259" s="67"/>
      <c r="D259" s="68"/>
      <c r="E259" s="69"/>
      <c r="F259" s="70"/>
      <c r="G259" s="67"/>
      <c r="H259" s="71"/>
      <c r="I259" s="72"/>
      <c r="J259" s="72"/>
      <c r="K259" s="36"/>
      <c r="L259" s="79"/>
      <c r="M259" s="79"/>
      <c r="N259" s="74"/>
      <c r="O259" s="81" t="s">
        <v>1205</v>
      </c>
      <c r="P259" s="83">
        <v>44460.115636574075</v>
      </c>
      <c r="Q259" s="81" t="s">
        <v>1324</v>
      </c>
      <c r="R259" s="81"/>
      <c r="S259" s="81"/>
      <c r="T259" s="81"/>
      <c r="U259" s="85" t="str">
        <f>HYPERLINK("https://pbs.twimg.com/media/E_xVJy2VQAQerFe.jpg")</f>
        <v>https://pbs.twimg.com/media/E_xVJy2VQAQerFe.jpg</v>
      </c>
      <c r="V259" s="85" t="str">
        <f>HYPERLINK("https://pbs.twimg.com/media/E_xVJy2VQAQerFe.jpg")</f>
        <v>https://pbs.twimg.com/media/E_xVJy2VQAQerFe.jpg</v>
      </c>
      <c r="W259" s="83">
        <v>44460.115636574075</v>
      </c>
      <c r="X259" s="89">
        <v>44460</v>
      </c>
      <c r="Y259" s="87" t="s">
        <v>1969</v>
      </c>
      <c r="Z259" s="85" t="str">
        <f>HYPERLINK("https://twitter.com/agoessoesanto2/status/1440145386706931713")</f>
        <v>https://twitter.com/agoessoesanto2/status/1440145386706931713</v>
      </c>
      <c r="AA259" s="81"/>
      <c r="AB259" s="81"/>
      <c r="AC259" s="87" t="s">
        <v>2891</v>
      </c>
      <c r="AD259" s="81"/>
      <c r="AE259" s="81" t="b">
        <v>0</v>
      </c>
      <c r="AF259" s="81">
        <v>0</v>
      </c>
      <c r="AG259" s="87" t="s">
        <v>3875</v>
      </c>
      <c r="AH259" s="81" t="b">
        <v>0</v>
      </c>
      <c r="AI259" s="81" t="s">
        <v>4092</v>
      </c>
      <c r="AJ259" s="81"/>
      <c r="AK259" s="87" t="s">
        <v>3875</v>
      </c>
      <c r="AL259" s="81" t="b">
        <v>0</v>
      </c>
      <c r="AM259" s="81">
        <v>321</v>
      </c>
      <c r="AN259" s="87" t="s">
        <v>3520</v>
      </c>
      <c r="AO259" s="87" t="s">
        <v>4109</v>
      </c>
      <c r="AP259" s="81" t="b">
        <v>0</v>
      </c>
      <c r="AQ259" s="87" t="s">
        <v>3520</v>
      </c>
      <c r="AR259" s="81" t="s">
        <v>179</v>
      </c>
      <c r="AS259" s="81">
        <v>0</v>
      </c>
      <c r="AT259" s="81">
        <v>0</v>
      </c>
      <c r="AU259" s="81"/>
      <c r="AV259" s="81"/>
      <c r="AW259" s="81"/>
      <c r="AX259" s="81"/>
      <c r="AY259" s="81"/>
      <c r="AZ259" s="81"/>
      <c r="BA259" s="81"/>
      <c r="BB259" s="81"/>
    </row>
    <row r="260" spans="1:54" x14ac:dyDescent="0.35">
      <c r="A260" s="66" t="s">
        <v>380</v>
      </c>
      <c r="B260" s="66" t="s">
        <v>1055</v>
      </c>
      <c r="C260" s="67"/>
      <c r="D260" s="68"/>
      <c r="E260" s="69"/>
      <c r="F260" s="70"/>
      <c r="G260" s="67"/>
      <c r="H260" s="71"/>
      <c r="I260" s="72"/>
      <c r="J260" s="72"/>
      <c r="K260" s="36"/>
      <c r="L260" s="79"/>
      <c r="M260" s="79"/>
      <c r="N260" s="74"/>
      <c r="O260" s="81" t="s">
        <v>1207</v>
      </c>
      <c r="P260" s="83">
        <v>44460.117881944447</v>
      </c>
      <c r="Q260" s="81" t="s">
        <v>1324</v>
      </c>
      <c r="R260" s="81"/>
      <c r="S260" s="81"/>
      <c r="T260" s="81"/>
      <c r="U260" s="85" t="str">
        <f>HYPERLINK("https://pbs.twimg.com/media/E_xVJy2VQAQerFe.jpg")</f>
        <v>https://pbs.twimg.com/media/E_xVJy2VQAQerFe.jpg</v>
      </c>
      <c r="V260" s="85" t="str">
        <f>HYPERLINK("https://pbs.twimg.com/media/E_xVJy2VQAQerFe.jpg")</f>
        <v>https://pbs.twimg.com/media/E_xVJy2VQAQerFe.jpg</v>
      </c>
      <c r="W260" s="83">
        <v>44460.117881944447</v>
      </c>
      <c r="X260" s="89">
        <v>44460</v>
      </c>
      <c r="Y260" s="87" t="s">
        <v>1970</v>
      </c>
      <c r="Z260" s="85" t="str">
        <f>HYPERLINK("https://twitter.com/bengkeltanah201/status/1440146201924366336")</f>
        <v>https://twitter.com/bengkeltanah201/status/1440146201924366336</v>
      </c>
      <c r="AA260" s="81"/>
      <c r="AB260" s="81"/>
      <c r="AC260" s="87" t="s">
        <v>2892</v>
      </c>
      <c r="AD260" s="81"/>
      <c r="AE260" s="81" t="b">
        <v>0</v>
      </c>
      <c r="AF260" s="81">
        <v>0</v>
      </c>
      <c r="AG260" s="87" t="s">
        <v>3875</v>
      </c>
      <c r="AH260" s="81" t="b">
        <v>0</v>
      </c>
      <c r="AI260" s="81" t="s">
        <v>4092</v>
      </c>
      <c r="AJ260" s="81"/>
      <c r="AK260" s="87" t="s">
        <v>3875</v>
      </c>
      <c r="AL260" s="81" t="b">
        <v>0</v>
      </c>
      <c r="AM260" s="81">
        <v>321</v>
      </c>
      <c r="AN260" s="87" t="s">
        <v>3520</v>
      </c>
      <c r="AO260" s="87" t="s">
        <v>4109</v>
      </c>
      <c r="AP260" s="81" t="b">
        <v>0</v>
      </c>
      <c r="AQ260" s="87" t="s">
        <v>3520</v>
      </c>
      <c r="AR260" s="81" t="s">
        <v>179</v>
      </c>
      <c r="AS260" s="81">
        <v>0</v>
      </c>
      <c r="AT260" s="81">
        <v>0</v>
      </c>
      <c r="AU260" s="81"/>
      <c r="AV260" s="81"/>
      <c r="AW260" s="81"/>
      <c r="AX260" s="81"/>
      <c r="AY260" s="81"/>
      <c r="AZ260" s="81"/>
      <c r="BA260" s="81"/>
      <c r="BB260" s="81"/>
    </row>
    <row r="261" spans="1:54" x14ac:dyDescent="0.35">
      <c r="A261" s="66" t="s">
        <v>380</v>
      </c>
      <c r="B261" s="66" t="s">
        <v>910</v>
      </c>
      <c r="C261" s="67"/>
      <c r="D261" s="68"/>
      <c r="E261" s="69"/>
      <c r="F261" s="70"/>
      <c r="G261" s="67"/>
      <c r="H261" s="71"/>
      <c r="I261" s="72"/>
      <c r="J261" s="72"/>
      <c r="K261" s="36"/>
      <c r="L261" s="79"/>
      <c r="M261" s="79"/>
      <c r="N261" s="74"/>
      <c r="O261" s="81" t="s">
        <v>1205</v>
      </c>
      <c r="P261" s="83">
        <v>44460.117881944447</v>
      </c>
      <c r="Q261" s="81" t="s">
        <v>1324</v>
      </c>
      <c r="R261" s="81"/>
      <c r="S261" s="81"/>
      <c r="T261" s="81"/>
      <c r="U261" s="85" t="str">
        <f>HYPERLINK("https://pbs.twimg.com/media/E_xVJy2VQAQerFe.jpg")</f>
        <v>https://pbs.twimg.com/media/E_xVJy2VQAQerFe.jpg</v>
      </c>
      <c r="V261" s="85" t="str">
        <f>HYPERLINK("https://pbs.twimg.com/media/E_xVJy2VQAQerFe.jpg")</f>
        <v>https://pbs.twimg.com/media/E_xVJy2VQAQerFe.jpg</v>
      </c>
      <c r="W261" s="83">
        <v>44460.117881944447</v>
      </c>
      <c r="X261" s="89">
        <v>44460</v>
      </c>
      <c r="Y261" s="87" t="s">
        <v>1970</v>
      </c>
      <c r="Z261" s="85" t="str">
        <f>HYPERLINK("https://twitter.com/bengkeltanah201/status/1440146201924366336")</f>
        <v>https://twitter.com/bengkeltanah201/status/1440146201924366336</v>
      </c>
      <c r="AA261" s="81"/>
      <c r="AB261" s="81"/>
      <c r="AC261" s="87" t="s">
        <v>2892</v>
      </c>
      <c r="AD261" s="81"/>
      <c r="AE261" s="81" t="b">
        <v>0</v>
      </c>
      <c r="AF261" s="81">
        <v>0</v>
      </c>
      <c r="AG261" s="87" t="s">
        <v>3875</v>
      </c>
      <c r="AH261" s="81" t="b">
        <v>0</v>
      </c>
      <c r="AI261" s="81" t="s">
        <v>4092</v>
      </c>
      <c r="AJ261" s="81"/>
      <c r="AK261" s="87" t="s">
        <v>3875</v>
      </c>
      <c r="AL261" s="81" t="b">
        <v>0</v>
      </c>
      <c r="AM261" s="81">
        <v>321</v>
      </c>
      <c r="AN261" s="87" t="s">
        <v>3520</v>
      </c>
      <c r="AO261" s="87" t="s">
        <v>4109</v>
      </c>
      <c r="AP261" s="81" t="b">
        <v>0</v>
      </c>
      <c r="AQ261" s="87" t="s">
        <v>3520</v>
      </c>
      <c r="AR261" s="81" t="s">
        <v>179</v>
      </c>
      <c r="AS261" s="81">
        <v>0</v>
      </c>
      <c r="AT261" s="81">
        <v>0</v>
      </c>
      <c r="AU261" s="81"/>
      <c r="AV261" s="81"/>
      <c r="AW261" s="81"/>
      <c r="AX261" s="81"/>
      <c r="AY261" s="81"/>
      <c r="AZ261" s="81"/>
      <c r="BA261" s="81"/>
      <c r="BB261" s="81"/>
    </row>
    <row r="262" spans="1:54" x14ac:dyDescent="0.35">
      <c r="A262" s="66" t="s">
        <v>381</v>
      </c>
      <c r="B262" s="66" t="s">
        <v>1055</v>
      </c>
      <c r="C262" s="67"/>
      <c r="D262" s="68"/>
      <c r="E262" s="69"/>
      <c r="F262" s="70"/>
      <c r="G262" s="67"/>
      <c r="H262" s="71"/>
      <c r="I262" s="72"/>
      <c r="J262" s="72"/>
      <c r="K262" s="36"/>
      <c r="L262" s="79"/>
      <c r="M262" s="79"/>
      <c r="N262" s="74"/>
      <c r="O262" s="81" t="s">
        <v>1207</v>
      </c>
      <c r="P262" s="83">
        <v>44460.120416666665</v>
      </c>
      <c r="Q262" s="81" t="s">
        <v>1324</v>
      </c>
      <c r="R262" s="81"/>
      <c r="S262" s="81"/>
      <c r="T262" s="81"/>
      <c r="U262" s="85" t="str">
        <f>HYPERLINK("https://pbs.twimg.com/media/E_xVJy2VQAQerFe.jpg")</f>
        <v>https://pbs.twimg.com/media/E_xVJy2VQAQerFe.jpg</v>
      </c>
      <c r="V262" s="85" t="str">
        <f>HYPERLINK("https://pbs.twimg.com/media/E_xVJy2VQAQerFe.jpg")</f>
        <v>https://pbs.twimg.com/media/E_xVJy2VQAQerFe.jpg</v>
      </c>
      <c r="W262" s="83">
        <v>44460.120416666665</v>
      </c>
      <c r="X262" s="89">
        <v>44460</v>
      </c>
      <c r="Y262" s="87" t="s">
        <v>1971</v>
      </c>
      <c r="Z262" s="85" t="str">
        <f>HYPERLINK("https://twitter.com/fery_hyaken/status/1440147117650026505")</f>
        <v>https://twitter.com/fery_hyaken/status/1440147117650026505</v>
      </c>
      <c r="AA262" s="81"/>
      <c r="AB262" s="81"/>
      <c r="AC262" s="87" t="s">
        <v>2893</v>
      </c>
      <c r="AD262" s="81"/>
      <c r="AE262" s="81" t="b">
        <v>0</v>
      </c>
      <c r="AF262" s="81">
        <v>0</v>
      </c>
      <c r="AG262" s="87" t="s">
        <v>3875</v>
      </c>
      <c r="AH262" s="81" t="b">
        <v>0</v>
      </c>
      <c r="AI262" s="81" t="s">
        <v>4092</v>
      </c>
      <c r="AJ262" s="81"/>
      <c r="AK262" s="87" t="s">
        <v>3875</v>
      </c>
      <c r="AL262" s="81" t="b">
        <v>0</v>
      </c>
      <c r="AM262" s="81">
        <v>321</v>
      </c>
      <c r="AN262" s="87" t="s">
        <v>3520</v>
      </c>
      <c r="AO262" s="87" t="s">
        <v>4109</v>
      </c>
      <c r="AP262" s="81" t="b">
        <v>0</v>
      </c>
      <c r="AQ262" s="87" t="s">
        <v>3520</v>
      </c>
      <c r="AR262" s="81" t="s">
        <v>179</v>
      </c>
      <c r="AS262" s="81">
        <v>0</v>
      </c>
      <c r="AT262" s="81">
        <v>0</v>
      </c>
      <c r="AU262" s="81"/>
      <c r="AV262" s="81"/>
      <c r="AW262" s="81"/>
      <c r="AX262" s="81"/>
      <c r="AY262" s="81"/>
      <c r="AZ262" s="81"/>
      <c r="BA262" s="81"/>
      <c r="BB262" s="81"/>
    </row>
    <row r="263" spans="1:54" x14ac:dyDescent="0.35">
      <c r="A263" s="66" t="s">
        <v>381</v>
      </c>
      <c r="B263" s="66" t="s">
        <v>910</v>
      </c>
      <c r="C263" s="67"/>
      <c r="D263" s="68"/>
      <c r="E263" s="69"/>
      <c r="F263" s="70"/>
      <c r="G263" s="67"/>
      <c r="H263" s="71"/>
      <c r="I263" s="72"/>
      <c r="J263" s="72"/>
      <c r="K263" s="36"/>
      <c r="L263" s="79"/>
      <c r="M263" s="79"/>
      <c r="N263" s="74"/>
      <c r="O263" s="81" t="s">
        <v>1205</v>
      </c>
      <c r="P263" s="83">
        <v>44460.120416666665</v>
      </c>
      <c r="Q263" s="81" t="s">
        <v>1324</v>
      </c>
      <c r="R263" s="81"/>
      <c r="S263" s="81"/>
      <c r="T263" s="81"/>
      <c r="U263" s="85" t="str">
        <f>HYPERLINK("https://pbs.twimg.com/media/E_xVJy2VQAQerFe.jpg")</f>
        <v>https://pbs.twimg.com/media/E_xVJy2VQAQerFe.jpg</v>
      </c>
      <c r="V263" s="85" t="str">
        <f>HYPERLINK("https://pbs.twimg.com/media/E_xVJy2VQAQerFe.jpg")</f>
        <v>https://pbs.twimg.com/media/E_xVJy2VQAQerFe.jpg</v>
      </c>
      <c r="W263" s="83">
        <v>44460.120416666665</v>
      </c>
      <c r="X263" s="89">
        <v>44460</v>
      </c>
      <c r="Y263" s="87" t="s">
        <v>1971</v>
      </c>
      <c r="Z263" s="85" t="str">
        <f>HYPERLINK("https://twitter.com/fery_hyaken/status/1440147117650026505")</f>
        <v>https://twitter.com/fery_hyaken/status/1440147117650026505</v>
      </c>
      <c r="AA263" s="81"/>
      <c r="AB263" s="81"/>
      <c r="AC263" s="87" t="s">
        <v>2893</v>
      </c>
      <c r="AD263" s="81"/>
      <c r="AE263" s="81" t="b">
        <v>0</v>
      </c>
      <c r="AF263" s="81">
        <v>0</v>
      </c>
      <c r="AG263" s="87" t="s">
        <v>3875</v>
      </c>
      <c r="AH263" s="81" t="b">
        <v>0</v>
      </c>
      <c r="AI263" s="81" t="s">
        <v>4092</v>
      </c>
      <c r="AJ263" s="81"/>
      <c r="AK263" s="87" t="s">
        <v>3875</v>
      </c>
      <c r="AL263" s="81" t="b">
        <v>0</v>
      </c>
      <c r="AM263" s="81">
        <v>321</v>
      </c>
      <c r="AN263" s="87" t="s">
        <v>3520</v>
      </c>
      <c r="AO263" s="87" t="s">
        <v>4109</v>
      </c>
      <c r="AP263" s="81" t="b">
        <v>0</v>
      </c>
      <c r="AQ263" s="87" t="s">
        <v>3520</v>
      </c>
      <c r="AR263" s="81" t="s">
        <v>179</v>
      </c>
      <c r="AS263" s="81">
        <v>0</v>
      </c>
      <c r="AT263" s="81">
        <v>0</v>
      </c>
      <c r="AU263" s="81"/>
      <c r="AV263" s="81"/>
      <c r="AW263" s="81"/>
      <c r="AX263" s="81"/>
      <c r="AY263" s="81"/>
      <c r="AZ263" s="81"/>
      <c r="BA263" s="81"/>
      <c r="BB263" s="81"/>
    </row>
    <row r="264" spans="1:54" x14ac:dyDescent="0.35">
      <c r="A264" s="66" t="s">
        <v>382</v>
      </c>
      <c r="B264" s="66" t="s">
        <v>1055</v>
      </c>
      <c r="C264" s="67"/>
      <c r="D264" s="68"/>
      <c r="E264" s="69"/>
      <c r="F264" s="70"/>
      <c r="G264" s="67"/>
      <c r="H264" s="71"/>
      <c r="I264" s="72"/>
      <c r="J264" s="72"/>
      <c r="K264" s="36"/>
      <c r="L264" s="79"/>
      <c r="M264" s="79"/>
      <c r="N264" s="74"/>
      <c r="O264" s="81" t="s">
        <v>1207</v>
      </c>
      <c r="P264" s="83">
        <v>44460.132025462961</v>
      </c>
      <c r="Q264" s="81" t="s">
        <v>1324</v>
      </c>
      <c r="R264" s="81"/>
      <c r="S264" s="81"/>
      <c r="T264" s="81"/>
      <c r="U264" s="85" t="str">
        <f>HYPERLINK("https://pbs.twimg.com/media/E_xVJy2VQAQerFe.jpg")</f>
        <v>https://pbs.twimg.com/media/E_xVJy2VQAQerFe.jpg</v>
      </c>
      <c r="V264" s="85" t="str">
        <f>HYPERLINK("https://pbs.twimg.com/media/E_xVJy2VQAQerFe.jpg")</f>
        <v>https://pbs.twimg.com/media/E_xVJy2VQAQerFe.jpg</v>
      </c>
      <c r="W264" s="83">
        <v>44460.132025462961</v>
      </c>
      <c r="X264" s="89">
        <v>44460</v>
      </c>
      <c r="Y264" s="87" t="s">
        <v>1972</v>
      </c>
      <c r="Z264" s="85" t="str">
        <f>HYPERLINK("https://twitter.com/noni_nitha/status/1440151327636480001")</f>
        <v>https://twitter.com/noni_nitha/status/1440151327636480001</v>
      </c>
      <c r="AA264" s="81"/>
      <c r="AB264" s="81"/>
      <c r="AC264" s="87" t="s">
        <v>2894</v>
      </c>
      <c r="AD264" s="81"/>
      <c r="AE264" s="81" t="b">
        <v>0</v>
      </c>
      <c r="AF264" s="81">
        <v>0</v>
      </c>
      <c r="AG264" s="87" t="s">
        <v>3875</v>
      </c>
      <c r="AH264" s="81" t="b">
        <v>0</v>
      </c>
      <c r="AI264" s="81" t="s">
        <v>4092</v>
      </c>
      <c r="AJ264" s="81"/>
      <c r="AK264" s="87" t="s">
        <v>3875</v>
      </c>
      <c r="AL264" s="81" t="b">
        <v>0</v>
      </c>
      <c r="AM264" s="81">
        <v>321</v>
      </c>
      <c r="AN264" s="87" t="s">
        <v>3520</v>
      </c>
      <c r="AO264" s="87" t="s">
        <v>4109</v>
      </c>
      <c r="AP264" s="81" t="b">
        <v>0</v>
      </c>
      <c r="AQ264" s="87" t="s">
        <v>3520</v>
      </c>
      <c r="AR264" s="81" t="s">
        <v>179</v>
      </c>
      <c r="AS264" s="81">
        <v>0</v>
      </c>
      <c r="AT264" s="81">
        <v>0</v>
      </c>
      <c r="AU264" s="81"/>
      <c r="AV264" s="81"/>
      <c r="AW264" s="81"/>
      <c r="AX264" s="81"/>
      <c r="AY264" s="81"/>
      <c r="AZ264" s="81"/>
      <c r="BA264" s="81"/>
      <c r="BB264" s="81"/>
    </row>
    <row r="265" spans="1:54" x14ac:dyDescent="0.35">
      <c r="A265" s="66" t="s">
        <v>382</v>
      </c>
      <c r="B265" s="66" t="s">
        <v>910</v>
      </c>
      <c r="C265" s="67"/>
      <c r="D265" s="68"/>
      <c r="E265" s="69"/>
      <c r="F265" s="70"/>
      <c r="G265" s="67"/>
      <c r="H265" s="71"/>
      <c r="I265" s="72"/>
      <c r="J265" s="72"/>
      <c r="K265" s="36"/>
      <c r="L265" s="79"/>
      <c r="M265" s="79"/>
      <c r="N265" s="74"/>
      <c r="O265" s="81" t="s">
        <v>1205</v>
      </c>
      <c r="P265" s="83">
        <v>44460.132025462961</v>
      </c>
      <c r="Q265" s="81" t="s">
        <v>1324</v>
      </c>
      <c r="R265" s="81"/>
      <c r="S265" s="81"/>
      <c r="T265" s="81"/>
      <c r="U265" s="85" t="str">
        <f>HYPERLINK("https://pbs.twimg.com/media/E_xVJy2VQAQerFe.jpg")</f>
        <v>https://pbs.twimg.com/media/E_xVJy2VQAQerFe.jpg</v>
      </c>
      <c r="V265" s="85" t="str">
        <f>HYPERLINK("https://pbs.twimg.com/media/E_xVJy2VQAQerFe.jpg")</f>
        <v>https://pbs.twimg.com/media/E_xVJy2VQAQerFe.jpg</v>
      </c>
      <c r="W265" s="83">
        <v>44460.132025462961</v>
      </c>
      <c r="X265" s="89">
        <v>44460</v>
      </c>
      <c r="Y265" s="87" t="s">
        <v>1972</v>
      </c>
      <c r="Z265" s="85" t="str">
        <f>HYPERLINK("https://twitter.com/noni_nitha/status/1440151327636480001")</f>
        <v>https://twitter.com/noni_nitha/status/1440151327636480001</v>
      </c>
      <c r="AA265" s="81"/>
      <c r="AB265" s="81"/>
      <c r="AC265" s="87" t="s">
        <v>2894</v>
      </c>
      <c r="AD265" s="81"/>
      <c r="AE265" s="81" t="b">
        <v>0</v>
      </c>
      <c r="AF265" s="81">
        <v>0</v>
      </c>
      <c r="AG265" s="87" t="s">
        <v>3875</v>
      </c>
      <c r="AH265" s="81" t="b">
        <v>0</v>
      </c>
      <c r="AI265" s="81" t="s">
        <v>4092</v>
      </c>
      <c r="AJ265" s="81"/>
      <c r="AK265" s="87" t="s">
        <v>3875</v>
      </c>
      <c r="AL265" s="81" t="b">
        <v>0</v>
      </c>
      <c r="AM265" s="81">
        <v>321</v>
      </c>
      <c r="AN265" s="87" t="s">
        <v>3520</v>
      </c>
      <c r="AO265" s="87" t="s">
        <v>4109</v>
      </c>
      <c r="AP265" s="81" t="b">
        <v>0</v>
      </c>
      <c r="AQ265" s="87" t="s">
        <v>3520</v>
      </c>
      <c r="AR265" s="81" t="s">
        <v>179</v>
      </c>
      <c r="AS265" s="81">
        <v>0</v>
      </c>
      <c r="AT265" s="81">
        <v>0</v>
      </c>
      <c r="AU265" s="81"/>
      <c r="AV265" s="81"/>
      <c r="AW265" s="81"/>
      <c r="AX265" s="81"/>
      <c r="AY265" s="81"/>
      <c r="AZ265" s="81"/>
      <c r="BA265" s="81"/>
      <c r="BB265" s="81"/>
    </row>
    <row r="266" spans="1:54" x14ac:dyDescent="0.35">
      <c r="A266" s="66" t="s">
        <v>383</v>
      </c>
      <c r="B266" s="66" t="s">
        <v>1055</v>
      </c>
      <c r="C266" s="67"/>
      <c r="D266" s="68"/>
      <c r="E266" s="69"/>
      <c r="F266" s="70"/>
      <c r="G266" s="67"/>
      <c r="H266" s="71"/>
      <c r="I266" s="72"/>
      <c r="J266" s="72"/>
      <c r="K266" s="36"/>
      <c r="L266" s="79"/>
      <c r="M266" s="79"/>
      <c r="N266" s="74"/>
      <c r="O266" s="81" t="s">
        <v>1207</v>
      </c>
      <c r="P266" s="83">
        <v>44460.1328587963</v>
      </c>
      <c r="Q266" s="81" t="s">
        <v>1324</v>
      </c>
      <c r="R266" s="81"/>
      <c r="S266" s="81"/>
      <c r="T266" s="81"/>
      <c r="U266" s="85" t="str">
        <f>HYPERLINK("https://pbs.twimg.com/media/E_xVJy2VQAQerFe.jpg")</f>
        <v>https://pbs.twimg.com/media/E_xVJy2VQAQerFe.jpg</v>
      </c>
      <c r="V266" s="85" t="str">
        <f>HYPERLINK("https://pbs.twimg.com/media/E_xVJy2VQAQerFe.jpg")</f>
        <v>https://pbs.twimg.com/media/E_xVJy2VQAQerFe.jpg</v>
      </c>
      <c r="W266" s="83">
        <v>44460.1328587963</v>
      </c>
      <c r="X266" s="89">
        <v>44460</v>
      </c>
      <c r="Y266" s="87" t="s">
        <v>1973</v>
      </c>
      <c r="Z266" s="85" t="str">
        <f>HYPERLINK("https://twitter.com/lilysatriah/status/1440151627889987603")</f>
        <v>https://twitter.com/lilysatriah/status/1440151627889987603</v>
      </c>
      <c r="AA266" s="81"/>
      <c r="AB266" s="81"/>
      <c r="AC266" s="87" t="s">
        <v>2895</v>
      </c>
      <c r="AD266" s="81"/>
      <c r="AE266" s="81" t="b">
        <v>0</v>
      </c>
      <c r="AF266" s="81">
        <v>0</v>
      </c>
      <c r="AG266" s="87" t="s">
        <v>3875</v>
      </c>
      <c r="AH266" s="81" t="b">
        <v>0</v>
      </c>
      <c r="AI266" s="81" t="s">
        <v>4092</v>
      </c>
      <c r="AJ266" s="81"/>
      <c r="AK266" s="87" t="s">
        <v>3875</v>
      </c>
      <c r="AL266" s="81" t="b">
        <v>0</v>
      </c>
      <c r="AM266" s="81">
        <v>321</v>
      </c>
      <c r="AN266" s="87" t="s">
        <v>3520</v>
      </c>
      <c r="AO266" s="87" t="s">
        <v>4110</v>
      </c>
      <c r="AP266" s="81" t="b">
        <v>0</v>
      </c>
      <c r="AQ266" s="87" t="s">
        <v>3520</v>
      </c>
      <c r="AR266" s="81" t="s">
        <v>179</v>
      </c>
      <c r="AS266" s="81">
        <v>0</v>
      </c>
      <c r="AT266" s="81">
        <v>0</v>
      </c>
      <c r="AU266" s="81"/>
      <c r="AV266" s="81"/>
      <c r="AW266" s="81"/>
      <c r="AX266" s="81"/>
      <c r="AY266" s="81"/>
      <c r="AZ266" s="81"/>
      <c r="BA266" s="81"/>
      <c r="BB266" s="81"/>
    </row>
    <row r="267" spans="1:54" x14ac:dyDescent="0.35">
      <c r="A267" s="66" t="s">
        <v>383</v>
      </c>
      <c r="B267" s="66" t="s">
        <v>910</v>
      </c>
      <c r="C267" s="67"/>
      <c r="D267" s="68"/>
      <c r="E267" s="69"/>
      <c r="F267" s="70"/>
      <c r="G267" s="67"/>
      <c r="H267" s="71"/>
      <c r="I267" s="72"/>
      <c r="J267" s="72"/>
      <c r="K267" s="36"/>
      <c r="L267" s="79"/>
      <c r="M267" s="79"/>
      <c r="N267" s="74"/>
      <c r="O267" s="81" t="s">
        <v>1205</v>
      </c>
      <c r="P267" s="83">
        <v>44460.1328587963</v>
      </c>
      <c r="Q267" s="81" t="s">
        <v>1324</v>
      </c>
      <c r="R267" s="81"/>
      <c r="S267" s="81"/>
      <c r="T267" s="81"/>
      <c r="U267" s="85" t="str">
        <f>HYPERLINK("https://pbs.twimg.com/media/E_xVJy2VQAQerFe.jpg")</f>
        <v>https://pbs.twimg.com/media/E_xVJy2VQAQerFe.jpg</v>
      </c>
      <c r="V267" s="85" t="str">
        <f>HYPERLINK("https://pbs.twimg.com/media/E_xVJy2VQAQerFe.jpg")</f>
        <v>https://pbs.twimg.com/media/E_xVJy2VQAQerFe.jpg</v>
      </c>
      <c r="W267" s="83">
        <v>44460.1328587963</v>
      </c>
      <c r="X267" s="89">
        <v>44460</v>
      </c>
      <c r="Y267" s="87" t="s">
        <v>1973</v>
      </c>
      <c r="Z267" s="85" t="str">
        <f>HYPERLINK("https://twitter.com/lilysatriah/status/1440151627889987603")</f>
        <v>https://twitter.com/lilysatriah/status/1440151627889987603</v>
      </c>
      <c r="AA267" s="81"/>
      <c r="AB267" s="81"/>
      <c r="AC267" s="87" t="s">
        <v>2895</v>
      </c>
      <c r="AD267" s="81"/>
      <c r="AE267" s="81" t="b">
        <v>0</v>
      </c>
      <c r="AF267" s="81">
        <v>0</v>
      </c>
      <c r="AG267" s="87" t="s">
        <v>3875</v>
      </c>
      <c r="AH267" s="81" t="b">
        <v>0</v>
      </c>
      <c r="AI267" s="81" t="s">
        <v>4092</v>
      </c>
      <c r="AJ267" s="81"/>
      <c r="AK267" s="87" t="s">
        <v>3875</v>
      </c>
      <c r="AL267" s="81" t="b">
        <v>0</v>
      </c>
      <c r="AM267" s="81">
        <v>321</v>
      </c>
      <c r="AN267" s="87" t="s">
        <v>3520</v>
      </c>
      <c r="AO267" s="87" t="s">
        <v>4110</v>
      </c>
      <c r="AP267" s="81" t="b">
        <v>0</v>
      </c>
      <c r="AQ267" s="87" t="s">
        <v>3520</v>
      </c>
      <c r="AR267" s="81" t="s">
        <v>179</v>
      </c>
      <c r="AS267" s="81">
        <v>0</v>
      </c>
      <c r="AT267" s="81">
        <v>0</v>
      </c>
      <c r="AU267" s="81"/>
      <c r="AV267" s="81"/>
      <c r="AW267" s="81"/>
      <c r="AX267" s="81"/>
      <c r="AY267" s="81"/>
      <c r="AZ267" s="81"/>
      <c r="BA267" s="81"/>
      <c r="BB267" s="81"/>
    </row>
    <row r="268" spans="1:54" x14ac:dyDescent="0.35">
      <c r="A268" s="66" t="s">
        <v>384</v>
      </c>
      <c r="B268" s="66" t="s">
        <v>1055</v>
      </c>
      <c r="C268" s="67"/>
      <c r="D268" s="68"/>
      <c r="E268" s="69"/>
      <c r="F268" s="70"/>
      <c r="G268" s="67"/>
      <c r="H268" s="71"/>
      <c r="I268" s="72"/>
      <c r="J268" s="72"/>
      <c r="K268" s="36"/>
      <c r="L268" s="79"/>
      <c r="M268" s="79"/>
      <c r="N268" s="74"/>
      <c r="O268" s="81" t="s">
        <v>1207</v>
      </c>
      <c r="P268" s="83">
        <v>44460.136979166666</v>
      </c>
      <c r="Q268" s="81" t="s">
        <v>1324</v>
      </c>
      <c r="R268" s="81"/>
      <c r="S268" s="81"/>
      <c r="T268" s="81"/>
      <c r="U268" s="85" t="str">
        <f>HYPERLINK("https://pbs.twimg.com/media/E_xVJy2VQAQerFe.jpg")</f>
        <v>https://pbs.twimg.com/media/E_xVJy2VQAQerFe.jpg</v>
      </c>
      <c r="V268" s="85" t="str">
        <f>HYPERLINK("https://pbs.twimg.com/media/E_xVJy2VQAQerFe.jpg")</f>
        <v>https://pbs.twimg.com/media/E_xVJy2VQAQerFe.jpg</v>
      </c>
      <c r="W268" s="83">
        <v>44460.136979166666</v>
      </c>
      <c r="X268" s="89">
        <v>44460</v>
      </c>
      <c r="Y268" s="87" t="s">
        <v>1974</v>
      </c>
      <c r="Z268" s="85" t="str">
        <f>HYPERLINK("https://twitter.com/yan_to999/status/1440153119266992137")</f>
        <v>https://twitter.com/yan_to999/status/1440153119266992137</v>
      </c>
      <c r="AA268" s="81"/>
      <c r="AB268" s="81"/>
      <c r="AC268" s="87" t="s">
        <v>2896</v>
      </c>
      <c r="AD268" s="81"/>
      <c r="AE268" s="81" t="b">
        <v>0</v>
      </c>
      <c r="AF268" s="81">
        <v>0</v>
      </c>
      <c r="AG268" s="87" t="s">
        <v>3875</v>
      </c>
      <c r="AH268" s="81" t="b">
        <v>0</v>
      </c>
      <c r="AI268" s="81" t="s">
        <v>4092</v>
      </c>
      <c r="AJ268" s="81"/>
      <c r="AK268" s="87" t="s">
        <v>3875</v>
      </c>
      <c r="AL268" s="81" t="b">
        <v>0</v>
      </c>
      <c r="AM268" s="81">
        <v>321</v>
      </c>
      <c r="AN268" s="87" t="s">
        <v>3520</v>
      </c>
      <c r="AO268" s="87" t="s">
        <v>4109</v>
      </c>
      <c r="AP268" s="81" t="b">
        <v>0</v>
      </c>
      <c r="AQ268" s="87" t="s">
        <v>3520</v>
      </c>
      <c r="AR268" s="81" t="s">
        <v>179</v>
      </c>
      <c r="AS268" s="81">
        <v>0</v>
      </c>
      <c r="AT268" s="81">
        <v>0</v>
      </c>
      <c r="AU268" s="81"/>
      <c r="AV268" s="81"/>
      <c r="AW268" s="81"/>
      <c r="AX268" s="81"/>
      <c r="AY268" s="81"/>
      <c r="AZ268" s="81"/>
      <c r="BA268" s="81"/>
      <c r="BB268" s="81"/>
    </row>
    <row r="269" spans="1:54" x14ac:dyDescent="0.35">
      <c r="A269" s="66" t="s">
        <v>384</v>
      </c>
      <c r="B269" s="66" t="s">
        <v>910</v>
      </c>
      <c r="C269" s="67"/>
      <c r="D269" s="68"/>
      <c r="E269" s="69"/>
      <c r="F269" s="70"/>
      <c r="G269" s="67"/>
      <c r="H269" s="71"/>
      <c r="I269" s="72"/>
      <c r="J269" s="72"/>
      <c r="K269" s="36"/>
      <c r="L269" s="79"/>
      <c r="M269" s="79"/>
      <c r="N269" s="74"/>
      <c r="O269" s="81" t="s">
        <v>1205</v>
      </c>
      <c r="P269" s="83">
        <v>44460.136979166666</v>
      </c>
      <c r="Q269" s="81" t="s">
        <v>1324</v>
      </c>
      <c r="R269" s="81"/>
      <c r="S269" s="81"/>
      <c r="T269" s="81"/>
      <c r="U269" s="85" t="str">
        <f>HYPERLINK("https://pbs.twimg.com/media/E_xVJy2VQAQerFe.jpg")</f>
        <v>https://pbs.twimg.com/media/E_xVJy2VQAQerFe.jpg</v>
      </c>
      <c r="V269" s="85" t="str">
        <f>HYPERLINK("https://pbs.twimg.com/media/E_xVJy2VQAQerFe.jpg")</f>
        <v>https://pbs.twimg.com/media/E_xVJy2VQAQerFe.jpg</v>
      </c>
      <c r="W269" s="83">
        <v>44460.136979166666</v>
      </c>
      <c r="X269" s="89">
        <v>44460</v>
      </c>
      <c r="Y269" s="87" t="s">
        <v>1974</v>
      </c>
      <c r="Z269" s="85" t="str">
        <f>HYPERLINK("https://twitter.com/yan_to999/status/1440153119266992137")</f>
        <v>https://twitter.com/yan_to999/status/1440153119266992137</v>
      </c>
      <c r="AA269" s="81"/>
      <c r="AB269" s="81"/>
      <c r="AC269" s="87" t="s">
        <v>2896</v>
      </c>
      <c r="AD269" s="81"/>
      <c r="AE269" s="81" t="b">
        <v>0</v>
      </c>
      <c r="AF269" s="81">
        <v>0</v>
      </c>
      <c r="AG269" s="87" t="s">
        <v>3875</v>
      </c>
      <c r="AH269" s="81" t="b">
        <v>0</v>
      </c>
      <c r="AI269" s="81" t="s">
        <v>4092</v>
      </c>
      <c r="AJ269" s="81"/>
      <c r="AK269" s="87" t="s">
        <v>3875</v>
      </c>
      <c r="AL269" s="81" t="b">
        <v>0</v>
      </c>
      <c r="AM269" s="81">
        <v>321</v>
      </c>
      <c r="AN269" s="87" t="s">
        <v>3520</v>
      </c>
      <c r="AO269" s="87" t="s">
        <v>4109</v>
      </c>
      <c r="AP269" s="81" t="b">
        <v>0</v>
      </c>
      <c r="AQ269" s="87" t="s">
        <v>3520</v>
      </c>
      <c r="AR269" s="81" t="s">
        <v>179</v>
      </c>
      <c r="AS269" s="81">
        <v>0</v>
      </c>
      <c r="AT269" s="81">
        <v>0</v>
      </c>
      <c r="AU269" s="81"/>
      <c r="AV269" s="81"/>
      <c r="AW269" s="81"/>
      <c r="AX269" s="81"/>
      <c r="AY269" s="81"/>
      <c r="AZ269" s="81"/>
      <c r="BA269" s="81"/>
      <c r="BB269" s="81"/>
    </row>
    <row r="270" spans="1:54" x14ac:dyDescent="0.35">
      <c r="A270" s="66" t="s">
        <v>385</v>
      </c>
      <c r="B270" s="66" t="s">
        <v>1058</v>
      </c>
      <c r="C270" s="67"/>
      <c r="D270" s="68"/>
      <c r="E270" s="69"/>
      <c r="F270" s="70"/>
      <c r="G270" s="67"/>
      <c r="H270" s="71"/>
      <c r="I270" s="72"/>
      <c r="J270" s="72"/>
      <c r="K270" s="36"/>
      <c r="L270" s="79"/>
      <c r="M270" s="79"/>
      <c r="N270" s="74"/>
      <c r="O270" s="81" t="s">
        <v>1208</v>
      </c>
      <c r="P270" s="83">
        <v>44460.137361111112</v>
      </c>
      <c r="Q270" s="81" t="s">
        <v>1326</v>
      </c>
      <c r="R270" s="81"/>
      <c r="S270" s="81"/>
      <c r="T270" s="81"/>
      <c r="U270" s="81"/>
      <c r="V270" s="85" t="str">
        <f>HYPERLINK("https://pbs.twimg.com/profile_images/1440547401664643078/_BG8HIqf_normal.jpg")</f>
        <v>https://pbs.twimg.com/profile_images/1440547401664643078/_BG8HIqf_normal.jpg</v>
      </c>
      <c r="W270" s="83">
        <v>44460.137361111112</v>
      </c>
      <c r="X270" s="89">
        <v>44460</v>
      </c>
      <c r="Y270" s="87" t="s">
        <v>1975</v>
      </c>
      <c r="Z270" s="85" t="str">
        <f>HYPERLINK("https://twitter.com/deepfriedamer/status/1440153261063884801")</f>
        <v>https://twitter.com/deepfriedamer/status/1440153261063884801</v>
      </c>
      <c r="AA270" s="81"/>
      <c r="AB270" s="81"/>
      <c r="AC270" s="87" t="s">
        <v>2897</v>
      </c>
      <c r="AD270" s="87" t="s">
        <v>3700</v>
      </c>
      <c r="AE270" s="81" t="b">
        <v>0</v>
      </c>
      <c r="AF270" s="81">
        <v>0</v>
      </c>
      <c r="AG270" s="87" t="s">
        <v>3933</v>
      </c>
      <c r="AH270" s="81" t="b">
        <v>0</v>
      </c>
      <c r="AI270" s="81" t="s">
        <v>4092</v>
      </c>
      <c r="AJ270" s="81"/>
      <c r="AK270" s="87" t="s">
        <v>3875</v>
      </c>
      <c r="AL270" s="81" t="b">
        <v>0</v>
      </c>
      <c r="AM270" s="81">
        <v>0</v>
      </c>
      <c r="AN270" s="87" t="s">
        <v>3875</v>
      </c>
      <c r="AO270" s="87" t="s">
        <v>4110</v>
      </c>
      <c r="AP270" s="81" t="b">
        <v>0</v>
      </c>
      <c r="AQ270" s="87" t="s">
        <v>3700</v>
      </c>
      <c r="AR270" s="81" t="s">
        <v>179</v>
      </c>
      <c r="AS270" s="81">
        <v>0</v>
      </c>
      <c r="AT270" s="81">
        <v>0</v>
      </c>
      <c r="AU270" s="81"/>
      <c r="AV270" s="81"/>
      <c r="AW270" s="81"/>
      <c r="AX270" s="81"/>
      <c r="AY270" s="81"/>
      <c r="AZ270" s="81"/>
      <c r="BA270" s="81"/>
      <c r="BB270" s="81"/>
    </row>
    <row r="271" spans="1:54" x14ac:dyDescent="0.35">
      <c r="A271" s="66" t="s">
        <v>386</v>
      </c>
      <c r="B271" s="66" t="s">
        <v>1055</v>
      </c>
      <c r="C271" s="67"/>
      <c r="D271" s="68"/>
      <c r="E271" s="69"/>
      <c r="F271" s="70"/>
      <c r="G271" s="67"/>
      <c r="H271" s="71"/>
      <c r="I271" s="72"/>
      <c r="J271" s="72"/>
      <c r="K271" s="36"/>
      <c r="L271" s="79"/>
      <c r="M271" s="79"/>
      <c r="N271" s="74"/>
      <c r="O271" s="81" t="s">
        <v>1207</v>
      </c>
      <c r="P271" s="83">
        <v>44460.13858796296</v>
      </c>
      <c r="Q271" s="81" t="s">
        <v>1324</v>
      </c>
      <c r="R271" s="81"/>
      <c r="S271" s="81"/>
      <c r="T271" s="81"/>
      <c r="U271" s="85" t="str">
        <f>HYPERLINK("https://pbs.twimg.com/media/E_xVJy2VQAQerFe.jpg")</f>
        <v>https://pbs.twimg.com/media/E_xVJy2VQAQerFe.jpg</v>
      </c>
      <c r="V271" s="85" t="str">
        <f>HYPERLINK("https://pbs.twimg.com/media/E_xVJy2VQAQerFe.jpg")</f>
        <v>https://pbs.twimg.com/media/E_xVJy2VQAQerFe.jpg</v>
      </c>
      <c r="W271" s="83">
        <v>44460.13858796296</v>
      </c>
      <c r="X271" s="89">
        <v>44460</v>
      </c>
      <c r="Y271" s="87" t="s">
        <v>1976</v>
      </c>
      <c r="Z271" s="85" t="str">
        <f>HYPERLINK("https://twitter.com/bud1_f1/status/1440153702304681990")</f>
        <v>https://twitter.com/bud1_f1/status/1440153702304681990</v>
      </c>
      <c r="AA271" s="81"/>
      <c r="AB271" s="81"/>
      <c r="AC271" s="87" t="s">
        <v>2898</v>
      </c>
      <c r="AD271" s="81"/>
      <c r="AE271" s="81" t="b">
        <v>0</v>
      </c>
      <c r="AF271" s="81">
        <v>0</v>
      </c>
      <c r="AG271" s="87" t="s">
        <v>3875</v>
      </c>
      <c r="AH271" s="81" t="b">
        <v>0</v>
      </c>
      <c r="AI271" s="81" t="s">
        <v>4092</v>
      </c>
      <c r="AJ271" s="81"/>
      <c r="AK271" s="87" t="s">
        <v>3875</v>
      </c>
      <c r="AL271" s="81" t="b">
        <v>0</v>
      </c>
      <c r="AM271" s="81">
        <v>321</v>
      </c>
      <c r="AN271" s="87" t="s">
        <v>3520</v>
      </c>
      <c r="AO271" s="87" t="s">
        <v>4109</v>
      </c>
      <c r="AP271" s="81" t="b">
        <v>0</v>
      </c>
      <c r="AQ271" s="87" t="s">
        <v>3520</v>
      </c>
      <c r="AR271" s="81" t="s">
        <v>179</v>
      </c>
      <c r="AS271" s="81">
        <v>0</v>
      </c>
      <c r="AT271" s="81">
        <v>0</v>
      </c>
      <c r="AU271" s="81"/>
      <c r="AV271" s="81"/>
      <c r="AW271" s="81"/>
      <c r="AX271" s="81"/>
      <c r="AY271" s="81"/>
      <c r="AZ271" s="81"/>
      <c r="BA271" s="81"/>
      <c r="BB271" s="81"/>
    </row>
    <row r="272" spans="1:54" x14ac:dyDescent="0.35">
      <c r="A272" s="66" t="s">
        <v>386</v>
      </c>
      <c r="B272" s="66" t="s">
        <v>910</v>
      </c>
      <c r="C272" s="67"/>
      <c r="D272" s="68"/>
      <c r="E272" s="69"/>
      <c r="F272" s="70"/>
      <c r="G272" s="67"/>
      <c r="H272" s="71"/>
      <c r="I272" s="72"/>
      <c r="J272" s="72"/>
      <c r="K272" s="36"/>
      <c r="L272" s="79"/>
      <c r="M272" s="79"/>
      <c r="N272" s="74"/>
      <c r="O272" s="81" t="s">
        <v>1205</v>
      </c>
      <c r="P272" s="83">
        <v>44460.13858796296</v>
      </c>
      <c r="Q272" s="81" t="s">
        <v>1324</v>
      </c>
      <c r="R272" s="81"/>
      <c r="S272" s="81"/>
      <c r="T272" s="81"/>
      <c r="U272" s="85" t="str">
        <f>HYPERLINK("https://pbs.twimg.com/media/E_xVJy2VQAQerFe.jpg")</f>
        <v>https://pbs.twimg.com/media/E_xVJy2VQAQerFe.jpg</v>
      </c>
      <c r="V272" s="85" t="str">
        <f>HYPERLINK("https://pbs.twimg.com/media/E_xVJy2VQAQerFe.jpg")</f>
        <v>https://pbs.twimg.com/media/E_xVJy2VQAQerFe.jpg</v>
      </c>
      <c r="W272" s="83">
        <v>44460.13858796296</v>
      </c>
      <c r="X272" s="89">
        <v>44460</v>
      </c>
      <c r="Y272" s="87" t="s">
        <v>1976</v>
      </c>
      <c r="Z272" s="85" t="str">
        <f>HYPERLINK("https://twitter.com/bud1_f1/status/1440153702304681990")</f>
        <v>https://twitter.com/bud1_f1/status/1440153702304681990</v>
      </c>
      <c r="AA272" s="81"/>
      <c r="AB272" s="81"/>
      <c r="AC272" s="87" t="s">
        <v>2898</v>
      </c>
      <c r="AD272" s="81"/>
      <c r="AE272" s="81" t="b">
        <v>0</v>
      </c>
      <c r="AF272" s="81">
        <v>0</v>
      </c>
      <c r="AG272" s="87" t="s">
        <v>3875</v>
      </c>
      <c r="AH272" s="81" t="b">
        <v>0</v>
      </c>
      <c r="AI272" s="81" t="s">
        <v>4092</v>
      </c>
      <c r="AJ272" s="81"/>
      <c r="AK272" s="87" t="s">
        <v>3875</v>
      </c>
      <c r="AL272" s="81" t="b">
        <v>0</v>
      </c>
      <c r="AM272" s="81">
        <v>321</v>
      </c>
      <c r="AN272" s="87" t="s">
        <v>3520</v>
      </c>
      <c r="AO272" s="87" t="s">
        <v>4109</v>
      </c>
      <c r="AP272" s="81" t="b">
        <v>0</v>
      </c>
      <c r="AQ272" s="87" t="s">
        <v>3520</v>
      </c>
      <c r="AR272" s="81" t="s">
        <v>179</v>
      </c>
      <c r="AS272" s="81">
        <v>0</v>
      </c>
      <c r="AT272" s="81">
        <v>0</v>
      </c>
      <c r="AU272" s="81"/>
      <c r="AV272" s="81"/>
      <c r="AW272" s="81"/>
      <c r="AX272" s="81"/>
      <c r="AY272" s="81"/>
      <c r="AZ272" s="81"/>
      <c r="BA272" s="81"/>
      <c r="BB272" s="81"/>
    </row>
    <row r="273" spans="1:54" x14ac:dyDescent="0.35">
      <c r="A273" s="66" t="s">
        <v>387</v>
      </c>
      <c r="B273" s="66" t="s">
        <v>1055</v>
      </c>
      <c r="C273" s="67"/>
      <c r="D273" s="68"/>
      <c r="E273" s="69"/>
      <c r="F273" s="70"/>
      <c r="G273" s="67"/>
      <c r="H273" s="71"/>
      <c r="I273" s="72"/>
      <c r="J273" s="72"/>
      <c r="K273" s="36"/>
      <c r="L273" s="79"/>
      <c r="M273" s="79"/>
      <c r="N273" s="74"/>
      <c r="O273" s="81" t="s">
        <v>1207</v>
      </c>
      <c r="P273" s="83">
        <v>44460.13925925926</v>
      </c>
      <c r="Q273" s="81" t="s">
        <v>1324</v>
      </c>
      <c r="R273" s="81"/>
      <c r="S273" s="81"/>
      <c r="T273" s="81"/>
      <c r="U273" s="85" t="str">
        <f>HYPERLINK("https://pbs.twimg.com/media/E_xVJy2VQAQerFe.jpg")</f>
        <v>https://pbs.twimg.com/media/E_xVJy2VQAQerFe.jpg</v>
      </c>
      <c r="V273" s="85" t="str">
        <f>HYPERLINK("https://pbs.twimg.com/media/E_xVJy2VQAQerFe.jpg")</f>
        <v>https://pbs.twimg.com/media/E_xVJy2VQAQerFe.jpg</v>
      </c>
      <c r="W273" s="83">
        <v>44460.13925925926</v>
      </c>
      <c r="X273" s="89">
        <v>44460</v>
      </c>
      <c r="Y273" s="87" t="s">
        <v>1977</v>
      </c>
      <c r="Z273" s="85" t="str">
        <f>HYPERLINK("https://twitter.com/lilianl92090469/status/1440153946044067847")</f>
        <v>https://twitter.com/lilianl92090469/status/1440153946044067847</v>
      </c>
      <c r="AA273" s="81"/>
      <c r="AB273" s="81"/>
      <c r="AC273" s="87" t="s">
        <v>2899</v>
      </c>
      <c r="AD273" s="81"/>
      <c r="AE273" s="81" t="b">
        <v>0</v>
      </c>
      <c r="AF273" s="81">
        <v>0</v>
      </c>
      <c r="AG273" s="87" t="s">
        <v>3875</v>
      </c>
      <c r="AH273" s="81" t="b">
        <v>0</v>
      </c>
      <c r="AI273" s="81" t="s">
        <v>4092</v>
      </c>
      <c r="AJ273" s="81"/>
      <c r="AK273" s="87" t="s">
        <v>3875</v>
      </c>
      <c r="AL273" s="81" t="b">
        <v>0</v>
      </c>
      <c r="AM273" s="81">
        <v>321</v>
      </c>
      <c r="AN273" s="87" t="s">
        <v>3520</v>
      </c>
      <c r="AO273" s="87" t="s">
        <v>4109</v>
      </c>
      <c r="AP273" s="81" t="b">
        <v>0</v>
      </c>
      <c r="AQ273" s="87" t="s">
        <v>3520</v>
      </c>
      <c r="AR273" s="81" t="s">
        <v>179</v>
      </c>
      <c r="AS273" s="81">
        <v>0</v>
      </c>
      <c r="AT273" s="81">
        <v>0</v>
      </c>
      <c r="AU273" s="81"/>
      <c r="AV273" s="81"/>
      <c r="AW273" s="81"/>
      <c r="AX273" s="81"/>
      <c r="AY273" s="81"/>
      <c r="AZ273" s="81"/>
      <c r="BA273" s="81"/>
      <c r="BB273" s="81"/>
    </row>
    <row r="274" spans="1:54" x14ac:dyDescent="0.35">
      <c r="A274" s="66" t="s">
        <v>387</v>
      </c>
      <c r="B274" s="66" t="s">
        <v>910</v>
      </c>
      <c r="C274" s="67"/>
      <c r="D274" s="68"/>
      <c r="E274" s="69"/>
      <c r="F274" s="70"/>
      <c r="G274" s="67"/>
      <c r="H274" s="71"/>
      <c r="I274" s="72"/>
      <c r="J274" s="72"/>
      <c r="K274" s="36"/>
      <c r="L274" s="79"/>
      <c r="M274" s="79"/>
      <c r="N274" s="74"/>
      <c r="O274" s="81" t="s">
        <v>1205</v>
      </c>
      <c r="P274" s="83">
        <v>44460.13925925926</v>
      </c>
      <c r="Q274" s="81" t="s">
        <v>1324</v>
      </c>
      <c r="R274" s="81"/>
      <c r="S274" s="81"/>
      <c r="T274" s="81"/>
      <c r="U274" s="85" t="str">
        <f>HYPERLINK("https://pbs.twimg.com/media/E_xVJy2VQAQerFe.jpg")</f>
        <v>https://pbs.twimg.com/media/E_xVJy2VQAQerFe.jpg</v>
      </c>
      <c r="V274" s="85" t="str">
        <f>HYPERLINK("https://pbs.twimg.com/media/E_xVJy2VQAQerFe.jpg")</f>
        <v>https://pbs.twimg.com/media/E_xVJy2VQAQerFe.jpg</v>
      </c>
      <c r="W274" s="83">
        <v>44460.13925925926</v>
      </c>
      <c r="X274" s="89">
        <v>44460</v>
      </c>
      <c r="Y274" s="87" t="s">
        <v>1977</v>
      </c>
      <c r="Z274" s="85" t="str">
        <f>HYPERLINK("https://twitter.com/lilianl92090469/status/1440153946044067847")</f>
        <v>https://twitter.com/lilianl92090469/status/1440153946044067847</v>
      </c>
      <c r="AA274" s="81"/>
      <c r="AB274" s="81"/>
      <c r="AC274" s="87" t="s">
        <v>2899</v>
      </c>
      <c r="AD274" s="81"/>
      <c r="AE274" s="81" t="b">
        <v>0</v>
      </c>
      <c r="AF274" s="81">
        <v>0</v>
      </c>
      <c r="AG274" s="87" t="s">
        <v>3875</v>
      </c>
      <c r="AH274" s="81" t="b">
        <v>0</v>
      </c>
      <c r="AI274" s="81" t="s">
        <v>4092</v>
      </c>
      <c r="AJ274" s="81"/>
      <c r="AK274" s="87" t="s">
        <v>3875</v>
      </c>
      <c r="AL274" s="81" t="b">
        <v>0</v>
      </c>
      <c r="AM274" s="81">
        <v>321</v>
      </c>
      <c r="AN274" s="87" t="s">
        <v>3520</v>
      </c>
      <c r="AO274" s="87" t="s">
        <v>4109</v>
      </c>
      <c r="AP274" s="81" t="b">
        <v>0</v>
      </c>
      <c r="AQ274" s="87" t="s">
        <v>3520</v>
      </c>
      <c r="AR274" s="81" t="s">
        <v>179</v>
      </c>
      <c r="AS274" s="81">
        <v>0</v>
      </c>
      <c r="AT274" s="81">
        <v>0</v>
      </c>
      <c r="AU274" s="81"/>
      <c r="AV274" s="81"/>
      <c r="AW274" s="81"/>
      <c r="AX274" s="81"/>
      <c r="AY274" s="81"/>
      <c r="AZ274" s="81"/>
      <c r="BA274" s="81"/>
      <c r="BB274" s="81"/>
    </row>
    <row r="275" spans="1:54" x14ac:dyDescent="0.35">
      <c r="A275" s="66" t="s">
        <v>388</v>
      </c>
      <c r="B275" s="66" t="s">
        <v>1055</v>
      </c>
      <c r="C275" s="67"/>
      <c r="D275" s="68"/>
      <c r="E275" s="69"/>
      <c r="F275" s="70"/>
      <c r="G275" s="67"/>
      <c r="H275" s="71"/>
      <c r="I275" s="72"/>
      <c r="J275" s="72"/>
      <c r="K275" s="36"/>
      <c r="L275" s="79"/>
      <c r="M275" s="79"/>
      <c r="N275" s="74"/>
      <c r="O275" s="81" t="s">
        <v>1207</v>
      </c>
      <c r="P275" s="83">
        <v>44460.140972222223</v>
      </c>
      <c r="Q275" s="81" t="s">
        <v>1324</v>
      </c>
      <c r="R275" s="81"/>
      <c r="S275" s="81"/>
      <c r="T275" s="81"/>
      <c r="U275" s="85" t="str">
        <f>HYPERLINK("https://pbs.twimg.com/media/E_xVJy2VQAQerFe.jpg")</f>
        <v>https://pbs.twimg.com/media/E_xVJy2VQAQerFe.jpg</v>
      </c>
      <c r="V275" s="85" t="str">
        <f>HYPERLINK("https://pbs.twimg.com/media/E_xVJy2VQAQerFe.jpg")</f>
        <v>https://pbs.twimg.com/media/E_xVJy2VQAQerFe.jpg</v>
      </c>
      <c r="W275" s="83">
        <v>44460.140972222223</v>
      </c>
      <c r="X275" s="89">
        <v>44460</v>
      </c>
      <c r="Y275" s="87" t="s">
        <v>1978</v>
      </c>
      <c r="Z275" s="85" t="str">
        <f>HYPERLINK("https://twitter.com/wisaksonowisak1/status/1440154569401532420")</f>
        <v>https://twitter.com/wisaksonowisak1/status/1440154569401532420</v>
      </c>
      <c r="AA275" s="81"/>
      <c r="AB275" s="81"/>
      <c r="AC275" s="87" t="s">
        <v>2900</v>
      </c>
      <c r="AD275" s="81"/>
      <c r="AE275" s="81" t="b">
        <v>0</v>
      </c>
      <c r="AF275" s="81">
        <v>0</v>
      </c>
      <c r="AG275" s="87" t="s">
        <v>3875</v>
      </c>
      <c r="AH275" s="81" t="b">
        <v>0</v>
      </c>
      <c r="AI275" s="81" t="s">
        <v>4092</v>
      </c>
      <c r="AJ275" s="81"/>
      <c r="AK275" s="87" t="s">
        <v>3875</v>
      </c>
      <c r="AL275" s="81" t="b">
        <v>0</v>
      </c>
      <c r="AM275" s="81">
        <v>321</v>
      </c>
      <c r="AN275" s="87" t="s">
        <v>3520</v>
      </c>
      <c r="AO275" s="87" t="s">
        <v>4109</v>
      </c>
      <c r="AP275" s="81" t="b">
        <v>0</v>
      </c>
      <c r="AQ275" s="87" t="s">
        <v>3520</v>
      </c>
      <c r="AR275" s="81" t="s">
        <v>179</v>
      </c>
      <c r="AS275" s="81">
        <v>0</v>
      </c>
      <c r="AT275" s="81">
        <v>0</v>
      </c>
      <c r="AU275" s="81"/>
      <c r="AV275" s="81"/>
      <c r="AW275" s="81"/>
      <c r="AX275" s="81"/>
      <c r="AY275" s="81"/>
      <c r="AZ275" s="81"/>
      <c r="BA275" s="81"/>
      <c r="BB275" s="81"/>
    </row>
    <row r="276" spans="1:54" x14ac:dyDescent="0.35">
      <c r="A276" s="66" t="s">
        <v>388</v>
      </c>
      <c r="B276" s="66" t="s">
        <v>910</v>
      </c>
      <c r="C276" s="67"/>
      <c r="D276" s="68"/>
      <c r="E276" s="69"/>
      <c r="F276" s="70"/>
      <c r="G276" s="67"/>
      <c r="H276" s="71"/>
      <c r="I276" s="72"/>
      <c r="J276" s="72"/>
      <c r="K276" s="36"/>
      <c r="L276" s="79"/>
      <c r="M276" s="79"/>
      <c r="N276" s="74"/>
      <c r="O276" s="81" t="s">
        <v>1205</v>
      </c>
      <c r="P276" s="83">
        <v>44460.140972222223</v>
      </c>
      <c r="Q276" s="81" t="s">
        <v>1324</v>
      </c>
      <c r="R276" s="81"/>
      <c r="S276" s="81"/>
      <c r="T276" s="81"/>
      <c r="U276" s="85" t="str">
        <f>HYPERLINK("https://pbs.twimg.com/media/E_xVJy2VQAQerFe.jpg")</f>
        <v>https://pbs.twimg.com/media/E_xVJy2VQAQerFe.jpg</v>
      </c>
      <c r="V276" s="85" t="str">
        <f>HYPERLINK("https://pbs.twimg.com/media/E_xVJy2VQAQerFe.jpg")</f>
        <v>https://pbs.twimg.com/media/E_xVJy2VQAQerFe.jpg</v>
      </c>
      <c r="W276" s="83">
        <v>44460.140972222223</v>
      </c>
      <c r="X276" s="89">
        <v>44460</v>
      </c>
      <c r="Y276" s="87" t="s">
        <v>1978</v>
      </c>
      <c r="Z276" s="85" t="str">
        <f>HYPERLINK("https://twitter.com/wisaksonowisak1/status/1440154569401532420")</f>
        <v>https://twitter.com/wisaksonowisak1/status/1440154569401532420</v>
      </c>
      <c r="AA276" s="81"/>
      <c r="AB276" s="81"/>
      <c r="AC276" s="87" t="s">
        <v>2900</v>
      </c>
      <c r="AD276" s="81"/>
      <c r="AE276" s="81" t="b">
        <v>0</v>
      </c>
      <c r="AF276" s="81">
        <v>0</v>
      </c>
      <c r="AG276" s="87" t="s">
        <v>3875</v>
      </c>
      <c r="AH276" s="81" t="b">
        <v>0</v>
      </c>
      <c r="AI276" s="81" t="s">
        <v>4092</v>
      </c>
      <c r="AJ276" s="81"/>
      <c r="AK276" s="87" t="s">
        <v>3875</v>
      </c>
      <c r="AL276" s="81" t="b">
        <v>0</v>
      </c>
      <c r="AM276" s="81">
        <v>321</v>
      </c>
      <c r="AN276" s="87" t="s">
        <v>3520</v>
      </c>
      <c r="AO276" s="87" t="s">
        <v>4109</v>
      </c>
      <c r="AP276" s="81" t="b">
        <v>0</v>
      </c>
      <c r="AQ276" s="87" t="s">
        <v>3520</v>
      </c>
      <c r="AR276" s="81" t="s">
        <v>179</v>
      </c>
      <c r="AS276" s="81">
        <v>0</v>
      </c>
      <c r="AT276" s="81">
        <v>0</v>
      </c>
      <c r="AU276" s="81"/>
      <c r="AV276" s="81"/>
      <c r="AW276" s="81"/>
      <c r="AX276" s="81"/>
      <c r="AY276" s="81"/>
      <c r="AZ276" s="81"/>
      <c r="BA276" s="81"/>
      <c r="BB276" s="81"/>
    </row>
    <row r="277" spans="1:54" x14ac:dyDescent="0.35">
      <c r="A277" s="66" t="s">
        <v>389</v>
      </c>
      <c r="B277" s="66" t="s">
        <v>1055</v>
      </c>
      <c r="C277" s="67"/>
      <c r="D277" s="68"/>
      <c r="E277" s="69"/>
      <c r="F277" s="70"/>
      <c r="G277" s="67"/>
      <c r="H277" s="71"/>
      <c r="I277" s="72"/>
      <c r="J277" s="72"/>
      <c r="K277" s="36"/>
      <c r="L277" s="79"/>
      <c r="M277" s="79"/>
      <c r="N277" s="74"/>
      <c r="O277" s="81" t="s">
        <v>1207</v>
      </c>
      <c r="P277" s="83">
        <v>44460.141087962962</v>
      </c>
      <c r="Q277" s="81" t="s">
        <v>1324</v>
      </c>
      <c r="R277" s="81"/>
      <c r="S277" s="81"/>
      <c r="T277" s="81"/>
      <c r="U277" s="85" t="str">
        <f>HYPERLINK("https://pbs.twimg.com/media/E_xVJy2VQAQerFe.jpg")</f>
        <v>https://pbs.twimg.com/media/E_xVJy2VQAQerFe.jpg</v>
      </c>
      <c r="V277" s="85" t="str">
        <f>HYPERLINK("https://pbs.twimg.com/media/E_xVJy2VQAQerFe.jpg")</f>
        <v>https://pbs.twimg.com/media/E_xVJy2VQAQerFe.jpg</v>
      </c>
      <c r="W277" s="83">
        <v>44460.141087962962</v>
      </c>
      <c r="X277" s="89">
        <v>44460</v>
      </c>
      <c r="Y277" s="87" t="s">
        <v>1979</v>
      </c>
      <c r="Z277" s="85" t="str">
        <f>HYPERLINK("https://twitter.com/osoekaryo/status/1440154611801747460")</f>
        <v>https://twitter.com/osoekaryo/status/1440154611801747460</v>
      </c>
      <c r="AA277" s="81"/>
      <c r="AB277" s="81"/>
      <c r="AC277" s="87" t="s">
        <v>2901</v>
      </c>
      <c r="AD277" s="81"/>
      <c r="AE277" s="81" t="b">
        <v>0</v>
      </c>
      <c r="AF277" s="81">
        <v>0</v>
      </c>
      <c r="AG277" s="87" t="s">
        <v>3875</v>
      </c>
      <c r="AH277" s="81" t="b">
        <v>0</v>
      </c>
      <c r="AI277" s="81" t="s">
        <v>4092</v>
      </c>
      <c r="AJ277" s="81"/>
      <c r="AK277" s="87" t="s">
        <v>3875</v>
      </c>
      <c r="AL277" s="81" t="b">
        <v>0</v>
      </c>
      <c r="AM277" s="81">
        <v>321</v>
      </c>
      <c r="AN277" s="87" t="s">
        <v>3520</v>
      </c>
      <c r="AO277" s="87" t="s">
        <v>4109</v>
      </c>
      <c r="AP277" s="81" t="b">
        <v>0</v>
      </c>
      <c r="AQ277" s="87" t="s">
        <v>3520</v>
      </c>
      <c r="AR277" s="81" t="s">
        <v>179</v>
      </c>
      <c r="AS277" s="81">
        <v>0</v>
      </c>
      <c r="AT277" s="81">
        <v>0</v>
      </c>
      <c r="AU277" s="81"/>
      <c r="AV277" s="81"/>
      <c r="AW277" s="81"/>
      <c r="AX277" s="81"/>
      <c r="AY277" s="81"/>
      <c r="AZ277" s="81"/>
      <c r="BA277" s="81"/>
      <c r="BB277" s="81"/>
    </row>
    <row r="278" spans="1:54" x14ac:dyDescent="0.35">
      <c r="A278" s="66" t="s">
        <v>389</v>
      </c>
      <c r="B278" s="66" t="s">
        <v>910</v>
      </c>
      <c r="C278" s="67"/>
      <c r="D278" s="68"/>
      <c r="E278" s="69"/>
      <c r="F278" s="70"/>
      <c r="G278" s="67"/>
      <c r="H278" s="71"/>
      <c r="I278" s="72"/>
      <c r="J278" s="72"/>
      <c r="K278" s="36"/>
      <c r="L278" s="79"/>
      <c r="M278" s="79"/>
      <c r="N278" s="74"/>
      <c r="O278" s="81" t="s">
        <v>1205</v>
      </c>
      <c r="P278" s="83">
        <v>44460.141087962962</v>
      </c>
      <c r="Q278" s="81" t="s">
        <v>1324</v>
      </c>
      <c r="R278" s="81"/>
      <c r="S278" s="81"/>
      <c r="T278" s="81"/>
      <c r="U278" s="85" t="str">
        <f>HYPERLINK("https://pbs.twimg.com/media/E_xVJy2VQAQerFe.jpg")</f>
        <v>https://pbs.twimg.com/media/E_xVJy2VQAQerFe.jpg</v>
      </c>
      <c r="V278" s="85" t="str">
        <f>HYPERLINK("https://pbs.twimg.com/media/E_xVJy2VQAQerFe.jpg")</f>
        <v>https://pbs.twimg.com/media/E_xVJy2VQAQerFe.jpg</v>
      </c>
      <c r="W278" s="83">
        <v>44460.141087962962</v>
      </c>
      <c r="X278" s="89">
        <v>44460</v>
      </c>
      <c r="Y278" s="87" t="s">
        <v>1979</v>
      </c>
      <c r="Z278" s="85" t="str">
        <f>HYPERLINK("https://twitter.com/osoekaryo/status/1440154611801747460")</f>
        <v>https://twitter.com/osoekaryo/status/1440154611801747460</v>
      </c>
      <c r="AA278" s="81"/>
      <c r="AB278" s="81"/>
      <c r="AC278" s="87" t="s">
        <v>2901</v>
      </c>
      <c r="AD278" s="81"/>
      <c r="AE278" s="81" t="b">
        <v>0</v>
      </c>
      <c r="AF278" s="81">
        <v>0</v>
      </c>
      <c r="AG278" s="87" t="s">
        <v>3875</v>
      </c>
      <c r="AH278" s="81" t="b">
        <v>0</v>
      </c>
      <c r="AI278" s="81" t="s">
        <v>4092</v>
      </c>
      <c r="AJ278" s="81"/>
      <c r="AK278" s="87" t="s">
        <v>3875</v>
      </c>
      <c r="AL278" s="81" t="b">
        <v>0</v>
      </c>
      <c r="AM278" s="81">
        <v>321</v>
      </c>
      <c r="AN278" s="87" t="s">
        <v>3520</v>
      </c>
      <c r="AO278" s="87" t="s">
        <v>4109</v>
      </c>
      <c r="AP278" s="81" t="b">
        <v>0</v>
      </c>
      <c r="AQ278" s="87" t="s">
        <v>3520</v>
      </c>
      <c r="AR278" s="81" t="s">
        <v>179</v>
      </c>
      <c r="AS278" s="81">
        <v>0</v>
      </c>
      <c r="AT278" s="81">
        <v>0</v>
      </c>
      <c r="AU278" s="81"/>
      <c r="AV278" s="81"/>
      <c r="AW278" s="81"/>
      <c r="AX278" s="81"/>
      <c r="AY278" s="81"/>
      <c r="AZ278" s="81"/>
      <c r="BA278" s="81"/>
      <c r="BB278" s="81"/>
    </row>
    <row r="279" spans="1:54" x14ac:dyDescent="0.35">
      <c r="A279" s="66" t="s">
        <v>390</v>
      </c>
      <c r="B279" s="66" t="s">
        <v>1055</v>
      </c>
      <c r="C279" s="67"/>
      <c r="D279" s="68"/>
      <c r="E279" s="69"/>
      <c r="F279" s="70"/>
      <c r="G279" s="67"/>
      <c r="H279" s="71"/>
      <c r="I279" s="72"/>
      <c r="J279" s="72"/>
      <c r="K279" s="36"/>
      <c r="L279" s="79"/>
      <c r="M279" s="79"/>
      <c r="N279" s="74"/>
      <c r="O279" s="81" t="s">
        <v>1207</v>
      </c>
      <c r="P279" s="83">
        <v>44460.142002314817</v>
      </c>
      <c r="Q279" s="81" t="s">
        <v>1324</v>
      </c>
      <c r="R279" s="81"/>
      <c r="S279" s="81"/>
      <c r="T279" s="81"/>
      <c r="U279" s="85" t="str">
        <f>HYPERLINK("https://pbs.twimg.com/media/E_xVJy2VQAQerFe.jpg")</f>
        <v>https://pbs.twimg.com/media/E_xVJy2VQAQerFe.jpg</v>
      </c>
      <c r="V279" s="85" t="str">
        <f>HYPERLINK("https://pbs.twimg.com/media/E_xVJy2VQAQerFe.jpg")</f>
        <v>https://pbs.twimg.com/media/E_xVJy2VQAQerFe.jpg</v>
      </c>
      <c r="W279" s="83">
        <v>44460.142002314817</v>
      </c>
      <c r="X279" s="89">
        <v>44460</v>
      </c>
      <c r="Y279" s="87" t="s">
        <v>1980</v>
      </c>
      <c r="Z279" s="85" t="str">
        <f>HYPERLINK("https://twitter.com/trihart/status/1440154941369192450")</f>
        <v>https://twitter.com/trihart/status/1440154941369192450</v>
      </c>
      <c r="AA279" s="81"/>
      <c r="AB279" s="81"/>
      <c r="AC279" s="87" t="s">
        <v>2902</v>
      </c>
      <c r="AD279" s="81"/>
      <c r="AE279" s="81" t="b">
        <v>0</v>
      </c>
      <c r="AF279" s="81">
        <v>0</v>
      </c>
      <c r="AG279" s="87" t="s">
        <v>3875</v>
      </c>
      <c r="AH279" s="81" t="b">
        <v>0</v>
      </c>
      <c r="AI279" s="81" t="s">
        <v>4092</v>
      </c>
      <c r="AJ279" s="81"/>
      <c r="AK279" s="87" t="s">
        <v>3875</v>
      </c>
      <c r="AL279" s="81" t="b">
        <v>0</v>
      </c>
      <c r="AM279" s="81">
        <v>321</v>
      </c>
      <c r="AN279" s="87" t="s">
        <v>3520</v>
      </c>
      <c r="AO279" s="87" t="s">
        <v>4109</v>
      </c>
      <c r="AP279" s="81" t="b">
        <v>0</v>
      </c>
      <c r="AQ279" s="87" t="s">
        <v>3520</v>
      </c>
      <c r="AR279" s="81" t="s">
        <v>179</v>
      </c>
      <c r="AS279" s="81">
        <v>0</v>
      </c>
      <c r="AT279" s="81">
        <v>0</v>
      </c>
      <c r="AU279" s="81"/>
      <c r="AV279" s="81"/>
      <c r="AW279" s="81"/>
      <c r="AX279" s="81"/>
      <c r="AY279" s="81"/>
      <c r="AZ279" s="81"/>
      <c r="BA279" s="81"/>
      <c r="BB279" s="81"/>
    </row>
    <row r="280" spans="1:54" x14ac:dyDescent="0.35">
      <c r="A280" s="66" t="s">
        <v>390</v>
      </c>
      <c r="B280" s="66" t="s">
        <v>910</v>
      </c>
      <c r="C280" s="67"/>
      <c r="D280" s="68"/>
      <c r="E280" s="69"/>
      <c r="F280" s="70"/>
      <c r="G280" s="67"/>
      <c r="H280" s="71"/>
      <c r="I280" s="72"/>
      <c r="J280" s="72"/>
      <c r="K280" s="36"/>
      <c r="L280" s="79"/>
      <c r="M280" s="79"/>
      <c r="N280" s="74"/>
      <c r="O280" s="81" t="s">
        <v>1205</v>
      </c>
      <c r="P280" s="83">
        <v>44460.142002314817</v>
      </c>
      <c r="Q280" s="81" t="s">
        <v>1324</v>
      </c>
      <c r="R280" s="81"/>
      <c r="S280" s="81"/>
      <c r="T280" s="81"/>
      <c r="U280" s="85" t="str">
        <f>HYPERLINK("https://pbs.twimg.com/media/E_xVJy2VQAQerFe.jpg")</f>
        <v>https://pbs.twimg.com/media/E_xVJy2VQAQerFe.jpg</v>
      </c>
      <c r="V280" s="85" t="str">
        <f>HYPERLINK("https://pbs.twimg.com/media/E_xVJy2VQAQerFe.jpg")</f>
        <v>https://pbs.twimg.com/media/E_xVJy2VQAQerFe.jpg</v>
      </c>
      <c r="W280" s="83">
        <v>44460.142002314817</v>
      </c>
      <c r="X280" s="89">
        <v>44460</v>
      </c>
      <c r="Y280" s="87" t="s">
        <v>1980</v>
      </c>
      <c r="Z280" s="85" t="str">
        <f>HYPERLINK("https://twitter.com/trihart/status/1440154941369192450")</f>
        <v>https://twitter.com/trihart/status/1440154941369192450</v>
      </c>
      <c r="AA280" s="81"/>
      <c r="AB280" s="81"/>
      <c r="AC280" s="87" t="s">
        <v>2902</v>
      </c>
      <c r="AD280" s="81"/>
      <c r="AE280" s="81" t="b">
        <v>0</v>
      </c>
      <c r="AF280" s="81">
        <v>0</v>
      </c>
      <c r="AG280" s="87" t="s">
        <v>3875</v>
      </c>
      <c r="AH280" s="81" t="b">
        <v>0</v>
      </c>
      <c r="AI280" s="81" t="s">
        <v>4092</v>
      </c>
      <c r="AJ280" s="81"/>
      <c r="AK280" s="87" t="s">
        <v>3875</v>
      </c>
      <c r="AL280" s="81" t="b">
        <v>0</v>
      </c>
      <c r="AM280" s="81">
        <v>321</v>
      </c>
      <c r="AN280" s="87" t="s">
        <v>3520</v>
      </c>
      <c r="AO280" s="87" t="s">
        <v>4109</v>
      </c>
      <c r="AP280" s="81" t="b">
        <v>0</v>
      </c>
      <c r="AQ280" s="87" t="s">
        <v>3520</v>
      </c>
      <c r="AR280" s="81" t="s">
        <v>179</v>
      </c>
      <c r="AS280" s="81">
        <v>0</v>
      </c>
      <c r="AT280" s="81">
        <v>0</v>
      </c>
      <c r="AU280" s="81"/>
      <c r="AV280" s="81"/>
      <c r="AW280" s="81"/>
      <c r="AX280" s="81"/>
      <c r="AY280" s="81"/>
      <c r="AZ280" s="81"/>
      <c r="BA280" s="81"/>
      <c r="BB280" s="81"/>
    </row>
    <row r="281" spans="1:54" x14ac:dyDescent="0.35">
      <c r="A281" s="66" t="s">
        <v>391</v>
      </c>
      <c r="B281" s="66" t="s">
        <v>1055</v>
      </c>
      <c r="C281" s="67"/>
      <c r="D281" s="68"/>
      <c r="E281" s="69"/>
      <c r="F281" s="70"/>
      <c r="G281" s="67"/>
      <c r="H281" s="71"/>
      <c r="I281" s="72"/>
      <c r="J281" s="72"/>
      <c r="K281" s="36"/>
      <c r="L281" s="79"/>
      <c r="M281" s="79"/>
      <c r="N281" s="74"/>
      <c r="O281" s="81" t="s">
        <v>1207</v>
      </c>
      <c r="P281" s="83">
        <v>44460.14371527778</v>
      </c>
      <c r="Q281" s="81" t="s">
        <v>1324</v>
      </c>
      <c r="R281" s="81"/>
      <c r="S281" s="81"/>
      <c r="T281" s="81"/>
      <c r="U281" s="85" t="str">
        <f>HYPERLINK("https://pbs.twimg.com/media/E_xVJy2VQAQerFe.jpg")</f>
        <v>https://pbs.twimg.com/media/E_xVJy2VQAQerFe.jpg</v>
      </c>
      <c r="V281" s="85" t="str">
        <f>HYPERLINK("https://pbs.twimg.com/media/E_xVJy2VQAQerFe.jpg")</f>
        <v>https://pbs.twimg.com/media/E_xVJy2VQAQerFe.jpg</v>
      </c>
      <c r="W281" s="83">
        <v>44460.14371527778</v>
      </c>
      <c r="X281" s="89">
        <v>44460</v>
      </c>
      <c r="Y281" s="87" t="s">
        <v>1981</v>
      </c>
      <c r="Z281" s="85" t="str">
        <f>HYPERLINK("https://twitter.com/pekikmenoreh/status/1440155563837460489")</f>
        <v>https://twitter.com/pekikmenoreh/status/1440155563837460489</v>
      </c>
      <c r="AA281" s="81"/>
      <c r="AB281" s="81"/>
      <c r="AC281" s="87" t="s">
        <v>2903</v>
      </c>
      <c r="AD281" s="81"/>
      <c r="AE281" s="81" t="b">
        <v>0</v>
      </c>
      <c r="AF281" s="81">
        <v>0</v>
      </c>
      <c r="AG281" s="87" t="s">
        <v>3875</v>
      </c>
      <c r="AH281" s="81" t="b">
        <v>0</v>
      </c>
      <c r="AI281" s="81" t="s">
        <v>4092</v>
      </c>
      <c r="AJ281" s="81"/>
      <c r="AK281" s="87" t="s">
        <v>3875</v>
      </c>
      <c r="AL281" s="81" t="b">
        <v>0</v>
      </c>
      <c r="AM281" s="81">
        <v>321</v>
      </c>
      <c r="AN281" s="87" t="s">
        <v>3520</v>
      </c>
      <c r="AO281" s="87" t="s">
        <v>4110</v>
      </c>
      <c r="AP281" s="81" t="b">
        <v>0</v>
      </c>
      <c r="AQ281" s="87" t="s">
        <v>3520</v>
      </c>
      <c r="AR281" s="81" t="s">
        <v>179</v>
      </c>
      <c r="AS281" s="81">
        <v>0</v>
      </c>
      <c r="AT281" s="81">
        <v>0</v>
      </c>
      <c r="AU281" s="81"/>
      <c r="AV281" s="81"/>
      <c r="AW281" s="81"/>
      <c r="AX281" s="81"/>
      <c r="AY281" s="81"/>
      <c r="AZ281" s="81"/>
      <c r="BA281" s="81"/>
      <c r="BB281" s="81"/>
    </row>
    <row r="282" spans="1:54" x14ac:dyDescent="0.35">
      <c r="A282" s="66" t="s">
        <v>391</v>
      </c>
      <c r="B282" s="66" t="s">
        <v>910</v>
      </c>
      <c r="C282" s="67"/>
      <c r="D282" s="68"/>
      <c r="E282" s="69"/>
      <c r="F282" s="70"/>
      <c r="G282" s="67"/>
      <c r="H282" s="71"/>
      <c r="I282" s="72"/>
      <c r="J282" s="72"/>
      <c r="K282" s="36"/>
      <c r="L282" s="79"/>
      <c r="M282" s="79"/>
      <c r="N282" s="74"/>
      <c r="O282" s="81" t="s">
        <v>1205</v>
      </c>
      <c r="P282" s="83">
        <v>44460.14371527778</v>
      </c>
      <c r="Q282" s="81" t="s">
        <v>1324</v>
      </c>
      <c r="R282" s="81"/>
      <c r="S282" s="81"/>
      <c r="T282" s="81"/>
      <c r="U282" s="85" t="str">
        <f>HYPERLINK("https://pbs.twimg.com/media/E_xVJy2VQAQerFe.jpg")</f>
        <v>https://pbs.twimg.com/media/E_xVJy2VQAQerFe.jpg</v>
      </c>
      <c r="V282" s="85" t="str">
        <f>HYPERLINK("https://pbs.twimg.com/media/E_xVJy2VQAQerFe.jpg")</f>
        <v>https://pbs.twimg.com/media/E_xVJy2VQAQerFe.jpg</v>
      </c>
      <c r="W282" s="83">
        <v>44460.14371527778</v>
      </c>
      <c r="X282" s="89">
        <v>44460</v>
      </c>
      <c r="Y282" s="87" t="s">
        <v>1981</v>
      </c>
      <c r="Z282" s="85" t="str">
        <f>HYPERLINK("https://twitter.com/pekikmenoreh/status/1440155563837460489")</f>
        <v>https://twitter.com/pekikmenoreh/status/1440155563837460489</v>
      </c>
      <c r="AA282" s="81"/>
      <c r="AB282" s="81"/>
      <c r="AC282" s="87" t="s">
        <v>2903</v>
      </c>
      <c r="AD282" s="81"/>
      <c r="AE282" s="81" t="b">
        <v>0</v>
      </c>
      <c r="AF282" s="81">
        <v>0</v>
      </c>
      <c r="AG282" s="87" t="s">
        <v>3875</v>
      </c>
      <c r="AH282" s="81" t="b">
        <v>0</v>
      </c>
      <c r="AI282" s="81" t="s">
        <v>4092</v>
      </c>
      <c r="AJ282" s="81"/>
      <c r="AK282" s="87" t="s">
        <v>3875</v>
      </c>
      <c r="AL282" s="81" t="b">
        <v>0</v>
      </c>
      <c r="AM282" s="81">
        <v>321</v>
      </c>
      <c r="AN282" s="87" t="s">
        <v>3520</v>
      </c>
      <c r="AO282" s="87" t="s">
        <v>4110</v>
      </c>
      <c r="AP282" s="81" t="b">
        <v>0</v>
      </c>
      <c r="AQ282" s="87" t="s">
        <v>3520</v>
      </c>
      <c r="AR282" s="81" t="s">
        <v>179</v>
      </c>
      <c r="AS282" s="81">
        <v>0</v>
      </c>
      <c r="AT282" s="81">
        <v>0</v>
      </c>
      <c r="AU282" s="81"/>
      <c r="AV282" s="81"/>
      <c r="AW282" s="81"/>
      <c r="AX282" s="81"/>
      <c r="AY282" s="81"/>
      <c r="AZ282" s="81"/>
      <c r="BA282" s="81"/>
      <c r="BB282" s="81"/>
    </row>
    <row r="283" spans="1:54" x14ac:dyDescent="0.35">
      <c r="A283" s="66" t="s">
        <v>392</v>
      </c>
      <c r="B283" s="66" t="s">
        <v>1055</v>
      </c>
      <c r="C283" s="67"/>
      <c r="D283" s="68"/>
      <c r="E283" s="69"/>
      <c r="F283" s="70"/>
      <c r="G283" s="67"/>
      <c r="H283" s="71"/>
      <c r="I283" s="72"/>
      <c r="J283" s="72"/>
      <c r="K283" s="36"/>
      <c r="L283" s="79"/>
      <c r="M283" s="79"/>
      <c r="N283" s="74"/>
      <c r="O283" s="81" t="s">
        <v>1207</v>
      </c>
      <c r="P283" s="83">
        <v>44460.145312499997</v>
      </c>
      <c r="Q283" s="81" t="s">
        <v>1324</v>
      </c>
      <c r="R283" s="81"/>
      <c r="S283" s="81"/>
      <c r="T283" s="81"/>
      <c r="U283" s="85" t="str">
        <f>HYPERLINK("https://pbs.twimg.com/media/E_xVJy2VQAQerFe.jpg")</f>
        <v>https://pbs.twimg.com/media/E_xVJy2VQAQerFe.jpg</v>
      </c>
      <c r="V283" s="85" t="str">
        <f>HYPERLINK("https://pbs.twimg.com/media/E_xVJy2VQAQerFe.jpg")</f>
        <v>https://pbs.twimg.com/media/E_xVJy2VQAQerFe.jpg</v>
      </c>
      <c r="W283" s="83">
        <v>44460.145312499997</v>
      </c>
      <c r="X283" s="89">
        <v>44460</v>
      </c>
      <c r="Y283" s="87" t="s">
        <v>1982</v>
      </c>
      <c r="Z283" s="85" t="str">
        <f>HYPERLINK("https://twitter.com/fransiscakwee/status/1440156140914941952")</f>
        <v>https://twitter.com/fransiscakwee/status/1440156140914941952</v>
      </c>
      <c r="AA283" s="81"/>
      <c r="AB283" s="81"/>
      <c r="AC283" s="87" t="s">
        <v>2904</v>
      </c>
      <c r="AD283" s="81"/>
      <c r="AE283" s="81" t="b">
        <v>0</v>
      </c>
      <c r="AF283" s="81">
        <v>0</v>
      </c>
      <c r="AG283" s="87" t="s">
        <v>3875</v>
      </c>
      <c r="AH283" s="81" t="b">
        <v>0</v>
      </c>
      <c r="AI283" s="81" t="s">
        <v>4092</v>
      </c>
      <c r="AJ283" s="81"/>
      <c r="AK283" s="87" t="s">
        <v>3875</v>
      </c>
      <c r="AL283" s="81" t="b">
        <v>0</v>
      </c>
      <c r="AM283" s="81">
        <v>321</v>
      </c>
      <c r="AN283" s="87" t="s">
        <v>3520</v>
      </c>
      <c r="AO283" s="87" t="s">
        <v>4109</v>
      </c>
      <c r="AP283" s="81" t="b">
        <v>0</v>
      </c>
      <c r="AQ283" s="87" t="s">
        <v>3520</v>
      </c>
      <c r="AR283" s="81" t="s">
        <v>179</v>
      </c>
      <c r="AS283" s="81">
        <v>0</v>
      </c>
      <c r="AT283" s="81">
        <v>0</v>
      </c>
      <c r="AU283" s="81"/>
      <c r="AV283" s="81"/>
      <c r="AW283" s="81"/>
      <c r="AX283" s="81"/>
      <c r="AY283" s="81"/>
      <c r="AZ283" s="81"/>
      <c r="BA283" s="81"/>
      <c r="BB283" s="81"/>
    </row>
    <row r="284" spans="1:54" x14ac:dyDescent="0.35">
      <c r="A284" s="66" t="s">
        <v>392</v>
      </c>
      <c r="B284" s="66" t="s">
        <v>910</v>
      </c>
      <c r="C284" s="67"/>
      <c r="D284" s="68"/>
      <c r="E284" s="69"/>
      <c r="F284" s="70"/>
      <c r="G284" s="67"/>
      <c r="H284" s="71"/>
      <c r="I284" s="72"/>
      <c r="J284" s="72"/>
      <c r="K284" s="36"/>
      <c r="L284" s="79"/>
      <c r="M284" s="79"/>
      <c r="N284" s="74"/>
      <c r="O284" s="81" t="s">
        <v>1205</v>
      </c>
      <c r="P284" s="83">
        <v>44460.145312499997</v>
      </c>
      <c r="Q284" s="81" t="s">
        <v>1324</v>
      </c>
      <c r="R284" s="81"/>
      <c r="S284" s="81"/>
      <c r="T284" s="81"/>
      <c r="U284" s="85" t="str">
        <f>HYPERLINK("https://pbs.twimg.com/media/E_xVJy2VQAQerFe.jpg")</f>
        <v>https://pbs.twimg.com/media/E_xVJy2VQAQerFe.jpg</v>
      </c>
      <c r="V284" s="85" t="str">
        <f>HYPERLINK("https://pbs.twimg.com/media/E_xVJy2VQAQerFe.jpg")</f>
        <v>https://pbs.twimg.com/media/E_xVJy2VQAQerFe.jpg</v>
      </c>
      <c r="W284" s="83">
        <v>44460.145312499997</v>
      </c>
      <c r="X284" s="89">
        <v>44460</v>
      </c>
      <c r="Y284" s="87" t="s">
        <v>1982</v>
      </c>
      <c r="Z284" s="85" t="str">
        <f>HYPERLINK("https://twitter.com/fransiscakwee/status/1440156140914941952")</f>
        <v>https://twitter.com/fransiscakwee/status/1440156140914941952</v>
      </c>
      <c r="AA284" s="81"/>
      <c r="AB284" s="81"/>
      <c r="AC284" s="87" t="s">
        <v>2904</v>
      </c>
      <c r="AD284" s="81"/>
      <c r="AE284" s="81" t="b">
        <v>0</v>
      </c>
      <c r="AF284" s="81">
        <v>0</v>
      </c>
      <c r="AG284" s="87" t="s">
        <v>3875</v>
      </c>
      <c r="AH284" s="81" t="b">
        <v>0</v>
      </c>
      <c r="AI284" s="81" t="s">
        <v>4092</v>
      </c>
      <c r="AJ284" s="81"/>
      <c r="AK284" s="87" t="s">
        <v>3875</v>
      </c>
      <c r="AL284" s="81" t="b">
        <v>0</v>
      </c>
      <c r="AM284" s="81">
        <v>321</v>
      </c>
      <c r="AN284" s="87" t="s">
        <v>3520</v>
      </c>
      <c r="AO284" s="87" t="s">
        <v>4109</v>
      </c>
      <c r="AP284" s="81" t="b">
        <v>0</v>
      </c>
      <c r="AQ284" s="87" t="s">
        <v>3520</v>
      </c>
      <c r="AR284" s="81" t="s">
        <v>179</v>
      </c>
      <c r="AS284" s="81">
        <v>0</v>
      </c>
      <c r="AT284" s="81">
        <v>0</v>
      </c>
      <c r="AU284" s="81"/>
      <c r="AV284" s="81"/>
      <c r="AW284" s="81"/>
      <c r="AX284" s="81"/>
      <c r="AY284" s="81"/>
      <c r="AZ284" s="81"/>
      <c r="BA284" s="81"/>
      <c r="BB284" s="81"/>
    </row>
    <row r="285" spans="1:54" x14ac:dyDescent="0.35">
      <c r="A285" s="66" t="s">
        <v>393</v>
      </c>
      <c r="B285" s="66" t="s">
        <v>1059</v>
      </c>
      <c r="C285" s="67"/>
      <c r="D285" s="68"/>
      <c r="E285" s="69"/>
      <c r="F285" s="70"/>
      <c r="G285" s="67"/>
      <c r="H285" s="71"/>
      <c r="I285" s="72"/>
      <c r="J285" s="72"/>
      <c r="K285" s="36"/>
      <c r="L285" s="79"/>
      <c r="M285" s="79"/>
      <c r="N285" s="74"/>
      <c r="O285" s="81" t="s">
        <v>1206</v>
      </c>
      <c r="P285" s="83">
        <v>44460.146087962959</v>
      </c>
      <c r="Q285" s="81" t="s">
        <v>1327</v>
      </c>
      <c r="R285" s="81"/>
      <c r="S285" s="81"/>
      <c r="T285" s="81"/>
      <c r="U285" s="81"/>
      <c r="V285" s="85" t="str">
        <f>HYPERLINK("https://pbs.twimg.com/profile_images/1434563786480893953/xH8jB62s_normal.jpg")</f>
        <v>https://pbs.twimg.com/profile_images/1434563786480893953/xH8jB62s_normal.jpg</v>
      </c>
      <c r="W285" s="83">
        <v>44460.146087962959</v>
      </c>
      <c r="X285" s="89">
        <v>44460</v>
      </c>
      <c r="Y285" s="87" t="s">
        <v>1983</v>
      </c>
      <c r="Z285" s="85" t="str">
        <f>HYPERLINK("https://twitter.com/subakgrl/status/1440156423812378625")</f>
        <v>https://twitter.com/subakgrl/status/1440156423812378625</v>
      </c>
      <c r="AA285" s="81"/>
      <c r="AB285" s="81"/>
      <c r="AC285" s="87" t="s">
        <v>2905</v>
      </c>
      <c r="AD285" s="87" t="s">
        <v>3701</v>
      </c>
      <c r="AE285" s="81" t="b">
        <v>0</v>
      </c>
      <c r="AF285" s="81">
        <v>0</v>
      </c>
      <c r="AG285" s="87" t="s">
        <v>3934</v>
      </c>
      <c r="AH285" s="81" t="b">
        <v>0</v>
      </c>
      <c r="AI285" s="81" t="s">
        <v>4092</v>
      </c>
      <c r="AJ285" s="81"/>
      <c r="AK285" s="87" t="s">
        <v>3875</v>
      </c>
      <c r="AL285" s="81" t="b">
        <v>0</v>
      </c>
      <c r="AM285" s="81">
        <v>0</v>
      </c>
      <c r="AN285" s="87" t="s">
        <v>3875</v>
      </c>
      <c r="AO285" s="87" t="s">
        <v>4111</v>
      </c>
      <c r="AP285" s="81" t="b">
        <v>0</v>
      </c>
      <c r="AQ285" s="87" t="s">
        <v>3701</v>
      </c>
      <c r="AR285" s="81" t="s">
        <v>179</v>
      </c>
      <c r="AS285" s="81">
        <v>0</v>
      </c>
      <c r="AT285" s="81">
        <v>0</v>
      </c>
      <c r="AU285" s="81"/>
      <c r="AV285" s="81"/>
      <c r="AW285" s="81"/>
      <c r="AX285" s="81"/>
      <c r="AY285" s="81"/>
      <c r="AZ285" s="81"/>
      <c r="BA285" s="81"/>
      <c r="BB285" s="81"/>
    </row>
    <row r="286" spans="1:54" x14ac:dyDescent="0.35">
      <c r="A286" s="66" t="s">
        <v>393</v>
      </c>
      <c r="B286" s="66" t="s">
        <v>1060</v>
      </c>
      <c r="C286" s="67"/>
      <c r="D286" s="68"/>
      <c r="E286" s="69"/>
      <c r="F286" s="70"/>
      <c r="G286" s="67"/>
      <c r="H286" s="71"/>
      <c r="I286" s="72"/>
      <c r="J286" s="72"/>
      <c r="K286" s="36"/>
      <c r="L286" s="79"/>
      <c r="M286" s="79"/>
      <c r="N286" s="74"/>
      <c r="O286" s="81" t="s">
        <v>1208</v>
      </c>
      <c r="P286" s="83">
        <v>44460.146087962959</v>
      </c>
      <c r="Q286" s="81" t="s">
        <v>1327</v>
      </c>
      <c r="R286" s="81"/>
      <c r="S286" s="81"/>
      <c r="T286" s="81"/>
      <c r="U286" s="81"/>
      <c r="V286" s="85" t="str">
        <f>HYPERLINK("https://pbs.twimg.com/profile_images/1434563786480893953/xH8jB62s_normal.jpg")</f>
        <v>https://pbs.twimg.com/profile_images/1434563786480893953/xH8jB62s_normal.jpg</v>
      </c>
      <c r="W286" s="83">
        <v>44460.146087962959</v>
      </c>
      <c r="X286" s="89">
        <v>44460</v>
      </c>
      <c r="Y286" s="87" t="s">
        <v>1983</v>
      </c>
      <c r="Z286" s="85" t="str">
        <f>HYPERLINK("https://twitter.com/subakgrl/status/1440156423812378625")</f>
        <v>https://twitter.com/subakgrl/status/1440156423812378625</v>
      </c>
      <c r="AA286" s="81"/>
      <c r="AB286" s="81"/>
      <c r="AC286" s="87" t="s">
        <v>2905</v>
      </c>
      <c r="AD286" s="87" t="s">
        <v>3701</v>
      </c>
      <c r="AE286" s="81" t="b">
        <v>0</v>
      </c>
      <c r="AF286" s="81">
        <v>0</v>
      </c>
      <c r="AG286" s="87" t="s">
        <v>3934</v>
      </c>
      <c r="AH286" s="81" t="b">
        <v>0</v>
      </c>
      <c r="AI286" s="81" t="s">
        <v>4092</v>
      </c>
      <c r="AJ286" s="81"/>
      <c r="AK286" s="87" t="s">
        <v>3875</v>
      </c>
      <c r="AL286" s="81" t="b">
        <v>0</v>
      </c>
      <c r="AM286" s="81">
        <v>0</v>
      </c>
      <c r="AN286" s="87" t="s">
        <v>3875</v>
      </c>
      <c r="AO286" s="87" t="s">
        <v>4111</v>
      </c>
      <c r="AP286" s="81" t="b">
        <v>0</v>
      </c>
      <c r="AQ286" s="87" t="s">
        <v>3701</v>
      </c>
      <c r="AR286" s="81" t="s">
        <v>179</v>
      </c>
      <c r="AS286" s="81">
        <v>0</v>
      </c>
      <c r="AT286" s="81">
        <v>0</v>
      </c>
      <c r="AU286" s="81"/>
      <c r="AV286" s="81"/>
      <c r="AW286" s="81"/>
      <c r="AX286" s="81"/>
      <c r="AY286" s="81"/>
      <c r="AZ286" s="81"/>
      <c r="BA286" s="81"/>
      <c r="BB286" s="81"/>
    </row>
    <row r="287" spans="1:54" x14ac:dyDescent="0.35">
      <c r="A287" s="66" t="s">
        <v>394</v>
      </c>
      <c r="B287" s="66" t="s">
        <v>394</v>
      </c>
      <c r="C287" s="67"/>
      <c r="D287" s="68"/>
      <c r="E287" s="69"/>
      <c r="F287" s="70"/>
      <c r="G287" s="67"/>
      <c r="H287" s="71"/>
      <c r="I287" s="72"/>
      <c r="J287" s="72"/>
      <c r="K287" s="36"/>
      <c r="L287" s="79"/>
      <c r="M287" s="79"/>
      <c r="N287" s="74"/>
      <c r="O287" s="81" t="s">
        <v>179</v>
      </c>
      <c r="P287" s="83">
        <v>44460.146840277775</v>
      </c>
      <c r="Q287" s="81" t="s">
        <v>1328</v>
      </c>
      <c r="R287" s="85" t="str">
        <f>HYPERLINK("https://bangbara.com/gempur-terus-ratusan-pelajar-dan-masyarakat-rela-antri-untuk-dapatkan-vaksinasi-di-kantor-desa-kertamulya/")</f>
        <v>https://bangbara.com/gempur-terus-ratusan-pelajar-dan-masyarakat-rela-antri-untuk-dapatkan-vaksinasi-di-kantor-desa-kertamulya/</v>
      </c>
      <c r="S287" s="81" t="s">
        <v>1738</v>
      </c>
      <c r="T287" s="81"/>
      <c r="U287" s="81"/>
      <c r="V287" s="85" t="str">
        <f>HYPERLINK("https://pbs.twimg.com/profile_images/1048236932990480385/p4WO2NFV_normal.jpg")</f>
        <v>https://pbs.twimg.com/profile_images/1048236932990480385/p4WO2NFV_normal.jpg</v>
      </c>
      <c r="W287" s="83">
        <v>44460.146840277775</v>
      </c>
      <c r="X287" s="89">
        <v>44460</v>
      </c>
      <c r="Y287" s="87" t="s">
        <v>1984</v>
      </c>
      <c r="Z287" s="85" t="str">
        <f>HYPERLINK("https://twitter.com/bangbara_pos/status/1440156693585821698")</f>
        <v>https://twitter.com/bangbara_pos/status/1440156693585821698</v>
      </c>
      <c r="AA287" s="81"/>
      <c r="AB287" s="81"/>
      <c r="AC287" s="87" t="s">
        <v>2906</v>
      </c>
      <c r="AD287" s="81"/>
      <c r="AE287" s="81" t="b">
        <v>0</v>
      </c>
      <c r="AF287" s="81">
        <v>0</v>
      </c>
      <c r="AG287" s="87" t="s">
        <v>3875</v>
      </c>
      <c r="AH287" s="81" t="b">
        <v>0</v>
      </c>
      <c r="AI287" s="81" t="s">
        <v>4092</v>
      </c>
      <c r="AJ287" s="81"/>
      <c r="AK287" s="87" t="s">
        <v>3875</v>
      </c>
      <c r="AL287" s="81" t="b">
        <v>0</v>
      </c>
      <c r="AM287" s="81">
        <v>0</v>
      </c>
      <c r="AN287" s="87" t="s">
        <v>3875</v>
      </c>
      <c r="AO287" s="87" t="s">
        <v>4120</v>
      </c>
      <c r="AP287" s="81" t="b">
        <v>0</v>
      </c>
      <c r="AQ287" s="87" t="s">
        <v>2906</v>
      </c>
      <c r="AR287" s="81" t="s">
        <v>179</v>
      </c>
      <c r="AS287" s="81">
        <v>0</v>
      </c>
      <c r="AT287" s="81">
        <v>0</v>
      </c>
      <c r="AU287" s="81"/>
      <c r="AV287" s="81"/>
      <c r="AW287" s="81"/>
      <c r="AX287" s="81"/>
      <c r="AY287" s="81"/>
      <c r="AZ287" s="81"/>
      <c r="BA287" s="81"/>
      <c r="BB287" s="81"/>
    </row>
    <row r="288" spans="1:54" x14ac:dyDescent="0.35">
      <c r="A288" s="66" t="s">
        <v>395</v>
      </c>
      <c r="B288" s="66" t="s">
        <v>1055</v>
      </c>
      <c r="C288" s="67"/>
      <c r="D288" s="68"/>
      <c r="E288" s="69"/>
      <c r="F288" s="70"/>
      <c r="G288" s="67"/>
      <c r="H288" s="71"/>
      <c r="I288" s="72"/>
      <c r="J288" s="72"/>
      <c r="K288" s="36"/>
      <c r="L288" s="79"/>
      <c r="M288" s="79"/>
      <c r="N288" s="74"/>
      <c r="O288" s="81" t="s">
        <v>1207</v>
      </c>
      <c r="P288" s="83">
        <v>44460.147581018522</v>
      </c>
      <c r="Q288" s="81" t="s">
        <v>1324</v>
      </c>
      <c r="R288" s="81"/>
      <c r="S288" s="81"/>
      <c r="T288" s="81"/>
      <c r="U288" s="85" t="str">
        <f>HYPERLINK("https://pbs.twimg.com/media/E_xVJy2VQAQerFe.jpg")</f>
        <v>https://pbs.twimg.com/media/E_xVJy2VQAQerFe.jpg</v>
      </c>
      <c r="V288" s="85" t="str">
        <f>HYPERLINK("https://pbs.twimg.com/media/E_xVJy2VQAQerFe.jpg")</f>
        <v>https://pbs.twimg.com/media/E_xVJy2VQAQerFe.jpg</v>
      </c>
      <c r="W288" s="83">
        <v>44460.147581018522</v>
      </c>
      <c r="X288" s="89">
        <v>44460</v>
      </c>
      <c r="Y288" s="87" t="s">
        <v>1985</v>
      </c>
      <c r="Z288" s="85" t="str">
        <f>HYPERLINK("https://twitter.com/promildred/status/1440156964223258628")</f>
        <v>https://twitter.com/promildred/status/1440156964223258628</v>
      </c>
      <c r="AA288" s="81"/>
      <c r="AB288" s="81"/>
      <c r="AC288" s="87" t="s">
        <v>2907</v>
      </c>
      <c r="AD288" s="81"/>
      <c r="AE288" s="81" t="b">
        <v>0</v>
      </c>
      <c r="AF288" s="81">
        <v>0</v>
      </c>
      <c r="AG288" s="87" t="s">
        <v>3875</v>
      </c>
      <c r="AH288" s="81" t="b">
        <v>0</v>
      </c>
      <c r="AI288" s="81" t="s">
        <v>4092</v>
      </c>
      <c r="AJ288" s="81"/>
      <c r="AK288" s="87" t="s">
        <v>3875</v>
      </c>
      <c r="AL288" s="81" t="b">
        <v>0</v>
      </c>
      <c r="AM288" s="81">
        <v>321</v>
      </c>
      <c r="AN288" s="87" t="s">
        <v>3520</v>
      </c>
      <c r="AO288" s="87" t="s">
        <v>4109</v>
      </c>
      <c r="AP288" s="81" t="b">
        <v>0</v>
      </c>
      <c r="AQ288" s="87" t="s">
        <v>3520</v>
      </c>
      <c r="AR288" s="81" t="s">
        <v>179</v>
      </c>
      <c r="AS288" s="81">
        <v>0</v>
      </c>
      <c r="AT288" s="81">
        <v>0</v>
      </c>
      <c r="AU288" s="81"/>
      <c r="AV288" s="81"/>
      <c r="AW288" s="81"/>
      <c r="AX288" s="81"/>
      <c r="AY288" s="81"/>
      <c r="AZ288" s="81"/>
      <c r="BA288" s="81"/>
      <c r="BB288" s="81"/>
    </row>
    <row r="289" spans="1:54" x14ac:dyDescent="0.35">
      <c r="A289" s="66" t="s">
        <v>395</v>
      </c>
      <c r="B289" s="66" t="s">
        <v>910</v>
      </c>
      <c r="C289" s="67"/>
      <c r="D289" s="68"/>
      <c r="E289" s="69"/>
      <c r="F289" s="70"/>
      <c r="G289" s="67"/>
      <c r="H289" s="71"/>
      <c r="I289" s="72"/>
      <c r="J289" s="72"/>
      <c r="K289" s="36"/>
      <c r="L289" s="79"/>
      <c r="M289" s="79"/>
      <c r="N289" s="74"/>
      <c r="O289" s="81" t="s">
        <v>1205</v>
      </c>
      <c r="P289" s="83">
        <v>44460.147581018522</v>
      </c>
      <c r="Q289" s="81" t="s">
        <v>1324</v>
      </c>
      <c r="R289" s="81"/>
      <c r="S289" s="81"/>
      <c r="T289" s="81"/>
      <c r="U289" s="85" t="str">
        <f>HYPERLINK("https://pbs.twimg.com/media/E_xVJy2VQAQerFe.jpg")</f>
        <v>https://pbs.twimg.com/media/E_xVJy2VQAQerFe.jpg</v>
      </c>
      <c r="V289" s="85" t="str">
        <f>HYPERLINK("https://pbs.twimg.com/media/E_xVJy2VQAQerFe.jpg")</f>
        <v>https://pbs.twimg.com/media/E_xVJy2VQAQerFe.jpg</v>
      </c>
      <c r="W289" s="83">
        <v>44460.147581018522</v>
      </c>
      <c r="X289" s="89">
        <v>44460</v>
      </c>
      <c r="Y289" s="87" t="s">
        <v>1985</v>
      </c>
      <c r="Z289" s="85" t="str">
        <f>HYPERLINK("https://twitter.com/promildred/status/1440156964223258628")</f>
        <v>https://twitter.com/promildred/status/1440156964223258628</v>
      </c>
      <c r="AA289" s="81"/>
      <c r="AB289" s="81"/>
      <c r="AC289" s="87" t="s">
        <v>2907</v>
      </c>
      <c r="AD289" s="81"/>
      <c r="AE289" s="81" t="b">
        <v>0</v>
      </c>
      <c r="AF289" s="81">
        <v>0</v>
      </c>
      <c r="AG289" s="87" t="s">
        <v>3875</v>
      </c>
      <c r="AH289" s="81" t="b">
        <v>0</v>
      </c>
      <c r="AI289" s="81" t="s">
        <v>4092</v>
      </c>
      <c r="AJ289" s="81"/>
      <c r="AK289" s="87" t="s">
        <v>3875</v>
      </c>
      <c r="AL289" s="81" t="b">
        <v>0</v>
      </c>
      <c r="AM289" s="81">
        <v>321</v>
      </c>
      <c r="AN289" s="87" t="s">
        <v>3520</v>
      </c>
      <c r="AO289" s="87" t="s">
        <v>4109</v>
      </c>
      <c r="AP289" s="81" t="b">
        <v>0</v>
      </c>
      <c r="AQ289" s="87" t="s">
        <v>3520</v>
      </c>
      <c r="AR289" s="81" t="s">
        <v>179</v>
      </c>
      <c r="AS289" s="81">
        <v>0</v>
      </c>
      <c r="AT289" s="81">
        <v>0</v>
      </c>
      <c r="AU289" s="81"/>
      <c r="AV289" s="81"/>
      <c r="AW289" s="81"/>
      <c r="AX289" s="81"/>
      <c r="AY289" s="81"/>
      <c r="AZ289" s="81"/>
      <c r="BA289" s="81"/>
      <c r="BB289" s="81"/>
    </row>
    <row r="290" spans="1:54" x14ac:dyDescent="0.35">
      <c r="A290" s="66" t="s">
        <v>396</v>
      </c>
      <c r="B290" s="66" t="s">
        <v>1055</v>
      </c>
      <c r="C290" s="67"/>
      <c r="D290" s="68"/>
      <c r="E290" s="69"/>
      <c r="F290" s="70"/>
      <c r="G290" s="67"/>
      <c r="H290" s="71"/>
      <c r="I290" s="72"/>
      <c r="J290" s="72"/>
      <c r="K290" s="36"/>
      <c r="L290" s="79"/>
      <c r="M290" s="79"/>
      <c r="N290" s="74"/>
      <c r="O290" s="81" t="s">
        <v>1207</v>
      </c>
      <c r="P290" s="83">
        <v>44460.149895833332</v>
      </c>
      <c r="Q290" s="81" t="s">
        <v>1324</v>
      </c>
      <c r="R290" s="81"/>
      <c r="S290" s="81"/>
      <c r="T290" s="81"/>
      <c r="U290" s="85" t="str">
        <f>HYPERLINK("https://pbs.twimg.com/media/E_xVJy2VQAQerFe.jpg")</f>
        <v>https://pbs.twimg.com/media/E_xVJy2VQAQerFe.jpg</v>
      </c>
      <c r="V290" s="85" t="str">
        <f>HYPERLINK("https://pbs.twimg.com/media/E_xVJy2VQAQerFe.jpg")</f>
        <v>https://pbs.twimg.com/media/E_xVJy2VQAQerFe.jpg</v>
      </c>
      <c r="W290" s="83">
        <v>44460.149895833332</v>
      </c>
      <c r="X290" s="89">
        <v>44460</v>
      </c>
      <c r="Y290" s="87" t="s">
        <v>1986</v>
      </c>
      <c r="Z290" s="85" t="str">
        <f>HYPERLINK("https://twitter.com/laingenlisa/status/1440157800852717570")</f>
        <v>https://twitter.com/laingenlisa/status/1440157800852717570</v>
      </c>
      <c r="AA290" s="81"/>
      <c r="AB290" s="81"/>
      <c r="AC290" s="87" t="s">
        <v>2908</v>
      </c>
      <c r="AD290" s="81"/>
      <c r="AE290" s="81" t="b">
        <v>0</v>
      </c>
      <c r="AF290" s="81">
        <v>0</v>
      </c>
      <c r="AG290" s="87" t="s">
        <v>3875</v>
      </c>
      <c r="AH290" s="81" t="b">
        <v>0</v>
      </c>
      <c r="AI290" s="81" t="s">
        <v>4092</v>
      </c>
      <c r="AJ290" s="81"/>
      <c r="AK290" s="87" t="s">
        <v>3875</v>
      </c>
      <c r="AL290" s="81" t="b">
        <v>0</v>
      </c>
      <c r="AM290" s="81">
        <v>321</v>
      </c>
      <c r="AN290" s="87" t="s">
        <v>3520</v>
      </c>
      <c r="AO290" s="87" t="s">
        <v>4109</v>
      </c>
      <c r="AP290" s="81" t="b">
        <v>0</v>
      </c>
      <c r="AQ290" s="87" t="s">
        <v>3520</v>
      </c>
      <c r="AR290" s="81" t="s">
        <v>179</v>
      </c>
      <c r="AS290" s="81">
        <v>0</v>
      </c>
      <c r="AT290" s="81">
        <v>0</v>
      </c>
      <c r="AU290" s="81"/>
      <c r="AV290" s="81"/>
      <c r="AW290" s="81"/>
      <c r="AX290" s="81"/>
      <c r="AY290" s="81"/>
      <c r="AZ290" s="81"/>
      <c r="BA290" s="81"/>
      <c r="BB290" s="81"/>
    </row>
    <row r="291" spans="1:54" x14ac:dyDescent="0.35">
      <c r="A291" s="66" t="s">
        <v>396</v>
      </c>
      <c r="B291" s="66" t="s">
        <v>910</v>
      </c>
      <c r="C291" s="67"/>
      <c r="D291" s="68"/>
      <c r="E291" s="69"/>
      <c r="F291" s="70"/>
      <c r="G291" s="67"/>
      <c r="H291" s="71"/>
      <c r="I291" s="72"/>
      <c r="J291" s="72"/>
      <c r="K291" s="36"/>
      <c r="L291" s="79"/>
      <c r="M291" s="79"/>
      <c r="N291" s="74"/>
      <c r="O291" s="81" t="s">
        <v>1205</v>
      </c>
      <c r="P291" s="83">
        <v>44460.149895833332</v>
      </c>
      <c r="Q291" s="81" t="s">
        <v>1324</v>
      </c>
      <c r="R291" s="81"/>
      <c r="S291" s="81"/>
      <c r="T291" s="81"/>
      <c r="U291" s="85" t="str">
        <f>HYPERLINK("https://pbs.twimg.com/media/E_xVJy2VQAQerFe.jpg")</f>
        <v>https://pbs.twimg.com/media/E_xVJy2VQAQerFe.jpg</v>
      </c>
      <c r="V291" s="85" t="str">
        <f>HYPERLINK("https://pbs.twimg.com/media/E_xVJy2VQAQerFe.jpg")</f>
        <v>https://pbs.twimg.com/media/E_xVJy2VQAQerFe.jpg</v>
      </c>
      <c r="W291" s="83">
        <v>44460.149895833332</v>
      </c>
      <c r="X291" s="89">
        <v>44460</v>
      </c>
      <c r="Y291" s="87" t="s">
        <v>1986</v>
      </c>
      <c r="Z291" s="85" t="str">
        <f>HYPERLINK("https://twitter.com/laingenlisa/status/1440157800852717570")</f>
        <v>https://twitter.com/laingenlisa/status/1440157800852717570</v>
      </c>
      <c r="AA291" s="81"/>
      <c r="AB291" s="81"/>
      <c r="AC291" s="87" t="s">
        <v>2908</v>
      </c>
      <c r="AD291" s="81"/>
      <c r="AE291" s="81" t="b">
        <v>0</v>
      </c>
      <c r="AF291" s="81">
        <v>0</v>
      </c>
      <c r="AG291" s="87" t="s">
        <v>3875</v>
      </c>
      <c r="AH291" s="81" t="b">
        <v>0</v>
      </c>
      <c r="AI291" s="81" t="s">
        <v>4092</v>
      </c>
      <c r="AJ291" s="81"/>
      <c r="AK291" s="87" t="s">
        <v>3875</v>
      </c>
      <c r="AL291" s="81" t="b">
        <v>0</v>
      </c>
      <c r="AM291" s="81">
        <v>321</v>
      </c>
      <c r="AN291" s="87" t="s">
        <v>3520</v>
      </c>
      <c r="AO291" s="87" t="s">
        <v>4109</v>
      </c>
      <c r="AP291" s="81" t="b">
        <v>0</v>
      </c>
      <c r="AQ291" s="87" t="s">
        <v>3520</v>
      </c>
      <c r="AR291" s="81" t="s">
        <v>179</v>
      </c>
      <c r="AS291" s="81">
        <v>0</v>
      </c>
      <c r="AT291" s="81">
        <v>0</v>
      </c>
      <c r="AU291" s="81"/>
      <c r="AV291" s="81"/>
      <c r="AW291" s="81"/>
      <c r="AX291" s="81"/>
      <c r="AY291" s="81"/>
      <c r="AZ291" s="81"/>
      <c r="BA291" s="81"/>
      <c r="BB291" s="81"/>
    </row>
    <row r="292" spans="1:54" x14ac:dyDescent="0.35">
      <c r="A292" s="66" t="s">
        <v>397</v>
      </c>
      <c r="B292" s="66" t="s">
        <v>1055</v>
      </c>
      <c r="C292" s="67"/>
      <c r="D292" s="68"/>
      <c r="E292" s="69"/>
      <c r="F292" s="70"/>
      <c r="G292" s="67"/>
      <c r="H292" s="71"/>
      <c r="I292" s="72"/>
      <c r="J292" s="72"/>
      <c r="K292" s="36"/>
      <c r="L292" s="79"/>
      <c r="M292" s="79"/>
      <c r="N292" s="74"/>
      <c r="O292" s="81" t="s">
        <v>1207</v>
      </c>
      <c r="P292" s="83">
        <v>44460.150405092594</v>
      </c>
      <c r="Q292" s="81" t="s">
        <v>1324</v>
      </c>
      <c r="R292" s="81"/>
      <c r="S292" s="81"/>
      <c r="T292" s="81"/>
      <c r="U292" s="85" t="str">
        <f>HYPERLINK("https://pbs.twimg.com/media/E_xVJy2VQAQerFe.jpg")</f>
        <v>https://pbs.twimg.com/media/E_xVJy2VQAQerFe.jpg</v>
      </c>
      <c r="V292" s="85" t="str">
        <f>HYPERLINK("https://pbs.twimg.com/media/E_xVJy2VQAQerFe.jpg")</f>
        <v>https://pbs.twimg.com/media/E_xVJy2VQAQerFe.jpg</v>
      </c>
      <c r="W292" s="83">
        <v>44460.150405092594</v>
      </c>
      <c r="X292" s="89">
        <v>44460</v>
      </c>
      <c r="Y292" s="87" t="s">
        <v>1987</v>
      </c>
      <c r="Z292" s="85" t="str">
        <f>HYPERLINK("https://twitter.com/dedimahardi/status/1440157985603407884")</f>
        <v>https://twitter.com/dedimahardi/status/1440157985603407884</v>
      </c>
      <c r="AA292" s="81"/>
      <c r="AB292" s="81"/>
      <c r="AC292" s="87" t="s">
        <v>2909</v>
      </c>
      <c r="AD292" s="81"/>
      <c r="AE292" s="81" t="b">
        <v>0</v>
      </c>
      <c r="AF292" s="81">
        <v>0</v>
      </c>
      <c r="AG292" s="87" t="s">
        <v>3875</v>
      </c>
      <c r="AH292" s="81" t="b">
        <v>0</v>
      </c>
      <c r="AI292" s="81" t="s">
        <v>4092</v>
      </c>
      <c r="AJ292" s="81"/>
      <c r="AK292" s="87" t="s">
        <v>3875</v>
      </c>
      <c r="AL292" s="81" t="b">
        <v>0</v>
      </c>
      <c r="AM292" s="81">
        <v>321</v>
      </c>
      <c r="AN292" s="87" t="s">
        <v>3520</v>
      </c>
      <c r="AO292" s="87" t="s">
        <v>4111</v>
      </c>
      <c r="AP292" s="81" t="b">
        <v>0</v>
      </c>
      <c r="AQ292" s="87" t="s">
        <v>3520</v>
      </c>
      <c r="AR292" s="81" t="s">
        <v>179</v>
      </c>
      <c r="AS292" s="81">
        <v>0</v>
      </c>
      <c r="AT292" s="81">
        <v>0</v>
      </c>
      <c r="AU292" s="81"/>
      <c r="AV292" s="81"/>
      <c r="AW292" s="81"/>
      <c r="AX292" s="81"/>
      <c r="AY292" s="81"/>
      <c r="AZ292" s="81"/>
      <c r="BA292" s="81"/>
      <c r="BB292" s="81"/>
    </row>
    <row r="293" spans="1:54" x14ac:dyDescent="0.35">
      <c r="A293" s="66" t="s">
        <v>397</v>
      </c>
      <c r="B293" s="66" t="s">
        <v>910</v>
      </c>
      <c r="C293" s="67"/>
      <c r="D293" s="68"/>
      <c r="E293" s="69"/>
      <c r="F293" s="70"/>
      <c r="G293" s="67"/>
      <c r="H293" s="71"/>
      <c r="I293" s="72"/>
      <c r="J293" s="72"/>
      <c r="K293" s="36"/>
      <c r="L293" s="79"/>
      <c r="M293" s="79"/>
      <c r="N293" s="74"/>
      <c r="O293" s="81" t="s">
        <v>1205</v>
      </c>
      <c r="P293" s="83">
        <v>44460.150405092594</v>
      </c>
      <c r="Q293" s="81" t="s">
        <v>1324</v>
      </c>
      <c r="R293" s="81"/>
      <c r="S293" s="81"/>
      <c r="T293" s="81"/>
      <c r="U293" s="85" t="str">
        <f>HYPERLINK("https://pbs.twimg.com/media/E_xVJy2VQAQerFe.jpg")</f>
        <v>https://pbs.twimg.com/media/E_xVJy2VQAQerFe.jpg</v>
      </c>
      <c r="V293" s="85" t="str">
        <f>HYPERLINK("https://pbs.twimg.com/media/E_xVJy2VQAQerFe.jpg")</f>
        <v>https://pbs.twimg.com/media/E_xVJy2VQAQerFe.jpg</v>
      </c>
      <c r="W293" s="83">
        <v>44460.150405092594</v>
      </c>
      <c r="X293" s="89">
        <v>44460</v>
      </c>
      <c r="Y293" s="87" t="s">
        <v>1987</v>
      </c>
      <c r="Z293" s="85" t="str">
        <f>HYPERLINK("https://twitter.com/dedimahardi/status/1440157985603407884")</f>
        <v>https://twitter.com/dedimahardi/status/1440157985603407884</v>
      </c>
      <c r="AA293" s="81"/>
      <c r="AB293" s="81"/>
      <c r="AC293" s="87" t="s">
        <v>2909</v>
      </c>
      <c r="AD293" s="81"/>
      <c r="AE293" s="81" t="b">
        <v>0</v>
      </c>
      <c r="AF293" s="81">
        <v>0</v>
      </c>
      <c r="AG293" s="87" t="s">
        <v>3875</v>
      </c>
      <c r="AH293" s="81" t="b">
        <v>0</v>
      </c>
      <c r="AI293" s="81" t="s">
        <v>4092</v>
      </c>
      <c r="AJ293" s="81"/>
      <c r="AK293" s="87" t="s">
        <v>3875</v>
      </c>
      <c r="AL293" s="81" t="b">
        <v>0</v>
      </c>
      <c r="AM293" s="81">
        <v>321</v>
      </c>
      <c r="AN293" s="87" t="s">
        <v>3520</v>
      </c>
      <c r="AO293" s="87" t="s">
        <v>4111</v>
      </c>
      <c r="AP293" s="81" t="b">
        <v>0</v>
      </c>
      <c r="AQ293" s="87" t="s">
        <v>3520</v>
      </c>
      <c r="AR293" s="81" t="s">
        <v>179</v>
      </c>
      <c r="AS293" s="81">
        <v>0</v>
      </c>
      <c r="AT293" s="81">
        <v>0</v>
      </c>
      <c r="AU293" s="81"/>
      <c r="AV293" s="81"/>
      <c r="AW293" s="81"/>
      <c r="AX293" s="81"/>
      <c r="AY293" s="81"/>
      <c r="AZ293" s="81"/>
      <c r="BA293" s="81"/>
      <c r="BB293" s="81"/>
    </row>
    <row r="294" spans="1:54" x14ac:dyDescent="0.35">
      <c r="A294" s="66" t="s">
        <v>398</v>
      </c>
      <c r="B294" s="66" t="s">
        <v>1055</v>
      </c>
      <c r="C294" s="67"/>
      <c r="D294" s="68"/>
      <c r="E294" s="69"/>
      <c r="F294" s="70"/>
      <c r="G294" s="67"/>
      <c r="H294" s="71"/>
      <c r="I294" s="72"/>
      <c r="J294" s="72"/>
      <c r="K294" s="36"/>
      <c r="L294" s="79"/>
      <c r="M294" s="79"/>
      <c r="N294" s="74"/>
      <c r="O294" s="81" t="s">
        <v>1207</v>
      </c>
      <c r="P294" s="83">
        <v>44460.152291666665</v>
      </c>
      <c r="Q294" s="81" t="s">
        <v>1324</v>
      </c>
      <c r="R294" s="81"/>
      <c r="S294" s="81"/>
      <c r="T294" s="81"/>
      <c r="U294" s="85" t="str">
        <f>HYPERLINK("https://pbs.twimg.com/media/E_xVJy2VQAQerFe.jpg")</f>
        <v>https://pbs.twimg.com/media/E_xVJy2VQAQerFe.jpg</v>
      </c>
      <c r="V294" s="85" t="str">
        <f>HYPERLINK("https://pbs.twimg.com/media/E_xVJy2VQAQerFe.jpg")</f>
        <v>https://pbs.twimg.com/media/E_xVJy2VQAQerFe.jpg</v>
      </c>
      <c r="W294" s="83">
        <v>44460.152291666665</v>
      </c>
      <c r="X294" s="89">
        <v>44460</v>
      </c>
      <c r="Y294" s="87" t="s">
        <v>1988</v>
      </c>
      <c r="Z294" s="85" t="str">
        <f>HYPERLINK("https://twitter.com/ipram2010/status/1440158670608748548")</f>
        <v>https://twitter.com/ipram2010/status/1440158670608748548</v>
      </c>
      <c r="AA294" s="81"/>
      <c r="AB294" s="81"/>
      <c r="AC294" s="87" t="s">
        <v>2910</v>
      </c>
      <c r="AD294" s="81"/>
      <c r="AE294" s="81" t="b">
        <v>0</v>
      </c>
      <c r="AF294" s="81">
        <v>0</v>
      </c>
      <c r="AG294" s="87" t="s">
        <v>3875</v>
      </c>
      <c r="AH294" s="81" t="b">
        <v>0</v>
      </c>
      <c r="AI294" s="81" t="s">
        <v>4092</v>
      </c>
      <c r="AJ294" s="81"/>
      <c r="AK294" s="87" t="s">
        <v>3875</v>
      </c>
      <c r="AL294" s="81" t="b">
        <v>0</v>
      </c>
      <c r="AM294" s="81">
        <v>321</v>
      </c>
      <c r="AN294" s="87" t="s">
        <v>3520</v>
      </c>
      <c r="AO294" s="87" t="s">
        <v>4109</v>
      </c>
      <c r="AP294" s="81" t="b">
        <v>0</v>
      </c>
      <c r="AQ294" s="87" t="s">
        <v>3520</v>
      </c>
      <c r="AR294" s="81" t="s">
        <v>179</v>
      </c>
      <c r="AS294" s="81">
        <v>0</v>
      </c>
      <c r="AT294" s="81">
        <v>0</v>
      </c>
      <c r="AU294" s="81"/>
      <c r="AV294" s="81"/>
      <c r="AW294" s="81"/>
      <c r="AX294" s="81"/>
      <c r="AY294" s="81"/>
      <c r="AZ294" s="81"/>
      <c r="BA294" s="81"/>
      <c r="BB294" s="81"/>
    </row>
    <row r="295" spans="1:54" x14ac:dyDescent="0.35">
      <c r="A295" s="66" t="s">
        <v>398</v>
      </c>
      <c r="B295" s="66" t="s">
        <v>910</v>
      </c>
      <c r="C295" s="67"/>
      <c r="D295" s="68"/>
      <c r="E295" s="69"/>
      <c r="F295" s="70"/>
      <c r="G295" s="67"/>
      <c r="H295" s="71"/>
      <c r="I295" s="72"/>
      <c r="J295" s="72"/>
      <c r="K295" s="36"/>
      <c r="L295" s="79"/>
      <c r="M295" s="79"/>
      <c r="N295" s="74"/>
      <c r="O295" s="81" t="s">
        <v>1205</v>
      </c>
      <c r="P295" s="83">
        <v>44460.152291666665</v>
      </c>
      <c r="Q295" s="81" t="s">
        <v>1324</v>
      </c>
      <c r="R295" s="81"/>
      <c r="S295" s="81"/>
      <c r="T295" s="81"/>
      <c r="U295" s="85" t="str">
        <f>HYPERLINK("https://pbs.twimg.com/media/E_xVJy2VQAQerFe.jpg")</f>
        <v>https://pbs.twimg.com/media/E_xVJy2VQAQerFe.jpg</v>
      </c>
      <c r="V295" s="85" t="str">
        <f>HYPERLINK("https://pbs.twimg.com/media/E_xVJy2VQAQerFe.jpg")</f>
        <v>https://pbs.twimg.com/media/E_xVJy2VQAQerFe.jpg</v>
      </c>
      <c r="W295" s="83">
        <v>44460.152291666665</v>
      </c>
      <c r="X295" s="89">
        <v>44460</v>
      </c>
      <c r="Y295" s="87" t="s">
        <v>1988</v>
      </c>
      <c r="Z295" s="85" t="str">
        <f>HYPERLINK("https://twitter.com/ipram2010/status/1440158670608748548")</f>
        <v>https://twitter.com/ipram2010/status/1440158670608748548</v>
      </c>
      <c r="AA295" s="81"/>
      <c r="AB295" s="81"/>
      <c r="AC295" s="87" t="s">
        <v>2910</v>
      </c>
      <c r="AD295" s="81"/>
      <c r="AE295" s="81" t="b">
        <v>0</v>
      </c>
      <c r="AF295" s="81">
        <v>0</v>
      </c>
      <c r="AG295" s="87" t="s">
        <v>3875</v>
      </c>
      <c r="AH295" s="81" t="b">
        <v>0</v>
      </c>
      <c r="AI295" s="81" t="s">
        <v>4092</v>
      </c>
      <c r="AJ295" s="81"/>
      <c r="AK295" s="87" t="s">
        <v>3875</v>
      </c>
      <c r="AL295" s="81" t="b">
        <v>0</v>
      </c>
      <c r="AM295" s="81">
        <v>321</v>
      </c>
      <c r="AN295" s="87" t="s">
        <v>3520</v>
      </c>
      <c r="AO295" s="87" t="s">
        <v>4109</v>
      </c>
      <c r="AP295" s="81" t="b">
        <v>0</v>
      </c>
      <c r="AQ295" s="87" t="s">
        <v>3520</v>
      </c>
      <c r="AR295" s="81" t="s">
        <v>179</v>
      </c>
      <c r="AS295" s="81">
        <v>0</v>
      </c>
      <c r="AT295" s="81">
        <v>0</v>
      </c>
      <c r="AU295" s="81"/>
      <c r="AV295" s="81"/>
      <c r="AW295" s="81"/>
      <c r="AX295" s="81"/>
      <c r="AY295" s="81"/>
      <c r="AZ295" s="81"/>
      <c r="BA295" s="81"/>
      <c r="BB295" s="81"/>
    </row>
    <row r="296" spans="1:54" x14ac:dyDescent="0.35">
      <c r="A296" s="66" t="s">
        <v>399</v>
      </c>
      <c r="B296" s="66" t="s">
        <v>1055</v>
      </c>
      <c r="C296" s="67"/>
      <c r="D296" s="68"/>
      <c r="E296" s="69"/>
      <c r="F296" s="70"/>
      <c r="G296" s="67"/>
      <c r="H296" s="71"/>
      <c r="I296" s="72"/>
      <c r="J296" s="72"/>
      <c r="K296" s="36"/>
      <c r="L296" s="79"/>
      <c r="M296" s="79"/>
      <c r="N296" s="74"/>
      <c r="O296" s="81" t="s">
        <v>1207</v>
      </c>
      <c r="P296" s="83">
        <v>44460.152569444443</v>
      </c>
      <c r="Q296" s="81" t="s">
        <v>1324</v>
      </c>
      <c r="R296" s="81"/>
      <c r="S296" s="81"/>
      <c r="T296" s="81"/>
      <c r="U296" s="85" t="str">
        <f>HYPERLINK("https://pbs.twimg.com/media/E_xVJy2VQAQerFe.jpg")</f>
        <v>https://pbs.twimg.com/media/E_xVJy2VQAQerFe.jpg</v>
      </c>
      <c r="V296" s="85" t="str">
        <f>HYPERLINK("https://pbs.twimg.com/media/E_xVJy2VQAQerFe.jpg")</f>
        <v>https://pbs.twimg.com/media/E_xVJy2VQAQerFe.jpg</v>
      </c>
      <c r="W296" s="83">
        <v>44460.152569444443</v>
      </c>
      <c r="X296" s="89">
        <v>44460</v>
      </c>
      <c r="Y296" s="87" t="s">
        <v>1989</v>
      </c>
      <c r="Z296" s="85" t="str">
        <f>HYPERLINK("https://twitter.com/kangkuli171/status/1440158771485970433")</f>
        <v>https://twitter.com/kangkuli171/status/1440158771485970433</v>
      </c>
      <c r="AA296" s="81"/>
      <c r="AB296" s="81"/>
      <c r="AC296" s="87" t="s">
        <v>2911</v>
      </c>
      <c r="AD296" s="81"/>
      <c r="AE296" s="81" t="b">
        <v>0</v>
      </c>
      <c r="AF296" s="81">
        <v>0</v>
      </c>
      <c r="AG296" s="87" t="s">
        <v>3875</v>
      </c>
      <c r="AH296" s="81" t="b">
        <v>0</v>
      </c>
      <c r="AI296" s="81" t="s">
        <v>4092</v>
      </c>
      <c r="AJ296" s="81"/>
      <c r="AK296" s="87" t="s">
        <v>3875</v>
      </c>
      <c r="AL296" s="81" t="b">
        <v>0</v>
      </c>
      <c r="AM296" s="81">
        <v>321</v>
      </c>
      <c r="AN296" s="87" t="s">
        <v>3520</v>
      </c>
      <c r="AO296" s="87" t="s">
        <v>4109</v>
      </c>
      <c r="AP296" s="81" t="b">
        <v>0</v>
      </c>
      <c r="AQ296" s="87" t="s">
        <v>3520</v>
      </c>
      <c r="AR296" s="81" t="s">
        <v>179</v>
      </c>
      <c r="AS296" s="81">
        <v>0</v>
      </c>
      <c r="AT296" s="81">
        <v>0</v>
      </c>
      <c r="AU296" s="81"/>
      <c r="AV296" s="81"/>
      <c r="AW296" s="81"/>
      <c r="AX296" s="81"/>
      <c r="AY296" s="81"/>
      <c r="AZ296" s="81"/>
      <c r="BA296" s="81"/>
      <c r="BB296" s="81"/>
    </row>
    <row r="297" spans="1:54" x14ac:dyDescent="0.35">
      <c r="A297" s="66" t="s">
        <v>399</v>
      </c>
      <c r="B297" s="66" t="s">
        <v>910</v>
      </c>
      <c r="C297" s="67"/>
      <c r="D297" s="68"/>
      <c r="E297" s="69"/>
      <c r="F297" s="70"/>
      <c r="G297" s="67"/>
      <c r="H297" s="71"/>
      <c r="I297" s="72"/>
      <c r="J297" s="72"/>
      <c r="K297" s="36"/>
      <c r="L297" s="79"/>
      <c r="M297" s="79"/>
      <c r="N297" s="74"/>
      <c r="O297" s="81" t="s">
        <v>1205</v>
      </c>
      <c r="P297" s="83">
        <v>44460.152569444443</v>
      </c>
      <c r="Q297" s="81" t="s">
        <v>1324</v>
      </c>
      <c r="R297" s="81"/>
      <c r="S297" s="81"/>
      <c r="T297" s="81"/>
      <c r="U297" s="85" t="str">
        <f>HYPERLINK("https://pbs.twimg.com/media/E_xVJy2VQAQerFe.jpg")</f>
        <v>https://pbs.twimg.com/media/E_xVJy2VQAQerFe.jpg</v>
      </c>
      <c r="V297" s="85" t="str">
        <f>HYPERLINK("https://pbs.twimg.com/media/E_xVJy2VQAQerFe.jpg")</f>
        <v>https://pbs.twimg.com/media/E_xVJy2VQAQerFe.jpg</v>
      </c>
      <c r="W297" s="83">
        <v>44460.152569444443</v>
      </c>
      <c r="X297" s="89">
        <v>44460</v>
      </c>
      <c r="Y297" s="87" t="s">
        <v>1989</v>
      </c>
      <c r="Z297" s="85" t="str">
        <f>HYPERLINK("https://twitter.com/kangkuli171/status/1440158771485970433")</f>
        <v>https://twitter.com/kangkuli171/status/1440158771485970433</v>
      </c>
      <c r="AA297" s="81"/>
      <c r="AB297" s="81"/>
      <c r="AC297" s="87" t="s">
        <v>2911</v>
      </c>
      <c r="AD297" s="81"/>
      <c r="AE297" s="81" t="b">
        <v>0</v>
      </c>
      <c r="AF297" s="81">
        <v>0</v>
      </c>
      <c r="AG297" s="87" t="s">
        <v>3875</v>
      </c>
      <c r="AH297" s="81" t="b">
        <v>0</v>
      </c>
      <c r="AI297" s="81" t="s">
        <v>4092</v>
      </c>
      <c r="AJ297" s="81"/>
      <c r="AK297" s="87" t="s">
        <v>3875</v>
      </c>
      <c r="AL297" s="81" t="b">
        <v>0</v>
      </c>
      <c r="AM297" s="81">
        <v>321</v>
      </c>
      <c r="AN297" s="87" t="s">
        <v>3520</v>
      </c>
      <c r="AO297" s="87" t="s">
        <v>4109</v>
      </c>
      <c r="AP297" s="81" t="b">
        <v>0</v>
      </c>
      <c r="AQ297" s="87" t="s">
        <v>3520</v>
      </c>
      <c r="AR297" s="81" t="s">
        <v>179</v>
      </c>
      <c r="AS297" s="81">
        <v>0</v>
      </c>
      <c r="AT297" s="81">
        <v>0</v>
      </c>
      <c r="AU297" s="81"/>
      <c r="AV297" s="81"/>
      <c r="AW297" s="81"/>
      <c r="AX297" s="81"/>
      <c r="AY297" s="81"/>
      <c r="AZ297" s="81"/>
      <c r="BA297" s="81"/>
      <c r="BB297" s="81"/>
    </row>
    <row r="298" spans="1:54" x14ac:dyDescent="0.35">
      <c r="A298" s="66" t="s">
        <v>400</v>
      </c>
      <c r="B298" s="66" t="s">
        <v>1055</v>
      </c>
      <c r="C298" s="67"/>
      <c r="D298" s="68"/>
      <c r="E298" s="69"/>
      <c r="F298" s="70"/>
      <c r="G298" s="67"/>
      <c r="H298" s="71"/>
      <c r="I298" s="72"/>
      <c r="J298" s="72"/>
      <c r="K298" s="36"/>
      <c r="L298" s="79"/>
      <c r="M298" s="79"/>
      <c r="N298" s="74"/>
      <c r="O298" s="81" t="s">
        <v>1207</v>
      </c>
      <c r="P298" s="83">
        <v>44460.152777777781</v>
      </c>
      <c r="Q298" s="81" t="s">
        <v>1324</v>
      </c>
      <c r="R298" s="81"/>
      <c r="S298" s="81"/>
      <c r="T298" s="81"/>
      <c r="U298" s="85" t="str">
        <f>HYPERLINK("https://pbs.twimg.com/media/E_xVJy2VQAQerFe.jpg")</f>
        <v>https://pbs.twimg.com/media/E_xVJy2VQAQerFe.jpg</v>
      </c>
      <c r="V298" s="85" t="str">
        <f>HYPERLINK("https://pbs.twimg.com/media/E_xVJy2VQAQerFe.jpg")</f>
        <v>https://pbs.twimg.com/media/E_xVJy2VQAQerFe.jpg</v>
      </c>
      <c r="W298" s="83">
        <v>44460.152777777781</v>
      </c>
      <c r="X298" s="89">
        <v>44460</v>
      </c>
      <c r="Y298" s="87" t="s">
        <v>1990</v>
      </c>
      <c r="Z298" s="85" t="str">
        <f>HYPERLINK("https://twitter.com/danimas19/status/1440158848224935943")</f>
        <v>https://twitter.com/danimas19/status/1440158848224935943</v>
      </c>
      <c r="AA298" s="81"/>
      <c r="AB298" s="81"/>
      <c r="AC298" s="87" t="s">
        <v>2912</v>
      </c>
      <c r="AD298" s="81"/>
      <c r="AE298" s="81" t="b">
        <v>0</v>
      </c>
      <c r="AF298" s="81">
        <v>0</v>
      </c>
      <c r="AG298" s="87" t="s">
        <v>3875</v>
      </c>
      <c r="AH298" s="81" t="b">
        <v>0</v>
      </c>
      <c r="AI298" s="81" t="s">
        <v>4092</v>
      </c>
      <c r="AJ298" s="81"/>
      <c r="AK298" s="87" t="s">
        <v>3875</v>
      </c>
      <c r="AL298" s="81" t="b">
        <v>0</v>
      </c>
      <c r="AM298" s="81">
        <v>321</v>
      </c>
      <c r="AN298" s="87" t="s">
        <v>3520</v>
      </c>
      <c r="AO298" s="87" t="s">
        <v>4109</v>
      </c>
      <c r="AP298" s="81" t="b">
        <v>0</v>
      </c>
      <c r="AQ298" s="87" t="s">
        <v>3520</v>
      </c>
      <c r="AR298" s="81" t="s">
        <v>179</v>
      </c>
      <c r="AS298" s="81">
        <v>0</v>
      </c>
      <c r="AT298" s="81">
        <v>0</v>
      </c>
      <c r="AU298" s="81"/>
      <c r="AV298" s="81"/>
      <c r="AW298" s="81"/>
      <c r="AX298" s="81"/>
      <c r="AY298" s="81"/>
      <c r="AZ298" s="81"/>
      <c r="BA298" s="81"/>
      <c r="BB298" s="81"/>
    </row>
    <row r="299" spans="1:54" x14ac:dyDescent="0.35">
      <c r="A299" s="66" t="s">
        <v>400</v>
      </c>
      <c r="B299" s="66" t="s">
        <v>910</v>
      </c>
      <c r="C299" s="67"/>
      <c r="D299" s="68"/>
      <c r="E299" s="69"/>
      <c r="F299" s="70"/>
      <c r="G299" s="67"/>
      <c r="H299" s="71"/>
      <c r="I299" s="72"/>
      <c r="J299" s="72"/>
      <c r="K299" s="36"/>
      <c r="L299" s="79"/>
      <c r="M299" s="79"/>
      <c r="N299" s="74"/>
      <c r="O299" s="81" t="s">
        <v>1205</v>
      </c>
      <c r="P299" s="83">
        <v>44460.152777777781</v>
      </c>
      <c r="Q299" s="81" t="s">
        <v>1324</v>
      </c>
      <c r="R299" s="81"/>
      <c r="S299" s="81"/>
      <c r="T299" s="81"/>
      <c r="U299" s="85" t="str">
        <f>HYPERLINK("https://pbs.twimg.com/media/E_xVJy2VQAQerFe.jpg")</f>
        <v>https://pbs.twimg.com/media/E_xVJy2VQAQerFe.jpg</v>
      </c>
      <c r="V299" s="85" t="str">
        <f>HYPERLINK("https://pbs.twimg.com/media/E_xVJy2VQAQerFe.jpg")</f>
        <v>https://pbs.twimg.com/media/E_xVJy2VQAQerFe.jpg</v>
      </c>
      <c r="W299" s="83">
        <v>44460.152777777781</v>
      </c>
      <c r="X299" s="89">
        <v>44460</v>
      </c>
      <c r="Y299" s="87" t="s">
        <v>1990</v>
      </c>
      <c r="Z299" s="85" t="str">
        <f>HYPERLINK("https://twitter.com/danimas19/status/1440158848224935943")</f>
        <v>https://twitter.com/danimas19/status/1440158848224935943</v>
      </c>
      <c r="AA299" s="81"/>
      <c r="AB299" s="81"/>
      <c r="AC299" s="87" t="s">
        <v>2912</v>
      </c>
      <c r="AD299" s="81"/>
      <c r="AE299" s="81" t="b">
        <v>0</v>
      </c>
      <c r="AF299" s="81">
        <v>0</v>
      </c>
      <c r="AG299" s="87" t="s">
        <v>3875</v>
      </c>
      <c r="AH299" s="81" t="b">
        <v>0</v>
      </c>
      <c r="AI299" s="81" t="s">
        <v>4092</v>
      </c>
      <c r="AJ299" s="81"/>
      <c r="AK299" s="87" t="s">
        <v>3875</v>
      </c>
      <c r="AL299" s="81" t="b">
        <v>0</v>
      </c>
      <c r="AM299" s="81">
        <v>321</v>
      </c>
      <c r="AN299" s="87" t="s">
        <v>3520</v>
      </c>
      <c r="AO299" s="87" t="s">
        <v>4109</v>
      </c>
      <c r="AP299" s="81" t="b">
        <v>0</v>
      </c>
      <c r="AQ299" s="87" t="s">
        <v>3520</v>
      </c>
      <c r="AR299" s="81" t="s">
        <v>179</v>
      </c>
      <c r="AS299" s="81">
        <v>0</v>
      </c>
      <c r="AT299" s="81">
        <v>0</v>
      </c>
      <c r="AU299" s="81"/>
      <c r="AV299" s="81"/>
      <c r="AW299" s="81"/>
      <c r="AX299" s="81"/>
      <c r="AY299" s="81"/>
      <c r="AZ299" s="81"/>
      <c r="BA299" s="81"/>
      <c r="BB299" s="81"/>
    </row>
    <row r="300" spans="1:54" x14ac:dyDescent="0.35">
      <c r="A300" s="66" t="s">
        <v>401</v>
      </c>
      <c r="B300" s="66" t="s">
        <v>1055</v>
      </c>
      <c r="C300" s="67"/>
      <c r="D300" s="68"/>
      <c r="E300" s="69"/>
      <c r="F300" s="70"/>
      <c r="G300" s="67"/>
      <c r="H300" s="71"/>
      <c r="I300" s="72"/>
      <c r="J300" s="72"/>
      <c r="K300" s="36"/>
      <c r="L300" s="79"/>
      <c r="M300" s="79"/>
      <c r="N300" s="74"/>
      <c r="O300" s="81" t="s">
        <v>1207</v>
      </c>
      <c r="P300" s="83">
        <v>44460.153680555559</v>
      </c>
      <c r="Q300" s="81" t="s">
        <v>1324</v>
      </c>
      <c r="R300" s="81"/>
      <c r="S300" s="81"/>
      <c r="T300" s="81"/>
      <c r="U300" s="85" t="str">
        <f>HYPERLINK("https://pbs.twimg.com/media/E_xVJy2VQAQerFe.jpg")</f>
        <v>https://pbs.twimg.com/media/E_xVJy2VQAQerFe.jpg</v>
      </c>
      <c r="V300" s="85" t="str">
        <f>HYPERLINK("https://pbs.twimg.com/media/E_xVJy2VQAQerFe.jpg")</f>
        <v>https://pbs.twimg.com/media/E_xVJy2VQAQerFe.jpg</v>
      </c>
      <c r="W300" s="83">
        <v>44460.153680555559</v>
      </c>
      <c r="X300" s="89">
        <v>44460</v>
      </c>
      <c r="Y300" s="87" t="s">
        <v>1991</v>
      </c>
      <c r="Z300" s="85" t="str">
        <f>HYPERLINK("https://twitter.com/ernizanw/status/1440159173568647170")</f>
        <v>https://twitter.com/ernizanw/status/1440159173568647170</v>
      </c>
      <c r="AA300" s="81"/>
      <c r="AB300" s="81"/>
      <c r="AC300" s="87" t="s">
        <v>2913</v>
      </c>
      <c r="AD300" s="81"/>
      <c r="AE300" s="81" t="b">
        <v>0</v>
      </c>
      <c r="AF300" s="81">
        <v>0</v>
      </c>
      <c r="AG300" s="87" t="s">
        <v>3875</v>
      </c>
      <c r="AH300" s="81" t="b">
        <v>0</v>
      </c>
      <c r="AI300" s="81" t="s">
        <v>4092</v>
      </c>
      <c r="AJ300" s="81"/>
      <c r="AK300" s="87" t="s">
        <v>3875</v>
      </c>
      <c r="AL300" s="81" t="b">
        <v>0</v>
      </c>
      <c r="AM300" s="81">
        <v>321</v>
      </c>
      <c r="AN300" s="87" t="s">
        <v>3520</v>
      </c>
      <c r="AO300" s="87" t="s">
        <v>4110</v>
      </c>
      <c r="AP300" s="81" t="b">
        <v>0</v>
      </c>
      <c r="AQ300" s="87" t="s">
        <v>3520</v>
      </c>
      <c r="AR300" s="81" t="s">
        <v>179</v>
      </c>
      <c r="AS300" s="81">
        <v>0</v>
      </c>
      <c r="AT300" s="81">
        <v>0</v>
      </c>
      <c r="AU300" s="81"/>
      <c r="AV300" s="81"/>
      <c r="AW300" s="81"/>
      <c r="AX300" s="81"/>
      <c r="AY300" s="81"/>
      <c r="AZ300" s="81"/>
      <c r="BA300" s="81"/>
      <c r="BB300" s="81"/>
    </row>
    <row r="301" spans="1:54" x14ac:dyDescent="0.35">
      <c r="A301" s="66" t="s">
        <v>401</v>
      </c>
      <c r="B301" s="66" t="s">
        <v>910</v>
      </c>
      <c r="C301" s="67"/>
      <c r="D301" s="68"/>
      <c r="E301" s="69"/>
      <c r="F301" s="70"/>
      <c r="G301" s="67"/>
      <c r="H301" s="71"/>
      <c r="I301" s="72"/>
      <c r="J301" s="72"/>
      <c r="K301" s="36"/>
      <c r="L301" s="79"/>
      <c r="M301" s="79"/>
      <c r="N301" s="74"/>
      <c r="O301" s="81" t="s">
        <v>1205</v>
      </c>
      <c r="P301" s="83">
        <v>44460.153680555559</v>
      </c>
      <c r="Q301" s="81" t="s">
        <v>1324</v>
      </c>
      <c r="R301" s="81"/>
      <c r="S301" s="81"/>
      <c r="T301" s="81"/>
      <c r="U301" s="85" t="str">
        <f>HYPERLINK("https://pbs.twimg.com/media/E_xVJy2VQAQerFe.jpg")</f>
        <v>https://pbs.twimg.com/media/E_xVJy2VQAQerFe.jpg</v>
      </c>
      <c r="V301" s="85" t="str">
        <f>HYPERLINK("https://pbs.twimg.com/media/E_xVJy2VQAQerFe.jpg")</f>
        <v>https://pbs.twimg.com/media/E_xVJy2VQAQerFe.jpg</v>
      </c>
      <c r="W301" s="83">
        <v>44460.153680555559</v>
      </c>
      <c r="X301" s="89">
        <v>44460</v>
      </c>
      <c r="Y301" s="87" t="s">
        <v>1991</v>
      </c>
      <c r="Z301" s="85" t="str">
        <f>HYPERLINK("https://twitter.com/ernizanw/status/1440159173568647170")</f>
        <v>https://twitter.com/ernizanw/status/1440159173568647170</v>
      </c>
      <c r="AA301" s="81"/>
      <c r="AB301" s="81"/>
      <c r="AC301" s="87" t="s">
        <v>2913</v>
      </c>
      <c r="AD301" s="81"/>
      <c r="AE301" s="81" t="b">
        <v>0</v>
      </c>
      <c r="AF301" s="81">
        <v>0</v>
      </c>
      <c r="AG301" s="87" t="s">
        <v>3875</v>
      </c>
      <c r="AH301" s="81" t="b">
        <v>0</v>
      </c>
      <c r="AI301" s="81" t="s">
        <v>4092</v>
      </c>
      <c r="AJ301" s="81"/>
      <c r="AK301" s="87" t="s">
        <v>3875</v>
      </c>
      <c r="AL301" s="81" t="b">
        <v>0</v>
      </c>
      <c r="AM301" s="81">
        <v>321</v>
      </c>
      <c r="AN301" s="87" t="s">
        <v>3520</v>
      </c>
      <c r="AO301" s="87" t="s">
        <v>4110</v>
      </c>
      <c r="AP301" s="81" t="b">
        <v>0</v>
      </c>
      <c r="AQ301" s="87" t="s">
        <v>3520</v>
      </c>
      <c r="AR301" s="81" t="s">
        <v>179</v>
      </c>
      <c r="AS301" s="81">
        <v>0</v>
      </c>
      <c r="AT301" s="81">
        <v>0</v>
      </c>
      <c r="AU301" s="81"/>
      <c r="AV301" s="81"/>
      <c r="AW301" s="81"/>
      <c r="AX301" s="81"/>
      <c r="AY301" s="81"/>
      <c r="AZ301" s="81"/>
      <c r="BA301" s="81"/>
      <c r="BB301" s="81"/>
    </row>
    <row r="302" spans="1:54" x14ac:dyDescent="0.35">
      <c r="A302" s="66" t="s">
        <v>402</v>
      </c>
      <c r="B302" s="66" t="s">
        <v>1055</v>
      </c>
      <c r="C302" s="67"/>
      <c r="D302" s="68"/>
      <c r="E302" s="69"/>
      <c r="F302" s="70"/>
      <c r="G302" s="67"/>
      <c r="H302" s="71"/>
      <c r="I302" s="72"/>
      <c r="J302" s="72"/>
      <c r="K302" s="36"/>
      <c r="L302" s="79"/>
      <c r="M302" s="79"/>
      <c r="N302" s="74"/>
      <c r="O302" s="81" t="s">
        <v>1207</v>
      </c>
      <c r="P302" s="83">
        <v>44460.156782407408</v>
      </c>
      <c r="Q302" s="81" t="s">
        <v>1324</v>
      </c>
      <c r="R302" s="81"/>
      <c r="S302" s="81"/>
      <c r="T302" s="81"/>
      <c r="U302" s="85" t="str">
        <f>HYPERLINK("https://pbs.twimg.com/media/E_xVJy2VQAQerFe.jpg")</f>
        <v>https://pbs.twimg.com/media/E_xVJy2VQAQerFe.jpg</v>
      </c>
      <c r="V302" s="85" t="str">
        <f>HYPERLINK("https://pbs.twimg.com/media/E_xVJy2VQAQerFe.jpg")</f>
        <v>https://pbs.twimg.com/media/E_xVJy2VQAQerFe.jpg</v>
      </c>
      <c r="W302" s="83">
        <v>44460.156782407408</v>
      </c>
      <c r="X302" s="89">
        <v>44460</v>
      </c>
      <c r="Y302" s="87" t="s">
        <v>1992</v>
      </c>
      <c r="Z302" s="85" t="str">
        <f>HYPERLINK("https://twitter.com/suyitno6872/status/1440160295712800772")</f>
        <v>https://twitter.com/suyitno6872/status/1440160295712800772</v>
      </c>
      <c r="AA302" s="81"/>
      <c r="AB302" s="81"/>
      <c r="AC302" s="87" t="s">
        <v>2914</v>
      </c>
      <c r="AD302" s="81"/>
      <c r="AE302" s="81" t="b">
        <v>0</v>
      </c>
      <c r="AF302" s="81">
        <v>0</v>
      </c>
      <c r="AG302" s="87" t="s">
        <v>3875</v>
      </c>
      <c r="AH302" s="81" t="b">
        <v>0</v>
      </c>
      <c r="AI302" s="81" t="s">
        <v>4092</v>
      </c>
      <c r="AJ302" s="81"/>
      <c r="AK302" s="87" t="s">
        <v>3875</v>
      </c>
      <c r="AL302" s="81" t="b">
        <v>0</v>
      </c>
      <c r="AM302" s="81">
        <v>321</v>
      </c>
      <c r="AN302" s="87" t="s">
        <v>3520</v>
      </c>
      <c r="AO302" s="87" t="s">
        <v>4111</v>
      </c>
      <c r="AP302" s="81" t="b">
        <v>0</v>
      </c>
      <c r="AQ302" s="87" t="s">
        <v>3520</v>
      </c>
      <c r="AR302" s="81" t="s">
        <v>179</v>
      </c>
      <c r="AS302" s="81">
        <v>0</v>
      </c>
      <c r="AT302" s="81">
        <v>0</v>
      </c>
      <c r="AU302" s="81"/>
      <c r="AV302" s="81"/>
      <c r="AW302" s="81"/>
      <c r="AX302" s="81"/>
      <c r="AY302" s="81"/>
      <c r="AZ302" s="81"/>
      <c r="BA302" s="81"/>
      <c r="BB302" s="81"/>
    </row>
    <row r="303" spans="1:54" x14ac:dyDescent="0.35">
      <c r="A303" s="66" t="s">
        <v>402</v>
      </c>
      <c r="B303" s="66" t="s">
        <v>910</v>
      </c>
      <c r="C303" s="67"/>
      <c r="D303" s="68"/>
      <c r="E303" s="69"/>
      <c r="F303" s="70"/>
      <c r="G303" s="67"/>
      <c r="H303" s="71"/>
      <c r="I303" s="72"/>
      <c r="J303" s="72"/>
      <c r="K303" s="36"/>
      <c r="L303" s="79"/>
      <c r="M303" s="79"/>
      <c r="N303" s="74"/>
      <c r="O303" s="81" t="s">
        <v>1205</v>
      </c>
      <c r="P303" s="83">
        <v>44460.156782407408</v>
      </c>
      <c r="Q303" s="81" t="s">
        <v>1324</v>
      </c>
      <c r="R303" s="81"/>
      <c r="S303" s="81"/>
      <c r="T303" s="81"/>
      <c r="U303" s="85" t="str">
        <f>HYPERLINK("https://pbs.twimg.com/media/E_xVJy2VQAQerFe.jpg")</f>
        <v>https://pbs.twimg.com/media/E_xVJy2VQAQerFe.jpg</v>
      </c>
      <c r="V303" s="85" t="str">
        <f>HYPERLINK("https://pbs.twimg.com/media/E_xVJy2VQAQerFe.jpg")</f>
        <v>https://pbs.twimg.com/media/E_xVJy2VQAQerFe.jpg</v>
      </c>
      <c r="W303" s="83">
        <v>44460.156782407408</v>
      </c>
      <c r="X303" s="89">
        <v>44460</v>
      </c>
      <c r="Y303" s="87" t="s">
        <v>1992</v>
      </c>
      <c r="Z303" s="85" t="str">
        <f>HYPERLINK("https://twitter.com/suyitno6872/status/1440160295712800772")</f>
        <v>https://twitter.com/suyitno6872/status/1440160295712800772</v>
      </c>
      <c r="AA303" s="81"/>
      <c r="AB303" s="81"/>
      <c r="AC303" s="87" t="s">
        <v>2914</v>
      </c>
      <c r="AD303" s="81"/>
      <c r="AE303" s="81" t="b">
        <v>0</v>
      </c>
      <c r="AF303" s="81">
        <v>0</v>
      </c>
      <c r="AG303" s="87" t="s">
        <v>3875</v>
      </c>
      <c r="AH303" s="81" t="b">
        <v>0</v>
      </c>
      <c r="AI303" s="81" t="s">
        <v>4092</v>
      </c>
      <c r="AJ303" s="81"/>
      <c r="AK303" s="87" t="s">
        <v>3875</v>
      </c>
      <c r="AL303" s="81" t="b">
        <v>0</v>
      </c>
      <c r="AM303" s="81">
        <v>321</v>
      </c>
      <c r="AN303" s="87" t="s">
        <v>3520</v>
      </c>
      <c r="AO303" s="87" t="s">
        <v>4111</v>
      </c>
      <c r="AP303" s="81" t="b">
        <v>0</v>
      </c>
      <c r="AQ303" s="87" t="s">
        <v>3520</v>
      </c>
      <c r="AR303" s="81" t="s">
        <v>179</v>
      </c>
      <c r="AS303" s="81">
        <v>0</v>
      </c>
      <c r="AT303" s="81">
        <v>0</v>
      </c>
      <c r="AU303" s="81"/>
      <c r="AV303" s="81"/>
      <c r="AW303" s="81"/>
      <c r="AX303" s="81"/>
      <c r="AY303" s="81"/>
      <c r="AZ303" s="81"/>
      <c r="BA303" s="81"/>
      <c r="BB303" s="81"/>
    </row>
    <row r="304" spans="1:54" x14ac:dyDescent="0.35">
      <c r="A304" s="66" t="s">
        <v>403</v>
      </c>
      <c r="B304" s="66" t="s">
        <v>1055</v>
      </c>
      <c r="C304" s="67"/>
      <c r="D304" s="68"/>
      <c r="E304" s="69"/>
      <c r="F304" s="70"/>
      <c r="G304" s="67"/>
      <c r="H304" s="71"/>
      <c r="I304" s="72"/>
      <c r="J304" s="72"/>
      <c r="K304" s="36"/>
      <c r="L304" s="79"/>
      <c r="M304" s="79"/>
      <c r="N304" s="74"/>
      <c r="O304" s="81" t="s">
        <v>1207</v>
      </c>
      <c r="P304" s="83">
        <v>44460.157060185185</v>
      </c>
      <c r="Q304" s="81" t="s">
        <v>1324</v>
      </c>
      <c r="R304" s="81"/>
      <c r="S304" s="81"/>
      <c r="T304" s="81"/>
      <c r="U304" s="85" t="str">
        <f>HYPERLINK("https://pbs.twimg.com/media/E_xVJy2VQAQerFe.jpg")</f>
        <v>https://pbs.twimg.com/media/E_xVJy2VQAQerFe.jpg</v>
      </c>
      <c r="V304" s="85" t="str">
        <f>HYPERLINK("https://pbs.twimg.com/media/E_xVJy2VQAQerFe.jpg")</f>
        <v>https://pbs.twimg.com/media/E_xVJy2VQAQerFe.jpg</v>
      </c>
      <c r="W304" s="83">
        <v>44460.157060185185</v>
      </c>
      <c r="X304" s="89">
        <v>44460</v>
      </c>
      <c r="Y304" s="87" t="s">
        <v>1993</v>
      </c>
      <c r="Z304" s="85" t="str">
        <f>HYPERLINK("https://twitter.com/taftxen/status/1440160396950659081")</f>
        <v>https://twitter.com/taftxen/status/1440160396950659081</v>
      </c>
      <c r="AA304" s="81"/>
      <c r="AB304" s="81"/>
      <c r="AC304" s="87" t="s">
        <v>2915</v>
      </c>
      <c r="AD304" s="81"/>
      <c r="AE304" s="81" t="b">
        <v>0</v>
      </c>
      <c r="AF304" s="81">
        <v>0</v>
      </c>
      <c r="AG304" s="87" t="s">
        <v>3875</v>
      </c>
      <c r="AH304" s="81" t="b">
        <v>0</v>
      </c>
      <c r="AI304" s="81" t="s">
        <v>4092</v>
      </c>
      <c r="AJ304" s="81"/>
      <c r="AK304" s="87" t="s">
        <v>3875</v>
      </c>
      <c r="AL304" s="81" t="b">
        <v>0</v>
      </c>
      <c r="AM304" s="81">
        <v>321</v>
      </c>
      <c r="AN304" s="87" t="s">
        <v>3520</v>
      </c>
      <c r="AO304" s="87" t="s">
        <v>4109</v>
      </c>
      <c r="AP304" s="81" t="b">
        <v>0</v>
      </c>
      <c r="AQ304" s="87" t="s">
        <v>3520</v>
      </c>
      <c r="AR304" s="81" t="s">
        <v>179</v>
      </c>
      <c r="AS304" s="81">
        <v>0</v>
      </c>
      <c r="AT304" s="81">
        <v>0</v>
      </c>
      <c r="AU304" s="81"/>
      <c r="AV304" s="81"/>
      <c r="AW304" s="81"/>
      <c r="AX304" s="81"/>
      <c r="AY304" s="81"/>
      <c r="AZ304" s="81"/>
      <c r="BA304" s="81"/>
      <c r="BB304" s="81"/>
    </row>
    <row r="305" spans="1:54" x14ac:dyDescent="0.35">
      <c r="A305" s="66" t="s">
        <v>403</v>
      </c>
      <c r="B305" s="66" t="s">
        <v>910</v>
      </c>
      <c r="C305" s="67"/>
      <c r="D305" s="68"/>
      <c r="E305" s="69"/>
      <c r="F305" s="70"/>
      <c r="G305" s="67"/>
      <c r="H305" s="71"/>
      <c r="I305" s="72"/>
      <c r="J305" s="72"/>
      <c r="K305" s="36"/>
      <c r="L305" s="79"/>
      <c r="M305" s="79"/>
      <c r="N305" s="74"/>
      <c r="O305" s="81" t="s">
        <v>1205</v>
      </c>
      <c r="P305" s="83">
        <v>44460.157060185185</v>
      </c>
      <c r="Q305" s="81" t="s">
        <v>1324</v>
      </c>
      <c r="R305" s="81"/>
      <c r="S305" s="81"/>
      <c r="T305" s="81"/>
      <c r="U305" s="85" t="str">
        <f>HYPERLINK("https://pbs.twimg.com/media/E_xVJy2VQAQerFe.jpg")</f>
        <v>https://pbs.twimg.com/media/E_xVJy2VQAQerFe.jpg</v>
      </c>
      <c r="V305" s="85" t="str">
        <f>HYPERLINK("https://pbs.twimg.com/media/E_xVJy2VQAQerFe.jpg")</f>
        <v>https://pbs.twimg.com/media/E_xVJy2VQAQerFe.jpg</v>
      </c>
      <c r="W305" s="83">
        <v>44460.157060185185</v>
      </c>
      <c r="X305" s="89">
        <v>44460</v>
      </c>
      <c r="Y305" s="87" t="s">
        <v>1993</v>
      </c>
      <c r="Z305" s="85" t="str">
        <f>HYPERLINK("https://twitter.com/taftxen/status/1440160396950659081")</f>
        <v>https://twitter.com/taftxen/status/1440160396950659081</v>
      </c>
      <c r="AA305" s="81"/>
      <c r="AB305" s="81"/>
      <c r="AC305" s="87" t="s">
        <v>2915</v>
      </c>
      <c r="AD305" s="81"/>
      <c r="AE305" s="81" t="b">
        <v>0</v>
      </c>
      <c r="AF305" s="81">
        <v>0</v>
      </c>
      <c r="AG305" s="87" t="s">
        <v>3875</v>
      </c>
      <c r="AH305" s="81" t="b">
        <v>0</v>
      </c>
      <c r="AI305" s="81" t="s">
        <v>4092</v>
      </c>
      <c r="AJ305" s="81"/>
      <c r="AK305" s="87" t="s">
        <v>3875</v>
      </c>
      <c r="AL305" s="81" t="b">
        <v>0</v>
      </c>
      <c r="AM305" s="81">
        <v>321</v>
      </c>
      <c r="AN305" s="87" t="s">
        <v>3520</v>
      </c>
      <c r="AO305" s="87" t="s">
        <v>4109</v>
      </c>
      <c r="AP305" s="81" t="b">
        <v>0</v>
      </c>
      <c r="AQ305" s="87" t="s">
        <v>3520</v>
      </c>
      <c r="AR305" s="81" t="s">
        <v>179</v>
      </c>
      <c r="AS305" s="81">
        <v>0</v>
      </c>
      <c r="AT305" s="81">
        <v>0</v>
      </c>
      <c r="AU305" s="81"/>
      <c r="AV305" s="81"/>
      <c r="AW305" s="81"/>
      <c r="AX305" s="81"/>
      <c r="AY305" s="81"/>
      <c r="AZ305" s="81"/>
      <c r="BA305" s="81"/>
      <c r="BB305" s="81"/>
    </row>
    <row r="306" spans="1:54" x14ac:dyDescent="0.35">
      <c r="A306" s="66" t="s">
        <v>404</v>
      </c>
      <c r="B306" s="66" t="s">
        <v>1061</v>
      </c>
      <c r="C306" s="67"/>
      <c r="D306" s="68"/>
      <c r="E306" s="69"/>
      <c r="F306" s="70"/>
      <c r="G306" s="67"/>
      <c r="H306" s="71"/>
      <c r="I306" s="72"/>
      <c r="J306" s="72"/>
      <c r="K306" s="36"/>
      <c r="L306" s="79"/>
      <c r="M306" s="79"/>
      <c r="N306" s="74"/>
      <c r="O306" s="81" t="s">
        <v>1208</v>
      </c>
      <c r="P306" s="83">
        <v>44460.157129629632</v>
      </c>
      <c r="Q306" s="81" t="s">
        <v>1329</v>
      </c>
      <c r="R306" s="81"/>
      <c r="S306" s="81"/>
      <c r="T306" s="81"/>
      <c r="U306" s="81"/>
      <c r="V306" s="85" t="str">
        <f>HYPERLINK("https://abs.twimg.com/sticky/default_profile_images/default_profile_normal.png")</f>
        <v>https://abs.twimg.com/sticky/default_profile_images/default_profile_normal.png</v>
      </c>
      <c r="W306" s="83">
        <v>44460.157129629632</v>
      </c>
      <c r="X306" s="89">
        <v>44460</v>
      </c>
      <c r="Y306" s="87" t="s">
        <v>1994</v>
      </c>
      <c r="Z306" s="85" t="str">
        <f>HYPERLINK("https://twitter.com/a88ytjhan88/status/1440160422049431552")</f>
        <v>https://twitter.com/a88ytjhan88/status/1440160422049431552</v>
      </c>
      <c r="AA306" s="81"/>
      <c r="AB306" s="81"/>
      <c r="AC306" s="87" t="s">
        <v>2916</v>
      </c>
      <c r="AD306" s="81"/>
      <c r="AE306" s="81" t="b">
        <v>0</v>
      </c>
      <c r="AF306" s="81">
        <v>0</v>
      </c>
      <c r="AG306" s="87" t="s">
        <v>3935</v>
      </c>
      <c r="AH306" s="81" t="b">
        <v>0</v>
      </c>
      <c r="AI306" s="81" t="s">
        <v>4092</v>
      </c>
      <c r="AJ306" s="81"/>
      <c r="AK306" s="87" t="s">
        <v>3875</v>
      </c>
      <c r="AL306" s="81" t="b">
        <v>0</v>
      </c>
      <c r="AM306" s="81">
        <v>0</v>
      </c>
      <c r="AN306" s="87" t="s">
        <v>3875</v>
      </c>
      <c r="AO306" s="87" t="s">
        <v>4110</v>
      </c>
      <c r="AP306" s="81" t="b">
        <v>0</v>
      </c>
      <c r="AQ306" s="87" t="s">
        <v>2916</v>
      </c>
      <c r="AR306" s="81" t="s">
        <v>179</v>
      </c>
      <c r="AS306" s="81">
        <v>0</v>
      </c>
      <c r="AT306" s="81">
        <v>0</v>
      </c>
      <c r="AU306" s="81"/>
      <c r="AV306" s="81"/>
      <c r="AW306" s="81"/>
      <c r="AX306" s="81"/>
      <c r="AY306" s="81"/>
      <c r="AZ306" s="81"/>
      <c r="BA306" s="81"/>
      <c r="BB306" s="81"/>
    </row>
    <row r="307" spans="1:54" x14ac:dyDescent="0.35">
      <c r="A307" s="66" t="s">
        <v>405</v>
      </c>
      <c r="B307" s="66" t="s">
        <v>1055</v>
      </c>
      <c r="C307" s="67"/>
      <c r="D307" s="68"/>
      <c r="E307" s="69"/>
      <c r="F307" s="70"/>
      <c r="G307" s="67"/>
      <c r="H307" s="71"/>
      <c r="I307" s="72"/>
      <c r="J307" s="72"/>
      <c r="K307" s="36"/>
      <c r="L307" s="79"/>
      <c r="M307" s="79"/>
      <c r="N307" s="74"/>
      <c r="O307" s="81" t="s">
        <v>1207</v>
      </c>
      <c r="P307" s="83">
        <v>44460.158078703702</v>
      </c>
      <c r="Q307" s="81" t="s">
        <v>1324</v>
      </c>
      <c r="R307" s="81"/>
      <c r="S307" s="81"/>
      <c r="T307" s="81"/>
      <c r="U307" s="85" t="str">
        <f>HYPERLINK("https://pbs.twimg.com/media/E_xVJy2VQAQerFe.jpg")</f>
        <v>https://pbs.twimg.com/media/E_xVJy2VQAQerFe.jpg</v>
      </c>
      <c r="V307" s="85" t="str">
        <f>HYPERLINK("https://pbs.twimg.com/media/E_xVJy2VQAQerFe.jpg")</f>
        <v>https://pbs.twimg.com/media/E_xVJy2VQAQerFe.jpg</v>
      </c>
      <c r="W307" s="83">
        <v>44460.158078703702</v>
      </c>
      <c r="X307" s="89">
        <v>44460</v>
      </c>
      <c r="Y307" s="87" t="s">
        <v>1995</v>
      </c>
      <c r="Z307" s="85" t="str">
        <f>HYPERLINK("https://twitter.com/joy_rantau/status/1440160767433576450")</f>
        <v>https://twitter.com/joy_rantau/status/1440160767433576450</v>
      </c>
      <c r="AA307" s="81"/>
      <c r="AB307" s="81"/>
      <c r="AC307" s="87" t="s">
        <v>2917</v>
      </c>
      <c r="AD307" s="81"/>
      <c r="AE307" s="81" t="b">
        <v>0</v>
      </c>
      <c r="AF307" s="81">
        <v>0</v>
      </c>
      <c r="AG307" s="87" t="s">
        <v>3875</v>
      </c>
      <c r="AH307" s="81" t="b">
        <v>0</v>
      </c>
      <c r="AI307" s="81" t="s">
        <v>4092</v>
      </c>
      <c r="AJ307" s="81"/>
      <c r="AK307" s="87" t="s">
        <v>3875</v>
      </c>
      <c r="AL307" s="81" t="b">
        <v>0</v>
      </c>
      <c r="AM307" s="81">
        <v>321</v>
      </c>
      <c r="AN307" s="87" t="s">
        <v>3520</v>
      </c>
      <c r="AO307" s="87" t="s">
        <v>4109</v>
      </c>
      <c r="AP307" s="81" t="b">
        <v>0</v>
      </c>
      <c r="AQ307" s="87" t="s">
        <v>3520</v>
      </c>
      <c r="AR307" s="81" t="s">
        <v>179</v>
      </c>
      <c r="AS307" s="81">
        <v>0</v>
      </c>
      <c r="AT307" s="81">
        <v>0</v>
      </c>
      <c r="AU307" s="81"/>
      <c r="AV307" s="81"/>
      <c r="AW307" s="81"/>
      <c r="AX307" s="81"/>
      <c r="AY307" s="81"/>
      <c r="AZ307" s="81"/>
      <c r="BA307" s="81"/>
      <c r="BB307" s="81"/>
    </row>
    <row r="308" spans="1:54" x14ac:dyDescent="0.35">
      <c r="A308" s="66" t="s">
        <v>405</v>
      </c>
      <c r="B308" s="66" t="s">
        <v>910</v>
      </c>
      <c r="C308" s="67"/>
      <c r="D308" s="68"/>
      <c r="E308" s="69"/>
      <c r="F308" s="70"/>
      <c r="G308" s="67"/>
      <c r="H308" s="71"/>
      <c r="I308" s="72"/>
      <c r="J308" s="72"/>
      <c r="K308" s="36"/>
      <c r="L308" s="79"/>
      <c r="M308" s="79"/>
      <c r="N308" s="74"/>
      <c r="O308" s="81" t="s">
        <v>1205</v>
      </c>
      <c r="P308" s="83">
        <v>44460.158078703702</v>
      </c>
      <c r="Q308" s="81" t="s">
        <v>1324</v>
      </c>
      <c r="R308" s="81"/>
      <c r="S308" s="81"/>
      <c r="T308" s="81"/>
      <c r="U308" s="85" t="str">
        <f>HYPERLINK("https://pbs.twimg.com/media/E_xVJy2VQAQerFe.jpg")</f>
        <v>https://pbs.twimg.com/media/E_xVJy2VQAQerFe.jpg</v>
      </c>
      <c r="V308" s="85" t="str">
        <f>HYPERLINK("https://pbs.twimg.com/media/E_xVJy2VQAQerFe.jpg")</f>
        <v>https://pbs.twimg.com/media/E_xVJy2VQAQerFe.jpg</v>
      </c>
      <c r="W308" s="83">
        <v>44460.158078703702</v>
      </c>
      <c r="X308" s="89">
        <v>44460</v>
      </c>
      <c r="Y308" s="87" t="s">
        <v>1995</v>
      </c>
      <c r="Z308" s="85" t="str">
        <f>HYPERLINK("https://twitter.com/joy_rantau/status/1440160767433576450")</f>
        <v>https://twitter.com/joy_rantau/status/1440160767433576450</v>
      </c>
      <c r="AA308" s="81"/>
      <c r="AB308" s="81"/>
      <c r="AC308" s="87" t="s">
        <v>2917</v>
      </c>
      <c r="AD308" s="81"/>
      <c r="AE308" s="81" t="b">
        <v>0</v>
      </c>
      <c r="AF308" s="81">
        <v>0</v>
      </c>
      <c r="AG308" s="87" t="s">
        <v>3875</v>
      </c>
      <c r="AH308" s="81" t="b">
        <v>0</v>
      </c>
      <c r="AI308" s="81" t="s">
        <v>4092</v>
      </c>
      <c r="AJ308" s="81"/>
      <c r="AK308" s="87" t="s">
        <v>3875</v>
      </c>
      <c r="AL308" s="81" t="b">
        <v>0</v>
      </c>
      <c r="AM308" s="81">
        <v>321</v>
      </c>
      <c r="AN308" s="87" t="s">
        <v>3520</v>
      </c>
      <c r="AO308" s="87" t="s">
        <v>4109</v>
      </c>
      <c r="AP308" s="81" t="b">
        <v>0</v>
      </c>
      <c r="AQ308" s="87" t="s">
        <v>3520</v>
      </c>
      <c r="AR308" s="81" t="s">
        <v>179</v>
      </c>
      <c r="AS308" s="81">
        <v>0</v>
      </c>
      <c r="AT308" s="81">
        <v>0</v>
      </c>
      <c r="AU308" s="81"/>
      <c r="AV308" s="81"/>
      <c r="AW308" s="81"/>
      <c r="AX308" s="81"/>
      <c r="AY308" s="81"/>
      <c r="AZ308" s="81"/>
      <c r="BA308" s="81"/>
      <c r="BB308" s="81"/>
    </row>
    <row r="309" spans="1:54" x14ac:dyDescent="0.35">
      <c r="A309" s="66" t="s">
        <v>406</v>
      </c>
      <c r="B309" s="66" t="s">
        <v>406</v>
      </c>
      <c r="C309" s="67"/>
      <c r="D309" s="68"/>
      <c r="E309" s="69"/>
      <c r="F309" s="70"/>
      <c r="G309" s="67"/>
      <c r="H309" s="71"/>
      <c r="I309" s="72"/>
      <c r="J309" s="72"/>
      <c r="K309" s="36"/>
      <c r="L309" s="79"/>
      <c r="M309" s="79"/>
      <c r="N309" s="74"/>
      <c r="O309" s="81" t="s">
        <v>179</v>
      </c>
      <c r="P309" s="83">
        <v>44274.40824074074</v>
      </c>
      <c r="Q309" s="81" t="s">
        <v>1330</v>
      </c>
      <c r="R309" s="81"/>
      <c r="S309" s="81"/>
      <c r="T309" s="81"/>
      <c r="U309" s="85" t="str">
        <f>HYPERLINK("https://pbs.twimg.com/media/Ew1VTftVkAQeDER.jpg")</f>
        <v>https://pbs.twimg.com/media/Ew1VTftVkAQeDER.jpg</v>
      </c>
      <c r="V309" s="85" t="str">
        <f>HYPERLINK("https://pbs.twimg.com/media/Ew1VTftVkAQeDER.jpg")</f>
        <v>https://pbs.twimg.com/media/Ew1VTftVkAQeDER.jpg</v>
      </c>
      <c r="W309" s="83">
        <v>44274.40824074074</v>
      </c>
      <c r="X309" s="89">
        <v>44274</v>
      </c>
      <c r="Y309" s="87" t="s">
        <v>1996</v>
      </c>
      <c r="Z309" s="85" t="str">
        <f>HYPERLINK("https://twitter.com/karantinamrauke/status/1372847278558388225")</f>
        <v>https://twitter.com/karantinamrauke/status/1372847278558388225</v>
      </c>
      <c r="AA309" s="81"/>
      <c r="AB309" s="81"/>
      <c r="AC309" s="87" t="s">
        <v>2918</v>
      </c>
      <c r="AD309" s="81"/>
      <c r="AE309" s="81" t="b">
        <v>0</v>
      </c>
      <c r="AF309" s="81">
        <v>11</v>
      </c>
      <c r="AG309" s="87" t="s">
        <v>3875</v>
      </c>
      <c r="AH309" s="81" t="b">
        <v>0</v>
      </c>
      <c r="AI309" s="81" t="s">
        <v>4092</v>
      </c>
      <c r="AJ309" s="81"/>
      <c r="AK309" s="87" t="s">
        <v>3875</v>
      </c>
      <c r="AL309" s="81" t="b">
        <v>0</v>
      </c>
      <c r="AM309" s="81">
        <v>3</v>
      </c>
      <c r="AN309" s="87" t="s">
        <v>3875</v>
      </c>
      <c r="AO309" s="87" t="s">
        <v>4109</v>
      </c>
      <c r="AP309" s="81" t="b">
        <v>0</v>
      </c>
      <c r="AQ309" s="87" t="s">
        <v>2918</v>
      </c>
      <c r="AR309" s="81" t="s">
        <v>1205</v>
      </c>
      <c r="AS309" s="81">
        <v>0</v>
      </c>
      <c r="AT309" s="81">
        <v>0</v>
      </c>
      <c r="AU309" s="81" t="s">
        <v>4141</v>
      </c>
      <c r="AV309" s="81" t="s">
        <v>4145</v>
      </c>
      <c r="AW309" s="81" t="s">
        <v>12</v>
      </c>
      <c r="AX309" s="81" t="s">
        <v>4147</v>
      </c>
      <c r="AY309" s="81" t="s">
        <v>4152</v>
      </c>
      <c r="AZ309" s="81" t="s">
        <v>4157</v>
      </c>
      <c r="BA309" s="81" t="s">
        <v>4162</v>
      </c>
      <c r="BB309" s="85" t="str">
        <f>HYPERLINK("https://api.twitter.com/1.1/geo/id/473acb78adf57217.json")</f>
        <v>https://api.twitter.com/1.1/geo/id/473acb78adf57217.json</v>
      </c>
    </row>
    <row r="310" spans="1:54" x14ac:dyDescent="0.35">
      <c r="A310" s="66" t="s">
        <v>406</v>
      </c>
      <c r="B310" s="66" t="s">
        <v>406</v>
      </c>
      <c r="C310" s="67"/>
      <c r="D310" s="68"/>
      <c r="E310" s="69"/>
      <c r="F310" s="70"/>
      <c r="G310" s="67"/>
      <c r="H310" s="71"/>
      <c r="I310" s="72"/>
      <c r="J310" s="72"/>
      <c r="K310" s="36"/>
      <c r="L310" s="79"/>
      <c r="M310" s="79"/>
      <c r="N310" s="74"/>
      <c r="O310" s="81" t="s">
        <v>179</v>
      </c>
      <c r="P310" s="83">
        <v>44321.484942129631</v>
      </c>
      <c r="Q310" s="81" t="s">
        <v>1331</v>
      </c>
      <c r="R310" s="81"/>
      <c r="S310" s="81"/>
      <c r="T310" s="87" t="s">
        <v>1766</v>
      </c>
      <c r="U310" s="85" t="str">
        <f>HYPERLINK("https://pbs.twimg.com/media/E0nxSLRVIAM-gEJ.jpg")</f>
        <v>https://pbs.twimg.com/media/E0nxSLRVIAM-gEJ.jpg</v>
      </c>
      <c r="V310" s="85" t="str">
        <f>HYPERLINK("https://pbs.twimg.com/media/E0nxSLRVIAM-gEJ.jpg")</f>
        <v>https://pbs.twimg.com/media/E0nxSLRVIAM-gEJ.jpg</v>
      </c>
      <c r="W310" s="83">
        <v>44321.484942129631</v>
      </c>
      <c r="X310" s="89">
        <v>44321</v>
      </c>
      <c r="Y310" s="87" t="s">
        <v>1997</v>
      </c>
      <c r="Z310" s="85" t="str">
        <f>HYPERLINK("https://twitter.com/karantinamrauke/status/1389907307388051458")</f>
        <v>https://twitter.com/karantinamrauke/status/1389907307388051458</v>
      </c>
      <c r="AA310" s="81"/>
      <c r="AB310" s="81"/>
      <c r="AC310" s="87" t="s">
        <v>2919</v>
      </c>
      <c r="AD310" s="81"/>
      <c r="AE310" s="81" t="b">
        <v>0</v>
      </c>
      <c r="AF310" s="81">
        <v>6</v>
      </c>
      <c r="AG310" s="87" t="s">
        <v>3875</v>
      </c>
      <c r="AH310" s="81" t="b">
        <v>0</v>
      </c>
      <c r="AI310" s="81" t="s">
        <v>4092</v>
      </c>
      <c r="AJ310" s="81"/>
      <c r="AK310" s="87" t="s">
        <v>3875</v>
      </c>
      <c r="AL310" s="81" t="b">
        <v>0</v>
      </c>
      <c r="AM310" s="81">
        <v>2</v>
      </c>
      <c r="AN310" s="87" t="s">
        <v>3875</v>
      </c>
      <c r="AO310" s="87" t="s">
        <v>4109</v>
      </c>
      <c r="AP310" s="81" t="b">
        <v>0</v>
      </c>
      <c r="AQ310" s="87" t="s">
        <v>2919</v>
      </c>
      <c r="AR310" s="81" t="s">
        <v>1205</v>
      </c>
      <c r="AS310" s="81">
        <v>0</v>
      </c>
      <c r="AT310" s="81">
        <v>0</v>
      </c>
      <c r="AU310" s="81" t="s">
        <v>4141</v>
      </c>
      <c r="AV310" s="81" t="s">
        <v>4145</v>
      </c>
      <c r="AW310" s="81" t="s">
        <v>12</v>
      </c>
      <c r="AX310" s="81" t="s">
        <v>4147</v>
      </c>
      <c r="AY310" s="81" t="s">
        <v>4152</v>
      </c>
      <c r="AZ310" s="81" t="s">
        <v>4157</v>
      </c>
      <c r="BA310" s="81" t="s">
        <v>4162</v>
      </c>
      <c r="BB310" s="85" t="str">
        <f>HYPERLINK("https://api.twitter.com/1.1/geo/id/473acb78adf57217.json")</f>
        <v>https://api.twitter.com/1.1/geo/id/473acb78adf57217.json</v>
      </c>
    </row>
    <row r="311" spans="1:54" x14ac:dyDescent="0.35">
      <c r="A311" s="66" t="s">
        <v>406</v>
      </c>
      <c r="B311" s="66" t="s">
        <v>406</v>
      </c>
      <c r="C311" s="67"/>
      <c r="D311" s="68"/>
      <c r="E311" s="69"/>
      <c r="F311" s="70"/>
      <c r="G311" s="67"/>
      <c r="H311" s="71"/>
      <c r="I311" s="72"/>
      <c r="J311" s="72"/>
      <c r="K311" s="36"/>
      <c r="L311" s="79"/>
      <c r="M311" s="79"/>
      <c r="N311" s="74"/>
      <c r="O311" s="81" t="s">
        <v>1205</v>
      </c>
      <c r="P311" s="83">
        <v>44459.433483796296</v>
      </c>
      <c r="Q311" s="81" t="s">
        <v>1330</v>
      </c>
      <c r="R311" s="81"/>
      <c r="S311" s="81"/>
      <c r="T311" s="81"/>
      <c r="U311" s="85" t="str">
        <f>HYPERLINK("https://pbs.twimg.com/media/Ew1VTftVkAQeDER.jpg")</f>
        <v>https://pbs.twimg.com/media/Ew1VTftVkAQeDER.jpg</v>
      </c>
      <c r="V311" s="85" t="str">
        <f>HYPERLINK("https://pbs.twimg.com/media/Ew1VTftVkAQeDER.jpg")</f>
        <v>https://pbs.twimg.com/media/Ew1VTftVkAQeDER.jpg</v>
      </c>
      <c r="W311" s="83">
        <v>44459.433483796296</v>
      </c>
      <c r="X311" s="89">
        <v>44459</v>
      </c>
      <c r="Y311" s="87" t="s">
        <v>1998</v>
      </c>
      <c r="Z311" s="85" t="str">
        <f>HYPERLINK("https://twitter.com/karantinamrauke/status/1439898184923320325")</f>
        <v>https://twitter.com/karantinamrauke/status/1439898184923320325</v>
      </c>
      <c r="AA311" s="81"/>
      <c r="AB311" s="81"/>
      <c r="AC311" s="87" t="s">
        <v>2920</v>
      </c>
      <c r="AD311" s="81"/>
      <c r="AE311" s="81" t="b">
        <v>0</v>
      </c>
      <c r="AF311" s="81">
        <v>0</v>
      </c>
      <c r="AG311" s="87" t="s">
        <v>3875</v>
      </c>
      <c r="AH311" s="81" t="b">
        <v>0</v>
      </c>
      <c r="AI311" s="81" t="s">
        <v>4092</v>
      </c>
      <c r="AJ311" s="81"/>
      <c r="AK311" s="87" t="s">
        <v>3875</v>
      </c>
      <c r="AL311" s="81" t="b">
        <v>0</v>
      </c>
      <c r="AM311" s="81">
        <v>3</v>
      </c>
      <c r="AN311" s="87" t="s">
        <v>2918</v>
      </c>
      <c r="AO311" s="87" t="s">
        <v>4111</v>
      </c>
      <c r="AP311" s="81" t="b">
        <v>0</v>
      </c>
      <c r="AQ311" s="87" t="s">
        <v>2918</v>
      </c>
      <c r="AR311" s="81" t="s">
        <v>179</v>
      </c>
      <c r="AS311" s="81">
        <v>0</v>
      </c>
      <c r="AT311" s="81">
        <v>0</v>
      </c>
      <c r="AU311" s="81"/>
      <c r="AV311" s="81"/>
      <c r="AW311" s="81"/>
      <c r="AX311" s="81"/>
      <c r="AY311" s="81"/>
      <c r="AZ311" s="81"/>
      <c r="BA311" s="81"/>
      <c r="BB311" s="81"/>
    </row>
    <row r="312" spans="1:54" x14ac:dyDescent="0.35">
      <c r="A312" s="66" t="s">
        <v>406</v>
      </c>
      <c r="B312" s="66" t="s">
        <v>406</v>
      </c>
      <c r="C312" s="67"/>
      <c r="D312" s="68"/>
      <c r="E312" s="69"/>
      <c r="F312" s="70"/>
      <c r="G312" s="67"/>
      <c r="H312" s="71"/>
      <c r="I312" s="72"/>
      <c r="J312" s="72"/>
      <c r="K312" s="36"/>
      <c r="L312" s="79"/>
      <c r="M312" s="79"/>
      <c r="N312" s="74"/>
      <c r="O312" s="81" t="s">
        <v>1205</v>
      </c>
      <c r="P312" s="83">
        <v>44460.162407407406</v>
      </c>
      <c r="Q312" s="81" t="s">
        <v>1331</v>
      </c>
      <c r="R312" s="81"/>
      <c r="S312" s="81"/>
      <c r="T312" s="87" t="s">
        <v>1766</v>
      </c>
      <c r="U312" s="85" t="str">
        <f>HYPERLINK("https://pbs.twimg.com/media/E0nxSLRVIAM-gEJ.jpg")</f>
        <v>https://pbs.twimg.com/media/E0nxSLRVIAM-gEJ.jpg</v>
      </c>
      <c r="V312" s="85" t="str">
        <f>HYPERLINK("https://pbs.twimg.com/media/E0nxSLRVIAM-gEJ.jpg")</f>
        <v>https://pbs.twimg.com/media/E0nxSLRVIAM-gEJ.jpg</v>
      </c>
      <c r="W312" s="83">
        <v>44460.162407407406</v>
      </c>
      <c r="X312" s="89">
        <v>44460</v>
      </c>
      <c r="Y312" s="87" t="s">
        <v>1999</v>
      </c>
      <c r="Z312" s="85" t="str">
        <f>HYPERLINK("https://twitter.com/karantinamrauke/status/1440162336363335681")</f>
        <v>https://twitter.com/karantinamrauke/status/1440162336363335681</v>
      </c>
      <c r="AA312" s="81"/>
      <c r="AB312" s="81"/>
      <c r="AC312" s="87" t="s">
        <v>2921</v>
      </c>
      <c r="AD312" s="81"/>
      <c r="AE312" s="81" t="b">
        <v>0</v>
      </c>
      <c r="AF312" s="81">
        <v>0</v>
      </c>
      <c r="AG312" s="87" t="s">
        <v>3875</v>
      </c>
      <c r="AH312" s="81" t="b">
        <v>0</v>
      </c>
      <c r="AI312" s="81" t="s">
        <v>4092</v>
      </c>
      <c r="AJ312" s="81"/>
      <c r="AK312" s="87" t="s">
        <v>3875</v>
      </c>
      <c r="AL312" s="81" t="b">
        <v>0</v>
      </c>
      <c r="AM312" s="81">
        <v>2</v>
      </c>
      <c r="AN312" s="87" t="s">
        <v>2919</v>
      </c>
      <c r="AO312" s="87" t="s">
        <v>4109</v>
      </c>
      <c r="AP312" s="81" t="b">
        <v>0</v>
      </c>
      <c r="AQ312" s="87" t="s">
        <v>2919</v>
      </c>
      <c r="AR312" s="81" t="s">
        <v>179</v>
      </c>
      <c r="AS312" s="81">
        <v>0</v>
      </c>
      <c r="AT312" s="81">
        <v>0</v>
      </c>
      <c r="AU312" s="81"/>
      <c r="AV312" s="81"/>
      <c r="AW312" s="81"/>
      <c r="AX312" s="81"/>
      <c r="AY312" s="81"/>
      <c r="AZ312" s="81"/>
      <c r="BA312" s="81"/>
      <c r="BB312" s="81"/>
    </row>
    <row r="313" spans="1:54" x14ac:dyDescent="0.35">
      <c r="A313" s="66" t="s">
        <v>407</v>
      </c>
      <c r="B313" s="66" t="s">
        <v>1055</v>
      </c>
      <c r="C313" s="67"/>
      <c r="D313" s="68"/>
      <c r="E313" s="69"/>
      <c r="F313" s="70"/>
      <c r="G313" s="67"/>
      <c r="H313" s="71"/>
      <c r="I313" s="72"/>
      <c r="J313" s="72"/>
      <c r="K313" s="36"/>
      <c r="L313" s="79"/>
      <c r="M313" s="79"/>
      <c r="N313" s="74"/>
      <c r="O313" s="81" t="s">
        <v>1207</v>
      </c>
      <c r="P313" s="83">
        <v>44460.167951388888</v>
      </c>
      <c r="Q313" s="81" t="s">
        <v>1324</v>
      </c>
      <c r="R313" s="81"/>
      <c r="S313" s="81"/>
      <c r="T313" s="81"/>
      <c r="U313" s="85" t="str">
        <f>HYPERLINK("https://pbs.twimg.com/media/E_xVJy2VQAQerFe.jpg")</f>
        <v>https://pbs.twimg.com/media/E_xVJy2VQAQerFe.jpg</v>
      </c>
      <c r="V313" s="85" t="str">
        <f>HYPERLINK("https://pbs.twimg.com/media/E_xVJy2VQAQerFe.jpg")</f>
        <v>https://pbs.twimg.com/media/E_xVJy2VQAQerFe.jpg</v>
      </c>
      <c r="W313" s="83">
        <v>44460.167951388888</v>
      </c>
      <c r="X313" s="89">
        <v>44460</v>
      </c>
      <c r="Y313" s="87" t="s">
        <v>2000</v>
      </c>
      <c r="Z313" s="85" t="str">
        <f>HYPERLINK("https://twitter.com/sahabatsaber/status/1440164345724301313")</f>
        <v>https://twitter.com/sahabatsaber/status/1440164345724301313</v>
      </c>
      <c r="AA313" s="81"/>
      <c r="AB313" s="81"/>
      <c r="AC313" s="87" t="s">
        <v>2922</v>
      </c>
      <c r="AD313" s="81"/>
      <c r="AE313" s="81" t="b">
        <v>0</v>
      </c>
      <c r="AF313" s="81">
        <v>0</v>
      </c>
      <c r="AG313" s="87" t="s">
        <v>3875</v>
      </c>
      <c r="AH313" s="81" t="b">
        <v>0</v>
      </c>
      <c r="AI313" s="81" t="s">
        <v>4092</v>
      </c>
      <c r="AJ313" s="81"/>
      <c r="AK313" s="87" t="s">
        <v>3875</v>
      </c>
      <c r="AL313" s="81" t="b">
        <v>0</v>
      </c>
      <c r="AM313" s="81">
        <v>321</v>
      </c>
      <c r="AN313" s="87" t="s">
        <v>3520</v>
      </c>
      <c r="AO313" s="87" t="s">
        <v>4109</v>
      </c>
      <c r="AP313" s="81" t="b">
        <v>0</v>
      </c>
      <c r="AQ313" s="87" t="s">
        <v>3520</v>
      </c>
      <c r="AR313" s="81" t="s">
        <v>179</v>
      </c>
      <c r="AS313" s="81">
        <v>0</v>
      </c>
      <c r="AT313" s="81">
        <v>0</v>
      </c>
      <c r="AU313" s="81"/>
      <c r="AV313" s="81"/>
      <c r="AW313" s="81"/>
      <c r="AX313" s="81"/>
      <c r="AY313" s="81"/>
      <c r="AZ313" s="81"/>
      <c r="BA313" s="81"/>
      <c r="BB313" s="81"/>
    </row>
    <row r="314" spans="1:54" x14ac:dyDescent="0.35">
      <c r="A314" s="66" t="s">
        <v>407</v>
      </c>
      <c r="B314" s="66" t="s">
        <v>910</v>
      </c>
      <c r="C314" s="67"/>
      <c r="D314" s="68"/>
      <c r="E314" s="69"/>
      <c r="F314" s="70"/>
      <c r="G314" s="67"/>
      <c r="H314" s="71"/>
      <c r="I314" s="72"/>
      <c r="J314" s="72"/>
      <c r="K314" s="36"/>
      <c r="L314" s="79"/>
      <c r="M314" s="79"/>
      <c r="N314" s="74"/>
      <c r="O314" s="81" t="s">
        <v>1205</v>
      </c>
      <c r="P314" s="83">
        <v>44460.167951388888</v>
      </c>
      <c r="Q314" s="81" t="s">
        <v>1324</v>
      </c>
      <c r="R314" s="81"/>
      <c r="S314" s="81"/>
      <c r="T314" s="81"/>
      <c r="U314" s="85" t="str">
        <f>HYPERLINK("https://pbs.twimg.com/media/E_xVJy2VQAQerFe.jpg")</f>
        <v>https://pbs.twimg.com/media/E_xVJy2VQAQerFe.jpg</v>
      </c>
      <c r="V314" s="85" t="str">
        <f>HYPERLINK("https://pbs.twimg.com/media/E_xVJy2VQAQerFe.jpg")</f>
        <v>https://pbs.twimg.com/media/E_xVJy2VQAQerFe.jpg</v>
      </c>
      <c r="W314" s="83">
        <v>44460.167951388888</v>
      </c>
      <c r="X314" s="89">
        <v>44460</v>
      </c>
      <c r="Y314" s="87" t="s">
        <v>2000</v>
      </c>
      <c r="Z314" s="85" t="str">
        <f>HYPERLINK("https://twitter.com/sahabatsaber/status/1440164345724301313")</f>
        <v>https://twitter.com/sahabatsaber/status/1440164345724301313</v>
      </c>
      <c r="AA314" s="81"/>
      <c r="AB314" s="81"/>
      <c r="AC314" s="87" t="s">
        <v>2922</v>
      </c>
      <c r="AD314" s="81"/>
      <c r="AE314" s="81" t="b">
        <v>0</v>
      </c>
      <c r="AF314" s="81">
        <v>0</v>
      </c>
      <c r="AG314" s="87" t="s">
        <v>3875</v>
      </c>
      <c r="AH314" s="81" t="b">
        <v>0</v>
      </c>
      <c r="AI314" s="81" t="s">
        <v>4092</v>
      </c>
      <c r="AJ314" s="81"/>
      <c r="AK314" s="87" t="s">
        <v>3875</v>
      </c>
      <c r="AL314" s="81" t="b">
        <v>0</v>
      </c>
      <c r="AM314" s="81">
        <v>321</v>
      </c>
      <c r="AN314" s="87" t="s">
        <v>3520</v>
      </c>
      <c r="AO314" s="87" t="s">
        <v>4109</v>
      </c>
      <c r="AP314" s="81" t="b">
        <v>0</v>
      </c>
      <c r="AQ314" s="87" t="s">
        <v>3520</v>
      </c>
      <c r="AR314" s="81" t="s">
        <v>179</v>
      </c>
      <c r="AS314" s="81">
        <v>0</v>
      </c>
      <c r="AT314" s="81">
        <v>0</v>
      </c>
      <c r="AU314" s="81"/>
      <c r="AV314" s="81"/>
      <c r="AW314" s="81"/>
      <c r="AX314" s="81"/>
      <c r="AY314" s="81"/>
      <c r="AZ314" s="81"/>
      <c r="BA314" s="81"/>
      <c r="BB314" s="81"/>
    </row>
    <row r="315" spans="1:54" x14ac:dyDescent="0.35">
      <c r="A315" s="66" t="s">
        <v>408</v>
      </c>
      <c r="B315" s="66" t="s">
        <v>1055</v>
      </c>
      <c r="C315" s="67"/>
      <c r="D315" s="68"/>
      <c r="E315" s="69"/>
      <c r="F315" s="70"/>
      <c r="G315" s="67"/>
      <c r="H315" s="71"/>
      <c r="I315" s="72"/>
      <c r="J315" s="72"/>
      <c r="K315" s="36"/>
      <c r="L315" s="79"/>
      <c r="M315" s="79"/>
      <c r="N315" s="74"/>
      <c r="O315" s="81" t="s">
        <v>1207</v>
      </c>
      <c r="P315" s="83">
        <v>44460.170729166668</v>
      </c>
      <c r="Q315" s="81" t="s">
        <v>1324</v>
      </c>
      <c r="R315" s="81"/>
      <c r="S315" s="81"/>
      <c r="T315" s="81"/>
      <c r="U315" s="85" t="str">
        <f>HYPERLINK("https://pbs.twimg.com/media/E_xVJy2VQAQerFe.jpg")</f>
        <v>https://pbs.twimg.com/media/E_xVJy2VQAQerFe.jpg</v>
      </c>
      <c r="V315" s="85" t="str">
        <f>HYPERLINK("https://pbs.twimg.com/media/E_xVJy2VQAQerFe.jpg")</f>
        <v>https://pbs.twimg.com/media/E_xVJy2VQAQerFe.jpg</v>
      </c>
      <c r="W315" s="83">
        <v>44460.170729166668</v>
      </c>
      <c r="X315" s="89">
        <v>44460</v>
      </c>
      <c r="Y315" s="87" t="s">
        <v>2001</v>
      </c>
      <c r="Z315" s="85" t="str">
        <f>HYPERLINK("https://twitter.com/e2rdgunawan/status/1440165352789274630")</f>
        <v>https://twitter.com/e2rdgunawan/status/1440165352789274630</v>
      </c>
      <c r="AA315" s="81"/>
      <c r="AB315" s="81"/>
      <c r="AC315" s="87" t="s">
        <v>2923</v>
      </c>
      <c r="AD315" s="81"/>
      <c r="AE315" s="81" t="b">
        <v>0</v>
      </c>
      <c r="AF315" s="81">
        <v>0</v>
      </c>
      <c r="AG315" s="87" t="s">
        <v>3875</v>
      </c>
      <c r="AH315" s="81" t="b">
        <v>0</v>
      </c>
      <c r="AI315" s="81" t="s">
        <v>4092</v>
      </c>
      <c r="AJ315" s="81"/>
      <c r="AK315" s="87" t="s">
        <v>3875</v>
      </c>
      <c r="AL315" s="81" t="b">
        <v>0</v>
      </c>
      <c r="AM315" s="81">
        <v>321</v>
      </c>
      <c r="AN315" s="87" t="s">
        <v>3520</v>
      </c>
      <c r="AO315" s="87" t="s">
        <v>4109</v>
      </c>
      <c r="AP315" s="81" t="b">
        <v>0</v>
      </c>
      <c r="AQ315" s="87" t="s">
        <v>3520</v>
      </c>
      <c r="AR315" s="81" t="s">
        <v>179</v>
      </c>
      <c r="AS315" s="81">
        <v>0</v>
      </c>
      <c r="AT315" s="81">
        <v>0</v>
      </c>
      <c r="AU315" s="81"/>
      <c r="AV315" s="81"/>
      <c r="AW315" s="81"/>
      <c r="AX315" s="81"/>
      <c r="AY315" s="81"/>
      <c r="AZ315" s="81"/>
      <c r="BA315" s="81"/>
      <c r="BB315" s="81"/>
    </row>
    <row r="316" spans="1:54" x14ac:dyDescent="0.35">
      <c r="A316" s="66" t="s">
        <v>408</v>
      </c>
      <c r="B316" s="66" t="s">
        <v>910</v>
      </c>
      <c r="C316" s="67"/>
      <c r="D316" s="68"/>
      <c r="E316" s="69"/>
      <c r="F316" s="70"/>
      <c r="G316" s="67"/>
      <c r="H316" s="71"/>
      <c r="I316" s="72"/>
      <c r="J316" s="72"/>
      <c r="K316" s="36"/>
      <c r="L316" s="79"/>
      <c r="M316" s="79"/>
      <c r="N316" s="74"/>
      <c r="O316" s="81" t="s">
        <v>1205</v>
      </c>
      <c r="P316" s="83">
        <v>44460.170729166668</v>
      </c>
      <c r="Q316" s="81" t="s">
        <v>1324</v>
      </c>
      <c r="R316" s="81"/>
      <c r="S316" s="81"/>
      <c r="T316" s="81"/>
      <c r="U316" s="85" t="str">
        <f>HYPERLINK("https://pbs.twimg.com/media/E_xVJy2VQAQerFe.jpg")</f>
        <v>https://pbs.twimg.com/media/E_xVJy2VQAQerFe.jpg</v>
      </c>
      <c r="V316" s="85" t="str">
        <f>HYPERLINK("https://pbs.twimg.com/media/E_xVJy2VQAQerFe.jpg")</f>
        <v>https://pbs.twimg.com/media/E_xVJy2VQAQerFe.jpg</v>
      </c>
      <c r="W316" s="83">
        <v>44460.170729166668</v>
      </c>
      <c r="X316" s="89">
        <v>44460</v>
      </c>
      <c r="Y316" s="87" t="s">
        <v>2001</v>
      </c>
      <c r="Z316" s="85" t="str">
        <f>HYPERLINK("https://twitter.com/e2rdgunawan/status/1440165352789274630")</f>
        <v>https://twitter.com/e2rdgunawan/status/1440165352789274630</v>
      </c>
      <c r="AA316" s="81"/>
      <c r="AB316" s="81"/>
      <c r="AC316" s="87" t="s">
        <v>2923</v>
      </c>
      <c r="AD316" s="81"/>
      <c r="AE316" s="81" t="b">
        <v>0</v>
      </c>
      <c r="AF316" s="81">
        <v>0</v>
      </c>
      <c r="AG316" s="87" t="s">
        <v>3875</v>
      </c>
      <c r="AH316" s="81" t="b">
        <v>0</v>
      </c>
      <c r="AI316" s="81" t="s">
        <v>4092</v>
      </c>
      <c r="AJ316" s="81"/>
      <c r="AK316" s="87" t="s">
        <v>3875</v>
      </c>
      <c r="AL316" s="81" t="b">
        <v>0</v>
      </c>
      <c r="AM316" s="81">
        <v>321</v>
      </c>
      <c r="AN316" s="87" t="s">
        <v>3520</v>
      </c>
      <c r="AO316" s="87" t="s">
        <v>4109</v>
      </c>
      <c r="AP316" s="81" t="b">
        <v>0</v>
      </c>
      <c r="AQ316" s="87" t="s">
        <v>3520</v>
      </c>
      <c r="AR316" s="81" t="s">
        <v>179</v>
      </c>
      <c r="AS316" s="81">
        <v>0</v>
      </c>
      <c r="AT316" s="81">
        <v>0</v>
      </c>
      <c r="AU316" s="81"/>
      <c r="AV316" s="81"/>
      <c r="AW316" s="81"/>
      <c r="AX316" s="81"/>
      <c r="AY316" s="81"/>
      <c r="AZ316" s="81"/>
      <c r="BA316" s="81"/>
      <c r="BB316" s="81"/>
    </row>
    <row r="317" spans="1:54" x14ac:dyDescent="0.35">
      <c r="A317" s="66" t="s">
        <v>409</v>
      </c>
      <c r="B317" s="66" t="s">
        <v>409</v>
      </c>
      <c r="C317" s="67"/>
      <c r="D317" s="68"/>
      <c r="E317" s="69"/>
      <c r="F317" s="70"/>
      <c r="G317" s="67"/>
      <c r="H317" s="71"/>
      <c r="I317" s="72"/>
      <c r="J317" s="72"/>
      <c r="K317" s="36"/>
      <c r="L317" s="79"/>
      <c r="M317" s="79"/>
      <c r="N317" s="74"/>
      <c r="O317" s="81" t="s">
        <v>179</v>
      </c>
      <c r="P317" s="83">
        <v>44450.352951388886</v>
      </c>
      <c r="Q317" s="81" t="s">
        <v>1332</v>
      </c>
      <c r="R317" s="81"/>
      <c r="S317" s="81"/>
      <c r="T317" s="81"/>
      <c r="U317" s="85" t="str">
        <f>HYPERLINK("https://pbs.twimg.com/media/E-_a6ebUUAMzi8m.jpg")</f>
        <v>https://pbs.twimg.com/media/E-_a6ebUUAMzi8m.jpg</v>
      </c>
      <c r="V317" s="85" t="str">
        <f>HYPERLINK("https://pbs.twimg.com/media/E-_a6ebUUAMzi8m.jpg")</f>
        <v>https://pbs.twimg.com/media/E-_a6ebUUAMzi8m.jpg</v>
      </c>
      <c r="W317" s="83">
        <v>44450.352951388886</v>
      </c>
      <c r="X317" s="89">
        <v>44450</v>
      </c>
      <c r="Y317" s="87" t="s">
        <v>2002</v>
      </c>
      <c r="Z317" s="85" t="str">
        <f>HYPERLINK("https://twitter.com/addiems/status/1436607508211064833")</f>
        <v>https://twitter.com/addiems/status/1436607508211064833</v>
      </c>
      <c r="AA317" s="81"/>
      <c r="AB317" s="81"/>
      <c r="AC317" s="87" t="s">
        <v>2924</v>
      </c>
      <c r="AD317" s="81"/>
      <c r="AE317" s="81" t="b">
        <v>0</v>
      </c>
      <c r="AF317" s="81">
        <v>1778</v>
      </c>
      <c r="AG317" s="87" t="s">
        <v>3875</v>
      </c>
      <c r="AH317" s="81" t="b">
        <v>0</v>
      </c>
      <c r="AI317" s="81" t="s">
        <v>4092</v>
      </c>
      <c r="AJ317" s="81"/>
      <c r="AK317" s="87" t="s">
        <v>3875</v>
      </c>
      <c r="AL317" s="81" t="b">
        <v>0</v>
      </c>
      <c r="AM317" s="81">
        <v>137</v>
      </c>
      <c r="AN317" s="87" t="s">
        <v>3875</v>
      </c>
      <c r="AO317" s="87" t="s">
        <v>4109</v>
      </c>
      <c r="AP317" s="81" t="b">
        <v>0</v>
      </c>
      <c r="AQ317" s="87" t="s">
        <v>2924</v>
      </c>
      <c r="AR317" s="81" t="s">
        <v>1205</v>
      </c>
      <c r="AS317" s="81">
        <v>0</v>
      </c>
      <c r="AT317" s="81">
        <v>0</v>
      </c>
      <c r="AU317" s="81"/>
      <c r="AV317" s="81"/>
      <c r="AW317" s="81"/>
      <c r="AX317" s="81"/>
      <c r="AY317" s="81"/>
      <c r="AZ317" s="81"/>
      <c r="BA317" s="81"/>
      <c r="BB317" s="81"/>
    </row>
    <row r="318" spans="1:54" x14ac:dyDescent="0.35">
      <c r="A318" s="66" t="s">
        <v>410</v>
      </c>
      <c r="B318" s="66" t="s">
        <v>409</v>
      </c>
      <c r="C318" s="67"/>
      <c r="D318" s="68"/>
      <c r="E318" s="69"/>
      <c r="F318" s="70"/>
      <c r="G318" s="67"/>
      <c r="H318" s="71"/>
      <c r="I318" s="72"/>
      <c r="J318" s="72"/>
      <c r="K318" s="36"/>
      <c r="L318" s="79"/>
      <c r="M318" s="79"/>
      <c r="N318" s="74"/>
      <c r="O318" s="81" t="s">
        <v>1205</v>
      </c>
      <c r="P318" s="83">
        <v>44460.175555555557</v>
      </c>
      <c r="Q318" s="81" t="s">
        <v>1332</v>
      </c>
      <c r="R318" s="81"/>
      <c r="S318" s="81"/>
      <c r="T318" s="81"/>
      <c r="U318" s="85" t="str">
        <f>HYPERLINK("https://pbs.twimg.com/media/E-_a6ebUUAMzi8m.jpg")</f>
        <v>https://pbs.twimg.com/media/E-_a6ebUUAMzi8m.jpg</v>
      </c>
      <c r="V318" s="85" t="str">
        <f>HYPERLINK("https://pbs.twimg.com/media/E-_a6ebUUAMzi8m.jpg")</f>
        <v>https://pbs.twimg.com/media/E-_a6ebUUAMzi8m.jpg</v>
      </c>
      <c r="W318" s="83">
        <v>44460.175555555557</v>
      </c>
      <c r="X318" s="89">
        <v>44460</v>
      </c>
      <c r="Y318" s="87" t="s">
        <v>2003</v>
      </c>
      <c r="Z318" s="85" t="str">
        <f>HYPERLINK("https://twitter.com/jhilyz91/status/1440167101184942084")</f>
        <v>https://twitter.com/jhilyz91/status/1440167101184942084</v>
      </c>
      <c r="AA318" s="81"/>
      <c r="AB318" s="81"/>
      <c r="AC318" s="87" t="s">
        <v>2925</v>
      </c>
      <c r="AD318" s="81"/>
      <c r="AE318" s="81" t="b">
        <v>0</v>
      </c>
      <c r="AF318" s="81">
        <v>0</v>
      </c>
      <c r="AG318" s="87" t="s">
        <v>3875</v>
      </c>
      <c r="AH318" s="81" t="b">
        <v>0</v>
      </c>
      <c r="AI318" s="81" t="s">
        <v>4092</v>
      </c>
      <c r="AJ318" s="81"/>
      <c r="AK318" s="87" t="s">
        <v>3875</v>
      </c>
      <c r="AL318" s="81" t="b">
        <v>0</v>
      </c>
      <c r="AM318" s="81">
        <v>137</v>
      </c>
      <c r="AN318" s="87" t="s">
        <v>2924</v>
      </c>
      <c r="AO318" s="87" t="s">
        <v>4121</v>
      </c>
      <c r="AP318" s="81" t="b">
        <v>0</v>
      </c>
      <c r="AQ318" s="87" t="s">
        <v>2924</v>
      </c>
      <c r="AR318" s="81" t="s">
        <v>179</v>
      </c>
      <c r="AS318" s="81">
        <v>0</v>
      </c>
      <c r="AT318" s="81">
        <v>0</v>
      </c>
      <c r="AU318" s="81"/>
      <c r="AV318" s="81"/>
      <c r="AW318" s="81"/>
      <c r="AX318" s="81"/>
      <c r="AY318" s="81"/>
      <c r="AZ318" s="81"/>
      <c r="BA318" s="81"/>
      <c r="BB318" s="81"/>
    </row>
    <row r="319" spans="1:54" x14ac:dyDescent="0.35">
      <c r="A319" s="66" t="s">
        <v>411</v>
      </c>
      <c r="B319" s="66" t="s">
        <v>1055</v>
      </c>
      <c r="C319" s="67"/>
      <c r="D319" s="68"/>
      <c r="E319" s="69"/>
      <c r="F319" s="70"/>
      <c r="G319" s="67"/>
      <c r="H319" s="71"/>
      <c r="I319" s="72"/>
      <c r="J319" s="72"/>
      <c r="K319" s="36"/>
      <c r="L319" s="79"/>
      <c r="M319" s="79"/>
      <c r="N319" s="74"/>
      <c r="O319" s="81" t="s">
        <v>1207</v>
      </c>
      <c r="P319" s="83">
        <v>44460.177210648151</v>
      </c>
      <c r="Q319" s="81" t="s">
        <v>1324</v>
      </c>
      <c r="R319" s="81"/>
      <c r="S319" s="81"/>
      <c r="T319" s="81"/>
      <c r="U319" s="85" t="str">
        <f>HYPERLINK("https://pbs.twimg.com/media/E_xVJy2VQAQerFe.jpg")</f>
        <v>https://pbs.twimg.com/media/E_xVJy2VQAQerFe.jpg</v>
      </c>
      <c r="V319" s="85" t="str">
        <f>HYPERLINK("https://pbs.twimg.com/media/E_xVJy2VQAQerFe.jpg")</f>
        <v>https://pbs.twimg.com/media/E_xVJy2VQAQerFe.jpg</v>
      </c>
      <c r="W319" s="83">
        <v>44460.177210648151</v>
      </c>
      <c r="X319" s="89">
        <v>44460</v>
      </c>
      <c r="Y319" s="87" t="s">
        <v>2004</v>
      </c>
      <c r="Z319" s="85" t="str">
        <f>HYPERLINK("https://twitter.com/leo12seventy/status/1440167701373095937")</f>
        <v>https://twitter.com/leo12seventy/status/1440167701373095937</v>
      </c>
      <c r="AA319" s="81"/>
      <c r="AB319" s="81"/>
      <c r="AC319" s="87" t="s">
        <v>2926</v>
      </c>
      <c r="AD319" s="81"/>
      <c r="AE319" s="81" t="b">
        <v>0</v>
      </c>
      <c r="AF319" s="81">
        <v>0</v>
      </c>
      <c r="AG319" s="87" t="s">
        <v>3875</v>
      </c>
      <c r="AH319" s="81" t="b">
        <v>0</v>
      </c>
      <c r="AI319" s="81" t="s">
        <v>4092</v>
      </c>
      <c r="AJ319" s="81"/>
      <c r="AK319" s="87" t="s">
        <v>3875</v>
      </c>
      <c r="AL319" s="81" t="b">
        <v>0</v>
      </c>
      <c r="AM319" s="81">
        <v>321</v>
      </c>
      <c r="AN319" s="87" t="s">
        <v>3520</v>
      </c>
      <c r="AO319" s="87" t="s">
        <v>4109</v>
      </c>
      <c r="AP319" s="81" t="b">
        <v>0</v>
      </c>
      <c r="AQ319" s="87" t="s">
        <v>3520</v>
      </c>
      <c r="AR319" s="81" t="s">
        <v>179</v>
      </c>
      <c r="AS319" s="81">
        <v>0</v>
      </c>
      <c r="AT319" s="81">
        <v>0</v>
      </c>
      <c r="AU319" s="81"/>
      <c r="AV319" s="81"/>
      <c r="AW319" s="81"/>
      <c r="AX319" s="81"/>
      <c r="AY319" s="81"/>
      <c r="AZ319" s="81"/>
      <c r="BA319" s="81"/>
      <c r="BB319" s="81"/>
    </row>
    <row r="320" spans="1:54" x14ac:dyDescent="0.35">
      <c r="A320" s="66" t="s">
        <v>411</v>
      </c>
      <c r="B320" s="66" t="s">
        <v>910</v>
      </c>
      <c r="C320" s="67"/>
      <c r="D320" s="68"/>
      <c r="E320" s="69"/>
      <c r="F320" s="70"/>
      <c r="G320" s="67"/>
      <c r="H320" s="71"/>
      <c r="I320" s="72"/>
      <c r="J320" s="72"/>
      <c r="K320" s="36"/>
      <c r="L320" s="79"/>
      <c r="M320" s="79"/>
      <c r="N320" s="74"/>
      <c r="O320" s="81" t="s">
        <v>1205</v>
      </c>
      <c r="P320" s="83">
        <v>44460.177210648151</v>
      </c>
      <c r="Q320" s="81" t="s">
        <v>1324</v>
      </c>
      <c r="R320" s="81"/>
      <c r="S320" s="81"/>
      <c r="T320" s="81"/>
      <c r="U320" s="85" t="str">
        <f>HYPERLINK("https://pbs.twimg.com/media/E_xVJy2VQAQerFe.jpg")</f>
        <v>https://pbs.twimg.com/media/E_xVJy2VQAQerFe.jpg</v>
      </c>
      <c r="V320" s="85" t="str">
        <f>HYPERLINK("https://pbs.twimg.com/media/E_xVJy2VQAQerFe.jpg")</f>
        <v>https://pbs.twimg.com/media/E_xVJy2VQAQerFe.jpg</v>
      </c>
      <c r="W320" s="83">
        <v>44460.177210648151</v>
      </c>
      <c r="X320" s="89">
        <v>44460</v>
      </c>
      <c r="Y320" s="87" t="s">
        <v>2004</v>
      </c>
      <c r="Z320" s="85" t="str">
        <f>HYPERLINK("https://twitter.com/leo12seventy/status/1440167701373095937")</f>
        <v>https://twitter.com/leo12seventy/status/1440167701373095937</v>
      </c>
      <c r="AA320" s="81"/>
      <c r="AB320" s="81"/>
      <c r="AC320" s="87" t="s">
        <v>2926</v>
      </c>
      <c r="AD320" s="81"/>
      <c r="AE320" s="81" t="b">
        <v>0</v>
      </c>
      <c r="AF320" s="81">
        <v>0</v>
      </c>
      <c r="AG320" s="87" t="s">
        <v>3875</v>
      </c>
      <c r="AH320" s="81" t="b">
        <v>0</v>
      </c>
      <c r="AI320" s="81" t="s">
        <v>4092</v>
      </c>
      <c r="AJ320" s="81"/>
      <c r="AK320" s="87" t="s">
        <v>3875</v>
      </c>
      <c r="AL320" s="81" t="b">
        <v>0</v>
      </c>
      <c r="AM320" s="81">
        <v>321</v>
      </c>
      <c r="AN320" s="87" t="s">
        <v>3520</v>
      </c>
      <c r="AO320" s="87" t="s">
        <v>4109</v>
      </c>
      <c r="AP320" s="81" t="b">
        <v>0</v>
      </c>
      <c r="AQ320" s="87" t="s">
        <v>3520</v>
      </c>
      <c r="AR320" s="81" t="s">
        <v>179</v>
      </c>
      <c r="AS320" s="81">
        <v>0</v>
      </c>
      <c r="AT320" s="81">
        <v>0</v>
      </c>
      <c r="AU320" s="81"/>
      <c r="AV320" s="81"/>
      <c r="AW320" s="81"/>
      <c r="AX320" s="81"/>
      <c r="AY320" s="81"/>
      <c r="AZ320" s="81"/>
      <c r="BA320" s="81"/>
      <c r="BB320" s="81"/>
    </row>
    <row r="321" spans="1:54" x14ac:dyDescent="0.35">
      <c r="A321" s="66" t="s">
        <v>412</v>
      </c>
      <c r="B321" s="66" t="s">
        <v>1055</v>
      </c>
      <c r="C321" s="67"/>
      <c r="D321" s="68"/>
      <c r="E321" s="69"/>
      <c r="F321" s="70"/>
      <c r="G321" s="67"/>
      <c r="H321" s="71"/>
      <c r="I321" s="72"/>
      <c r="J321" s="72"/>
      <c r="K321" s="36"/>
      <c r="L321" s="79"/>
      <c r="M321" s="79"/>
      <c r="N321" s="74"/>
      <c r="O321" s="81" t="s">
        <v>1207</v>
      </c>
      <c r="P321" s="83">
        <v>44460.178333333337</v>
      </c>
      <c r="Q321" s="81" t="s">
        <v>1324</v>
      </c>
      <c r="R321" s="81"/>
      <c r="S321" s="81"/>
      <c r="T321" s="81"/>
      <c r="U321" s="85" t="str">
        <f>HYPERLINK("https://pbs.twimg.com/media/E_xVJy2VQAQerFe.jpg")</f>
        <v>https://pbs.twimg.com/media/E_xVJy2VQAQerFe.jpg</v>
      </c>
      <c r="V321" s="85" t="str">
        <f>HYPERLINK("https://pbs.twimg.com/media/E_xVJy2VQAQerFe.jpg")</f>
        <v>https://pbs.twimg.com/media/E_xVJy2VQAQerFe.jpg</v>
      </c>
      <c r="W321" s="83">
        <v>44460.178333333337</v>
      </c>
      <c r="X321" s="89">
        <v>44460</v>
      </c>
      <c r="Y321" s="87" t="s">
        <v>2005</v>
      </c>
      <c r="Z321" s="85" t="str">
        <f>HYPERLINK("https://twitter.com/yukemesh/status/1440168108472225797")</f>
        <v>https://twitter.com/yukemesh/status/1440168108472225797</v>
      </c>
      <c r="AA321" s="81"/>
      <c r="AB321" s="81"/>
      <c r="AC321" s="87" t="s">
        <v>2927</v>
      </c>
      <c r="AD321" s="81"/>
      <c r="AE321" s="81" t="b">
        <v>0</v>
      </c>
      <c r="AF321" s="81">
        <v>0</v>
      </c>
      <c r="AG321" s="87" t="s">
        <v>3875</v>
      </c>
      <c r="AH321" s="81" t="b">
        <v>0</v>
      </c>
      <c r="AI321" s="81" t="s">
        <v>4092</v>
      </c>
      <c r="AJ321" s="81"/>
      <c r="AK321" s="87" t="s">
        <v>3875</v>
      </c>
      <c r="AL321" s="81" t="b">
        <v>0</v>
      </c>
      <c r="AM321" s="81">
        <v>321</v>
      </c>
      <c r="AN321" s="87" t="s">
        <v>3520</v>
      </c>
      <c r="AO321" s="87" t="s">
        <v>4109</v>
      </c>
      <c r="AP321" s="81" t="b">
        <v>0</v>
      </c>
      <c r="AQ321" s="87" t="s">
        <v>3520</v>
      </c>
      <c r="AR321" s="81" t="s">
        <v>179</v>
      </c>
      <c r="AS321" s="81">
        <v>0</v>
      </c>
      <c r="AT321" s="81">
        <v>0</v>
      </c>
      <c r="AU321" s="81"/>
      <c r="AV321" s="81"/>
      <c r="AW321" s="81"/>
      <c r="AX321" s="81"/>
      <c r="AY321" s="81"/>
      <c r="AZ321" s="81"/>
      <c r="BA321" s="81"/>
      <c r="BB321" s="81"/>
    </row>
    <row r="322" spans="1:54" x14ac:dyDescent="0.35">
      <c r="A322" s="66" t="s">
        <v>412</v>
      </c>
      <c r="B322" s="66" t="s">
        <v>910</v>
      </c>
      <c r="C322" s="67"/>
      <c r="D322" s="68"/>
      <c r="E322" s="69"/>
      <c r="F322" s="70"/>
      <c r="G322" s="67"/>
      <c r="H322" s="71"/>
      <c r="I322" s="72"/>
      <c r="J322" s="72"/>
      <c r="K322" s="36"/>
      <c r="L322" s="79"/>
      <c r="M322" s="79"/>
      <c r="N322" s="74"/>
      <c r="O322" s="81" t="s">
        <v>1205</v>
      </c>
      <c r="P322" s="83">
        <v>44460.178333333337</v>
      </c>
      <c r="Q322" s="81" t="s">
        <v>1324</v>
      </c>
      <c r="R322" s="81"/>
      <c r="S322" s="81"/>
      <c r="T322" s="81"/>
      <c r="U322" s="85" t="str">
        <f>HYPERLINK("https://pbs.twimg.com/media/E_xVJy2VQAQerFe.jpg")</f>
        <v>https://pbs.twimg.com/media/E_xVJy2VQAQerFe.jpg</v>
      </c>
      <c r="V322" s="85" t="str">
        <f>HYPERLINK("https://pbs.twimg.com/media/E_xVJy2VQAQerFe.jpg")</f>
        <v>https://pbs.twimg.com/media/E_xVJy2VQAQerFe.jpg</v>
      </c>
      <c r="W322" s="83">
        <v>44460.178333333337</v>
      </c>
      <c r="X322" s="89">
        <v>44460</v>
      </c>
      <c r="Y322" s="87" t="s">
        <v>2005</v>
      </c>
      <c r="Z322" s="85" t="str">
        <f>HYPERLINK("https://twitter.com/yukemesh/status/1440168108472225797")</f>
        <v>https://twitter.com/yukemesh/status/1440168108472225797</v>
      </c>
      <c r="AA322" s="81"/>
      <c r="AB322" s="81"/>
      <c r="AC322" s="87" t="s">
        <v>2927</v>
      </c>
      <c r="AD322" s="81"/>
      <c r="AE322" s="81" t="b">
        <v>0</v>
      </c>
      <c r="AF322" s="81">
        <v>0</v>
      </c>
      <c r="AG322" s="87" t="s">
        <v>3875</v>
      </c>
      <c r="AH322" s="81" t="b">
        <v>0</v>
      </c>
      <c r="AI322" s="81" t="s">
        <v>4092</v>
      </c>
      <c r="AJ322" s="81"/>
      <c r="AK322" s="87" t="s">
        <v>3875</v>
      </c>
      <c r="AL322" s="81" t="b">
        <v>0</v>
      </c>
      <c r="AM322" s="81">
        <v>321</v>
      </c>
      <c r="AN322" s="87" t="s">
        <v>3520</v>
      </c>
      <c r="AO322" s="87" t="s">
        <v>4109</v>
      </c>
      <c r="AP322" s="81" t="b">
        <v>0</v>
      </c>
      <c r="AQ322" s="87" t="s">
        <v>3520</v>
      </c>
      <c r="AR322" s="81" t="s">
        <v>179</v>
      </c>
      <c r="AS322" s="81">
        <v>0</v>
      </c>
      <c r="AT322" s="81">
        <v>0</v>
      </c>
      <c r="AU322" s="81"/>
      <c r="AV322" s="81"/>
      <c r="AW322" s="81"/>
      <c r="AX322" s="81"/>
      <c r="AY322" s="81"/>
      <c r="AZ322" s="81"/>
      <c r="BA322" s="81"/>
      <c r="BB322" s="81"/>
    </row>
    <row r="323" spans="1:54" x14ac:dyDescent="0.35">
      <c r="A323" s="66" t="s">
        <v>413</v>
      </c>
      <c r="B323" s="66" t="s">
        <v>1055</v>
      </c>
      <c r="C323" s="67"/>
      <c r="D323" s="68"/>
      <c r="E323" s="69"/>
      <c r="F323" s="70"/>
      <c r="G323" s="67"/>
      <c r="H323" s="71"/>
      <c r="I323" s="72"/>
      <c r="J323" s="72"/>
      <c r="K323" s="36"/>
      <c r="L323" s="79"/>
      <c r="M323" s="79"/>
      <c r="N323" s="74"/>
      <c r="O323" s="81" t="s">
        <v>1207</v>
      </c>
      <c r="P323" s="83">
        <v>44460.178703703707</v>
      </c>
      <c r="Q323" s="81" t="s">
        <v>1324</v>
      </c>
      <c r="R323" s="81"/>
      <c r="S323" s="81"/>
      <c r="T323" s="81"/>
      <c r="U323" s="85" t="str">
        <f>HYPERLINK("https://pbs.twimg.com/media/E_xVJy2VQAQerFe.jpg")</f>
        <v>https://pbs.twimg.com/media/E_xVJy2VQAQerFe.jpg</v>
      </c>
      <c r="V323" s="85" t="str">
        <f>HYPERLINK("https://pbs.twimg.com/media/E_xVJy2VQAQerFe.jpg")</f>
        <v>https://pbs.twimg.com/media/E_xVJy2VQAQerFe.jpg</v>
      </c>
      <c r="W323" s="83">
        <v>44460.178703703707</v>
      </c>
      <c r="X323" s="89">
        <v>44460</v>
      </c>
      <c r="Y323" s="87" t="s">
        <v>2006</v>
      </c>
      <c r="Z323" s="85" t="str">
        <f>HYPERLINK("https://twitter.com/resharopro/status/1440168243126161410")</f>
        <v>https://twitter.com/resharopro/status/1440168243126161410</v>
      </c>
      <c r="AA323" s="81"/>
      <c r="AB323" s="81"/>
      <c r="AC323" s="87" t="s">
        <v>2928</v>
      </c>
      <c r="AD323" s="81"/>
      <c r="AE323" s="81" t="b">
        <v>0</v>
      </c>
      <c r="AF323" s="81">
        <v>0</v>
      </c>
      <c r="AG323" s="87" t="s">
        <v>3875</v>
      </c>
      <c r="AH323" s="81" t="b">
        <v>0</v>
      </c>
      <c r="AI323" s="81" t="s">
        <v>4092</v>
      </c>
      <c r="AJ323" s="81"/>
      <c r="AK323" s="87" t="s">
        <v>3875</v>
      </c>
      <c r="AL323" s="81" t="b">
        <v>0</v>
      </c>
      <c r="AM323" s="81">
        <v>321</v>
      </c>
      <c r="AN323" s="87" t="s">
        <v>3520</v>
      </c>
      <c r="AO323" s="87" t="s">
        <v>4111</v>
      </c>
      <c r="AP323" s="81" t="b">
        <v>0</v>
      </c>
      <c r="AQ323" s="87" t="s">
        <v>3520</v>
      </c>
      <c r="AR323" s="81" t="s">
        <v>179</v>
      </c>
      <c r="AS323" s="81">
        <v>0</v>
      </c>
      <c r="AT323" s="81">
        <v>0</v>
      </c>
      <c r="AU323" s="81"/>
      <c r="AV323" s="81"/>
      <c r="AW323" s="81"/>
      <c r="AX323" s="81"/>
      <c r="AY323" s="81"/>
      <c r="AZ323" s="81"/>
      <c r="BA323" s="81"/>
      <c r="BB323" s="81"/>
    </row>
    <row r="324" spans="1:54" x14ac:dyDescent="0.35">
      <c r="A324" s="66" t="s">
        <v>413</v>
      </c>
      <c r="B324" s="66" t="s">
        <v>910</v>
      </c>
      <c r="C324" s="67"/>
      <c r="D324" s="68"/>
      <c r="E324" s="69"/>
      <c r="F324" s="70"/>
      <c r="G324" s="67"/>
      <c r="H324" s="71"/>
      <c r="I324" s="72"/>
      <c r="J324" s="72"/>
      <c r="K324" s="36"/>
      <c r="L324" s="79"/>
      <c r="M324" s="79"/>
      <c r="N324" s="74"/>
      <c r="O324" s="81" t="s">
        <v>1205</v>
      </c>
      <c r="P324" s="83">
        <v>44460.178703703707</v>
      </c>
      <c r="Q324" s="81" t="s">
        <v>1324</v>
      </c>
      <c r="R324" s="81"/>
      <c r="S324" s="81"/>
      <c r="T324" s="81"/>
      <c r="U324" s="85" t="str">
        <f>HYPERLINK("https://pbs.twimg.com/media/E_xVJy2VQAQerFe.jpg")</f>
        <v>https://pbs.twimg.com/media/E_xVJy2VQAQerFe.jpg</v>
      </c>
      <c r="V324" s="85" t="str">
        <f>HYPERLINK("https://pbs.twimg.com/media/E_xVJy2VQAQerFe.jpg")</f>
        <v>https://pbs.twimg.com/media/E_xVJy2VQAQerFe.jpg</v>
      </c>
      <c r="W324" s="83">
        <v>44460.178703703707</v>
      </c>
      <c r="X324" s="89">
        <v>44460</v>
      </c>
      <c r="Y324" s="87" t="s">
        <v>2006</v>
      </c>
      <c r="Z324" s="85" t="str">
        <f>HYPERLINK("https://twitter.com/resharopro/status/1440168243126161410")</f>
        <v>https://twitter.com/resharopro/status/1440168243126161410</v>
      </c>
      <c r="AA324" s="81"/>
      <c r="AB324" s="81"/>
      <c r="AC324" s="87" t="s">
        <v>2928</v>
      </c>
      <c r="AD324" s="81"/>
      <c r="AE324" s="81" t="b">
        <v>0</v>
      </c>
      <c r="AF324" s="81">
        <v>0</v>
      </c>
      <c r="AG324" s="87" t="s">
        <v>3875</v>
      </c>
      <c r="AH324" s="81" t="b">
        <v>0</v>
      </c>
      <c r="AI324" s="81" t="s">
        <v>4092</v>
      </c>
      <c r="AJ324" s="81"/>
      <c r="AK324" s="87" t="s">
        <v>3875</v>
      </c>
      <c r="AL324" s="81" t="b">
        <v>0</v>
      </c>
      <c r="AM324" s="81">
        <v>321</v>
      </c>
      <c r="AN324" s="87" t="s">
        <v>3520</v>
      </c>
      <c r="AO324" s="87" t="s">
        <v>4111</v>
      </c>
      <c r="AP324" s="81" t="b">
        <v>0</v>
      </c>
      <c r="AQ324" s="87" t="s">
        <v>3520</v>
      </c>
      <c r="AR324" s="81" t="s">
        <v>179</v>
      </c>
      <c r="AS324" s="81">
        <v>0</v>
      </c>
      <c r="AT324" s="81">
        <v>0</v>
      </c>
      <c r="AU324" s="81"/>
      <c r="AV324" s="81"/>
      <c r="AW324" s="81"/>
      <c r="AX324" s="81"/>
      <c r="AY324" s="81"/>
      <c r="AZ324" s="81"/>
      <c r="BA324" s="81"/>
      <c r="BB324" s="81"/>
    </row>
    <row r="325" spans="1:54" x14ac:dyDescent="0.35">
      <c r="A325" s="66" t="s">
        <v>414</v>
      </c>
      <c r="B325" s="66" t="s">
        <v>1055</v>
      </c>
      <c r="C325" s="67"/>
      <c r="D325" s="68"/>
      <c r="E325" s="69"/>
      <c r="F325" s="70"/>
      <c r="G325" s="67"/>
      <c r="H325" s="71"/>
      <c r="I325" s="72"/>
      <c r="J325" s="72"/>
      <c r="K325" s="36"/>
      <c r="L325" s="79"/>
      <c r="M325" s="79"/>
      <c r="N325" s="74"/>
      <c r="O325" s="81" t="s">
        <v>1207</v>
      </c>
      <c r="P325" s="83">
        <v>44460.18712962963</v>
      </c>
      <c r="Q325" s="81" t="s">
        <v>1324</v>
      </c>
      <c r="R325" s="81"/>
      <c r="S325" s="81"/>
      <c r="T325" s="81"/>
      <c r="U325" s="85" t="str">
        <f>HYPERLINK("https://pbs.twimg.com/media/E_xVJy2VQAQerFe.jpg")</f>
        <v>https://pbs.twimg.com/media/E_xVJy2VQAQerFe.jpg</v>
      </c>
      <c r="V325" s="85" t="str">
        <f>HYPERLINK("https://pbs.twimg.com/media/E_xVJy2VQAQerFe.jpg")</f>
        <v>https://pbs.twimg.com/media/E_xVJy2VQAQerFe.jpg</v>
      </c>
      <c r="W325" s="83">
        <v>44460.18712962963</v>
      </c>
      <c r="X325" s="89">
        <v>44460</v>
      </c>
      <c r="Y325" s="87" t="s">
        <v>2007</v>
      </c>
      <c r="Z325" s="85" t="str">
        <f>HYPERLINK("https://twitter.com/indopropeople/status/1440171296822751234")</f>
        <v>https://twitter.com/indopropeople/status/1440171296822751234</v>
      </c>
      <c r="AA325" s="81"/>
      <c r="AB325" s="81"/>
      <c r="AC325" s="87" t="s">
        <v>2929</v>
      </c>
      <c r="AD325" s="81"/>
      <c r="AE325" s="81" t="b">
        <v>0</v>
      </c>
      <c r="AF325" s="81">
        <v>0</v>
      </c>
      <c r="AG325" s="87" t="s">
        <v>3875</v>
      </c>
      <c r="AH325" s="81" t="b">
        <v>0</v>
      </c>
      <c r="AI325" s="81" t="s">
        <v>4092</v>
      </c>
      <c r="AJ325" s="81"/>
      <c r="AK325" s="87" t="s">
        <v>3875</v>
      </c>
      <c r="AL325" s="81" t="b">
        <v>0</v>
      </c>
      <c r="AM325" s="81">
        <v>321</v>
      </c>
      <c r="AN325" s="87" t="s">
        <v>3520</v>
      </c>
      <c r="AO325" s="87" t="s">
        <v>4109</v>
      </c>
      <c r="AP325" s="81" t="b">
        <v>0</v>
      </c>
      <c r="AQ325" s="87" t="s">
        <v>3520</v>
      </c>
      <c r="AR325" s="81" t="s">
        <v>179</v>
      </c>
      <c r="AS325" s="81">
        <v>0</v>
      </c>
      <c r="AT325" s="81">
        <v>0</v>
      </c>
      <c r="AU325" s="81"/>
      <c r="AV325" s="81"/>
      <c r="AW325" s="81"/>
      <c r="AX325" s="81"/>
      <c r="AY325" s="81"/>
      <c r="AZ325" s="81"/>
      <c r="BA325" s="81"/>
      <c r="BB325" s="81"/>
    </row>
    <row r="326" spans="1:54" x14ac:dyDescent="0.35">
      <c r="A326" s="66" t="s">
        <v>414</v>
      </c>
      <c r="B326" s="66" t="s">
        <v>910</v>
      </c>
      <c r="C326" s="67"/>
      <c r="D326" s="68"/>
      <c r="E326" s="69"/>
      <c r="F326" s="70"/>
      <c r="G326" s="67"/>
      <c r="H326" s="71"/>
      <c r="I326" s="72"/>
      <c r="J326" s="72"/>
      <c r="K326" s="36"/>
      <c r="L326" s="79"/>
      <c r="M326" s="79"/>
      <c r="N326" s="74"/>
      <c r="O326" s="81" t="s">
        <v>1205</v>
      </c>
      <c r="P326" s="83">
        <v>44460.18712962963</v>
      </c>
      <c r="Q326" s="81" t="s">
        <v>1324</v>
      </c>
      <c r="R326" s="81"/>
      <c r="S326" s="81"/>
      <c r="T326" s="81"/>
      <c r="U326" s="85" t="str">
        <f>HYPERLINK("https://pbs.twimg.com/media/E_xVJy2VQAQerFe.jpg")</f>
        <v>https://pbs.twimg.com/media/E_xVJy2VQAQerFe.jpg</v>
      </c>
      <c r="V326" s="85" t="str">
        <f>HYPERLINK("https://pbs.twimg.com/media/E_xVJy2VQAQerFe.jpg")</f>
        <v>https://pbs.twimg.com/media/E_xVJy2VQAQerFe.jpg</v>
      </c>
      <c r="W326" s="83">
        <v>44460.18712962963</v>
      </c>
      <c r="X326" s="89">
        <v>44460</v>
      </c>
      <c r="Y326" s="87" t="s">
        <v>2007</v>
      </c>
      <c r="Z326" s="85" t="str">
        <f>HYPERLINK("https://twitter.com/indopropeople/status/1440171296822751234")</f>
        <v>https://twitter.com/indopropeople/status/1440171296822751234</v>
      </c>
      <c r="AA326" s="81"/>
      <c r="AB326" s="81"/>
      <c r="AC326" s="87" t="s">
        <v>2929</v>
      </c>
      <c r="AD326" s="81"/>
      <c r="AE326" s="81" t="b">
        <v>0</v>
      </c>
      <c r="AF326" s="81">
        <v>0</v>
      </c>
      <c r="AG326" s="87" t="s">
        <v>3875</v>
      </c>
      <c r="AH326" s="81" t="b">
        <v>0</v>
      </c>
      <c r="AI326" s="81" t="s">
        <v>4092</v>
      </c>
      <c r="AJ326" s="81"/>
      <c r="AK326" s="87" t="s">
        <v>3875</v>
      </c>
      <c r="AL326" s="81" t="b">
        <v>0</v>
      </c>
      <c r="AM326" s="81">
        <v>321</v>
      </c>
      <c r="AN326" s="87" t="s">
        <v>3520</v>
      </c>
      <c r="AO326" s="87" t="s">
        <v>4109</v>
      </c>
      <c r="AP326" s="81" t="b">
        <v>0</v>
      </c>
      <c r="AQ326" s="87" t="s">
        <v>3520</v>
      </c>
      <c r="AR326" s="81" t="s">
        <v>179</v>
      </c>
      <c r="AS326" s="81">
        <v>0</v>
      </c>
      <c r="AT326" s="81">
        <v>0</v>
      </c>
      <c r="AU326" s="81"/>
      <c r="AV326" s="81"/>
      <c r="AW326" s="81"/>
      <c r="AX326" s="81"/>
      <c r="AY326" s="81"/>
      <c r="AZ326" s="81"/>
      <c r="BA326" s="81"/>
      <c r="BB326" s="81"/>
    </row>
    <row r="327" spans="1:54" x14ac:dyDescent="0.35">
      <c r="A327" s="66" t="s">
        <v>415</v>
      </c>
      <c r="B327" s="66" t="s">
        <v>1055</v>
      </c>
      <c r="C327" s="67"/>
      <c r="D327" s="68"/>
      <c r="E327" s="69"/>
      <c r="F327" s="70"/>
      <c r="G327" s="67"/>
      <c r="H327" s="71"/>
      <c r="I327" s="72"/>
      <c r="J327" s="72"/>
      <c r="K327" s="36"/>
      <c r="L327" s="79"/>
      <c r="M327" s="79"/>
      <c r="N327" s="74"/>
      <c r="O327" s="81" t="s">
        <v>1207</v>
      </c>
      <c r="P327" s="83">
        <v>44460.190405092595</v>
      </c>
      <c r="Q327" s="81" t="s">
        <v>1324</v>
      </c>
      <c r="R327" s="81"/>
      <c r="S327" s="81"/>
      <c r="T327" s="81"/>
      <c r="U327" s="85" t="str">
        <f>HYPERLINK("https://pbs.twimg.com/media/E_xVJy2VQAQerFe.jpg")</f>
        <v>https://pbs.twimg.com/media/E_xVJy2VQAQerFe.jpg</v>
      </c>
      <c r="V327" s="85" t="str">
        <f>HYPERLINK("https://pbs.twimg.com/media/E_xVJy2VQAQerFe.jpg")</f>
        <v>https://pbs.twimg.com/media/E_xVJy2VQAQerFe.jpg</v>
      </c>
      <c r="W327" s="83">
        <v>44460.190405092595</v>
      </c>
      <c r="X327" s="89">
        <v>44460</v>
      </c>
      <c r="Y327" s="87" t="s">
        <v>2008</v>
      </c>
      <c r="Z327" s="85" t="str">
        <f>HYPERLINK("https://twitter.com/amanalu02/status/1440172482141384713")</f>
        <v>https://twitter.com/amanalu02/status/1440172482141384713</v>
      </c>
      <c r="AA327" s="81"/>
      <c r="AB327" s="81"/>
      <c r="AC327" s="87" t="s">
        <v>2930</v>
      </c>
      <c r="AD327" s="81"/>
      <c r="AE327" s="81" t="b">
        <v>0</v>
      </c>
      <c r="AF327" s="81">
        <v>0</v>
      </c>
      <c r="AG327" s="87" t="s">
        <v>3875</v>
      </c>
      <c r="AH327" s="81" t="b">
        <v>0</v>
      </c>
      <c r="AI327" s="81" t="s">
        <v>4092</v>
      </c>
      <c r="AJ327" s="81"/>
      <c r="AK327" s="87" t="s">
        <v>3875</v>
      </c>
      <c r="AL327" s="81" t="b">
        <v>0</v>
      </c>
      <c r="AM327" s="81">
        <v>321</v>
      </c>
      <c r="AN327" s="87" t="s">
        <v>3520</v>
      </c>
      <c r="AO327" s="87" t="s">
        <v>4109</v>
      </c>
      <c r="AP327" s="81" t="b">
        <v>0</v>
      </c>
      <c r="AQ327" s="87" t="s">
        <v>3520</v>
      </c>
      <c r="AR327" s="81" t="s">
        <v>179</v>
      </c>
      <c r="AS327" s="81">
        <v>0</v>
      </c>
      <c r="AT327" s="81">
        <v>0</v>
      </c>
      <c r="AU327" s="81"/>
      <c r="AV327" s="81"/>
      <c r="AW327" s="81"/>
      <c r="AX327" s="81"/>
      <c r="AY327" s="81"/>
      <c r="AZ327" s="81"/>
      <c r="BA327" s="81"/>
      <c r="BB327" s="81"/>
    </row>
    <row r="328" spans="1:54" x14ac:dyDescent="0.35">
      <c r="A328" s="66" t="s">
        <v>415</v>
      </c>
      <c r="B328" s="66" t="s">
        <v>910</v>
      </c>
      <c r="C328" s="67"/>
      <c r="D328" s="68"/>
      <c r="E328" s="69"/>
      <c r="F328" s="70"/>
      <c r="G328" s="67"/>
      <c r="H328" s="71"/>
      <c r="I328" s="72"/>
      <c r="J328" s="72"/>
      <c r="K328" s="36"/>
      <c r="L328" s="79"/>
      <c r="M328" s="79"/>
      <c r="N328" s="74"/>
      <c r="O328" s="81" t="s">
        <v>1205</v>
      </c>
      <c r="P328" s="83">
        <v>44460.190405092595</v>
      </c>
      <c r="Q328" s="81" t="s">
        <v>1324</v>
      </c>
      <c r="R328" s="81"/>
      <c r="S328" s="81"/>
      <c r="T328" s="81"/>
      <c r="U328" s="85" t="str">
        <f>HYPERLINK("https://pbs.twimg.com/media/E_xVJy2VQAQerFe.jpg")</f>
        <v>https://pbs.twimg.com/media/E_xVJy2VQAQerFe.jpg</v>
      </c>
      <c r="V328" s="85" t="str">
        <f>HYPERLINK("https://pbs.twimg.com/media/E_xVJy2VQAQerFe.jpg")</f>
        <v>https://pbs.twimg.com/media/E_xVJy2VQAQerFe.jpg</v>
      </c>
      <c r="W328" s="83">
        <v>44460.190405092595</v>
      </c>
      <c r="X328" s="89">
        <v>44460</v>
      </c>
      <c r="Y328" s="87" t="s">
        <v>2008</v>
      </c>
      <c r="Z328" s="85" t="str">
        <f>HYPERLINK("https://twitter.com/amanalu02/status/1440172482141384713")</f>
        <v>https://twitter.com/amanalu02/status/1440172482141384713</v>
      </c>
      <c r="AA328" s="81"/>
      <c r="AB328" s="81"/>
      <c r="AC328" s="87" t="s">
        <v>2930</v>
      </c>
      <c r="AD328" s="81"/>
      <c r="AE328" s="81" t="b">
        <v>0</v>
      </c>
      <c r="AF328" s="81">
        <v>0</v>
      </c>
      <c r="AG328" s="87" t="s">
        <v>3875</v>
      </c>
      <c r="AH328" s="81" t="b">
        <v>0</v>
      </c>
      <c r="AI328" s="81" t="s">
        <v>4092</v>
      </c>
      <c r="AJ328" s="81"/>
      <c r="AK328" s="87" t="s">
        <v>3875</v>
      </c>
      <c r="AL328" s="81" t="b">
        <v>0</v>
      </c>
      <c r="AM328" s="81">
        <v>321</v>
      </c>
      <c r="AN328" s="87" t="s">
        <v>3520</v>
      </c>
      <c r="AO328" s="87" t="s">
        <v>4109</v>
      </c>
      <c r="AP328" s="81" t="b">
        <v>0</v>
      </c>
      <c r="AQ328" s="87" t="s">
        <v>3520</v>
      </c>
      <c r="AR328" s="81" t="s">
        <v>179</v>
      </c>
      <c r="AS328" s="81">
        <v>0</v>
      </c>
      <c r="AT328" s="81">
        <v>0</v>
      </c>
      <c r="AU328" s="81"/>
      <c r="AV328" s="81"/>
      <c r="AW328" s="81"/>
      <c r="AX328" s="81"/>
      <c r="AY328" s="81"/>
      <c r="AZ328" s="81"/>
      <c r="BA328" s="81"/>
      <c r="BB328" s="81"/>
    </row>
    <row r="329" spans="1:54" x14ac:dyDescent="0.35">
      <c r="A329" s="66" t="s">
        <v>416</v>
      </c>
      <c r="B329" s="66" t="s">
        <v>1055</v>
      </c>
      <c r="C329" s="67"/>
      <c r="D329" s="68"/>
      <c r="E329" s="69"/>
      <c r="F329" s="70"/>
      <c r="G329" s="67"/>
      <c r="H329" s="71"/>
      <c r="I329" s="72"/>
      <c r="J329" s="72"/>
      <c r="K329" s="36"/>
      <c r="L329" s="79"/>
      <c r="M329" s="79"/>
      <c r="N329" s="74"/>
      <c r="O329" s="81" t="s">
        <v>1207</v>
      </c>
      <c r="P329" s="83">
        <v>44460.193807870368</v>
      </c>
      <c r="Q329" s="81" t="s">
        <v>1324</v>
      </c>
      <c r="R329" s="81"/>
      <c r="S329" s="81"/>
      <c r="T329" s="81"/>
      <c r="U329" s="85" t="str">
        <f>HYPERLINK("https://pbs.twimg.com/media/E_xVJy2VQAQerFe.jpg")</f>
        <v>https://pbs.twimg.com/media/E_xVJy2VQAQerFe.jpg</v>
      </c>
      <c r="V329" s="85" t="str">
        <f>HYPERLINK("https://pbs.twimg.com/media/E_xVJy2VQAQerFe.jpg")</f>
        <v>https://pbs.twimg.com/media/E_xVJy2VQAQerFe.jpg</v>
      </c>
      <c r="W329" s="83">
        <v>44460.193807870368</v>
      </c>
      <c r="X329" s="89">
        <v>44460</v>
      </c>
      <c r="Y329" s="87" t="s">
        <v>2009</v>
      </c>
      <c r="Z329" s="85" t="str">
        <f>HYPERLINK("https://twitter.com/3ko_8udi_5/status/1440173715740717065")</f>
        <v>https://twitter.com/3ko_8udi_5/status/1440173715740717065</v>
      </c>
      <c r="AA329" s="81"/>
      <c r="AB329" s="81"/>
      <c r="AC329" s="87" t="s">
        <v>2931</v>
      </c>
      <c r="AD329" s="81"/>
      <c r="AE329" s="81" t="b">
        <v>0</v>
      </c>
      <c r="AF329" s="81">
        <v>0</v>
      </c>
      <c r="AG329" s="87" t="s">
        <v>3875</v>
      </c>
      <c r="AH329" s="81" t="b">
        <v>0</v>
      </c>
      <c r="AI329" s="81" t="s">
        <v>4092</v>
      </c>
      <c r="AJ329" s="81"/>
      <c r="AK329" s="87" t="s">
        <v>3875</v>
      </c>
      <c r="AL329" s="81" t="b">
        <v>0</v>
      </c>
      <c r="AM329" s="81">
        <v>321</v>
      </c>
      <c r="AN329" s="87" t="s">
        <v>3520</v>
      </c>
      <c r="AO329" s="87" t="s">
        <v>4109</v>
      </c>
      <c r="AP329" s="81" t="b">
        <v>0</v>
      </c>
      <c r="AQ329" s="87" t="s">
        <v>3520</v>
      </c>
      <c r="AR329" s="81" t="s">
        <v>179</v>
      </c>
      <c r="AS329" s="81">
        <v>0</v>
      </c>
      <c r="AT329" s="81">
        <v>0</v>
      </c>
      <c r="AU329" s="81"/>
      <c r="AV329" s="81"/>
      <c r="AW329" s="81"/>
      <c r="AX329" s="81"/>
      <c r="AY329" s="81"/>
      <c r="AZ329" s="81"/>
      <c r="BA329" s="81"/>
      <c r="BB329" s="81"/>
    </row>
    <row r="330" spans="1:54" x14ac:dyDescent="0.35">
      <c r="A330" s="66" t="s">
        <v>416</v>
      </c>
      <c r="B330" s="66" t="s">
        <v>910</v>
      </c>
      <c r="C330" s="67"/>
      <c r="D330" s="68"/>
      <c r="E330" s="69"/>
      <c r="F330" s="70"/>
      <c r="G330" s="67"/>
      <c r="H330" s="71"/>
      <c r="I330" s="72"/>
      <c r="J330" s="72"/>
      <c r="K330" s="36"/>
      <c r="L330" s="79"/>
      <c r="M330" s="79"/>
      <c r="N330" s="74"/>
      <c r="O330" s="81" t="s">
        <v>1205</v>
      </c>
      <c r="P330" s="83">
        <v>44460.193807870368</v>
      </c>
      <c r="Q330" s="81" t="s">
        <v>1324</v>
      </c>
      <c r="R330" s="81"/>
      <c r="S330" s="81"/>
      <c r="T330" s="81"/>
      <c r="U330" s="85" t="str">
        <f>HYPERLINK("https://pbs.twimg.com/media/E_xVJy2VQAQerFe.jpg")</f>
        <v>https://pbs.twimg.com/media/E_xVJy2VQAQerFe.jpg</v>
      </c>
      <c r="V330" s="85" t="str">
        <f>HYPERLINK("https://pbs.twimg.com/media/E_xVJy2VQAQerFe.jpg")</f>
        <v>https://pbs.twimg.com/media/E_xVJy2VQAQerFe.jpg</v>
      </c>
      <c r="W330" s="83">
        <v>44460.193807870368</v>
      </c>
      <c r="X330" s="89">
        <v>44460</v>
      </c>
      <c r="Y330" s="87" t="s">
        <v>2009</v>
      </c>
      <c r="Z330" s="85" t="str">
        <f>HYPERLINK("https://twitter.com/3ko_8udi_5/status/1440173715740717065")</f>
        <v>https://twitter.com/3ko_8udi_5/status/1440173715740717065</v>
      </c>
      <c r="AA330" s="81"/>
      <c r="AB330" s="81"/>
      <c r="AC330" s="87" t="s">
        <v>2931</v>
      </c>
      <c r="AD330" s="81"/>
      <c r="AE330" s="81" t="b">
        <v>0</v>
      </c>
      <c r="AF330" s="81">
        <v>0</v>
      </c>
      <c r="AG330" s="87" t="s">
        <v>3875</v>
      </c>
      <c r="AH330" s="81" t="b">
        <v>0</v>
      </c>
      <c r="AI330" s="81" t="s">
        <v>4092</v>
      </c>
      <c r="AJ330" s="81"/>
      <c r="AK330" s="87" t="s">
        <v>3875</v>
      </c>
      <c r="AL330" s="81" t="b">
        <v>0</v>
      </c>
      <c r="AM330" s="81">
        <v>321</v>
      </c>
      <c r="AN330" s="87" t="s">
        <v>3520</v>
      </c>
      <c r="AO330" s="87" t="s">
        <v>4109</v>
      </c>
      <c r="AP330" s="81" t="b">
        <v>0</v>
      </c>
      <c r="AQ330" s="87" t="s">
        <v>3520</v>
      </c>
      <c r="AR330" s="81" t="s">
        <v>179</v>
      </c>
      <c r="AS330" s="81">
        <v>0</v>
      </c>
      <c r="AT330" s="81">
        <v>0</v>
      </c>
      <c r="AU330" s="81"/>
      <c r="AV330" s="81"/>
      <c r="AW330" s="81"/>
      <c r="AX330" s="81"/>
      <c r="AY330" s="81"/>
      <c r="AZ330" s="81"/>
      <c r="BA330" s="81"/>
      <c r="BB330" s="81"/>
    </row>
    <row r="331" spans="1:54" x14ac:dyDescent="0.35">
      <c r="A331" s="66" t="s">
        <v>417</v>
      </c>
      <c r="B331" s="66" t="s">
        <v>1055</v>
      </c>
      <c r="C331" s="67"/>
      <c r="D331" s="68"/>
      <c r="E331" s="69"/>
      <c r="F331" s="70"/>
      <c r="G331" s="67"/>
      <c r="H331" s="71"/>
      <c r="I331" s="72"/>
      <c r="J331" s="72"/>
      <c r="K331" s="36"/>
      <c r="L331" s="79"/>
      <c r="M331" s="79"/>
      <c r="N331" s="74"/>
      <c r="O331" s="81" t="s">
        <v>1207</v>
      </c>
      <c r="P331" s="83">
        <v>44460.195497685185</v>
      </c>
      <c r="Q331" s="81" t="s">
        <v>1324</v>
      </c>
      <c r="R331" s="81"/>
      <c r="S331" s="81"/>
      <c r="T331" s="81"/>
      <c r="U331" s="85" t="str">
        <f>HYPERLINK("https://pbs.twimg.com/media/E_xVJy2VQAQerFe.jpg")</f>
        <v>https://pbs.twimg.com/media/E_xVJy2VQAQerFe.jpg</v>
      </c>
      <c r="V331" s="85" t="str">
        <f>HYPERLINK("https://pbs.twimg.com/media/E_xVJy2VQAQerFe.jpg")</f>
        <v>https://pbs.twimg.com/media/E_xVJy2VQAQerFe.jpg</v>
      </c>
      <c r="W331" s="83">
        <v>44460.195497685185</v>
      </c>
      <c r="X331" s="89">
        <v>44460</v>
      </c>
      <c r="Y331" s="87" t="s">
        <v>2010</v>
      </c>
      <c r="Z331" s="85" t="str">
        <f>HYPERLINK("https://twitter.com/kutang_bolong/status/1440174328637579286")</f>
        <v>https://twitter.com/kutang_bolong/status/1440174328637579286</v>
      </c>
      <c r="AA331" s="81"/>
      <c r="AB331" s="81"/>
      <c r="AC331" s="87" t="s">
        <v>2932</v>
      </c>
      <c r="AD331" s="81"/>
      <c r="AE331" s="81" t="b">
        <v>0</v>
      </c>
      <c r="AF331" s="81">
        <v>0</v>
      </c>
      <c r="AG331" s="87" t="s">
        <v>3875</v>
      </c>
      <c r="AH331" s="81" t="b">
        <v>0</v>
      </c>
      <c r="AI331" s="81" t="s">
        <v>4092</v>
      </c>
      <c r="AJ331" s="81"/>
      <c r="AK331" s="87" t="s">
        <v>3875</v>
      </c>
      <c r="AL331" s="81" t="b">
        <v>0</v>
      </c>
      <c r="AM331" s="81">
        <v>321</v>
      </c>
      <c r="AN331" s="87" t="s">
        <v>3520</v>
      </c>
      <c r="AO331" s="87" t="s">
        <v>4109</v>
      </c>
      <c r="AP331" s="81" t="b">
        <v>0</v>
      </c>
      <c r="AQ331" s="87" t="s">
        <v>3520</v>
      </c>
      <c r="AR331" s="81" t="s">
        <v>179</v>
      </c>
      <c r="AS331" s="81">
        <v>0</v>
      </c>
      <c r="AT331" s="81">
        <v>0</v>
      </c>
      <c r="AU331" s="81"/>
      <c r="AV331" s="81"/>
      <c r="AW331" s="81"/>
      <c r="AX331" s="81"/>
      <c r="AY331" s="81"/>
      <c r="AZ331" s="81"/>
      <c r="BA331" s="81"/>
      <c r="BB331" s="81"/>
    </row>
    <row r="332" spans="1:54" x14ac:dyDescent="0.35">
      <c r="A332" s="66" t="s">
        <v>417</v>
      </c>
      <c r="B332" s="66" t="s">
        <v>910</v>
      </c>
      <c r="C332" s="67"/>
      <c r="D332" s="68"/>
      <c r="E332" s="69"/>
      <c r="F332" s="70"/>
      <c r="G332" s="67"/>
      <c r="H332" s="71"/>
      <c r="I332" s="72"/>
      <c r="J332" s="72"/>
      <c r="K332" s="36"/>
      <c r="L332" s="79"/>
      <c r="M332" s="79"/>
      <c r="N332" s="74"/>
      <c r="O332" s="81" t="s">
        <v>1205</v>
      </c>
      <c r="P332" s="83">
        <v>44460.195497685185</v>
      </c>
      <c r="Q332" s="81" t="s">
        <v>1324</v>
      </c>
      <c r="R332" s="81"/>
      <c r="S332" s="81"/>
      <c r="T332" s="81"/>
      <c r="U332" s="85" t="str">
        <f>HYPERLINK("https://pbs.twimg.com/media/E_xVJy2VQAQerFe.jpg")</f>
        <v>https://pbs.twimg.com/media/E_xVJy2VQAQerFe.jpg</v>
      </c>
      <c r="V332" s="85" t="str">
        <f>HYPERLINK("https://pbs.twimg.com/media/E_xVJy2VQAQerFe.jpg")</f>
        <v>https://pbs.twimg.com/media/E_xVJy2VQAQerFe.jpg</v>
      </c>
      <c r="W332" s="83">
        <v>44460.195497685185</v>
      </c>
      <c r="X332" s="89">
        <v>44460</v>
      </c>
      <c r="Y332" s="87" t="s">
        <v>2010</v>
      </c>
      <c r="Z332" s="85" t="str">
        <f>HYPERLINK("https://twitter.com/kutang_bolong/status/1440174328637579286")</f>
        <v>https://twitter.com/kutang_bolong/status/1440174328637579286</v>
      </c>
      <c r="AA332" s="81"/>
      <c r="AB332" s="81"/>
      <c r="AC332" s="87" t="s">
        <v>2932</v>
      </c>
      <c r="AD332" s="81"/>
      <c r="AE332" s="81" t="b">
        <v>0</v>
      </c>
      <c r="AF332" s="81">
        <v>0</v>
      </c>
      <c r="AG332" s="87" t="s">
        <v>3875</v>
      </c>
      <c r="AH332" s="81" t="b">
        <v>0</v>
      </c>
      <c r="AI332" s="81" t="s">
        <v>4092</v>
      </c>
      <c r="AJ332" s="81"/>
      <c r="AK332" s="87" t="s">
        <v>3875</v>
      </c>
      <c r="AL332" s="81" t="b">
        <v>0</v>
      </c>
      <c r="AM332" s="81">
        <v>321</v>
      </c>
      <c r="AN332" s="87" t="s">
        <v>3520</v>
      </c>
      <c r="AO332" s="87" t="s">
        <v>4109</v>
      </c>
      <c r="AP332" s="81" t="b">
        <v>0</v>
      </c>
      <c r="AQ332" s="87" t="s">
        <v>3520</v>
      </c>
      <c r="AR332" s="81" t="s">
        <v>179</v>
      </c>
      <c r="AS332" s="81">
        <v>0</v>
      </c>
      <c r="AT332" s="81">
        <v>0</v>
      </c>
      <c r="AU332" s="81"/>
      <c r="AV332" s="81"/>
      <c r="AW332" s="81"/>
      <c r="AX332" s="81"/>
      <c r="AY332" s="81"/>
      <c r="AZ332" s="81"/>
      <c r="BA332" s="81"/>
      <c r="BB332" s="81"/>
    </row>
    <row r="333" spans="1:54" x14ac:dyDescent="0.35">
      <c r="A333" s="66" t="s">
        <v>418</v>
      </c>
      <c r="B333" s="66" t="s">
        <v>1062</v>
      </c>
      <c r="C333" s="67"/>
      <c r="D333" s="68"/>
      <c r="E333" s="69"/>
      <c r="F333" s="70"/>
      <c r="G333" s="67"/>
      <c r="H333" s="71"/>
      <c r="I333" s="72"/>
      <c r="J333" s="72"/>
      <c r="K333" s="36"/>
      <c r="L333" s="79"/>
      <c r="M333" s="79"/>
      <c r="N333" s="74"/>
      <c r="O333" s="81" t="s">
        <v>1208</v>
      </c>
      <c r="P333" s="83">
        <v>44460.198680555557</v>
      </c>
      <c r="Q333" s="81" t="s">
        <v>1333</v>
      </c>
      <c r="R333" s="81"/>
      <c r="S333" s="81"/>
      <c r="T333" s="81"/>
      <c r="U333" s="81"/>
      <c r="V333" s="85" t="str">
        <f>HYPERLINK("https://pbs.twimg.com/profile_images/1439128221841190912/trVhf1HI_normal.jpg")</f>
        <v>https://pbs.twimg.com/profile_images/1439128221841190912/trVhf1HI_normal.jpg</v>
      </c>
      <c r="W333" s="83">
        <v>44460.198680555557</v>
      </c>
      <c r="X333" s="89">
        <v>44460</v>
      </c>
      <c r="Y333" s="87" t="s">
        <v>2011</v>
      </c>
      <c r="Z333" s="85" t="str">
        <f>HYPERLINK("https://twitter.com/yourauroraaaaa/status/1440175481467244545")</f>
        <v>https://twitter.com/yourauroraaaaa/status/1440175481467244545</v>
      </c>
      <c r="AA333" s="81"/>
      <c r="AB333" s="81"/>
      <c r="AC333" s="87" t="s">
        <v>2933</v>
      </c>
      <c r="AD333" s="87" t="s">
        <v>3702</v>
      </c>
      <c r="AE333" s="81" t="b">
        <v>0</v>
      </c>
      <c r="AF333" s="81">
        <v>0</v>
      </c>
      <c r="AG333" s="87" t="s">
        <v>3936</v>
      </c>
      <c r="AH333" s="81" t="b">
        <v>0</v>
      </c>
      <c r="AI333" s="81" t="s">
        <v>4092</v>
      </c>
      <c r="AJ333" s="81"/>
      <c r="AK333" s="87" t="s">
        <v>3875</v>
      </c>
      <c r="AL333" s="81" t="b">
        <v>0</v>
      </c>
      <c r="AM333" s="81">
        <v>0</v>
      </c>
      <c r="AN333" s="87" t="s">
        <v>3875</v>
      </c>
      <c r="AO333" s="87" t="s">
        <v>4110</v>
      </c>
      <c r="AP333" s="81" t="b">
        <v>0</v>
      </c>
      <c r="AQ333" s="87" t="s">
        <v>3702</v>
      </c>
      <c r="AR333" s="81" t="s">
        <v>179</v>
      </c>
      <c r="AS333" s="81">
        <v>0</v>
      </c>
      <c r="AT333" s="81">
        <v>0</v>
      </c>
      <c r="AU333" s="81"/>
      <c r="AV333" s="81"/>
      <c r="AW333" s="81"/>
      <c r="AX333" s="81"/>
      <c r="AY333" s="81"/>
      <c r="AZ333" s="81"/>
      <c r="BA333" s="81"/>
      <c r="BB333" s="81"/>
    </row>
    <row r="334" spans="1:54" x14ac:dyDescent="0.35">
      <c r="A334" s="66" t="s">
        <v>419</v>
      </c>
      <c r="B334" s="66" t="s">
        <v>1055</v>
      </c>
      <c r="C334" s="67"/>
      <c r="D334" s="68"/>
      <c r="E334" s="69"/>
      <c r="F334" s="70"/>
      <c r="G334" s="67"/>
      <c r="H334" s="71"/>
      <c r="I334" s="72"/>
      <c r="J334" s="72"/>
      <c r="K334" s="36"/>
      <c r="L334" s="79"/>
      <c r="M334" s="79"/>
      <c r="N334" s="74"/>
      <c r="O334" s="81" t="s">
        <v>1207</v>
      </c>
      <c r="P334" s="83">
        <v>44460.200844907406</v>
      </c>
      <c r="Q334" s="81" t="s">
        <v>1324</v>
      </c>
      <c r="R334" s="81"/>
      <c r="S334" s="81"/>
      <c r="T334" s="81"/>
      <c r="U334" s="85" t="str">
        <f>HYPERLINK("https://pbs.twimg.com/media/E_xVJy2VQAQerFe.jpg")</f>
        <v>https://pbs.twimg.com/media/E_xVJy2VQAQerFe.jpg</v>
      </c>
      <c r="V334" s="85" t="str">
        <f>HYPERLINK("https://pbs.twimg.com/media/E_xVJy2VQAQerFe.jpg")</f>
        <v>https://pbs.twimg.com/media/E_xVJy2VQAQerFe.jpg</v>
      </c>
      <c r="W334" s="83">
        <v>44460.200844907406</v>
      </c>
      <c r="X334" s="89">
        <v>44460</v>
      </c>
      <c r="Y334" s="87" t="s">
        <v>2012</v>
      </c>
      <c r="Z334" s="85" t="str">
        <f>HYPERLINK("https://twitter.com/feryy12343/status/1440176265042956300")</f>
        <v>https://twitter.com/feryy12343/status/1440176265042956300</v>
      </c>
      <c r="AA334" s="81"/>
      <c r="AB334" s="81"/>
      <c r="AC334" s="87" t="s">
        <v>2934</v>
      </c>
      <c r="AD334" s="81"/>
      <c r="AE334" s="81" t="b">
        <v>0</v>
      </c>
      <c r="AF334" s="81">
        <v>0</v>
      </c>
      <c r="AG334" s="87" t="s">
        <v>3875</v>
      </c>
      <c r="AH334" s="81" t="b">
        <v>0</v>
      </c>
      <c r="AI334" s="81" t="s">
        <v>4092</v>
      </c>
      <c r="AJ334" s="81"/>
      <c r="AK334" s="87" t="s">
        <v>3875</v>
      </c>
      <c r="AL334" s="81" t="b">
        <v>0</v>
      </c>
      <c r="AM334" s="81">
        <v>321</v>
      </c>
      <c r="AN334" s="87" t="s">
        <v>3520</v>
      </c>
      <c r="AO334" s="87" t="s">
        <v>4109</v>
      </c>
      <c r="AP334" s="81" t="b">
        <v>0</v>
      </c>
      <c r="AQ334" s="87" t="s">
        <v>3520</v>
      </c>
      <c r="AR334" s="81" t="s">
        <v>179</v>
      </c>
      <c r="AS334" s="81">
        <v>0</v>
      </c>
      <c r="AT334" s="81">
        <v>0</v>
      </c>
      <c r="AU334" s="81"/>
      <c r="AV334" s="81"/>
      <c r="AW334" s="81"/>
      <c r="AX334" s="81"/>
      <c r="AY334" s="81"/>
      <c r="AZ334" s="81"/>
      <c r="BA334" s="81"/>
      <c r="BB334" s="81"/>
    </row>
    <row r="335" spans="1:54" x14ac:dyDescent="0.35">
      <c r="A335" s="66" t="s">
        <v>419</v>
      </c>
      <c r="B335" s="66" t="s">
        <v>910</v>
      </c>
      <c r="C335" s="67"/>
      <c r="D335" s="68"/>
      <c r="E335" s="69"/>
      <c r="F335" s="70"/>
      <c r="G335" s="67"/>
      <c r="H335" s="71"/>
      <c r="I335" s="72"/>
      <c r="J335" s="72"/>
      <c r="K335" s="36"/>
      <c r="L335" s="79"/>
      <c r="M335" s="79"/>
      <c r="N335" s="74"/>
      <c r="O335" s="81" t="s">
        <v>1205</v>
      </c>
      <c r="P335" s="83">
        <v>44460.200844907406</v>
      </c>
      <c r="Q335" s="81" t="s">
        <v>1324</v>
      </c>
      <c r="R335" s="81"/>
      <c r="S335" s="81"/>
      <c r="T335" s="81"/>
      <c r="U335" s="85" t="str">
        <f>HYPERLINK("https://pbs.twimg.com/media/E_xVJy2VQAQerFe.jpg")</f>
        <v>https://pbs.twimg.com/media/E_xVJy2VQAQerFe.jpg</v>
      </c>
      <c r="V335" s="85" t="str">
        <f>HYPERLINK("https://pbs.twimg.com/media/E_xVJy2VQAQerFe.jpg")</f>
        <v>https://pbs.twimg.com/media/E_xVJy2VQAQerFe.jpg</v>
      </c>
      <c r="W335" s="83">
        <v>44460.200844907406</v>
      </c>
      <c r="X335" s="89">
        <v>44460</v>
      </c>
      <c r="Y335" s="87" t="s">
        <v>2012</v>
      </c>
      <c r="Z335" s="85" t="str">
        <f>HYPERLINK("https://twitter.com/feryy12343/status/1440176265042956300")</f>
        <v>https://twitter.com/feryy12343/status/1440176265042956300</v>
      </c>
      <c r="AA335" s="81"/>
      <c r="AB335" s="81"/>
      <c r="AC335" s="87" t="s">
        <v>2934</v>
      </c>
      <c r="AD335" s="81"/>
      <c r="AE335" s="81" t="b">
        <v>0</v>
      </c>
      <c r="AF335" s="81">
        <v>0</v>
      </c>
      <c r="AG335" s="87" t="s">
        <v>3875</v>
      </c>
      <c r="AH335" s="81" t="b">
        <v>0</v>
      </c>
      <c r="AI335" s="81" t="s">
        <v>4092</v>
      </c>
      <c r="AJ335" s="81"/>
      <c r="AK335" s="87" t="s">
        <v>3875</v>
      </c>
      <c r="AL335" s="81" t="b">
        <v>0</v>
      </c>
      <c r="AM335" s="81">
        <v>321</v>
      </c>
      <c r="AN335" s="87" t="s">
        <v>3520</v>
      </c>
      <c r="AO335" s="87" t="s">
        <v>4109</v>
      </c>
      <c r="AP335" s="81" t="b">
        <v>0</v>
      </c>
      <c r="AQ335" s="87" t="s">
        <v>3520</v>
      </c>
      <c r="AR335" s="81" t="s">
        <v>179</v>
      </c>
      <c r="AS335" s="81">
        <v>0</v>
      </c>
      <c r="AT335" s="81">
        <v>0</v>
      </c>
      <c r="AU335" s="81"/>
      <c r="AV335" s="81"/>
      <c r="AW335" s="81"/>
      <c r="AX335" s="81"/>
      <c r="AY335" s="81"/>
      <c r="AZ335" s="81"/>
      <c r="BA335" s="81"/>
      <c r="BB335" s="81"/>
    </row>
    <row r="336" spans="1:54" x14ac:dyDescent="0.35">
      <c r="A336" s="66" t="s">
        <v>420</v>
      </c>
      <c r="B336" s="66" t="s">
        <v>1055</v>
      </c>
      <c r="C336" s="67"/>
      <c r="D336" s="68"/>
      <c r="E336" s="69"/>
      <c r="F336" s="70"/>
      <c r="G336" s="67"/>
      <c r="H336" s="71"/>
      <c r="I336" s="72"/>
      <c r="J336" s="72"/>
      <c r="K336" s="36"/>
      <c r="L336" s="79"/>
      <c r="M336" s="79"/>
      <c r="N336" s="74"/>
      <c r="O336" s="81" t="s">
        <v>1207</v>
      </c>
      <c r="P336" s="83">
        <v>44460.201064814813</v>
      </c>
      <c r="Q336" s="81" t="s">
        <v>1324</v>
      </c>
      <c r="R336" s="81"/>
      <c r="S336" s="81"/>
      <c r="T336" s="81"/>
      <c r="U336" s="85" t="str">
        <f>HYPERLINK("https://pbs.twimg.com/media/E_xVJy2VQAQerFe.jpg")</f>
        <v>https://pbs.twimg.com/media/E_xVJy2VQAQerFe.jpg</v>
      </c>
      <c r="V336" s="85" t="str">
        <f>HYPERLINK("https://pbs.twimg.com/media/E_xVJy2VQAQerFe.jpg")</f>
        <v>https://pbs.twimg.com/media/E_xVJy2VQAQerFe.jpg</v>
      </c>
      <c r="W336" s="83">
        <v>44460.201064814813</v>
      </c>
      <c r="X336" s="89">
        <v>44460</v>
      </c>
      <c r="Y336" s="87" t="s">
        <v>2013</v>
      </c>
      <c r="Z336" s="85" t="str">
        <f>HYPERLINK("https://twitter.com/penggiatumkm/status/1440176346542477313")</f>
        <v>https://twitter.com/penggiatumkm/status/1440176346542477313</v>
      </c>
      <c r="AA336" s="81"/>
      <c r="AB336" s="81"/>
      <c r="AC336" s="87" t="s">
        <v>2935</v>
      </c>
      <c r="AD336" s="81"/>
      <c r="AE336" s="81" t="b">
        <v>0</v>
      </c>
      <c r="AF336" s="81">
        <v>0</v>
      </c>
      <c r="AG336" s="87" t="s">
        <v>3875</v>
      </c>
      <c r="AH336" s="81" t="b">
        <v>0</v>
      </c>
      <c r="AI336" s="81" t="s">
        <v>4092</v>
      </c>
      <c r="AJ336" s="81"/>
      <c r="AK336" s="87" t="s">
        <v>3875</v>
      </c>
      <c r="AL336" s="81" t="b">
        <v>0</v>
      </c>
      <c r="AM336" s="81">
        <v>321</v>
      </c>
      <c r="AN336" s="87" t="s">
        <v>3520</v>
      </c>
      <c r="AO336" s="87" t="s">
        <v>4109</v>
      </c>
      <c r="AP336" s="81" t="b">
        <v>0</v>
      </c>
      <c r="AQ336" s="87" t="s">
        <v>3520</v>
      </c>
      <c r="AR336" s="81" t="s">
        <v>179</v>
      </c>
      <c r="AS336" s="81">
        <v>0</v>
      </c>
      <c r="AT336" s="81">
        <v>0</v>
      </c>
      <c r="AU336" s="81"/>
      <c r="AV336" s="81"/>
      <c r="AW336" s="81"/>
      <c r="AX336" s="81"/>
      <c r="AY336" s="81"/>
      <c r="AZ336" s="81"/>
      <c r="BA336" s="81"/>
      <c r="BB336" s="81"/>
    </row>
    <row r="337" spans="1:54" x14ac:dyDescent="0.35">
      <c r="A337" s="66" t="s">
        <v>420</v>
      </c>
      <c r="B337" s="66" t="s">
        <v>910</v>
      </c>
      <c r="C337" s="67"/>
      <c r="D337" s="68"/>
      <c r="E337" s="69"/>
      <c r="F337" s="70"/>
      <c r="G337" s="67"/>
      <c r="H337" s="71"/>
      <c r="I337" s="72"/>
      <c r="J337" s="72"/>
      <c r="K337" s="36"/>
      <c r="L337" s="79"/>
      <c r="M337" s="79"/>
      <c r="N337" s="74"/>
      <c r="O337" s="81" t="s">
        <v>1205</v>
      </c>
      <c r="P337" s="83">
        <v>44460.201064814813</v>
      </c>
      <c r="Q337" s="81" t="s">
        <v>1324</v>
      </c>
      <c r="R337" s="81"/>
      <c r="S337" s="81"/>
      <c r="T337" s="81"/>
      <c r="U337" s="85" t="str">
        <f>HYPERLINK("https://pbs.twimg.com/media/E_xVJy2VQAQerFe.jpg")</f>
        <v>https://pbs.twimg.com/media/E_xVJy2VQAQerFe.jpg</v>
      </c>
      <c r="V337" s="85" t="str">
        <f>HYPERLINK("https://pbs.twimg.com/media/E_xVJy2VQAQerFe.jpg")</f>
        <v>https://pbs.twimg.com/media/E_xVJy2VQAQerFe.jpg</v>
      </c>
      <c r="W337" s="83">
        <v>44460.201064814813</v>
      </c>
      <c r="X337" s="89">
        <v>44460</v>
      </c>
      <c r="Y337" s="87" t="s">
        <v>2013</v>
      </c>
      <c r="Z337" s="85" t="str">
        <f>HYPERLINK("https://twitter.com/penggiatumkm/status/1440176346542477313")</f>
        <v>https://twitter.com/penggiatumkm/status/1440176346542477313</v>
      </c>
      <c r="AA337" s="81"/>
      <c r="AB337" s="81"/>
      <c r="AC337" s="87" t="s">
        <v>2935</v>
      </c>
      <c r="AD337" s="81"/>
      <c r="AE337" s="81" t="b">
        <v>0</v>
      </c>
      <c r="AF337" s="81">
        <v>0</v>
      </c>
      <c r="AG337" s="87" t="s">
        <v>3875</v>
      </c>
      <c r="AH337" s="81" t="b">
        <v>0</v>
      </c>
      <c r="AI337" s="81" t="s">
        <v>4092</v>
      </c>
      <c r="AJ337" s="81"/>
      <c r="AK337" s="87" t="s">
        <v>3875</v>
      </c>
      <c r="AL337" s="81" t="b">
        <v>0</v>
      </c>
      <c r="AM337" s="81">
        <v>321</v>
      </c>
      <c r="AN337" s="87" t="s">
        <v>3520</v>
      </c>
      <c r="AO337" s="87" t="s">
        <v>4109</v>
      </c>
      <c r="AP337" s="81" t="b">
        <v>0</v>
      </c>
      <c r="AQ337" s="87" t="s">
        <v>3520</v>
      </c>
      <c r="AR337" s="81" t="s">
        <v>179</v>
      </c>
      <c r="AS337" s="81">
        <v>0</v>
      </c>
      <c r="AT337" s="81">
        <v>0</v>
      </c>
      <c r="AU337" s="81"/>
      <c r="AV337" s="81"/>
      <c r="AW337" s="81"/>
      <c r="AX337" s="81"/>
      <c r="AY337" s="81"/>
      <c r="AZ337" s="81"/>
      <c r="BA337" s="81"/>
      <c r="BB337" s="81"/>
    </row>
    <row r="338" spans="1:54" x14ac:dyDescent="0.35">
      <c r="A338" s="66" t="s">
        <v>421</v>
      </c>
      <c r="B338" s="66" t="s">
        <v>1055</v>
      </c>
      <c r="C338" s="67"/>
      <c r="D338" s="68"/>
      <c r="E338" s="69"/>
      <c r="F338" s="70"/>
      <c r="G338" s="67"/>
      <c r="H338" s="71"/>
      <c r="I338" s="72"/>
      <c r="J338" s="72"/>
      <c r="K338" s="36"/>
      <c r="L338" s="79"/>
      <c r="M338" s="79"/>
      <c r="N338" s="74"/>
      <c r="O338" s="81" t="s">
        <v>1207</v>
      </c>
      <c r="P338" s="83">
        <v>44460.204282407409</v>
      </c>
      <c r="Q338" s="81" t="s">
        <v>1324</v>
      </c>
      <c r="R338" s="81"/>
      <c r="S338" s="81"/>
      <c r="T338" s="81"/>
      <c r="U338" s="85" t="str">
        <f>HYPERLINK("https://pbs.twimg.com/media/E_xVJy2VQAQerFe.jpg")</f>
        <v>https://pbs.twimg.com/media/E_xVJy2VQAQerFe.jpg</v>
      </c>
      <c r="V338" s="85" t="str">
        <f>HYPERLINK("https://pbs.twimg.com/media/E_xVJy2VQAQerFe.jpg")</f>
        <v>https://pbs.twimg.com/media/E_xVJy2VQAQerFe.jpg</v>
      </c>
      <c r="W338" s="83">
        <v>44460.204282407409</v>
      </c>
      <c r="X338" s="89">
        <v>44460</v>
      </c>
      <c r="Y338" s="87" t="s">
        <v>2014</v>
      </c>
      <c r="Z338" s="85" t="str">
        <f>HYPERLINK("https://twitter.com/lelucky99/status/1440177512265310213")</f>
        <v>https://twitter.com/lelucky99/status/1440177512265310213</v>
      </c>
      <c r="AA338" s="81"/>
      <c r="AB338" s="81"/>
      <c r="AC338" s="87" t="s">
        <v>2936</v>
      </c>
      <c r="AD338" s="81"/>
      <c r="AE338" s="81" t="b">
        <v>0</v>
      </c>
      <c r="AF338" s="81">
        <v>0</v>
      </c>
      <c r="AG338" s="87" t="s">
        <v>3875</v>
      </c>
      <c r="AH338" s="81" t="b">
        <v>0</v>
      </c>
      <c r="AI338" s="81" t="s">
        <v>4092</v>
      </c>
      <c r="AJ338" s="81"/>
      <c r="AK338" s="87" t="s">
        <v>3875</v>
      </c>
      <c r="AL338" s="81" t="b">
        <v>0</v>
      </c>
      <c r="AM338" s="81">
        <v>321</v>
      </c>
      <c r="AN338" s="87" t="s">
        <v>3520</v>
      </c>
      <c r="AO338" s="87" t="s">
        <v>4109</v>
      </c>
      <c r="AP338" s="81" t="b">
        <v>0</v>
      </c>
      <c r="AQ338" s="87" t="s">
        <v>3520</v>
      </c>
      <c r="AR338" s="81" t="s">
        <v>179</v>
      </c>
      <c r="AS338" s="81">
        <v>0</v>
      </c>
      <c r="AT338" s="81">
        <v>0</v>
      </c>
      <c r="AU338" s="81"/>
      <c r="AV338" s="81"/>
      <c r="AW338" s="81"/>
      <c r="AX338" s="81"/>
      <c r="AY338" s="81"/>
      <c r="AZ338" s="81"/>
      <c r="BA338" s="81"/>
      <c r="BB338" s="81"/>
    </row>
    <row r="339" spans="1:54" x14ac:dyDescent="0.35">
      <c r="A339" s="66" t="s">
        <v>421</v>
      </c>
      <c r="B339" s="66" t="s">
        <v>910</v>
      </c>
      <c r="C339" s="67"/>
      <c r="D339" s="68"/>
      <c r="E339" s="69"/>
      <c r="F339" s="70"/>
      <c r="G339" s="67"/>
      <c r="H339" s="71"/>
      <c r="I339" s="72"/>
      <c r="J339" s="72"/>
      <c r="K339" s="36"/>
      <c r="L339" s="79"/>
      <c r="M339" s="79"/>
      <c r="N339" s="74"/>
      <c r="O339" s="81" t="s">
        <v>1205</v>
      </c>
      <c r="P339" s="83">
        <v>44460.204282407409</v>
      </c>
      <c r="Q339" s="81" t="s">
        <v>1324</v>
      </c>
      <c r="R339" s="81"/>
      <c r="S339" s="81"/>
      <c r="T339" s="81"/>
      <c r="U339" s="85" t="str">
        <f>HYPERLINK("https://pbs.twimg.com/media/E_xVJy2VQAQerFe.jpg")</f>
        <v>https://pbs.twimg.com/media/E_xVJy2VQAQerFe.jpg</v>
      </c>
      <c r="V339" s="85" t="str">
        <f>HYPERLINK("https://pbs.twimg.com/media/E_xVJy2VQAQerFe.jpg")</f>
        <v>https://pbs.twimg.com/media/E_xVJy2VQAQerFe.jpg</v>
      </c>
      <c r="W339" s="83">
        <v>44460.204282407409</v>
      </c>
      <c r="X339" s="89">
        <v>44460</v>
      </c>
      <c r="Y339" s="87" t="s">
        <v>2014</v>
      </c>
      <c r="Z339" s="85" t="str">
        <f>HYPERLINK("https://twitter.com/lelucky99/status/1440177512265310213")</f>
        <v>https://twitter.com/lelucky99/status/1440177512265310213</v>
      </c>
      <c r="AA339" s="81"/>
      <c r="AB339" s="81"/>
      <c r="AC339" s="87" t="s">
        <v>2936</v>
      </c>
      <c r="AD339" s="81"/>
      <c r="AE339" s="81" t="b">
        <v>0</v>
      </c>
      <c r="AF339" s="81">
        <v>0</v>
      </c>
      <c r="AG339" s="87" t="s">
        <v>3875</v>
      </c>
      <c r="AH339" s="81" t="b">
        <v>0</v>
      </c>
      <c r="AI339" s="81" t="s">
        <v>4092</v>
      </c>
      <c r="AJ339" s="81"/>
      <c r="AK339" s="87" t="s">
        <v>3875</v>
      </c>
      <c r="AL339" s="81" t="b">
        <v>0</v>
      </c>
      <c r="AM339" s="81">
        <v>321</v>
      </c>
      <c r="AN339" s="87" t="s">
        <v>3520</v>
      </c>
      <c r="AO339" s="87" t="s">
        <v>4109</v>
      </c>
      <c r="AP339" s="81" t="b">
        <v>0</v>
      </c>
      <c r="AQ339" s="87" t="s">
        <v>3520</v>
      </c>
      <c r="AR339" s="81" t="s">
        <v>179</v>
      </c>
      <c r="AS339" s="81">
        <v>0</v>
      </c>
      <c r="AT339" s="81">
        <v>0</v>
      </c>
      <c r="AU339" s="81"/>
      <c r="AV339" s="81"/>
      <c r="AW339" s="81"/>
      <c r="AX339" s="81"/>
      <c r="AY339" s="81"/>
      <c r="AZ339" s="81"/>
      <c r="BA339" s="81"/>
      <c r="BB339" s="81"/>
    </row>
    <row r="340" spans="1:54" x14ac:dyDescent="0.35">
      <c r="A340" s="66" t="s">
        <v>422</v>
      </c>
      <c r="B340" s="66" t="s">
        <v>1055</v>
      </c>
      <c r="C340" s="67"/>
      <c r="D340" s="68"/>
      <c r="E340" s="69"/>
      <c r="F340" s="70"/>
      <c r="G340" s="67"/>
      <c r="H340" s="71"/>
      <c r="I340" s="72"/>
      <c r="J340" s="72"/>
      <c r="K340" s="36"/>
      <c r="L340" s="79"/>
      <c r="M340" s="79"/>
      <c r="N340" s="74"/>
      <c r="O340" s="81" t="s">
        <v>1207</v>
      </c>
      <c r="P340" s="83">
        <v>44460.204618055555</v>
      </c>
      <c r="Q340" s="81" t="s">
        <v>1324</v>
      </c>
      <c r="R340" s="81"/>
      <c r="S340" s="81"/>
      <c r="T340" s="81"/>
      <c r="U340" s="85" t="str">
        <f>HYPERLINK("https://pbs.twimg.com/media/E_xVJy2VQAQerFe.jpg")</f>
        <v>https://pbs.twimg.com/media/E_xVJy2VQAQerFe.jpg</v>
      </c>
      <c r="V340" s="85" t="str">
        <f>HYPERLINK("https://pbs.twimg.com/media/E_xVJy2VQAQerFe.jpg")</f>
        <v>https://pbs.twimg.com/media/E_xVJy2VQAQerFe.jpg</v>
      </c>
      <c r="W340" s="83">
        <v>44460.204618055555</v>
      </c>
      <c r="X340" s="89">
        <v>44460</v>
      </c>
      <c r="Y340" s="87" t="s">
        <v>2015</v>
      </c>
      <c r="Z340" s="85" t="str">
        <f>HYPERLINK("https://twitter.com/brunowicaksono/status/1440177634378326023")</f>
        <v>https://twitter.com/brunowicaksono/status/1440177634378326023</v>
      </c>
      <c r="AA340" s="81"/>
      <c r="AB340" s="81"/>
      <c r="AC340" s="87" t="s">
        <v>2937</v>
      </c>
      <c r="AD340" s="81"/>
      <c r="AE340" s="81" t="b">
        <v>0</v>
      </c>
      <c r="AF340" s="81">
        <v>0</v>
      </c>
      <c r="AG340" s="87" t="s">
        <v>3875</v>
      </c>
      <c r="AH340" s="81" t="b">
        <v>0</v>
      </c>
      <c r="AI340" s="81" t="s">
        <v>4092</v>
      </c>
      <c r="AJ340" s="81"/>
      <c r="AK340" s="87" t="s">
        <v>3875</v>
      </c>
      <c r="AL340" s="81" t="b">
        <v>0</v>
      </c>
      <c r="AM340" s="81">
        <v>321</v>
      </c>
      <c r="AN340" s="87" t="s">
        <v>3520</v>
      </c>
      <c r="AO340" s="87" t="s">
        <v>4109</v>
      </c>
      <c r="AP340" s="81" t="b">
        <v>0</v>
      </c>
      <c r="AQ340" s="87" t="s">
        <v>3520</v>
      </c>
      <c r="AR340" s="81" t="s">
        <v>179</v>
      </c>
      <c r="AS340" s="81">
        <v>0</v>
      </c>
      <c r="AT340" s="81">
        <v>0</v>
      </c>
      <c r="AU340" s="81"/>
      <c r="AV340" s="81"/>
      <c r="AW340" s="81"/>
      <c r="AX340" s="81"/>
      <c r="AY340" s="81"/>
      <c r="AZ340" s="81"/>
      <c r="BA340" s="81"/>
      <c r="BB340" s="81"/>
    </row>
    <row r="341" spans="1:54" x14ac:dyDescent="0.35">
      <c r="A341" s="66" t="s">
        <v>422</v>
      </c>
      <c r="B341" s="66" t="s">
        <v>910</v>
      </c>
      <c r="C341" s="67"/>
      <c r="D341" s="68"/>
      <c r="E341" s="69"/>
      <c r="F341" s="70"/>
      <c r="G341" s="67"/>
      <c r="H341" s="71"/>
      <c r="I341" s="72"/>
      <c r="J341" s="72"/>
      <c r="K341" s="36"/>
      <c r="L341" s="79"/>
      <c r="M341" s="79"/>
      <c r="N341" s="74"/>
      <c r="O341" s="81" t="s">
        <v>1205</v>
      </c>
      <c r="P341" s="83">
        <v>44460.204618055555</v>
      </c>
      <c r="Q341" s="81" t="s">
        <v>1324</v>
      </c>
      <c r="R341" s="81"/>
      <c r="S341" s="81"/>
      <c r="T341" s="81"/>
      <c r="U341" s="85" t="str">
        <f>HYPERLINK("https://pbs.twimg.com/media/E_xVJy2VQAQerFe.jpg")</f>
        <v>https://pbs.twimg.com/media/E_xVJy2VQAQerFe.jpg</v>
      </c>
      <c r="V341" s="85" t="str">
        <f>HYPERLINK("https://pbs.twimg.com/media/E_xVJy2VQAQerFe.jpg")</f>
        <v>https://pbs.twimg.com/media/E_xVJy2VQAQerFe.jpg</v>
      </c>
      <c r="W341" s="83">
        <v>44460.204618055555</v>
      </c>
      <c r="X341" s="89">
        <v>44460</v>
      </c>
      <c r="Y341" s="87" t="s">
        <v>2015</v>
      </c>
      <c r="Z341" s="85" t="str">
        <f>HYPERLINK("https://twitter.com/brunowicaksono/status/1440177634378326023")</f>
        <v>https://twitter.com/brunowicaksono/status/1440177634378326023</v>
      </c>
      <c r="AA341" s="81"/>
      <c r="AB341" s="81"/>
      <c r="AC341" s="87" t="s">
        <v>2937</v>
      </c>
      <c r="AD341" s="81"/>
      <c r="AE341" s="81" t="b">
        <v>0</v>
      </c>
      <c r="AF341" s="81">
        <v>0</v>
      </c>
      <c r="AG341" s="87" t="s">
        <v>3875</v>
      </c>
      <c r="AH341" s="81" t="b">
        <v>0</v>
      </c>
      <c r="AI341" s="81" t="s">
        <v>4092</v>
      </c>
      <c r="AJ341" s="81"/>
      <c r="AK341" s="87" t="s">
        <v>3875</v>
      </c>
      <c r="AL341" s="81" t="b">
        <v>0</v>
      </c>
      <c r="AM341" s="81">
        <v>321</v>
      </c>
      <c r="AN341" s="87" t="s">
        <v>3520</v>
      </c>
      <c r="AO341" s="87" t="s">
        <v>4109</v>
      </c>
      <c r="AP341" s="81" t="b">
        <v>0</v>
      </c>
      <c r="AQ341" s="87" t="s">
        <v>3520</v>
      </c>
      <c r="AR341" s="81" t="s">
        <v>179</v>
      </c>
      <c r="AS341" s="81">
        <v>0</v>
      </c>
      <c r="AT341" s="81">
        <v>0</v>
      </c>
      <c r="AU341" s="81"/>
      <c r="AV341" s="81"/>
      <c r="AW341" s="81"/>
      <c r="AX341" s="81"/>
      <c r="AY341" s="81"/>
      <c r="AZ341" s="81"/>
      <c r="BA341" s="81"/>
      <c r="BB341" s="81"/>
    </row>
    <row r="342" spans="1:54" x14ac:dyDescent="0.35">
      <c r="A342" s="66" t="s">
        <v>423</v>
      </c>
      <c r="B342" s="66" t="s">
        <v>1055</v>
      </c>
      <c r="C342" s="67"/>
      <c r="D342" s="68"/>
      <c r="E342" s="69"/>
      <c r="F342" s="70"/>
      <c r="G342" s="67"/>
      <c r="H342" s="71"/>
      <c r="I342" s="72"/>
      <c r="J342" s="72"/>
      <c r="K342" s="36"/>
      <c r="L342" s="79"/>
      <c r="M342" s="79"/>
      <c r="N342" s="74"/>
      <c r="O342" s="81" t="s">
        <v>1207</v>
      </c>
      <c r="P342" s="83">
        <v>44460.206585648149</v>
      </c>
      <c r="Q342" s="81" t="s">
        <v>1324</v>
      </c>
      <c r="R342" s="81"/>
      <c r="S342" s="81"/>
      <c r="T342" s="81"/>
      <c r="U342" s="85" t="str">
        <f>HYPERLINK("https://pbs.twimg.com/media/E_xVJy2VQAQerFe.jpg")</f>
        <v>https://pbs.twimg.com/media/E_xVJy2VQAQerFe.jpg</v>
      </c>
      <c r="V342" s="85" t="str">
        <f>HYPERLINK("https://pbs.twimg.com/media/E_xVJy2VQAQerFe.jpg")</f>
        <v>https://pbs.twimg.com/media/E_xVJy2VQAQerFe.jpg</v>
      </c>
      <c r="W342" s="83">
        <v>44460.206585648149</v>
      </c>
      <c r="X342" s="89">
        <v>44460</v>
      </c>
      <c r="Y342" s="87" t="s">
        <v>2016</v>
      </c>
      <c r="Z342" s="85" t="str">
        <f>HYPERLINK("https://twitter.com/tree_ofjuly/status/1440178344465604614")</f>
        <v>https://twitter.com/tree_ofjuly/status/1440178344465604614</v>
      </c>
      <c r="AA342" s="81"/>
      <c r="AB342" s="81"/>
      <c r="AC342" s="87" t="s">
        <v>2938</v>
      </c>
      <c r="AD342" s="81"/>
      <c r="AE342" s="81" t="b">
        <v>0</v>
      </c>
      <c r="AF342" s="81">
        <v>0</v>
      </c>
      <c r="AG342" s="87" t="s">
        <v>3875</v>
      </c>
      <c r="AH342" s="81" t="b">
        <v>0</v>
      </c>
      <c r="AI342" s="81" t="s">
        <v>4092</v>
      </c>
      <c r="AJ342" s="81"/>
      <c r="AK342" s="87" t="s">
        <v>3875</v>
      </c>
      <c r="AL342" s="81" t="b">
        <v>0</v>
      </c>
      <c r="AM342" s="81">
        <v>321</v>
      </c>
      <c r="AN342" s="87" t="s">
        <v>3520</v>
      </c>
      <c r="AO342" s="87" t="s">
        <v>4109</v>
      </c>
      <c r="AP342" s="81" t="b">
        <v>0</v>
      </c>
      <c r="AQ342" s="87" t="s">
        <v>3520</v>
      </c>
      <c r="AR342" s="81" t="s">
        <v>179</v>
      </c>
      <c r="AS342" s="81">
        <v>0</v>
      </c>
      <c r="AT342" s="81">
        <v>0</v>
      </c>
      <c r="AU342" s="81"/>
      <c r="AV342" s="81"/>
      <c r="AW342" s="81"/>
      <c r="AX342" s="81"/>
      <c r="AY342" s="81"/>
      <c r="AZ342" s="81"/>
      <c r="BA342" s="81"/>
      <c r="BB342" s="81"/>
    </row>
    <row r="343" spans="1:54" x14ac:dyDescent="0.35">
      <c r="A343" s="66" t="s">
        <v>423</v>
      </c>
      <c r="B343" s="66" t="s">
        <v>910</v>
      </c>
      <c r="C343" s="67"/>
      <c r="D343" s="68"/>
      <c r="E343" s="69"/>
      <c r="F343" s="70"/>
      <c r="G343" s="67"/>
      <c r="H343" s="71"/>
      <c r="I343" s="72"/>
      <c r="J343" s="72"/>
      <c r="K343" s="36"/>
      <c r="L343" s="79"/>
      <c r="M343" s="79"/>
      <c r="N343" s="74"/>
      <c r="O343" s="81" t="s">
        <v>1205</v>
      </c>
      <c r="P343" s="83">
        <v>44460.206585648149</v>
      </c>
      <c r="Q343" s="81" t="s">
        <v>1324</v>
      </c>
      <c r="R343" s="81"/>
      <c r="S343" s="81"/>
      <c r="T343" s="81"/>
      <c r="U343" s="85" t="str">
        <f>HYPERLINK("https://pbs.twimg.com/media/E_xVJy2VQAQerFe.jpg")</f>
        <v>https://pbs.twimg.com/media/E_xVJy2VQAQerFe.jpg</v>
      </c>
      <c r="V343" s="85" t="str">
        <f>HYPERLINK("https://pbs.twimg.com/media/E_xVJy2VQAQerFe.jpg")</f>
        <v>https://pbs.twimg.com/media/E_xVJy2VQAQerFe.jpg</v>
      </c>
      <c r="W343" s="83">
        <v>44460.206585648149</v>
      </c>
      <c r="X343" s="89">
        <v>44460</v>
      </c>
      <c r="Y343" s="87" t="s">
        <v>2016</v>
      </c>
      <c r="Z343" s="85" t="str">
        <f>HYPERLINK("https://twitter.com/tree_ofjuly/status/1440178344465604614")</f>
        <v>https://twitter.com/tree_ofjuly/status/1440178344465604614</v>
      </c>
      <c r="AA343" s="81"/>
      <c r="AB343" s="81"/>
      <c r="AC343" s="87" t="s">
        <v>2938</v>
      </c>
      <c r="AD343" s="81"/>
      <c r="AE343" s="81" t="b">
        <v>0</v>
      </c>
      <c r="AF343" s="81">
        <v>0</v>
      </c>
      <c r="AG343" s="87" t="s">
        <v>3875</v>
      </c>
      <c r="AH343" s="81" t="b">
        <v>0</v>
      </c>
      <c r="AI343" s="81" t="s">
        <v>4092</v>
      </c>
      <c r="AJ343" s="81"/>
      <c r="AK343" s="87" t="s">
        <v>3875</v>
      </c>
      <c r="AL343" s="81" t="b">
        <v>0</v>
      </c>
      <c r="AM343" s="81">
        <v>321</v>
      </c>
      <c r="AN343" s="87" t="s">
        <v>3520</v>
      </c>
      <c r="AO343" s="87" t="s">
        <v>4109</v>
      </c>
      <c r="AP343" s="81" t="b">
        <v>0</v>
      </c>
      <c r="AQ343" s="87" t="s">
        <v>3520</v>
      </c>
      <c r="AR343" s="81" t="s">
        <v>179</v>
      </c>
      <c r="AS343" s="81">
        <v>0</v>
      </c>
      <c r="AT343" s="81">
        <v>0</v>
      </c>
      <c r="AU343" s="81"/>
      <c r="AV343" s="81"/>
      <c r="AW343" s="81"/>
      <c r="AX343" s="81"/>
      <c r="AY343" s="81"/>
      <c r="AZ343" s="81"/>
      <c r="BA343" s="81"/>
      <c r="BB343" s="81"/>
    </row>
    <row r="344" spans="1:54" x14ac:dyDescent="0.35">
      <c r="A344" s="66" t="s">
        <v>424</v>
      </c>
      <c r="B344" s="66" t="s">
        <v>1055</v>
      </c>
      <c r="C344" s="67"/>
      <c r="D344" s="68"/>
      <c r="E344" s="69"/>
      <c r="F344" s="70"/>
      <c r="G344" s="67"/>
      <c r="H344" s="71"/>
      <c r="I344" s="72"/>
      <c r="J344" s="72"/>
      <c r="K344" s="36"/>
      <c r="L344" s="79"/>
      <c r="M344" s="79"/>
      <c r="N344" s="74"/>
      <c r="O344" s="81" t="s">
        <v>1207</v>
      </c>
      <c r="P344" s="83">
        <v>44460.208101851851</v>
      </c>
      <c r="Q344" s="81" t="s">
        <v>1324</v>
      </c>
      <c r="R344" s="81"/>
      <c r="S344" s="81"/>
      <c r="T344" s="81"/>
      <c r="U344" s="85" t="str">
        <f>HYPERLINK("https://pbs.twimg.com/media/E_xVJy2VQAQerFe.jpg")</f>
        <v>https://pbs.twimg.com/media/E_xVJy2VQAQerFe.jpg</v>
      </c>
      <c r="V344" s="85" t="str">
        <f>HYPERLINK("https://pbs.twimg.com/media/E_xVJy2VQAQerFe.jpg")</f>
        <v>https://pbs.twimg.com/media/E_xVJy2VQAQerFe.jpg</v>
      </c>
      <c r="W344" s="83">
        <v>44460.208101851851</v>
      </c>
      <c r="X344" s="89">
        <v>44460</v>
      </c>
      <c r="Y344" s="87" t="s">
        <v>2017</v>
      </c>
      <c r="Z344" s="85" t="str">
        <f>HYPERLINK("https://twitter.com/0no_niha/status/1440178894871490569")</f>
        <v>https://twitter.com/0no_niha/status/1440178894871490569</v>
      </c>
      <c r="AA344" s="81"/>
      <c r="AB344" s="81"/>
      <c r="AC344" s="87" t="s">
        <v>2939</v>
      </c>
      <c r="AD344" s="81"/>
      <c r="AE344" s="81" t="b">
        <v>0</v>
      </c>
      <c r="AF344" s="81">
        <v>0</v>
      </c>
      <c r="AG344" s="87" t="s">
        <v>3875</v>
      </c>
      <c r="AH344" s="81" t="b">
        <v>0</v>
      </c>
      <c r="AI344" s="81" t="s">
        <v>4092</v>
      </c>
      <c r="AJ344" s="81"/>
      <c r="AK344" s="87" t="s">
        <v>3875</v>
      </c>
      <c r="AL344" s="81" t="b">
        <v>0</v>
      </c>
      <c r="AM344" s="81">
        <v>321</v>
      </c>
      <c r="AN344" s="87" t="s">
        <v>3520</v>
      </c>
      <c r="AO344" s="87" t="s">
        <v>4109</v>
      </c>
      <c r="AP344" s="81" t="b">
        <v>0</v>
      </c>
      <c r="AQ344" s="87" t="s">
        <v>3520</v>
      </c>
      <c r="AR344" s="81" t="s">
        <v>179</v>
      </c>
      <c r="AS344" s="81">
        <v>0</v>
      </c>
      <c r="AT344" s="81">
        <v>0</v>
      </c>
      <c r="AU344" s="81"/>
      <c r="AV344" s="81"/>
      <c r="AW344" s="81"/>
      <c r="AX344" s="81"/>
      <c r="AY344" s="81"/>
      <c r="AZ344" s="81"/>
      <c r="BA344" s="81"/>
      <c r="BB344" s="81"/>
    </row>
    <row r="345" spans="1:54" x14ac:dyDescent="0.35">
      <c r="A345" s="66" t="s">
        <v>424</v>
      </c>
      <c r="B345" s="66" t="s">
        <v>910</v>
      </c>
      <c r="C345" s="67"/>
      <c r="D345" s="68"/>
      <c r="E345" s="69"/>
      <c r="F345" s="70"/>
      <c r="G345" s="67"/>
      <c r="H345" s="71"/>
      <c r="I345" s="72"/>
      <c r="J345" s="72"/>
      <c r="K345" s="36"/>
      <c r="L345" s="79"/>
      <c r="M345" s="79"/>
      <c r="N345" s="74"/>
      <c r="O345" s="81" t="s">
        <v>1205</v>
      </c>
      <c r="P345" s="83">
        <v>44460.208101851851</v>
      </c>
      <c r="Q345" s="81" t="s">
        <v>1324</v>
      </c>
      <c r="R345" s="81"/>
      <c r="S345" s="81"/>
      <c r="T345" s="81"/>
      <c r="U345" s="85" t="str">
        <f>HYPERLINK("https://pbs.twimg.com/media/E_xVJy2VQAQerFe.jpg")</f>
        <v>https://pbs.twimg.com/media/E_xVJy2VQAQerFe.jpg</v>
      </c>
      <c r="V345" s="85" t="str">
        <f>HYPERLINK("https://pbs.twimg.com/media/E_xVJy2VQAQerFe.jpg")</f>
        <v>https://pbs.twimg.com/media/E_xVJy2VQAQerFe.jpg</v>
      </c>
      <c r="W345" s="83">
        <v>44460.208101851851</v>
      </c>
      <c r="X345" s="89">
        <v>44460</v>
      </c>
      <c r="Y345" s="87" t="s">
        <v>2017</v>
      </c>
      <c r="Z345" s="85" t="str">
        <f>HYPERLINK("https://twitter.com/0no_niha/status/1440178894871490569")</f>
        <v>https://twitter.com/0no_niha/status/1440178894871490569</v>
      </c>
      <c r="AA345" s="81"/>
      <c r="AB345" s="81"/>
      <c r="AC345" s="87" t="s">
        <v>2939</v>
      </c>
      <c r="AD345" s="81"/>
      <c r="AE345" s="81" t="b">
        <v>0</v>
      </c>
      <c r="AF345" s="81">
        <v>0</v>
      </c>
      <c r="AG345" s="87" t="s">
        <v>3875</v>
      </c>
      <c r="AH345" s="81" t="b">
        <v>0</v>
      </c>
      <c r="AI345" s="81" t="s">
        <v>4092</v>
      </c>
      <c r="AJ345" s="81"/>
      <c r="AK345" s="87" t="s">
        <v>3875</v>
      </c>
      <c r="AL345" s="81" t="b">
        <v>0</v>
      </c>
      <c r="AM345" s="81">
        <v>321</v>
      </c>
      <c r="AN345" s="87" t="s">
        <v>3520</v>
      </c>
      <c r="AO345" s="87" t="s">
        <v>4109</v>
      </c>
      <c r="AP345" s="81" t="b">
        <v>0</v>
      </c>
      <c r="AQ345" s="87" t="s">
        <v>3520</v>
      </c>
      <c r="AR345" s="81" t="s">
        <v>179</v>
      </c>
      <c r="AS345" s="81">
        <v>0</v>
      </c>
      <c r="AT345" s="81">
        <v>0</v>
      </c>
      <c r="AU345" s="81"/>
      <c r="AV345" s="81"/>
      <c r="AW345" s="81"/>
      <c r="AX345" s="81"/>
      <c r="AY345" s="81"/>
      <c r="AZ345" s="81"/>
      <c r="BA345" s="81"/>
      <c r="BB345" s="81"/>
    </row>
    <row r="346" spans="1:54" x14ac:dyDescent="0.35">
      <c r="A346" s="66" t="s">
        <v>425</v>
      </c>
      <c r="B346" s="66" t="s">
        <v>1055</v>
      </c>
      <c r="C346" s="67"/>
      <c r="D346" s="68"/>
      <c r="E346" s="69"/>
      <c r="F346" s="70"/>
      <c r="G346" s="67"/>
      <c r="H346" s="71"/>
      <c r="I346" s="72"/>
      <c r="J346" s="72"/>
      <c r="K346" s="36"/>
      <c r="L346" s="79"/>
      <c r="M346" s="79"/>
      <c r="N346" s="74"/>
      <c r="O346" s="81" t="s">
        <v>1207</v>
      </c>
      <c r="P346" s="83">
        <v>44460.208993055552</v>
      </c>
      <c r="Q346" s="81" t="s">
        <v>1324</v>
      </c>
      <c r="R346" s="81"/>
      <c r="S346" s="81"/>
      <c r="T346" s="81"/>
      <c r="U346" s="85" t="str">
        <f>HYPERLINK("https://pbs.twimg.com/media/E_xVJy2VQAQerFe.jpg")</f>
        <v>https://pbs.twimg.com/media/E_xVJy2VQAQerFe.jpg</v>
      </c>
      <c r="V346" s="85" t="str">
        <f>HYPERLINK("https://pbs.twimg.com/media/E_xVJy2VQAQerFe.jpg")</f>
        <v>https://pbs.twimg.com/media/E_xVJy2VQAQerFe.jpg</v>
      </c>
      <c r="W346" s="83">
        <v>44460.208993055552</v>
      </c>
      <c r="X346" s="89">
        <v>44460</v>
      </c>
      <c r="Y346" s="87" t="s">
        <v>2018</v>
      </c>
      <c r="Z346" s="85" t="str">
        <f>HYPERLINK("https://twitter.com/moedjiyanto2/status/1440179217220603908")</f>
        <v>https://twitter.com/moedjiyanto2/status/1440179217220603908</v>
      </c>
      <c r="AA346" s="81"/>
      <c r="AB346" s="81"/>
      <c r="AC346" s="87" t="s">
        <v>2940</v>
      </c>
      <c r="AD346" s="81"/>
      <c r="AE346" s="81" t="b">
        <v>0</v>
      </c>
      <c r="AF346" s="81">
        <v>0</v>
      </c>
      <c r="AG346" s="87" t="s">
        <v>3875</v>
      </c>
      <c r="AH346" s="81" t="b">
        <v>0</v>
      </c>
      <c r="AI346" s="81" t="s">
        <v>4092</v>
      </c>
      <c r="AJ346" s="81"/>
      <c r="AK346" s="87" t="s">
        <v>3875</v>
      </c>
      <c r="AL346" s="81" t="b">
        <v>0</v>
      </c>
      <c r="AM346" s="81">
        <v>321</v>
      </c>
      <c r="AN346" s="87" t="s">
        <v>3520</v>
      </c>
      <c r="AO346" s="87" t="s">
        <v>4109</v>
      </c>
      <c r="AP346" s="81" t="b">
        <v>0</v>
      </c>
      <c r="AQ346" s="87" t="s">
        <v>3520</v>
      </c>
      <c r="AR346" s="81" t="s">
        <v>179</v>
      </c>
      <c r="AS346" s="81">
        <v>0</v>
      </c>
      <c r="AT346" s="81">
        <v>0</v>
      </c>
      <c r="AU346" s="81"/>
      <c r="AV346" s="81"/>
      <c r="AW346" s="81"/>
      <c r="AX346" s="81"/>
      <c r="AY346" s="81"/>
      <c r="AZ346" s="81"/>
      <c r="BA346" s="81"/>
      <c r="BB346" s="81"/>
    </row>
    <row r="347" spans="1:54" x14ac:dyDescent="0.35">
      <c r="A347" s="66" t="s">
        <v>425</v>
      </c>
      <c r="B347" s="66" t="s">
        <v>910</v>
      </c>
      <c r="C347" s="67"/>
      <c r="D347" s="68"/>
      <c r="E347" s="69"/>
      <c r="F347" s="70"/>
      <c r="G347" s="67"/>
      <c r="H347" s="71"/>
      <c r="I347" s="72"/>
      <c r="J347" s="72"/>
      <c r="K347" s="36"/>
      <c r="L347" s="79"/>
      <c r="M347" s="79"/>
      <c r="N347" s="74"/>
      <c r="O347" s="81" t="s">
        <v>1205</v>
      </c>
      <c r="P347" s="83">
        <v>44460.208993055552</v>
      </c>
      <c r="Q347" s="81" t="s">
        <v>1324</v>
      </c>
      <c r="R347" s="81"/>
      <c r="S347" s="81"/>
      <c r="T347" s="81"/>
      <c r="U347" s="85" t="str">
        <f>HYPERLINK("https://pbs.twimg.com/media/E_xVJy2VQAQerFe.jpg")</f>
        <v>https://pbs.twimg.com/media/E_xVJy2VQAQerFe.jpg</v>
      </c>
      <c r="V347" s="85" t="str">
        <f>HYPERLINK("https://pbs.twimg.com/media/E_xVJy2VQAQerFe.jpg")</f>
        <v>https://pbs.twimg.com/media/E_xVJy2VQAQerFe.jpg</v>
      </c>
      <c r="W347" s="83">
        <v>44460.208993055552</v>
      </c>
      <c r="X347" s="89">
        <v>44460</v>
      </c>
      <c r="Y347" s="87" t="s">
        <v>2018</v>
      </c>
      <c r="Z347" s="85" t="str">
        <f>HYPERLINK("https://twitter.com/moedjiyanto2/status/1440179217220603908")</f>
        <v>https://twitter.com/moedjiyanto2/status/1440179217220603908</v>
      </c>
      <c r="AA347" s="81"/>
      <c r="AB347" s="81"/>
      <c r="AC347" s="87" t="s">
        <v>2940</v>
      </c>
      <c r="AD347" s="81"/>
      <c r="AE347" s="81" t="b">
        <v>0</v>
      </c>
      <c r="AF347" s="81">
        <v>0</v>
      </c>
      <c r="AG347" s="87" t="s">
        <v>3875</v>
      </c>
      <c r="AH347" s="81" t="b">
        <v>0</v>
      </c>
      <c r="AI347" s="81" t="s">
        <v>4092</v>
      </c>
      <c r="AJ347" s="81"/>
      <c r="AK347" s="87" t="s">
        <v>3875</v>
      </c>
      <c r="AL347" s="81" t="b">
        <v>0</v>
      </c>
      <c r="AM347" s="81">
        <v>321</v>
      </c>
      <c r="AN347" s="87" t="s">
        <v>3520</v>
      </c>
      <c r="AO347" s="87" t="s">
        <v>4109</v>
      </c>
      <c r="AP347" s="81" t="b">
        <v>0</v>
      </c>
      <c r="AQ347" s="87" t="s">
        <v>3520</v>
      </c>
      <c r="AR347" s="81" t="s">
        <v>179</v>
      </c>
      <c r="AS347" s="81">
        <v>0</v>
      </c>
      <c r="AT347" s="81">
        <v>0</v>
      </c>
      <c r="AU347" s="81"/>
      <c r="AV347" s="81"/>
      <c r="AW347" s="81"/>
      <c r="AX347" s="81"/>
      <c r="AY347" s="81"/>
      <c r="AZ347" s="81"/>
      <c r="BA347" s="81"/>
      <c r="BB347" s="81"/>
    </row>
    <row r="348" spans="1:54" x14ac:dyDescent="0.35">
      <c r="A348" s="66" t="s">
        <v>426</v>
      </c>
      <c r="B348" s="66" t="s">
        <v>1055</v>
      </c>
      <c r="C348" s="67"/>
      <c r="D348" s="68"/>
      <c r="E348" s="69"/>
      <c r="F348" s="70"/>
      <c r="G348" s="67"/>
      <c r="H348" s="71"/>
      <c r="I348" s="72"/>
      <c r="J348" s="72"/>
      <c r="K348" s="36"/>
      <c r="L348" s="79"/>
      <c r="M348" s="79"/>
      <c r="N348" s="74"/>
      <c r="O348" s="81" t="s">
        <v>1207</v>
      </c>
      <c r="P348" s="83">
        <v>44460.214930555558</v>
      </c>
      <c r="Q348" s="81" t="s">
        <v>1324</v>
      </c>
      <c r="R348" s="81"/>
      <c r="S348" s="81"/>
      <c r="T348" s="81"/>
      <c r="U348" s="85" t="str">
        <f>HYPERLINK("https://pbs.twimg.com/media/E_xVJy2VQAQerFe.jpg")</f>
        <v>https://pbs.twimg.com/media/E_xVJy2VQAQerFe.jpg</v>
      </c>
      <c r="V348" s="85" t="str">
        <f>HYPERLINK("https://pbs.twimg.com/media/E_xVJy2VQAQerFe.jpg")</f>
        <v>https://pbs.twimg.com/media/E_xVJy2VQAQerFe.jpg</v>
      </c>
      <c r="W348" s="83">
        <v>44460.214930555558</v>
      </c>
      <c r="X348" s="89">
        <v>44460</v>
      </c>
      <c r="Y348" s="87" t="s">
        <v>2019</v>
      </c>
      <c r="Z348" s="85" t="str">
        <f>HYPERLINK("https://twitter.com/j3ffry_/status/1440181367745048578")</f>
        <v>https://twitter.com/j3ffry_/status/1440181367745048578</v>
      </c>
      <c r="AA348" s="81"/>
      <c r="AB348" s="81"/>
      <c r="AC348" s="87" t="s">
        <v>2941</v>
      </c>
      <c r="AD348" s="81"/>
      <c r="AE348" s="81" t="b">
        <v>0</v>
      </c>
      <c r="AF348" s="81">
        <v>0</v>
      </c>
      <c r="AG348" s="87" t="s">
        <v>3875</v>
      </c>
      <c r="AH348" s="81" t="b">
        <v>0</v>
      </c>
      <c r="AI348" s="81" t="s">
        <v>4092</v>
      </c>
      <c r="AJ348" s="81"/>
      <c r="AK348" s="87" t="s">
        <v>3875</v>
      </c>
      <c r="AL348" s="81" t="b">
        <v>0</v>
      </c>
      <c r="AM348" s="81">
        <v>321</v>
      </c>
      <c r="AN348" s="87" t="s">
        <v>3520</v>
      </c>
      <c r="AO348" s="87" t="s">
        <v>4109</v>
      </c>
      <c r="AP348" s="81" t="b">
        <v>0</v>
      </c>
      <c r="AQ348" s="87" t="s">
        <v>3520</v>
      </c>
      <c r="AR348" s="81" t="s">
        <v>179</v>
      </c>
      <c r="AS348" s="81">
        <v>0</v>
      </c>
      <c r="AT348" s="81">
        <v>0</v>
      </c>
      <c r="AU348" s="81"/>
      <c r="AV348" s="81"/>
      <c r="AW348" s="81"/>
      <c r="AX348" s="81"/>
      <c r="AY348" s="81"/>
      <c r="AZ348" s="81"/>
      <c r="BA348" s="81"/>
      <c r="BB348" s="81"/>
    </row>
    <row r="349" spans="1:54" x14ac:dyDescent="0.35">
      <c r="A349" s="66" t="s">
        <v>426</v>
      </c>
      <c r="B349" s="66" t="s">
        <v>910</v>
      </c>
      <c r="C349" s="67"/>
      <c r="D349" s="68"/>
      <c r="E349" s="69"/>
      <c r="F349" s="70"/>
      <c r="G349" s="67"/>
      <c r="H349" s="71"/>
      <c r="I349" s="72"/>
      <c r="J349" s="72"/>
      <c r="K349" s="36"/>
      <c r="L349" s="79"/>
      <c r="M349" s="79"/>
      <c r="N349" s="74"/>
      <c r="O349" s="81" t="s">
        <v>1205</v>
      </c>
      <c r="P349" s="83">
        <v>44460.214930555558</v>
      </c>
      <c r="Q349" s="81" t="s">
        <v>1324</v>
      </c>
      <c r="R349" s="81"/>
      <c r="S349" s="81"/>
      <c r="T349" s="81"/>
      <c r="U349" s="85" t="str">
        <f>HYPERLINK("https://pbs.twimg.com/media/E_xVJy2VQAQerFe.jpg")</f>
        <v>https://pbs.twimg.com/media/E_xVJy2VQAQerFe.jpg</v>
      </c>
      <c r="V349" s="85" t="str">
        <f>HYPERLINK("https://pbs.twimg.com/media/E_xVJy2VQAQerFe.jpg")</f>
        <v>https://pbs.twimg.com/media/E_xVJy2VQAQerFe.jpg</v>
      </c>
      <c r="W349" s="83">
        <v>44460.214930555558</v>
      </c>
      <c r="X349" s="89">
        <v>44460</v>
      </c>
      <c r="Y349" s="87" t="s">
        <v>2019</v>
      </c>
      <c r="Z349" s="85" t="str">
        <f>HYPERLINK("https://twitter.com/j3ffry_/status/1440181367745048578")</f>
        <v>https://twitter.com/j3ffry_/status/1440181367745048578</v>
      </c>
      <c r="AA349" s="81"/>
      <c r="AB349" s="81"/>
      <c r="AC349" s="87" t="s">
        <v>2941</v>
      </c>
      <c r="AD349" s="81"/>
      <c r="AE349" s="81" t="b">
        <v>0</v>
      </c>
      <c r="AF349" s="81">
        <v>0</v>
      </c>
      <c r="AG349" s="87" t="s">
        <v>3875</v>
      </c>
      <c r="AH349" s="81" t="b">
        <v>0</v>
      </c>
      <c r="AI349" s="81" t="s">
        <v>4092</v>
      </c>
      <c r="AJ349" s="81"/>
      <c r="AK349" s="87" t="s">
        <v>3875</v>
      </c>
      <c r="AL349" s="81" t="b">
        <v>0</v>
      </c>
      <c r="AM349" s="81">
        <v>321</v>
      </c>
      <c r="AN349" s="87" t="s">
        <v>3520</v>
      </c>
      <c r="AO349" s="87" t="s">
        <v>4109</v>
      </c>
      <c r="AP349" s="81" t="b">
        <v>0</v>
      </c>
      <c r="AQ349" s="87" t="s">
        <v>3520</v>
      </c>
      <c r="AR349" s="81" t="s">
        <v>179</v>
      </c>
      <c r="AS349" s="81">
        <v>0</v>
      </c>
      <c r="AT349" s="81">
        <v>0</v>
      </c>
      <c r="AU349" s="81"/>
      <c r="AV349" s="81"/>
      <c r="AW349" s="81"/>
      <c r="AX349" s="81"/>
      <c r="AY349" s="81"/>
      <c r="AZ349" s="81"/>
      <c r="BA349" s="81"/>
      <c r="BB349" s="81"/>
    </row>
    <row r="350" spans="1:54" x14ac:dyDescent="0.35">
      <c r="A350" s="66" t="s">
        <v>427</v>
      </c>
      <c r="B350" s="66" t="s">
        <v>1055</v>
      </c>
      <c r="C350" s="67"/>
      <c r="D350" s="68"/>
      <c r="E350" s="69"/>
      <c r="F350" s="70"/>
      <c r="G350" s="67"/>
      <c r="H350" s="71"/>
      <c r="I350" s="72"/>
      <c r="J350" s="72"/>
      <c r="K350" s="36"/>
      <c r="L350" s="79"/>
      <c r="M350" s="79"/>
      <c r="N350" s="74"/>
      <c r="O350" s="81" t="s">
        <v>1207</v>
      </c>
      <c r="P350" s="83">
        <v>44460.217291666668</v>
      </c>
      <c r="Q350" s="81" t="s">
        <v>1324</v>
      </c>
      <c r="R350" s="81"/>
      <c r="S350" s="81"/>
      <c r="T350" s="81"/>
      <c r="U350" s="85" t="str">
        <f>HYPERLINK("https://pbs.twimg.com/media/E_xVJy2VQAQerFe.jpg")</f>
        <v>https://pbs.twimg.com/media/E_xVJy2VQAQerFe.jpg</v>
      </c>
      <c r="V350" s="85" t="str">
        <f>HYPERLINK("https://pbs.twimg.com/media/E_xVJy2VQAQerFe.jpg")</f>
        <v>https://pbs.twimg.com/media/E_xVJy2VQAQerFe.jpg</v>
      </c>
      <c r="W350" s="83">
        <v>44460.217291666668</v>
      </c>
      <c r="X350" s="89">
        <v>44460</v>
      </c>
      <c r="Y350" s="87" t="s">
        <v>2020</v>
      </c>
      <c r="Z350" s="85" t="str">
        <f>HYPERLINK("https://twitter.com/capenk4/status/1440182227417976834")</f>
        <v>https://twitter.com/capenk4/status/1440182227417976834</v>
      </c>
      <c r="AA350" s="81"/>
      <c r="AB350" s="81"/>
      <c r="AC350" s="87" t="s">
        <v>2942</v>
      </c>
      <c r="AD350" s="81"/>
      <c r="AE350" s="81" t="b">
        <v>0</v>
      </c>
      <c r="AF350" s="81">
        <v>0</v>
      </c>
      <c r="AG350" s="87" t="s">
        <v>3875</v>
      </c>
      <c r="AH350" s="81" t="b">
        <v>0</v>
      </c>
      <c r="AI350" s="81" t="s">
        <v>4092</v>
      </c>
      <c r="AJ350" s="81"/>
      <c r="AK350" s="87" t="s">
        <v>3875</v>
      </c>
      <c r="AL350" s="81" t="b">
        <v>0</v>
      </c>
      <c r="AM350" s="81">
        <v>321</v>
      </c>
      <c r="AN350" s="87" t="s">
        <v>3520</v>
      </c>
      <c r="AO350" s="87" t="s">
        <v>4109</v>
      </c>
      <c r="AP350" s="81" t="b">
        <v>0</v>
      </c>
      <c r="AQ350" s="87" t="s">
        <v>3520</v>
      </c>
      <c r="AR350" s="81" t="s">
        <v>179</v>
      </c>
      <c r="AS350" s="81">
        <v>0</v>
      </c>
      <c r="AT350" s="81">
        <v>0</v>
      </c>
      <c r="AU350" s="81"/>
      <c r="AV350" s="81"/>
      <c r="AW350" s="81"/>
      <c r="AX350" s="81"/>
      <c r="AY350" s="81"/>
      <c r="AZ350" s="81"/>
      <c r="BA350" s="81"/>
      <c r="BB350" s="81"/>
    </row>
    <row r="351" spans="1:54" x14ac:dyDescent="0.35">
      <c r="A351" s="66" t="s">
        <v>427</v>
      </c>
      <c r="B351" s="66" t="s">
        <v>910</v>
      </c>
      <c r="C351" s="67"/>
      <c r="D351" s="68"/>
      <c r="E351" s="69"/>
      <c r="F351" s="70"/>
      <c r="G351" s="67"/>
      <c r="H351" s="71"/>
      <c r="I351" s="72"/>
      <c r="J351" s="72"/>
      <c r="K351" s="36"/>
      <c r="L351" s="79"/>
      <c r="M351" s="79"/>
      <c r="N351" s="74"/>
      <c r="O351" s="81" t="s">
        <v>1205</v>
      </c>
      <c r="P351" s="83">
        <v>44460.217291666668</v>
      </c>
      <c r="Q351" s="81" t="s">
        <v>1324</v>
      </c>
      <c r="R351" s="81"/>
      <c r="S351" s="81"/>
      <c r="T351" s="81"/>
      <c r="U351" s="85" t="str">
        <f>HYPERLINK("https://pbs.twimg.com/media/E_xVJy2VQAQerFe.jpg")</f>
        <v>https://pbs.twimg.com/media/E_xVJy2VQAQerFe.jpg</v>
      </c>
      <c r="V351" s="85" t="str">
        <f>HYPERLINK("https://pbs.twimg.com/media/E_xVJy2VQAQerFe.jpg")</f>
        <v>https://pbs.twimg.com/media/E_xVJy2VQAQerFe.jpg</v>
      </c>
      <c r="W351" s="83">
        <v>44460.217291666668</v>
      </c>
      <c r="X351" s="89">
        <v>44460</v>
      </c>
      <c r="Y351" s="87" t="s">
        <v>2020</v>
      </c>
      <c r="Z351" s="85" t="str">
        <f>HYPERLINK("https://twitter.com/capenk4/status/1440182227417976834")</f>
        <v>https://twitter.com/capenk4/status/1440182227417976834</v>
      </c>
      <c r="AA351" s="81"/>
      <c r="AB351" s="81"/>
      <c r="AC351" s="87" t="s">
        <v>2942</v>
      </c>
      <c r="AD351" s="81"/>
      <c r="AE351" s="81" t="b">
        <v>0</v>
      </c>
      <c r="AF351" s="81">
        <v>0</v>
      </c>
      <c r="AG351" s="87" t="s">
        <v>3875</v>
      </c>
      <c r="AH351" s="81" t="b">
        <v>0</v>
      </c>
      <c r="AI351" s="81" t="s">
        <v>4092</v>
      </c>
      <c r="AJ351" s="81"/>
      <c r="AK351" s="87" t="s">
        <v>3875</v>
      </c>
      <c r="AL351" s="81" t="b">
        <v>0</v>
      </c>
      <c r="AM351" s="81">
        <v>321</v>
      </c>
      <c r="AN351" s="87" t="s">
        <v>3520</v>
      </c>
      <c r="AO351" s="87" t="s">
        <v>4109</v>
      </c>
      <c r="AP351" s="81" t="b">
        <v>0</v>
      </c>
      <c r="AQ351" s="87" t="s">
        <v>3520</v>
      </c>
      <c r="AR351" s="81" t="s">
        <v>179</v>
      </c>
      <c r="AS351" s="81">
        <v>0</v>
      </c>
      <c r="AT351" s="81">
        <v>0</v>
      </c>
      <c r="AU351" s="81"/>
      <c r="AV351" s="81"/>
      <c r="AW351" s="81"/>
      <c r="AX351" s="81"/>
      <c r="AY351" s="81"/>
      <c r="AZ351" s="81"/>
      <c r="BA351" s="81"/>
      <c r="BB351" s="81"/>
    </row>
    <row r="352" spans="1:54" x14ac:dyDescent="0.35">
      <c r="A352" s="66" t="s">
        <v>428</v>
      </c>
      <c r="B352" s="66" t="s">
        <v>1055</v>
      </c>
      <c r="C352" s="67"/>
      <c r="D352" s="68"/>
      <c r="E352" s="69"/>
      <c r="F352" s="70"/>
      <c r="G352" s="67"/>
      <c r="H352" s="71"/>
      <c r="I352" s="72"/>
      <c r="J352" s="72"/>
      <c r="K352" s="36"/>
      <c r="L352" s="79"/>
      <c r="M352" s="79"/>
      <c r="N352" s="74"/>
      <c r="O352" s="81" t="s">
        <v>1207</v>
      </c>
      <c r="P352" s="83">
        <v>44460.218622685185</v>
      </c>
      <c r="Q352" s="81" t="s">
        <v>1324</v>
      </c>
      <c r="R352" s="81"/>
      <c r="S352" s="81"/>
      <c r="T352" s="81"/>
      <c r="U352" s="85" t="str">
        <f>HYPERLINK("https://pbs.twimg.com/media/E_xVJy2VQAQerFe.jpg")</f>
        <v>https://pbs.twimg.com/media/E_xVJy2VQAQerFe.jpg</v>
      </c>
      <c r="V352" s="85" t="str">
        <f>HYPERLINK("https://pbs.twimg.com/media/E_xVJy2VQAQerFe.jpg")</f>
        <v>https://pbs.twimg.com/media/E_xVJy2VQAQerFe.jpg</v>
      </c>
      <c r="W352" s="83">
        <v>44460.218622685185</v>
      </c>
      <c r="X352" s="89">
        <v>44460</v>
      </c>
      <c r="Y352" s="87" t="s">
        <v>2021</v>
      </c>
      <c r="Z352" s="85" t="str">
        <f>HYPERLINK("https://twitter.com/alatasindonesia/status/1440182709171589132")</f>
        <v>https://twitter.com/alatasindonesia/status/1440182709171589132</v>
      </c>
      <c r="AA352" s="81"/>
      <c r="AB352" s="81"/>
      <c r="AC352" s="87" t="s">
        <v>2943</v>
      </c>
      <c r="AD352" s="81"/>
      <c r="AE352" s="81" t="b">
        <v>0</v>
      </c>
      <c r="AF352" s="81">
        <v>0</v>
      </c>
      <c r="AG352" s="87" t="s">
        <v>3875</v>
      </c>
      <c r="AH352" s="81" t="b">
        <v>0</v>
      </c>
      <c r="AI352" s="81" t="s">
        <v>4092</v>
      </c>
      <c r="AJ352" s="81"/>
      <c r="AK352" s="87" t="s">
        <v>3875</v>
      </c>
      <c r="AL352" s="81" t="b">
        <v>0</v>
      </c>
      <c r="AM352" s="81">
        <v>321</v>
      </c>
      <c r="AN352" s="87" t="s">
        <v>3520</v>
      </c>
      <c r="AO352" s="87" t="s">
        <v>4111</v>
      </c>
      <c r="AP352" s="81" t="b">
        <v>0</v>
      </c>
      <c r="AQ352" s="87" t="s">
        <v>3520</v>
      </c>
      <c r="AR352" s="81" t="s">
        <v>179</v>
      </c>
      <c r="AS352" s="81">
        <v>0</v>
      </c>
      <c r="AT352" s="81">
        <v>0</v>
      </c>
      <c r="AU352" s="81"/>
      <c r="AV352" s="81"/>
      <c r="AW352" s="81"/>
      <c r="AX352" s="81"/>
      <c r="AY352" s="81"/>
      <c r="AZ352" s="81"/>
      <c r="BA352" s="81"/>
      <c r="BB352" s="81"/>
    </row>
    <row r="353" spans="1:54" x14ac:dyDescent="0.35">
      <c r="A353" s="66" t="s">
        <v>428</v>
      </c>
      <c r="B353" s="66" t="s">
        <v>910</v>
      </c>
      <c r="C353" s="67"/>
      <c r="D353" s="68"/>
      <c r="E353" s="69"/>
      <c r="F353" s="70"/>
      <c r="G353" s="67"/>
      <c r="H353" s="71"/>
      <c r="I353" s="72"/>
      <c r="J353" s="72"/>
      <c r="K353" s="36"/>
      <c r="L353" s="79"/>
      <c r="M353" s="79"/>
      <c r="N353" s="74"/>
      <c r="O353" s="81" t="s">
        <v>1205</v>
      </c>
      <c r="P353" s="83">
        <v>44460.218622685185</v>
      </c>
      <c r="Q353" s="81" t="s">
        <v>1324</v>
      </c>
      <c r="R353" s="81"/>
      <c r="S353" s="81"/>
      <c r="T353" s="81"/>
      <c r="U353" s="85" t="str">
        <f>HYPERLINK("https://pbs.twimg.com/media/E_xVJy2VQAQerFe.jpg")</f>
        <v>https://pbs.twimg.com/media/E_xVJy2VQAQerFe.jpg</v>
      </c>
      <c r="V353" s="85" t="str">
        <f>HYPERLINK("https://pbs.twimg.com/media/E_xVJy2VQAQerFe.jpg")</f>
        <v>https://pbs.twimg.com/media/E_xVJy2VQAQerFe.jpg</v>
      </c>
      <c r="W353" s="83">
        <v>44460.218622685185</v>
      </c>
      <c r="X353" s="89">
        <v>44460</v>
      </c>
      <c r="Y353" s="87" t="s">
        <v>2021</v>
      </c>
      <c r="Z353" s="85" t="str">
        <f>HYPERLINK("https://twitter.com/alatasindonesia/status/1440182709171589132")</f>
        <v>https://twitter.com/alatasindonesia/status/1440182709171589132</v>
      </c>
      <c r="AA353" s="81"/>
      <c r="AB353" s="81"/>
      <c r="AC353" s="87" t="s">
        <v>2943</v>
      </c>
      <c r="AD353" s="81"/>
      <c r="AE353" s="81" t="b">
        <v>0</v>
      </c>
      <c r="AF353" s="81">
        <v>0</v>
      </c>
      <c r="AG353" s="87" t="s">
        <v>3875</v>
      </c>
      <c r="AH353" s="81" t="b">
        <v>0</v>
      </c>
      <c r="AI353" s="81" t="s">
        <v>4092</v>
      </c>
      <c r="AJ353" s="81"/>
      <c r="AK353" s="87" t="s">
        <v>3875</v>
      </c>
      <c r="AL353" s="81" t="b">
        <v>0</v>
      </c>
      <c r="AM353" s="81">
        <v>321</v>
      </c>
      <c r="AN353" s="87" t="s">
        <v>3520</v>
      </c>
      <c r="AO353" s="87" t="s">
        <v>4111</v>
      </c>
      <c r="AP353" s="81" t="b">
        <v>0</v>
      </c>
      <c r="AQ353" s="87" t="s">
        <v>3520</v>
      </c>
      <c r="AR353" s="81" t="s">
        <v>179</v>
      </c>
      <c r="AS353" s="81">
        <v>0</v>
      </c>
      <c r="AT353" s="81">
        <v>0</v>
      </c>
      <c r="AU353" s="81"/>
      <c r="AV353" s="81"/>
      <c r="AW353" s="81"/>
      <c r="AX353" s="81"/>
      <c r="AY353" s="81"/>
      <c r="AZ353" s="81"/>
      <c r="BA353" s="81"/>
      <c r="BB353" s="81"/>
    </row>
    <row r="354" spans="1:54" x14ac:dyDescent="0.35">
      <c r="A354" s="66" t="s">
        <v>429</v>
      </c>
      <c r="B354" s="66" t="s">
        <v>1055</v>
      </c>
      <c r="C354" s="67"/>
      <c r="D354" s="68"/>
      <c r="E354" s="69"/>
      <c r="F354" s="70"/>
      <c r="G354" s="67"/>
      <c r="H354" s="71"/>
      <c r="I354" s="72"/>
      <c r="J354" s="72"/>
      <c r="K354" s="36"/>
      <c r="L354" s="79"/>
      <c r="M354" s="79"/>
      <c r="N354" s="74"/>
      <c r="O354" s="81" t="s">
        <v>1207</v>
      </c>
      <c r="P354" s="83">
        <v>44460.219756944447</v>
      </c>
      <c r="Q354" s="81" t="s">
        <v>1324</v>
      </c>
      <c r="R354" s="81"/>
      <c r="S354" s="81"/>
      <c r="T354" s="81"/>
      <c r="U354" s="85" t="str">
        <f>HYPERLINK("https://pbs.twimg.com/media/E_xVJy2VQAQerFe.jpg")</f>
        <v>https://pbs.twimg.com/media/E_xVJy2VQAQerFe.jpg</v>
      </c>
      <c r="V354" s="85" t="str">
        <f>HYPERLINK("https://pbs.twimg.com/media/E_xVJy2VQAQerFe.jpg")</f>
        <v>https://pbs.twimg.com/media/E_xVJy2VQAQerFe.jpg</v>
      </c>
      <c r="W354" s="83">
        <v>44460.219756944447</v>
      </c>
      <c r="X354" s="89">
        <v>44460</v>
      </c>
      <c r="Y354" s="87" t="s">
        <v>2022</v>
      </c>
      <c r="Z354" s="85" t="str">
        <f>HYPERLINK("https://twitter.com/cc_hanjaya/status/1440183117084430336")</f>
        <v>https://twitter.com/cc_hanjaya/status/1440183117084430336</v>
      </c>
      <c r="AA354" s="81"/>
      <c r="AB354" s="81"/>
      <c r="AC354" s="87" t="s">
        <v>2944</v>
      </c>
      <c r="AD354" s="81"/>
      <c r="AE354" s="81" t="b">
        <v>0</v>
      </c>
      <c r="AF354" s="81">
        <v>0</v>
      </c>
      <c r="AG354" s="87" t="s">
        <v>3875</v>
      </c>
      <c r="AH354" s="81" t="b">
        <v>0</v>
      </c>
      <c r="AI354" s="81" t="s">
        <v>4092</v>
      </c>
      <c r="AJ354" s="81"/>
      <c r="AK354" s="87" t="s">
        <v>3875</v>
      </c>
      <c r="AL354" s="81" t="b">
        <v>0</v>
      </c>
      <c r="AM354" s="81">
        <v>321</v>
      </c>
      <c r="AN354" s="87" t="s">
        <v>3520</v>
      </c>
      <c r="AO354" s="87" t="s">
        <v>4109</v>
      </c>
      <c r="AP354" s="81" t="b">
        <v>0</v>
      </c>
      <c r="AQ354" s="87" t="s">
        <v>3520</v>
      </c>
      <c r="AR354" s="81" t="s">
        <v>179</v>
      </c>
      <c r="AS354" s="81">
        <v>0</v>
      </c>
      <c r="AT354" s="81">
        <v>0</v>
      </c>
      <c r="AU354" s="81"/>
      <c r="AV354" s="81"/>
      <c r="AW354" s="81"/>
      <c r="AX354" s="81"/>
      <c r="AY354" s="81"/>
      <c r="AZ354" s="81"/>
      <c r="BA354" s="81"/>
      <c r="BB354" s="81"/>
    </row>
    <row r="355" spans="1:54" x14ac:dyDescent="0.35">
      <c r="A355" s="66" t="s">
        <v>429</v>
      </c>
      <c r="B355" s="66" t="s">
        <v>910</v>
      </c>
      <c r="C355" s="67"/>
      <c r="D355" s="68"/>
      <c r="E355" s="69"/>
      <c r="F355" s="70"/>
      <c r="G355" s="67"/>
      <c r="H355" s="71"/>
      <c r="I355" s="72"/>
      <c r="J355" s="72"/>
      <c r="K355" s="36"/>
      <c r="L355" s="79"/>
      <c r="M355" s="79"/>
      <c r="N355" s="74"/>
      <c r="O355" s="81" t="s">
        <v>1205</v>
      </c>
      <c r="P355" s="83">
        <v>44460.219756944447</v>
      </c>
      <c r="Q355" s="81" t="s">
        <v>1324</v>
      </c>
      <c r="R355" s="81"/>
      <c r="S355" s="81"/>
      <c r="T355" s="81"/>
      <c r="U355" s="85" t="str">
        <f>HYPERLINK("https://pbs.twimg.com/media/E_xVJy2VQAQerFe.jpg")</f>
        <v>https://pbs.twimg.com/media/E_xVJy2VQAQerFe.jpg</v>
      </c>
      <c r="V355" s="85" t="str">
        <f>HYPERLINK("https://pbs.twimg.com/media/E_xVJy2VQAQerFe.jpg")</f>
        <v>https://pbs.twimg.com/media/E_xVJy2VQAQerFe.jpg</v>
      </c>
      <c r="W355" s="83">
        <v>44460.219756944447</v>
      </c>
      <c r="X355" s="89">
        <v>44460</v>
      </c>
      <c r="Y355" s="87" t="s">
        <v>2022</v>
      </c>
      <c r="Z355" s="85" t="str">
        <f>HYPERLINK("https://twitter.com/cc_hanjaya/status/1440183117084430336")</f>
        <v>https://twitter.com/cc_hanjaya/status/1440183117084430336</v>
      </c>
      <c r="AA355" s="81"/>
      <c r="AB355" s="81"/>
      <c r="AC355" s="87" t="s">
        <v>2944</v>
      </c>
      <c r="AD355" s="81"/>
      <c r="AE355" s="81" t="b">
        <v>0</v>
      </c>
      <c r="AF355" s="81">
        <v>0</v>
      </c>
      <c r="AG355" s="87" t="s">
        <v>3875</v>
      </c>
      <c r="AH355" s="81" t="b">
        <v>0</v>
      </c>
      <c r="AI355" s="81" t="s">
        <v>4092</v>
      </c>
      <c r="AJ355" s="81"/>
      <c r="AK355" s="87" t="s">
        <v>3875</v>
      </c>
      <c r="AL355" s="81" t="b">
        <v>0</v>
      </c>
      <c r="AM355" s="81">
        <v>321</v>
      </c>
      <c r="AN355" s="87" t="s">
        <v>3520</v>
      </c>
      <c r="AO355" s="87" t="s">
        <v>4109</v>
      </c>
      <c r="AP355" s="81" t="b">
        <v>0</v>
      </c>
      <c r="AQ355" s="87" t="s">
        <v>3520</v>
      </c>
      <c r="AR355" s="81" t="s">
        <v>179</v>
      </c>
      <c r="AS355" s="81">
        <v>0</v>
      </c>
      <c r="AT355" s="81">
        <v>0</v>
      </c>
      <c r="AU355" s="81"/>
      <c r="AV355" s="81"/>
      <c r="AW355" s="81"/>
      <c r="AX355" s="81"/>
      <c r="AY355" s="81"/>
      <c r="AZ355" s="81"/>
      <c r="BA355" s="81"/>
      <c r="BB355" s="81"/>
    </row>
    <row r="356" spans="1:54" x14ac:dyDescent="0.35">
      <c r="A356" s="66" t="s">
        <v>430</v>
      </c>
      <c r="B356" s="66" t="s">
        <v>1055</v>
      </c>
      <c r="C356" s="67"/>
      <c r="D356" s="68"/>
      <c r="E356" s="69"/>
      <c r="F356" s="70"/>
      <c r="G356" s="67"/>
      <c r="H356" s="71"/>
      <c r="I356" s="72"/>
      <c r="J356" s="72"/>
      <c r="K356" s="36"/>
      <c r="L356" s="79"/>
      <c r="M356" s="79"/>
      <c r="N356" s="74"/>
      <c r="O356" s="81" t="s">
        <v>1207</v>
      </c>
      <c r="P356" s="83">
        <v>44460.225428240738</v>
      </c>
      <c r="Q356" s="81" t="s">
        <v>1324</v>
      </c>
      <c r="R356" s="81"/>
      <c r="S356" s="81"/>
      <c r="T356" s="81"/>
      <c r="U356" s="85" t="str">
        <f>HYPERLINK("https://pbs.twimg.com/media/E_xVJy2VQAQerFe.jpg")</f>
        <v>https://pbs.twimg.com/media/E_xVJy2VQAQerFe.jpg</v>
      </c>
      <c r="V356" s="85" t="str">
        <f>HYPERLINK("https://pbs.twimg.com/media/E_xVJy2VQAQerFe.jpg")</f>
        <v>https://pbs.twimg.com/media/E_xVJy2VQAQerFe.jpg</v>
      </c>
      <c r="W356" s="83">
        <v>44460.225428240738</v>
      </c>
      <c r="X356" s="89">
        <v>44460</v>
      </c>
      <c r="Y356" s="87" t="s">
        <v>2023</v>
      </c>
      <c r="Z356" s="85" t="str">
        <f>HYPERLINK("https://twitter.com/evalaksmi/status/1440185173258084364")</f>
        <v>https://twitter.com/evalaksmi/status/1440185173258084364</v>
      </c>
      <c r="AA356" s="81"/>
      <c r="AB356" s="81"/>
      <c r="AC356" s="87" t="s">
        <v>2945</v>
      </c>
      <c r="AD356" s="81"/>
      <c r="AE356" s="81" t="b">
        <v>0</v>
      </c>
      <c r="AF356" s="81">
        <v>0</v>
      </c>
      <c r="AG356" s="87" t="s">
        <v>3875</v>
      </c>
      <c r="AH356" s="81" t="b">
        <v>0</v>
      </c>
      <c r="AI356" s="81" t="s">
        <v>4092</v>
      </c>
      <c r="AJ356" s="81"/>
      <c r="AK356" s="87" t="s">
        <v>3875</v>
      </c>
      <c r="AL356" s="81" t="b">
        <v>0</v>
      </c>
      <c r="AM356" s="81">
        <v>321</v>
      </c>
      <c r="AN356" s="87" t="s">
        <v>3520</v>
      </c>
      <c r="AO356" s="87" t="s">
        <v>4109</v>
      </c>
      <c r="AP356" s="81" t="b">
        <v>0</v>
      </c>
      <c r="AQ356" s="87" t="s">
        <v>3520</v>
      </c>
      <c r="AR356" s="81" t="s">
        <v>179</v>
      </c>
      <c r="AS356" s="81">
        <v>0</v>
      </c>
      <c r="AT356" s="81">
        <v>0</v>
      </c>
      <c r="AU356" s="81"/>
      <c r="AV356" s="81"/>
      <c r="AW356" s="81"/>
      <c r="AX356" s="81"/>
      <c r="AY356" s="81"/>
      <c r="AZ356" s="81"/>
      <c r="BA356" s="81"/>
      <c r="BB356" s="81"/>
    </row>
    <row r="357" spans="1:54" x14ac:dyDescent="0.35">
      <c r="A357" s="66" t="s">
        <v>430</v>
      </c>
      <c r="B357" s="66" t="s">
        <v>910</v>
      </c>
      <c r="C357" s="67"/>
      <c r="D357" s="68"/>
      <c r="E357" s="69"/>
      <c r="F357" s="70"/>
      <c r="G357" s="67"/>
      <c r="H357" s="71"/>
      <c r="I357" s="72"/>
      <c r="J357" s="72"/>
      <c r="K357" s="36"/>
      <c r="L357" s="79"/>
      <c r="M357" s="79"/>
      <c r="N357" s="74"/>
      <c r="O357" s="81" t="s">
        <v>1205</v>
      </c>
      <c r="P357" s="83">
        <v>44460.225428240738</v>
      </c>
      <c r="Q357" s="81" t="s">
        <v>1324</v>
      </c>
      <c r="R357" s="81"/>
      <c r="S357" s="81"/>
      <c r="T357" s="81"/>
      <c r="U357" s="85" t="str">
        <f>HYPERLINK("https://pbs.twimg.com/media/E_xVJy2VQAQerFe.jpg")</f>
        <v>https://pbs.twimg.com/media/E_xVJy2VQAQerFe.jpg</v>
      </c>
      <c r="V357" s="85" t="str">
        <f>HYPERLINK("https://pbs.twimg.com/media/E_xVJy2VQAQerFe.jpg")</f>
        <v>https://pbs.twimg.com/media/E_xVJy2VQAQerFe.jpg</v>
      </c>
      <c r="W357" s="83">
        <v>44460.225428240738</v>
      </c>
      <c r="X357" s="89">
        <v>44460</v>
      </c>
      <c r="Y357" s="87" t="s">
        <v>2023</v>
      </c>
      <c r="Z357" s="85" t="str">
        <f>HYPERLINK("https://twitter.com/evalaksmi/status/1440185173258084364")</f>
        <v>https://twitter.com/evalaksmi/status/1440185173258084364</v>
      </c>
      <c r="AA357" s="81"/>
      <c r="AB357" s="81"/>
      <c r="AC357" s="87" t="s">
        <v>2945</v>
      </c>
      <c r="AD357" s="81"/>
      <c r="AE357" s="81" t="b">
        <v>0</v>
      </c>
      <c r="AF357" s="81">
        <v>0</v>
      </c>
      <c r="AG357" s="87" t="s">
        <v>3875</v>
      </c>
      <c r="AH357" s="81" t="b">
        <v>0</v>
      </c>
      <c r="AI357" s="81" t="s">
        <v>4092</v>
      </c>
      <c r="AJ357" s="81"/>
      <c r="AK357" s="87" t="s">
        <v>3875</v>
      </c>
      <c r="AL357" s="81" t="b">
        <v>0</v>
      </c>
      <c r="AM357" s="81">
        <v>321</v>
      </c>
      <c r="AN357" s="87" t="s">
        <v>3520</v>
      </c>
      <c r="AO357" s="87" t="s">
        <v>4109</v>
      </c>
      <c r="AP357" s="81" t="b">
        <v>0</v>
      </c>
      <c r="AQ357" s="87" t="s">
        <v>3520</v>
      </c>
      <c r="AR357" s="81" t="s">
        <v>179</v>
      </c>
      <c r="AS357" s="81">
        <v>0</v>
      </c>
      <c r="AT357" s="81">
        <v>0</v>
      </c>
      <c r="AU357" s="81"/>
      <c r="AV357" s="81"/>
      <c r="AW357" s="81"/>
      <c r="AX357" s="81"/>
      <c r="AY357" s="81"/>
      <c r="AZ357" s="81"/>
      <c r="BA357" s="81"/>
      <c r="BB357" s="81"/>
    </row>
    <row r="358" spans="1:54" x14ac:dyDescent="0.35">
      <c r="A358" s="66" t="s">
        <v>431</v>
      </c>
      <c r="B358" s="66" t="s">
        <v>1055</v>
      </c>
      <c r="C358" s="67"/>
      <c r="D358" s="68"/>
      <c r="E358" s="69"/>
      <c r="F358" s="70"/>
      <c r="G358" s="67"/>
      <c r="H358" s="71"/>
      <c r="I358" s="72"/>
      <c r="J358" s="72"/>
      <c r="K358" s="36"/>
      <c r="L358" s="79"/>
      <c r="M358" s="79"/>
      <c r="N358" s="74"/>
      <c r="O358" s="81" t="s">
        <v>1207</v>
      </c>
      <c r="P358" s="83">
        <v>44460.22724537037</v>
      </c>
      <c r="Q358" s="81" t="s">
        <v>1324</v>
      </c>
      <c r="R358" s="81"/>
      <c r="S358" s="81"/>
      <c r="T358" s="81"/>
      <c r="U358" s="85" t="str">
        <f>HYPERLINK("https://pbs.twimg.com/media/E_xVJy2VQAQerFe.jpg")</f>
        <v>https://pbs.twimg.com/media/E_xVJy2VQAQerFe.jpg</v>
      </c>
      <c r="V358" s="85" t="str">
        <f>HYPERLINK("https://pbs.twimg.com/media/E_xVJy2VQAQerFe.jpg")</f>
        <v>https://pbs.twimg.com/media/E_xVJy2VQAQerFe.jpg</v>
      </c>
      <c r="W358" s="83">
        <v>44460.22724537037</v>
      </c>
      <c r="X358" s="89">
        <v>44460</v>
      </c>
      <c r="Y358" s="87" t="s">
        <v>2024</v>
      </c>
      <c r="Z358" s="85" t="str">
        <f>HYPERLINK("https://twitter.com/akbarrudy1/status/1440185833500278786")</f>
        <v>https://twitter.com/akbarrudy1/status/1440185833500278786</v>
      </c>
      <c r="AA358" s="81"/>
      <c r="AB358" s="81"/>
      <c r="AC358" s="87" t="s">
        <v>2946</v>
      </c>
      <c r="AD358" s="81"/>
      <c r="AE358" s="81" t="b">
        <v>0</v>
      </c>
      <c r="AF358" s="81">
        <v>0</v>
      </c>
      <c r="AG358" s="87" t="s">
        <v>3875</v>
      </c>
      <c r="AH358" s="81" t="b">
        <v>0</v>
      </c>
      <c r="AI358" s="81" t="s">
        <v>4092</v>
      </c>
      <c r="AJ358" s="81"/>
      <c r="AK358" s="87" t="s">
        <v>3875</v>
      </c>
      <c r="AL358" s="81" t="b">
        <v>0</v>
      </c>
      <c r="AM358" s="81">
        <v>321</v>
      </c>
      <c r="AN358" s="87" t="s">
        <v>3520</v>
      </c>
      <c r="AO358" s="87" t="s">
        <v>4109</v>
      </c>
      <c r="AP358" s="81" t="b">
        <v>0</v>
      </c>
      <c r="AQ358" s="87" t="s">
        <v>3520</v>
      </c>
      <c r="AR358" s="81" t="s">
        <v>179</v>
      </c>
      <c r="AS358" s="81">
        <v>0</v>
      </c>
      <c r="AT358" s="81">
        <v>0</v>
      </c>
      <c r="AU358" s="81"/>
      <c r="AV358" s="81"/>
      <c r="AW358" s="81"/>
      <c r="AX358" s="81"/>
      <c r="AY358" s="81"/>
      <c r="AZ358" s="81"/>
      <c r="BA358" s="81"/>
      <c r="BB358" s="81"/>
    </row>
    <row r="359" spans="1:54" x14ac:dyDescent="0.35">
      <c r="A359" s="66" t="s">
        <v>431</v>
      </c>
      <c r="B359" s="66" t="s">
        <v>910</v>
      </c>
      <c r="C359" s="67"/>
      <c r="D359" s="68"/>
      <c r="E359" s="69"/>
      <c r="F359" s="70"/>
      <c r="G359" s="67"/>
      <c r="H359" s="71"/>
      <c r="I359" s="72"/>
      <c r="J359" s="72"/>
      <c r="K359" s="36"/>
      <c r="L359" s="79"/>
      <c r="M359" s="79"/>
      <c r="N359" s="74"/>
      <c r="O359" s="81" t="s">
        <v>1205</v>
      </c>
      <c r="P359" s="83">
        <v>44460.22724537037</v>
      </c>
      <c r="Q359" s="81" t="s">
        <v>1324</v>
      </c>
      <c r="R359" s="81"/>
      <c r="S359" s="81"/>
      <c r="T359" s="81"/>
      <c r="U359" s="85" t="str">
        <f>HYPERLINK("https://pbs.twimg.com/media/E_xVJy2VQAQerFe.jpg")</f>
        <v>https://pbs.twimg.com/media/E_xVJy2VQAQerFe.jpg</v>
      </c>
      <c r="V359" s="85" t="str">
        <f>HYPERLINK("https://pbs.twimg.com/media/E_xVJy2VQAQerFe.jpg")</f>
        <v>https://pbs.twimg.com/media/E_xVJy2VQAQerFe.jpg</v>
      </c>
      <c r="W359" s="83">
        <v>44460.22724537037</v>
      </c>
      <c r="X359" s="89">
        <v>44460</v>
      </c>
      <c r="Y359" s="87" t="s">
        <v>2024</v>
      </c>
      <c r="Z359" s="85" t="str">
        <f>HYPERLINK("https://twitter.com/akbarrudy1/status/1440185833500278786")</f>
        <v>https://twitter.com/akbarrudy1/status/1440185833500278786</v>
      </c>
      <c r="AA359" s="81"/>
      <c r="AB359" s="81"/>
      <c r="AC359" s="87" t="s">
        <v>2946</v>
      </c>
      <c r="AD359" s="81"/>
      <c r="AE359" s="81" t="b">
        <v>0</v>
      </c>
      <c r="AF359" s="81">
        <v>0</v>
      </c>
      <c r="AG359" s="87" t="s">
        <v>3875</v>
      </c>
      <c r="AH359" s="81" t="b">
        <v>0</v>
      </c>
      <c r="AI359" s="81" t="s">
        <v>4092</v>
      </c>
      <c r="AJ359" s="81"/>
      <c r="AK359" s="87" t="s">
        <v>3875</v>
      </c>
      <c r="AL359" s="81" t="b">
        <v>0</v>
      </c>
      <c r="AM359" s="81">
        <v>321</v>
      </c>
      <c r="AN359" s="87" t="s">
        <v>3520</v>
      </c>
      <c r="AO359" s="87" t="s">
        <v>4109</v>
      </c>
      <c r="AP359" s="81" t="b">
        <v>0</v>
      </c>
      <c r="AQ359" s="87" t="s">
        <v>3520</v>
      </c>
      <c r="AR359" s="81" t="s">
        <v>179</v>
      </c>
      <c r="AS359" s="81">
        <v>0</v>
      </c>
      <c r="AT359" s="81">
        <v>0</v>
      </c>
      <c r="AU359" s="81"/>
      <c r="AV359" s="81"/>
      <c r="AW359" s="81"/>
      <c r="AX359" s="81"/>
      <c r="AY359" s="81"/>
      <c r="AZ359" s="81"/>
      <c r="BA359" s="81"/>
      <c r="BB359" s="81"/>
    </row>
    <row r="360" spans="1:54" x14ac:dyDescent="0.35">
      <c r="A360" s="66" t="s">
        <v>432</v>
      </c>
      <c r="B360" s="66" t="s">
        <v>1055</v>
      </c>
      <c r="C360" s="67"/>
      <c r="D360" s="68"/>
      <c r="E360" s="69"/>
      <c r="F360" s="70"/>
      <c r="G360" s="67"/>
      <c r="H360" s="71"/>
      <c r="I360" s="72"/>
      <c r="J360" s="72"/>
      <c r="K360" s="36"/>
      <c r="L360" s="79"/>
      <c r="M360" s="79"/>
      <c r="N360" s="74"/>
      <c r="O360" s="81" t="s">
        <v>1207</v>
      </c>
      <c r="P360" s="83">
        <v>44460.227685185186</v>
      </c>
      <c r="Q360" s="81" t="s">
        <v>1324</v>
      </c>
      <c r="R360" s="81"/>
      <c r="S360" s="81"/>
      <c r="T360" s="81"/>
      <c r="U360" s="85" t="str">
        <f>HYPERLINK("https://pbs.twimg.com/media/E_xVJy2VQAQerFe.jpg")</f>
        <v>https://pbs.twimg.com/media/E_xVJy2VQAQerFe.jpg</v>
      </c>
      <c r="V360" s="85" t="str">
        <f>HYPERLINK("https://pbs.twimg.com/media/E_xVJy2VQAQerFe.jpg")</f>
        <v>https://pbs.twimg.com/media/E_xVJy2VQAQerFe.jpg</v>
      </c>
      <c r="W360" s="83">
        <v>44460.227685185186</v>
      </c>
      <c r="X360" s="89">
        <v>44460</v>
      </c>
      <c r="Y360" s="87" t="s">
        <v>2025</v>
      </c>
      <c r="Z360" s="85" t="str">
        <f>HYPERLINK("https://twitter.com/antoniuscdn/status/1440185990102933515")</f>
        <v>https://twitter.com/antoniuscdn/status/1440185990102933515</v>
      </c>
      <c r="AA360" s="81"/>
      <c r="AB360" s="81"/>
      <c r="AC360" s="87" t="s">
        <v>2947</v>
      </c>
      <c r="AD360" s="81"/>
      <c r="AE360" s="81" t="b">
        <v>0</v>
      </c>
      <c r="AF360" s="81">
        <v>0</v>
      </c>
      <c r="AG360" s="87" t="s">
        <v>3875</v>
      </c>
      <c r="AH360" s="81" t="b">
        <v>0</v>
      </c>
      <c r="AI360" s="81" t="s">
        <v>4092</v>
      </c>
      <c r="AJ360" s="81"/>
      <c r="AK360" s="87" t="s">
        <v>3875</v>
      </c>
      <c r="AL360" s="81" t="b">
        <v>0</v>
      </c>
      <c r="AM360" s="81">
        <v>321</v>
      </c>
      <c r="AN360" s="87" t="s">
        <v>3520</v>
      </c>
      <c r="AO360" s="87" t="s">
        <v>4109</v>
      </c>
      <c r="AP360" s="81" t="b">
        <v>0</v>
      </c>
      <c r="AQ360" s="87" t="s">
        <v>3520</v>
      </c>
      <c r="AR360" s="81" t="s">
        <v>179</v>
      </c>
      <c r="AS360" s="81">
        <v>0</v>
      </c>
      <c r="AT360" s="81">
        <v>0</v>
      </c>
      <c r="AU360" s="81"/>
      <c r="AV360" s="81"/>
      <c r="AW360" s="81"/>
      <c r="AX360" s="81"/>
      <c r="AY360" s="81"/>
      <c r="AZ360" s="81"/>
      <c r="BA360" s="81"/>
      <c r="BB360" s="81"/>
    </row>
    <row r="361" spans="1:54" x14ac:dyDescent="0.35">
      <c r="A361" s="66" t="s">
        <v>432</v>
      </c>
      <c r="B361" s="66" t="s">
        <v>910</v>
      </c>
      <c r="C361" s="67"/>
      <c r="D361" s="68"/>
      <c r="E361" s="69"/>
      <c r="F361" s="70"/>
      <c r="G361" s="67"/>
      <c r="H361" s="71"/>
      <c r="I361" s="72"/>
      <c r="J361" s="72"/>
      <c r="K361" s="36"/>
      <c r="L361" s="79"/>
      <c r="M361" s="79"/>
      <c r="N361" s="74"/>
      <c r="O361" s="81" t="s">
        <v>1205</v>
      </c>
      <c r="P361" s="83">
        <v>44460.227685185186</v>
      </c>
      <c r="Q361" s="81" t="s">
        <v>1324</v>
      </c>
      <c r="R361" s="81"/>
      <c r="S361" s="81"/>
      <c r="T361" s="81"/>
      <c r="U361" s="85" t="str">
        <f>HYPERLINK("https://pbs.twimg.com/media/E_xVJy2VQAQerFe.jpg")</f>
        <v>https://pbs.twimg.com/media/E_xVJy2VQAQerFe.jpg</v>
      </c>
      <c r="V361" s="85" t="str">
        <f>HYPERLINK("https://pbs.twimg.com/media/E_xVJy2VQAQerFe.jpg")</f>
        <v>https://pbs.twimg.com/media/E_xVJy2VQAQerFe.jpg</v>
      </c>
      <c r="W361" s="83">
        <v>44460.227685185186</v>
      </c>
      <c r="X361" s="89">
        <v>44460</v>
      </c>
      <c r="Y361" s="87" t="s">
        <v>2025</v>
      </c>
      <c r="Z361" s="85" t="str">
        <f>HYPERLINK("https://twitter.com/antoniuscdn/status/1440185990102933515")</f>
        <v>https://twitter.com/antoniuscdn/status/1440185990102933515</v>
      </c>
      <c r="AA361" s="81"/>
      <c r="AB361" s="81"/>
      <c r="AC361" s="87" t="s">
        <v>2947</v>
      </c>
      <c r="AD361" s="81"/>
      <c r="AE361" s="81" t="b">
        <v>0</v>
      </c>
      <c r="AF361" s="81">
        <v>0</v>
      </c>
      <c r="AG361" s="87" t="s">
        <v>3875</v>
      </c>
      <c r="AH361" s="81" t="b">
        <v>0</v>
      </c>
      <c r="AI361" s="81" t="s">
        <v>4092</v>
      </c>
      <c r="AJ361" s="81"/>
      <c r="AK361" s="87" t="s">
        <v>3875</v>
      </c>
      <c r="AL361" s="81" t="b">
        <v>0</v>
      </c>
      <c r="AM361" s="81">
        <v>321</v>
      </c>
      <c r="AN361" s="87" t="s">
        <v>3520</v>
      </c>
      <c r="AO361" s="87" t="s">
        <v>4109</v>
      </c>
      <c r="AP361" s="81" t="b">
        <v>0</v>
      </c>
      <c r="AQ361" s="87" t="s">
        <v>3520</v>
      </c>
      <c r="AR361" s="81" t="s">
        <v>179</v>
      </c>
      <c r="AS361" s="81">
        <v>0</v>
      </c>
      <c r="AT361" s="81">
        <v>0</v>
      </c>
      <c r="AU361" s="81"/>
      <c r="AV361" s="81"/>
      <c r="AW361" s="81"/>
      <c r="AX361" s="81"/>
      <c r="AY361" s="81"/>
      <c r="AZ361" s="81"/>
      <c r="BA361" s="81"/>
      <c r="BB361" s="81"/>
    </row>
    <row r="362" spans="1:54" x14ac:dyDescent="0.35">
      <c r="A362" s="66" t="s">
        <v>433</v>
      </c>
      <c r="B362" s="66" t="s">
        <v>1055</v>
      </c>
      <c r="C362" s="67"/>
      <c r="D362" s="68"/>
      <c r="E362" s="69"/>
      <c r="F362" s="70"/>
      <c r="G362" s="67"/>
      <c r="H362" s="71"/>
      <c r="I362" s="72"/>
      <c r="J362" s="72"/>
      <c r="K362" s="36"/>
      <c r="L362" s="79"/>
      <c r="M362" s="79"/>
      <c r="N362" s="74"/>
      <c r="O362" s="81" t="s">
        <v>1207</v>
      </c>
      <c r="P362" s="83">
        <v>44460.227754629632</v>
      </c>
      <c r="Q362" s="81" t="s">
        <v>1324</v>
      </c>
      <c r="R362" s="81"/>
      <c r="S362" s="81"/>
      <c r="T362" s="81"/>
      <c r="U362" s="85" t="str">
        <f>HYPERLINK("https://pbs.twimg.com/media/E_xVJy2VQAQerFe.jpg")</f>
        <v>https://pbs.twimg.com/media/E_xVJy2VQAQerFe.jpg</v>
      </c>
      <c r="V362" s="85" t="str">
        <f>HYPERLINK("https://pbs.twimg.com/media/E_xVJy2VQAQerFe.jpg")</f>
        <v>https://pbs.twimg.com/media/E_xVJy2VQAQerFe.jpg</v>
      </c>
      <c r="W362" s="83">
        <v>44460.227754629632</v>
      </c>
      <c r="X362" s="89">
        <v>44460</v>
      </c>
      <c r="Y362" s="87" t="s">
        <v>2026</v>
      </c>
      <c r="Z362" s="85" t="str">
        <f>HYPERLINK("https://twitter.com/dyanaawt/status/1440186018750103554")</f>
        <v>https://twitter.com/dyanaawt/status/1440186018750103554</v>
      </c>
      <c r="AA362" s="81"/>
      <c r="AB362" s="81"/>
      <c r="AC362" s="87" t="s">
        <v>2948</v>
      </c>
      <c r="AD362" s="81"/>
      <c r="AE362" s="81" t="b">
        <v>0</v>
      </c>
      <c r="AF362" s="81">
        <v>0</v>
      </c>
      <c r="AG362" s="87" t="s">
        <v>3875</v>
      </c>
      <c r="AH362" s="81" t="b">
        <v>0</v>
      </c>
      <c r="AI362" s="81" t="s">
        <v>4092</v>
      </c>
      <c r="AJ362" s="81"/>
      <c r="AK362" s="87" t="s">
        <v>3875</v>
      </c>
      <c r="AL362" s="81" t="b">
        <v>0</v>
      </c>
      <c r="AM362" s="81">
        <v>321</v>
      </c>
      <c r="AN362" s="87" t="s">
        <v>3520</v>
      </c>
      <c r="AO362" s="87" t="s">
        <v>4109</v>
      </c>
      <c r="AP362" s="81" t="b">
        <v>0</v>
      </c>
      <c r="AQ362" s="87" t="s">
        <v>3520</v>
      </c>
      <c r="AR362" s="81" t="s">
        <v>179</v>
      </c>
      <c r="AS362" s="81">
        <v>0</v>
      </c>
      <c r="AT362" s="81">
        <v>0</v>
      </c>
      <c r="AU362" s="81"/>
      <c r="AV362" s="81"/>
      <c r="AW362" s="81"/>
      <c r="AX362" s="81"/>
      <c r="AY362" s="81"/>
      <c r="AZ362" s="81"/>
      <c r="BA362" s="81"/>
      <c r="BB362" s="81"/>
    </row>
    <row r="363" spans="1:54" x14ac:dyDescent="0.35">
      <c r="A363" s="66" t="s">
        <v>433</v>
      </c>
      <c r="B363" s="66" t="s">
        <v>910</v>
      </c>
      <c r="C363" s="67"/>
      <c r="D363" s="68"/>
      <c r="E363" s="69"/>
      <c r="F363" s="70"/>
      <c r="G363" s="67"/>
      <c r="H363" s="71"/>
      <c r="I363" s="72"/>
      <c r="J363" s="72"/>
      <c r="K363" s="36"/>
      <c r="L363" s="79"/>
      <c r="M363" s="79"/>
      <c r="N363" s="74"/>
      <c r="O363" s="81" t="s">
        <v>1205</v>
      </c>
      <c r="P363" s="83">
        <v>44460.227754629632</v>
      </c>
      <c r="Q363" s="81" t="s">
        <v>1324</v>
      </c>
      <c r="R363" s="81"/>
      <c r="S363" s="81"/>
      <c r="T363" s="81"/>
      <c r="U363" s="85" t="str">
        <f>HYPERLINK("https://pbs.twimg.com/media/E_xVJy2VQAQerFe.jpg")</f>
        <v>https://pbs.twimg.com/media/E_xVJy2VQAQerFe.jpg</v>
      </c>
      <c r="V363" s="85" t="str">
        <f>HYPERLINK("https://pbs.twimg.com/media/E_xVJy2VQAQerFe.jpg")</f>
        <v>https://pbs.twimg.com/media/E_xVJy2VQAQerFe.jpg</v>
      </c>
      <c r="W363" s="83">
        <v>44460.227754629632</v>
      </c>
      <c r="X363" s="89">
        <v>44460</v>
      </c>
      <c r="Y363" s="87" t="s">
        <v>2026</v>
      </c>
      <c r="Z363" s="85" t="str">
        <f>HYPERLINK("https://twitter.com/dyanaawt/status/1440186018750103554")</f>
        <v>https://twitter.com/dyanaawt/status/1440186018750103554</v>
      </c>
      <c r="AA363" s="81"/>
      <c r="AB363" s="81"/>
      <c r="AC363" s="87" t="s">
        <v>2948</v>
      </c>
      <c r="AD363" s="81"/>
      <c r="AE363" s="81" t="b">
        <v>0</v>
      </c>
      <c r="AF363" s="81">
        <v>0</v>
      </c>
      <c r="AG363" s="87" t="s">
        <v>3875</v>
      </c>
      <c r="AH363" s="81" t="b">
        <v>0</v>
      </c>
      <c r="AI363" s="81" t="s">
        <v>4092</v>
      </c>
      <c r="AJ363" s="81"/>
      <c r="AK363" s="87" t="s">
        <v>3875</v>
      </c>
      <c r="AL363" s="81" t="b">
        <v>0</v>
      </c>
      <c r="AM363" s="81">
        <v>321</v>
      </c>
      <c r="AN363" s="87" t="s">
        <v>3520</v>
      </c>
      <c r="AO363" s="87" t="s">
        <v>4109</v>
      </c>
      <c r="AP363" s="81" t="b">
        <v>0</v>
      </c>
      <c r="AQ363" s="87" t="s">
        <v>3520</v>
      </c>
      <c r="AR363" s="81" t="s">
        <v>179</v>
      </c>
      <c r="AS363" s="81">
        <v>0</v>
      </c>
      <c r="AT363" s="81">
        <v>0</v>
      </c>
      <c r="AU363" s="81"/>
      <c r="AV363" s="81"/>
      <c r="AW363" s="81"/>
      <c r="AX363" s="81"/>
      <c r="AY363" s="81"/>
      <c r="AZ363" s="81"/>
      <c r="BA363" s="81"/>
      <c r="BB363" s="81"/>
    </row>
    <row r="364" spans="1:54" x14ac:dyDescent="0.35">
      <c r="A364" s="66" t="s">
        <v>434</v>
      </c>
      <c r="B364" s="66" t="s">
        <v>1055</v>
      </c>
      <c r="C364" s="67"/>
      <c r="D364" s="68"/>
      <c r="E364" s="69"/>
      <c r="F364" s="70"/>
      <c r="G364" s="67"/>
      <c r="H364" s="71"/>
      <c r="I364" s="72"/>
      <c r="J364" s="72"/>
      <c r="K364" s="36"/>
      <c r="L364" s="79"/>
      <c r="M364" s="79"/>
      <c r="N364" s="74"/>
      <c r="O364" s="81" t="s">
        <v>1207</v>
      </c>
      <c r="P364" s="83">
        <v>44460.228645833333</v>
      </c>
      <c r="Q364" s="81" t="s">
        <v>1324</v>
      </c>
      <c r="R364" s="81"/>
      <c r="S364" s="81"/>
      <c r="T364" s="81"/>
      <c r="U364" s="85" t="str">
        <f>HYPERLINK("https://pbs.twimg.com/media/E_xVJy2VQAQerFe.jpg")</f>
        <v>https://pbs.twimg.com/media/E_xVJy2VQAQerFe.jpg</v>
      </c>
      <c r="V364" s="85" t="str">
        <f>HYPERLINK("https://pbs.twimg.com/media/E_xVJy2VQAQerFe.jpg")</f>
        <v>https://pbs.twimg.com/media/E_xVJy2VQAQerFe.jpg</v>
      </c>
      <c r="W364" s="83">
        <v>44460.228645833333</v>
      </c>
      <c r="X364" s="89">
        <v>44460</v>
      </c>
      <c r="Y364" s="87" t="s">
        <v>2027</v>
      </c>
      <c r="Z364" s="85" t="str">
        <f>HYPERLINK("https://twitter.com/fadjarpm/status/1440186341879287812")</f>
        <v>https://twitter.com/fadjarpm/status/1440186341879287812</v>
      </c>
      <c r="AA364" s="81"/>
      <c r="AB364" s="81"/>
      <c r="AC364" s="87" t="s">
        <v>2949</v>
      </c>
      <c r="AD364" s="81"/>
      <c r="AE364" s="81" t="b">
        <v>0</v>
      </c>
      <c r="AF364" s="81">
        <v>0</v>
      </c>
      <c r="AG364" s="87" t="s">
        <v>3875</v>
      </c>
      <c r="AH364" s="81" t="b">
        <v>0</v>
      </c>
      <c r="AI364" s="81" t="s">
        <v>4092</v>
      </c>
      <c r="AJ364" s="81"/>
      <c r="AK364" s="87" t="s">
        <v>3875</v>
      </c>
      <c r="AL364" s="81" t="b">
        <v>0</v>
      </c>
      <c r="AM364" s="81">
        <v>321</v>
      </c>
      <c r="AN364" s="87" t="s">
        <v>3520</v>
      </c>
      <c r="AO364" s="87" t="s">
        <v>4109</v>
      </c>
      <c r="AP364" s="81" t="b">
        <v>0</v>
      </c>
      <c r="AQ364" s="87" t="s">
        <v>3520</v>
      </c>
      <c r="AR364" s="81" t="s">
        <v>179</v>
      </c>
      <c r="AS364" s="81">
        <v>0</v>
      </c>
      <c r="AT364" s="81">
        <v>0</v>
      </c>
      <c r="AU364" s="81"/>
      <c r="AV364" s="81"/>
      <c r="AW364" s="81"/>
      <c r="AX364" s="81"/>
      <c r="AY364" s="81"/>
      <c r="AZ364" s="81"/>
      <c r="BA364" s="81"/>
      <c r="BB364" s="81"/>
    </row>
    <row r="365" spans="1:54" x14ac:dyDescent="0.35">
      <c r="A365" s="66" t="s">
        <v>434</v>
      </c>
      <c r="B365" s="66" t="s">
        <v>910</v>
      </c>
      <c r="C365" s="67"/>
      <c r="D365" s="68"/>
      <c r="E365" s="69"/>
      <c r="F365" s="70"/>
      <c r="G365" s="67"/>
      <c r="H365" s="71"/>
      <c r="I365" s="72"/>
      <c r="J365" s="72"/>
      <c r="K365" s="36"/>
      <c r="L365" s="79"/>
      <c r="M365" s="79"/>
      <c r="N365" s="74"/>
      <c r="O365" s="81" t="s">
        <v>1205</v>
      </c>
      <c r="P365" s="83">
        <v>44460.228645833333</v>
      </c>
      <c r="Q365" s="81" t="s">
        <v>1324</v>
      </c>
      <c r="R365" s="81"/>
      <c r="S365" s="81"/>
      <c r="T365" s="81"/>
      <c r="U365" s="85" t="str">
        <f>HYPERLINK("https://pbs.twimg.com/media/E_xVJy2VQAQerFe.jpg")</f>
        <v>https://pbs.twimg.com/media/E_xVJy2VQAQerFe.jpg</v>
      </c>
      <c r="V365" s="85" t="str">
        <f>HYPERLINK("https://pbs.twimg.com/media/E_xVJy2VQAQerFe.jpg")</f>
        <v>https://pbs.twimg.com/media/E_xVJy2VQAQerFe.jpg</v>
      </c>
      <c r="W365" s="83">
        <v>44460.228645833333</v>
      </c>
      <c r="X365" s="89">
        <v>44460</v>
      </c>
      <c r="Y365" s="87" t="s">
        <v>2027</v>
      </c>
      <c r="Z365" s="85" t="str">
        <f>HYPERLINK("https://twitter.com/fadjarpm/status/1440186341879287812")</f>
        <v>https://twitter.com/fadjarpm/status/1440186341879287812</v>
      </c>
      <c r="AA365" s="81"/>
      <c r="AB365" s="81"/>
      <c r="AC365" s="87" t="s">
        <v>2949</v>
      </c>
      <c r="AD365" s="81"/>
      <c r="AE365" s="81" t="b">
        <v>0</v>
      </c>
      <c r="AF365" s="81">
        <v>0</v>
      </c>
      <c r="AG365" s="87" t="s">
        <v>3875</v>
      </c>
      <c r="AH365" s="81" t="b">
        <v>0</v>
      </c>
      <c r="AI365" s="81" t="s">
        <v>4092</v>
      </c>
      <c r="AJ365" s="81"/>
      <c r="AK365" s="87" t="s">
        <v>3875</v>
      </c>
      <c r="AL365" s="81" t="b">
        <v>0</v>
      </c>
      <c r="AM365" s="81">
        <v>321</v>
      </c>
      <c r="AN365" s="87" t="s">
        <v>3520</v>
      </c>
      <c r="AO365" s="87" t="s">
        <v>4109</v>
      </c>
      <c r="AP365" s="81" t="b">
        <v>0</v>
      </c>
      <c r="AQ365" s="87" t="s">
        <v>3520</v>
      </c>
      <c r="AR365" s="81" t="s">
        <v>179</v>
      </c>
      <c r="AS365" s="81">
        <v>0</v>
      </c>
      <c r="AT365" s="81">
        <v>0</v>
      </c>
      <c r="AU365" s="81"/>
      <c r="AV365" s="81"/>
      <c r="AW365" s="81"/>
      <c r="AX365" s="81"/>
      <c r="AY365" s="81"/>
      <c r="AZ365" s="81"/>
      <c r="BA365" s="81"/>
      <c r="BB365" s="81"/>
    </row>
    <row r="366" spans="1:54" x14ac:dyDescent="0.35">
      <c r="A366" s="66" t="s">
        <v>435</v>
      </c>
      <c r="B366" s="66" t="s">
        <v>1055</v>
      </c>
      <c r="C366" s="67"/>
      <c r="D366" s="68"/>
      <c r="E366" s="69"/>
      <c r="F366" s="70"/>
      <c r="G366" s="67"/>
      <c r="H366" s="71"/>
      <c r="I366" s="72"/>
      <c r="J366" s="72"/>
      <c r="K366" s="36"/>
      <c r="L366" s="79"/>
      <c r="M366" s="79"/>
      <c r="N366" s="74"/>
      <c r="O366" s="81" t="s">
        <v>1207</v>
      </c>
      <c r="P366" s="83">
        <v>44460.228773148148</v>
      </c>
      <c r="Q366" s="81" t="s">
        <v>1324</v>
      </c>
      <c r="R366" s="81"/>
      <c r="S366" s="81"/>
      <c r="T366" s="81"/>
      <c r="U366" s="85" t="str">
        <f>HYPERLINK("https://pbs.twimg.com/media/E_xVJy2VQAQerFe.jpg")</f>
        <v>https://pbs.twimg.com/media/E_xVJy2VQAQerFe.jpg</v>
      </c>
      <c r="V366" s="85" t="str">
        <f>HYPERLINK("https://pbs.twimg.com/media/E_xVJy2VQAQerFe.jpg")</f>
        <v>https://pbs.twimg.com/media/E_xVJy2VQAQerFe.jpg</v>
      </c>
      <c r="W366" s="83">
        <v>44460.228773148148</v>
      </c>
      <c r="X366" s="89">
        <v>44460</v>
      </c>
      <c r="Y366" s="87" t="s">
        <v>2028</v>
      </c>
      <c r="Z366" s="85" t="str">
        <f>HYPERLINK("https://twitter.com/ideapool_/status/1440186387890782215")</f>
        <v>https://twitter.com/ideapool_/status/1440186387890782215</v>
      </c>
      <c r="AA366" s="81"/>
      <c r="AB366" s="81"/>
      <c r="AC366" s="87" t="s">
        <v>2950</v>
      </c>
      <c r="AD366" s="81"/>
      <c r="AE366" s="81" t="b">
        <v>0</v>
      </c>
      <c r="AF366" s="81">
        <v>0</v>
      </c>
      <c r="AG366" s="87" t="s">
        <v>3875</v>
      </c>
      <c r="AH366" s="81" t="b">
        <v>0</v>
      </c>
      <c r="AI366" s="81" t="s">
        <v>4092</v>
      </c>
      <c r="AJ366" s="81"/>
      <c r="AK366" s="87" t="s">
        <v>3875</v>
      </c>
      <c r="AL366" s="81" t="b">
        <v>0</v>
      </c>
      <c r="AM366" s="81">
        <v>321</v>
      </c>
      <c r="AN366" s="87" t="s">
        <v>3520</v>
      </c>
      <c r="AO366" s="87" t="s">
        <v>4110</v>
      </c>
      <c r="AP366" s="81" t="b">
        <v>0</v>
      </c>
      <c r="AQ366" s="87" t="s">
        <v>3520</v>
      </c>
      <c r="AR366" s="81" t="s">
        <v>179</v>
      </c>
      <c r="AS366" s="81">
        <v>0</v>
      </c>
      <c r="AT366" s="81">
        <v>0</v>
      </c>
      <c r="AU366" s="81"/>
      <c r="AV366" s="81"/>
      <c r="AW366" s="81"/>
      <c r="AX366" s="81"/>
      <c r="AY366" s="81"/>
      <c r="AZ366" s="81"/>
      <c r="BA366" s="81"/>
      <c r="BB366" s="81"/>
    </row>
    <row r="367" spans="1:54" x14ac:dyDescent="0.35">
      <c r="A367" s="66" t="s">
        <v>435</v>
      </c>
      <c r="B367" s="66" t="s">
        <v>910</v>
      </c>
      <c r="C367" s="67"/>
      <c r="D367" s="68"/>
      <c r="E367" s="69"/>
      <c r="F367" s="70"/>
      <c r="G367" s="67"/>
      <c r="H367" s="71"/>
      <c r="I367" s="72"/>
      <c r="J367" s="72"/>
      <c r="K367" s="36"/>
      <c r="L367" s="79"/>
      <c r="M367" s="79"/>
      <c r="N367" s="74"/>
      <c r="O367" s="81" t="s">
        <v>1205</v>
      </c>
      <c r="P367" s="83">
        <v>44460.228773148148</v>
      </c>
      <c r="Q367" s="81" t="s">
        <v>1324</v>
      </c>
      <c r="R367" s="81"/>
      <c r="S367" s="81"/>
      <c r="T367" s="81"/>
      <c r="U367" s="85" t="str">
        <f>HYPERLINK("https://pbs.twimg.com/media/E_xVJy2VQAQerFe.jpg")</f>
        <v>https://pbs.twimg.com/media/E_xVJy2VQAQerFe.jpg</v>
      </c>
      <c r="V367" s="85" t="str">
        <f>HYPERLINK("https://pbs.twimg.com/media/E_xVJy2VQAQerFe.jpg")</f>
        <v>https://pbs.twimg.com/media/E_xVJy2VQAQerFe.jpg</v>
      </c>
      <c r="W367" s="83">
        <v>44460.228773148148</v>
      </c>
      <c r="X367" s="89">
        <v>44460</v>
      </c>
      <c r="Y367" s="87" t="s">
        <v>2028</v>
      </c>
      <c r="Z367" s="85" t="str">
        <f>HYPERLINK("https://twitter.com/ideapool_/status/1440186387890782215")</f>
        <v>https://twitter.com/ideapool_/status/1440186387890782215</v>
      </c>
      <c r="AA367" s="81"/>
      <c r="AB367" s="81"/>
      <c r="AC367" s="87" t="s">
        <v>2950</v>
      </c>
      <c r="AD367" s="81"/>
      <c r="AE367" s="81" t="b">
        <v>0</v>
      </c>
      <c r="AF367" s="81">
        <v>0</v>
      </c>
      <c r="AG367" s="87" t="s">
        <v>3875</v>
      </c>
      <c r="AH367" s="81" t="b">
        <v>0</v>
      </c>
      <c r="AI367" s="81" t="s">
        <v>4092</v>
      </c>
      <c r="AJ367" s="81"/>
      <c r="AK367" s="87" t="s">
        <v>3875</v>
      </c>
      <c r="AL367" s="81" t="b">
        <v>0</v>
      </c>
      <c r="AM367" s="81">
        <v>321</v>
      </c>
      <c r="AN367" s="87" t="s">
        <v>3520</v>
      </c>
      <c r="AO367" s="87" t="s">
        <v>4110</v>
      </c>
      <c r="AP367" s="81" t="b">
        <v>0</v>
      </c>
      <c r="AQ367" s="87" t="s">
        <v>3520</v>
      </c>
      <c r="AR367" s="81" t="s">
        <v>179</v>
      </c>
      <c r="AS367" s="81">
        <v>0</v>
      </c>
      <c r="AT367" s="81">
        <v>0</v>
      </c>
      <c r="AU367" s="81"/>
      <c r="AV367" s="81"/>
      <c r="AW367" s="81"/>
      <c r="AX367" s="81"/>
      <c r="AY367" s="81"/>
      <c r="AZ367" s="81"/>
      <c r="BA367" s="81"/>
      <c r="BB367" s="81"/>
    </row>
    <row r="368" spans="1:54" x14ac:dyDescent="0.35">
      <c r="A368" s="66" t="s">
        <v>435</v>
      </c>
      <c r="B368" s="66" t="s">
        <v>1034</v>
      </c>
      <c r="C368" s="67"/>
      <c r="D368" s="68"/>
      <c r="E368" s="69"/>
      <c r="F368" s="70"/>
      <c r="G368" s="67"/>
      <c r="H368" s="71"/>
      <c r="I368" s="72"/>
      <c r="J368" s="72"/>
      <c r="K368" s="36"/>
      <c r="L368" s="79"/>
      <c r="M368" s="79"/>
      <c r="N368" s="74"/>
      <c r="O368" s="81" t="s">
        <v>1207</v>
      </c>
      <c r="P368" s="83">
        <v>44460.229120370372</v>
      </c>
      <c r="Q368" s="81" t="s">
        <v>1334</v>
      </c>
      <c r="R368" s="81"/>
      <c r="S368" s="81"/>
      <c r="T368" s="81"/>
      <c r="U368" s="81"/>
      <c r="V368" s="85" t="str">
        <f>HYPERLINK("https://pbs.twimg.com/profile_images/777507365574709248/zSAM6lNV_normal.jpg")</f>
        <v>https://pbs.twimg.com/profile_images/777507365574709248/zSAM6lNV_normal.jpg</v>
      </c>
      <c r="W368" s="83">
        <v>44460.229120370372</v>
      </c>
      <c r="X368" s="89">
        <v>44460</v>
      </c>
      <c r="Y368" s="87" t="s">
        <v>2029</v>
      </c>
      <c r="Z368" s="85" t="str">
        <f>HYPERLINK("https://twitter.com/ideapool_/status/1440186514089005058")</f>
        <v>https://twitter.com/ideapool_/status/1440186514089005058</v>
      </c>
      <c r="AA368" s="81"/>
      <c r="AB368" s="81"/>
      <c r="AC368" s="87" t="s">
        <v>2951</v>
      </c>
      <c r="AD368" s="81"/>
      <c r="AE368" s="81" t="b">
        <v>0</v>
      </c>
      <c r="AF368" s="81">
        <v>0</v>
      </c>
      <c r="AG368" s="87" t="s">
        <v>3875</v>
      </c>
      <c r="AH368" s="81" t="b">
        <v>0</v>
      </c>
      <c r="AI368" s="81" t="s">
        <v>4092</v>
      </c>
      <c r="AJ368" s="81"/>
      <c r="AK368" s="87" t="s">
        <v>3875</v>
      </c>
      <c r="AL368" s="81" t="b">
        <v>0</v>
      </c>
      <c r="AM368" s="81">
        <v>4</v>
      </c>
      <c r="AN368" s="87" t="s">
        <v>3487</v>
      </c>
      <c r="AO368" s="87" t="s">
        <v>4110</v>
      </c>
      <c r="AP368" s="81" t="b">
        <v>0</v>
      </c>
      <c r="AQ368" s="87" t="s">
        <v>3487</v>
      </c>
      <c r="AR368" s="81" t="s">
        <v>179</v>
      </c>
      <c r="AS368" s="81">
        <v>0</v>
      </c>
      <c r="AT368" s="81">
        <v>0</v>
      </c>
      <c r="AU368" s="81"/>
      <c r="AV368" s="81"/>
      <c r="AW368" s="81"/>
      <c r="AX368" s="81"/>
      <c r="AY368" s="81"/>
      <c r="AZ368" s="81"/>
      <c r="BA368" s="81"/>
      <c r="BB368" s="81"/>
    </row>
    <row r="369" spans="1:54" x14ac:dyDescent="0.35">
      <c r="A369" s="66" t="s">
        <v>435</v>
      </c>
      <c r="B369" s="66" t="s">
        <v>910</v>
      </c>
      <c r="C369" s="67"/>
      <c r="D369" s="68"/>
      <c r="E369" s="69"/>
      <c r="F369" s="70"/>
      <c r="G369" s="67"/>
      <c r="H369" s="71"/>
      <c r="I369" s="72"/>
      <c r="J369" s="72"/>
      <c r="K369" s="36"/>
      <c r="L369" s="79"/>
      <c r="M369" s="79"/>
      <c r="N369" s="74"/>
      <c r="O369" s="81" t="s">
        <v>1205</v>
      </c>
      <c r="P369" s="83">
        <v>44460.229120370372</v>
      </c>
      <c r="Q369" s="81" t="s">
        <v>1334</v>
      </c>
      <c r="R369" s="81"/>
      <c r="S369" s="81"/>
      <c r="T369" s="81"/>
      <c r="U369" s="81"/>
      <c r="V369" s="85" t="str">
        <f>HYPERLINK("https://pbs.twimg.com/profile_images/777507365574709248/zSAM6lNV_normal.jpg")</f>
        <v>https://pbs.twimg.com/profile_images/777507365574709248/zSAM6lNV_normal.jpg</v>
      </c>
      <c r="W369" s="83">
        <v>44460.229120370372</v>
      </c>
      <c r="X369" s="89">
        <v>44460</v>
      </c>
      <c r="Y369" s="87" t="s">
        <v>2029</v>
      </c>
      <c r="Z369" s="85" t="str">
        <f>HYPERLINK("https://twitter.com/ideapool_/status/1440186514089005058")</f>
        <v>https://twitter.com/ideapool_/status/1440186514089005058</v>
      </c>
      <c r="AA369" s="81"/>
      <c r="AB369" s="81"/>
      <c r="AC369" s="87" t="s">
        <v>2951</v>
      </c>
      <c r="AD369" s="81"/>
      <c r="AE369" s="81" t="b">
        <v>0</v>
      </c>
      <c r="AF369" s="81">
        <v>0</v>
      </c>
      <c r="AG369" s="87" t="s">
        <v>3875</v>
      </c>
      <c r="AH369" s="81" t="b">
        <v>0</v>
      </c>
      <c r="AI369" s="81" t="s">
        <v>4092</v>
      </c>
      <c r="AJ369" s="81"/>
      <c r="AK369" s="87" t="s">
        <v>3875</v>
      </c>
      <c r="AL369" s="81" t="b">
        <v>0</v>
      </c>
      <c r="AM369" s="81">
        <v>4</v>
      </c>
      <c r="AN369" s="87" t="s">
        <v>3487</v>
      </c>
      <c r="AO369" s="87" t="s">
        <v>4110</v>
      </c>
      <c r="AP369" s="81" t="b">
        <v>0</v>
      </c>
      <c r="AQ369" s="87" t="s">
        <v>3487</v>
      </c>
      <c r="AR369" s="81" t="s">
        <v>179</v>
      </c>
      <c r="AS369" s="81">
        <v>0</v>
      </c>
      <c r="AT369" s="81">
        <v>0</v>
      </c>
      <c r="AU369" s="81"/>
      <c r="AV369" s="81"/>
      <c r="AW369" s="81"/>
      <c r="AX369" s="81"/>
      <c r="AY369" s="81"/>
      <c r="AZ369" s="81"/>
      <c r="BA369" s="81"/>
      <c r="BB369" s="81"/>
    </row>
    <row r="370" spans="1:54" x14ac:dyDescent="0.35">
      <c r="A370" s="66" t="s">
        <v>435</v>
      </c>
      <c r="B370" s="66" t="s">
        <v>1055</v>
      </c>
      <c r="C370" s="67"/>
      <c r="D370" s="68"/>
      <c r="E370" s="69"/>
      <c r="F370" s="70"/>
      <c r="G370" s="67"/>
      <c r="H370" s="71"/>
      <c r="I370" s="72"/>
      <c r="J370" s="72"/>
      <c r="K370" s="36"/>
      <c r="L370" s="79"/>
      <c r="M370" s="79"/>
      <c r="N370" s="74"/>
      <c r="O370" s="81" t="s">
        <v>1208</v>
      </c>
      <c r="P370" s="83">
        <v>44460.229120370372</v>
      </c>
      <c r="Q370" s="81" t="s">
        <v>1334</v>
      </c>
      <c r="R370" s="81"/>
      <c r="S370" s="81"/>
      <c r="T370" s="81"/>
      <c r="U370" s="81"/>
      <c r="V370" s="85" t="str">
        <f>HYPERLINK("https://pbs.twimg.com/profile_images/777507365574709248/zSAM6lNV_normal.jpg")</f>
        <v>https://pbs.twimg.com/profile_images/777507365574709248/zSAM6lNV_normal.jpg</v>
      </c>
      <c r="W370" s="83">
        <v>44460.229120370372</v>
      </c>
      <c r="X370" s="89">
        <v>44460</v>
      </c>
      <c r="Y370" s="87" t="s">
        <v>2029</v>
      </c>
      <c r="Z370" s="85" t="str">
        <f>HYPERLINK("https://twitter.com/ideapool_/status/1440186514089005058")</f>
        <v>https://twitter.com/ideapool_/status/1440186514089005058</v>
      </c>
      <c r="AA370" s="81"/>
      <c r="AB370" s="81"/>
      <c r="AC370" s="87" t="s">
        <v>2951</v>
      </c>
      <c r="AD370" s="81"/>
      <c r="AE370" s="81" t="b">
        <v>0</v>
      </c>
      <c r="AF370" s="81">
        <v>0</v>
      </c>
      <c r="AG370" s="87" t="s">
        <v>3875</v>
      </c>
      <c r="AH370" s="81" t="b">
        <v>0</v>
      </c>
      <c r="AI370" s="81" t="s">
        <v>4092</v>
      </c>
      <c r="AJ370" s="81"/>
      <c r="AK370" s="87" t="s">
        <v>3875</v>
      </c>
      <c r="AL370" s="81" t="b">
        <v>0</v>
      </c>
      <c r="AM370" s="81">
        <v>4</v>
      </c>
      <c r="AN370" s="87" t="s">
        <v>3487</v>
      </c>
      <c r="AO370" s="87" t="s">
        <v>4110</v>
      </c>
      <c r="AP370" s="81" t="b">
        <v>0</v>
      </c>
      <c r="AQ370" s="87" t="s">
        <v>3487</v>
      </c>
      <c r="AR370" s="81" t="s">
        <v>179</v>
      </c>
      <c r="AS370" s="81">
        <v>0</v>
      </c>
      <c r="AT370" s="81">
        <v>0</v>
      </c>
      <c r="AU370" s="81"/>
      <c r="AV370" s="81"/>
      <c r="AW370" s="81"/>
      <c r="AX370" s="81"/>
      <c r="AY370" s="81"/>
      <c r="AZ370" s="81"/>
      <c r="BA370" s="81"/>
      <c r="BB370" s="81"/>
    </row>
    <row r="371" spans="1:54" x14ac:dyDescent="0.35">
      <c r="A371" s="66" t="s">
        <v>436</v>
      </c>
      <c r="B371" s="66" t="s">
        <v>1055</v>
      </c>
      <c r="C371" s="67"/>
      <c r="D371" s="68"/>
      <c r="E371" s="69"/>
      <c r="F371" s="70"/>
      <c r="G371" s="67"/>
      <c r="H371" s="71"/>
      <c r="I371" s="72"/>
      <c r="J371" s="72"/>
      <c r="K371" s="36"/>
      <c r="L371" s="79"/>
      <c r="M371" s="79"/>
      <c r="N371" s="74"/>
      <c r="O371" s="81" t="s">
        <v>1207</v>
      </c>
      <c r="P371" s="83">
        <v>44460.230740740742</v>
      </c>
      <c r="Q371" s="81" t="s">
        <v>1324</v>
      </c>
      <c r="R371" s="81"/>
      <c r="S371" s="81"/>
      <c r="T371" s="81"/>
      <c r="U371" s="85" t="str">
        <f>HYPERLINK("https://pbs.twimg.com/media/E_xVJy2VQAQerFe.jpg")</f>
        <v>https://pbs.twimg.com/media/E_xVJy2VQAQerFe.jpg</v>
      </c>
      <c r="V371" s="85" t="str">
        <f>HYPERLINK("https://pbs.twimg.com/media/E_xVJy2VQAQerFe.jpg")</f>
        <v>https://pbs.twimg.com/media/E_xVJy2VQAQerFe.jpg</v>
      </c>
      <c r="W371" s="83">
        <v>44460.230740740742</v>
      </c>
      <c r="X371" s="89">
        <v>44460</v>
      </c>
      <c r="Y371" s="87" t="s">
        <v>2030</v>
      </c>
      <c r="Z371" s="85" t="str">
        <f>HYPERLINK("https://twitter.com/ryo_wayan2/status/1440187100515606534")</f>
        <v>https://twitter.com/ryo_wayan2/status/1440187100515606534</v>
      </c>
      <c r="AA371" s="81"/>
      <c r="AB371" s="81"/>
      <c r="AC371" s="87" t="s">
        <v>2952</v>
      </c>
      <c r="AD371" s="81"/>
      <c r="AE371" s="81" t="b">
        <v>0</v>
      </c>
      <c r="AF371" s="81">
        <v>0</v>
      </c>
      <c r="AG371" s="87" t="s">
        <v>3875</v>
      </c>
      <c r="AH371" s="81" t="b">
        <v>0</v>
      </c>
      <c r="AI371" s="81" t="s">
        <v>4092</v>
      </c>
      <c r="AJ371" s="81"/>
      <c r="AK371" s="87" t="s">
        <v>3875</v>
      </c>
      <c r="AL371" s="81" t="b">
        <v>0</v>
      </c>
      <c r="AM371" s="81">
        <v>321</v>
      </c>
      <c r="AN371" s="87" t="s">
        <v>3520</v>
      </c>
      <c r="AO371" s="87" t="s">
        <v>4109</v>
      </c>
      <c r="AP371" s="81" t="b">
        <v>0</v>
      </c>
      <c r="AQ371" s="87" t="s">
        <v>3520</v>
      </c>
      <c r="AR371" s="81" t="s">
        <v>179</v>
      </c>
      <c r="AS371" s="81">
        <v>0</v>
      </c>
      <c r="AT371" s="81">
        <v>0</v>
      </c>
      <c r="AU371" s="81"/>
      <c r="AV371" s="81"/>
      <c r="AW371" s="81"/>
      <c r="AX371" s="81"/>
      <c r="AY371" s="81"/>
      <c r="AZ371" s="81"/>
      <c r="BA371" s="81"/>
      <c r="BB371" s="81"/>
    </row>
    <row r="372" spans="1:54" x14ac:dyDescent="0.35">
      <c r="A372" s="66" t="s">
        <v>436</v>
      </c>
      <c r="B372" s="66" t="s">
        <v>910</v>
      </c>
      <c r="C372" s="67"/>
      <c r="D372" s="68"/>
      <c r="E372" s="69"/>
      <c r="F372" s="70"/>
      <c r="G372" s="67"/>
      <c r="H372" s="71"/>
      <c r="I372" s="72"/>
      <c r="J372" s="72"/>
      <c r="K372" s="36"/>
      <c r="L372" s="79"/>
      <c r="M372" s="79"/>
      <c r="N372" s="74"/>
      <c r="O372" s="81" t="s">
        <v>1205</v>
      </c>
      <c r="P372" s="83">
        <v>44460.230740740742</v>
      </c>
      <c r="Q372" s="81" t="s">
        <v>1324</v>
      </c>
      <c r="R372" s="81"/>
      <c r="S372" s="81"/>
      <c r="T372" s="81"/>
      <c r="U372" s="85" t="str">
        <f>HYPERLINK("https://pbs.twimg.com/media/E_xVJy2VQAQerFe.jpg")</f>
        <v>https://pbs.twimg.com/media/E_xVJy2VQAQerFe.jpg</v>
      </c>
      <c r="V372" s="85" t="str">
        <f>HYPERLINK("https://pbs.twimg.com/media/E_xVJy2VQAQerFe.jpg")</f>
        <v>https://pbs.twimg.com/media/E_xVJy2VQAQerFe.jpg</v>
      </c>
      <c r="W372" s="83">
        <v>44460.230740740742</v>
      </c>
      <c r="X372" s="89">
        <v>44460</v>
      </c>
      <c r="Y372" s="87" t="s">
        <v>2030</v>
      </c>
      <c r="Z372" s="85" t="str">
        <f>HYPERLINK("https://twitter.com/ryo_wayan2/status/1440187100515606534")</f>
        <v>https://twitter.com/ryo_wayan2/status/1440187100515606534</v>
      </c>
      <c r="AA372" s="81"/>
      <c r="AB372" s="81"/>
      <c r="AC372" s="87" t="s">
        <v>2952</v>
      </c>
      <c r="AD372" s="81"/>
      <c r="AE372" s="81" t="b">
        <v>0</v>
      </c>
      <c r="AF372" s="81">
        <v>0</v>
      </c>
      <c r="AG372" s="87" t="s">
        <v>3875</v>
      </c>
      <c r="AH372" s="81" t="b">
        <v>0</v>
      </c>
      <c r="AI372" s="81" t="s">
        <v>4092</v>
      </c>
      <c r="AJ372" s="81"/>
      <c r="AK372" s="87" t="s">
        <v>3875</v>
      </c>
      <c r="AL372" s="81" t="b">
        <v>0</v>
      </c>
      <c r="AM372" s="81">
        <v>321</v>
      </c>
      <c r="AN372" s="87" t="s">
        <v>3520</v>
      </c>
      <c r="AO372" s="87" t="s">
        <v>4109</v>
      </c>
      <c r="AP372" s="81" t="b">
        <v>0</v>
      </c>
      <c r="AQ372" s="87" t="s">
        <v>3520</v>
      </c>
      <c r="AR372" s="81" t="s">
        <v>179</v>
      </c>
      <c r="AS372" s="81">
        <v>0</v>
      </c>
      <c r="AT372" s="81">
        <v>0</v>
      </c>
      <c r="AU372" s="81"/>
      <c r="AV372" s="81"/>
      <c r="AW372" s="81"/>
      <c r="AX372" s="81"/>
      <c r="AY372" s="81"/>
      <c r="AZ372" s="81"/>
      <c r="BA372" s="81"/>
      <c r="BB372" s="81"/>
    </row>
    <row r="373" spans="1:54" x14ac:dyDescent="0.35">
      <c r="A373" s="66" t="s">
        <v>437</v>
      </c>
      <c r="B373" s="66" t="s">
        <v>1063</v>
      </c>
      <c r="C373" s="67"/>
      <c r="D373" s="68"/>
      <c r="E373" s="69"/>
      <c r="F373" s="70"/>
      <c r="G373" s="67"/>
      <c r="H373" s="71"/>
      <c r="I373" s="72"/>
      <c r="J373" s="72"/>
      <c r="K373" s="36"/>
      <c r="L373" s="79"/>
      <c r="M373" s="79"/>
      <c r="N373" s="74"/>
      <c r="O373" s="81" t="s">
        <v>1208</v>
      </c>
      <c r="P373" s="83">
        <v>44460.232986111114</v>
      </c>
      <c r="Q373" s="81" t="s">
        <v>1335</v>
      </c>
      <c r="R373" s="81"/>
      <c r="S373" s="81"/>
      <c r="T373" s="81"/>
      <c r="U373" s="81"/>
      <c r="V373" s="85" t="str">
        <f>HYPERLINK("https://pbs.twimg.com/profile_images/1439811066565824514/UIjxwrHI_normal.jpg")</f>
        <v>https://pbs.twimg.com/profile_images/1439811066565824514/UIjxwrHI_normal.jpg</v>
      </c>
      <c r="W373" s="83">
        <v>44460.232986111114</v>
      </c>
      <c r="X373" s="89">
        <v>44460</v>
      </c>
      <c r="Y373" s="87" t="s">
        <v>2031</v>
      </c>
      <c r="Z373" s="85" t="str">
        <f>HYPERLINK("https://twitter.com/babylyricist/status/1440187914034376705")</f>
        <v>https://twitter.com/babylyricist/status/1440187914034376705</v>
      </c>
      <c r="AA373" s="81"/>
      <c r="AB373" s="81"/>
      <c r="AC373" s="87" t="s">
        <v>2953</v>
      </c>
      <c r="AD373" s="87" t="s">
        <v>3703</v>
      </c>
      <c r="AE373" s="81" t="b">
        <v>0</v>
      </c>
      <c r="AF373" s="81">
        <v>0</v>
      </c>
      <c r="AG373" s="87" t="s">
        <v>3937</v>
      </c>
      <c r="AH373" s="81" t="b">
        <v>0</v>
      </c>
      <c r="AI373" s="81" t="s">
        <v>4092</v>
      </c>
      <c r="AJ373" s="81"/>
      <c r="AK373" s="87" t="s">
        <v>3875</v>
      </c>
      <c r="AL373" s="81" t="b">
        <v>0</v>
      </c>
      <c r="AM373" s="81">
        <v>0</v>
      </c>
      <c r="AN373" s="87" t="s">
        <v>3875</v>
      </c>
      <c r="AO373" s="87" t="s">
        <v>4109</v>
      </c>
      <c r="AP373" s="81" t="b">
        <v>0</v>
      </c>
      <c r="AQ373" s="87" t="s">
        <v>3703</v>
      </c>
      <c r="AR373" s="81" t="s">
        <v>179</v>
      </c>
      <c r="AS373" s="81">
        <v>0</v>
      </c>
      <c r="AT373" s="81">
        <v>0</v>
      </c>
      <c r="AU373" s="81"/>
      <c r="AV373" s="81"/>
      <c r="AW373" s="81"/>
      <c r="AX373" s="81"/>
      <c r="AY373" s="81"/>
      <c r="AZ373" s="81"/>
      <c r="BA373" s="81"/>
      <c r="BB373" s="81"/>
    </row>
    <row r="374" spans="1:54" x14ac:dyDescent="0.35">
      <c r="A374" s="66" t="s">
        <v>438</v>
      </c>
      <c r="B374" s="66" t="s">
        <v>1055</v>
      </c>
      <c r="C374" s="67"/>
      <c r="D374" s="68"/>
      <c r="E374" s="69"/>
      <c r="F374" s="70"/>
      <c r="G374" s="67"/>
      <c r="H374" s="71"/>
      <c r="I374" s="72"/>
      <c r="J374" s="72"/>
      <c r="K374" s="36"/>
      <c r="L374" s="79"/>
      <c r="M374" s="79"/>
      <c r="N374" s="74"/>
      <c r="O374" s="81" t="s">
        <v>1207</v>
      </c>
      <c r="P374" s="83">
        <v>44460.234444444446</v>
      </c>
      <c r="Q374" s="81" t="s">
        <v>1324</v>
      </c>
      <c r="R374" s="81"/>
      <c r="S374" s="81"/>
      <c r="T374" s="81"/>
      <c r="U374" s="85" t="str">
        <f>HYPERLINK("https://pbs.twimg.com/media/E_xVJy2VQAQerFe.jpg")</f>
        <v>https://pbs.twimg.com/media/E_xVJy2VQAQerFe.jpg</v>
      </c>
      <c r="V374" s="85" t="str">
        <f>HYPERLINK("https://pbs.twimg.com/media/E_xVJy2VQAQerFe.jpg")</f>
        <v>https://pbs.twimg.com/media/E_xVJy2VQAQerFe.jpg</v>
      </c>
      <c r="W374" s="83">
        <v>44460.234444444446</v>
      </c>
      <c r="X374" s="89">
        <v>44460</v>
      </c>
      <c r="Y374" s="87" t="s">
        <v>2032</v>
      </c>
      <c r="Z374" s="85" t="str">
        <f>HYPERLINK("https://twitter.com/anti_qadrun/status/1440188441816305665")</f>
        <v>https://twitter.com/anti_qadrun/status/1440188441816305665</v>
      </c>
      <c r="AA374" s="81"/>
      <c r="AB374" s="81"/>
      <c r="AC374" s="87" t="s">
        <v>2954</v>
      </c>
      <c r="AD374" s="81"/>
      <c r="AE374" s="81" t="b">
        <v>0</v>
      </c>
      <c r="AF374" s="81">
        <v>0</v>
      </c>
      <c r="AG374" s="87" t="s">
        <v>3875</v>
      </c>
      <c r="AH374" s="81" t="b">
        <v>0</v>
      </c>
      <c r="AI374" s="81" t="s">
        <v>4092</v>
      </c>
      <c r="AJ374" s="81"/>
      <c r="AK374" s="87" t="s">
        <v>3875</v>
      </c>
      <c r="AL374" s="81" t="b">
        <v>0</v>
      </c>
      <c r="AM374" s="81">
        <v>321</v>
      </c>
      <c r="AN374" s="87" t="s">
        <v>3520</v>
      </c>
      <c r="AO374" s="87" t="s">
        <v>4109</v>
      </c>
      <c r="AP374" s="81" t="b">
        <v>0</v>
      </c>
      <c r="AQ374" s="87" t="s">
        <v>3520</v>
      </c>
      <c r="AR374" s="81" t="s">
        <v>179</v>
      </c>
      <c r="AS374" s="81">
        <v>0</v>
      </c>
      <c r="AT374" s="81">
        <v>0</v>
      </c>
      <c r="AU374" s="81"/>
      <c r="AV374" s="81"/>
      <c r="AW374" s="81"/>
      <c r="AX374" s="81"/>
      <c r="AY374" s="81"/>
      <c r="AZ374" s="81"/>
      <c r="BA374" s="81"/>
      <c r="BB374" s="81"/>
    </row>
    <row r="375" spans="1:54" x14ac:dyDescent="0.35">
      <c r="A375" s="66" t="s">
        <v>438</v>
      </c>
      <c r="B375" s="66" t="s">
        <v>910</v>
      </c>
      <c r="C375" s="67"/>
      <c r="D375" s="68"/>
      <c r="E375" s="69"/>
      <c r="F375" s="70"/>
      <c r="G375" s="67"/>
      <c r="H375" s="71"/>
      <c r="I375" s="72"/>
      <c r="J375" s="72"/>
      <c r="K375" s="36"/>
      <c r="L375" s="79"/>
      <c r="M375" s="79"/>
      <c r="N375" s="74"/>
      <c r="O375" s="81" t="s">
        <v>1205</v>
      </c>
      <c r="P375" s="83">
        <v>44460.234444444446</v>
      </c>
      <c r="Q375" s="81" t="s">
        <v>1324</v>
      </c>
      <c r="R375" s="81"/>
      <c r="S375" s="81"/>
      <c r="T375" s="81"/>
      <c r="U375" s="85" t="str">
        <f>HYPERLINK("https://pbs.twimg.com/media/E_xVJy2VQAQerFe.jpg")</f>
        <v>https://pbs.twimg.com/media/E_xVJy2VQAQerFe.jpg</v>
      </c>
      <c r="V375" s="85" t="str">
        <f>HYPERLINK("https://pbs.twimg.com/media/E_xVJy2VQAQerFe.jpg")</f>
        <v>https://pbs.twimg.com/media/E_xVJy2VQAQerFe.jpg</v>
      </c>
      <c r="W375" s="83">
        <v>44460.234444444446</v>
      </c>
      <c r="X375" s="89">
        <v>44460</v>
      </c>
      <c r="Y375" s="87" t="s">
        <v>2032</v>
      </c>
      <c r="Z375" s="85" t="str">
        <f>HYPERLINK("https://twitter.com/anti_qadrun/status/1440188441816305665")</f>
        <v>https://twitter.com/anti_qadrun/status/1440188441816305665</v>
      </c>
      <c r="AA375" s="81"/>
      <c r="AB375" s="81"/>
      <c r="AC375" s="87" t="s">
        <v>2954</v>
      </c>
      <c r="AD375" s="81"/>
      <c r="AE375" s="81" t="b">
        <v>0</v>
      </c>
      <c r="AF375" s="81">
        <v>0</v>
      </c>
      <c r="AG375" s="87" t="s">
        <v>3875</v>
      </c>
      <c r="AH375" s="81" t="b">
        <v>0</v>
      </c>
      <c r="AI375" s="81" t="s">
        <v>4092</v>
      </c>
      <c r="AJ375" s="81"/>
      <c r="AK375" s="87" t="s">
        <v>3875</v>
      </c>
      <c r="AL375" s="81" t="b">
        <v>0</v>
      </c>
      <c r="AM375" s="81">
        <v>321</v>
      </c>
      <c r="AN375" s="87" t="s">
        <v>3520</v>
      </c>
      <c r="AO375" s="87" t="s">
        <v>4109</v>
      </c>
      <c r="AP375" s="81" t="b">
        <v>0</v>
      </c>
      <c r="AQ375" s="87" t="s">
        <v>3520</v>
      </c>
      <c r="AR375" s="81" t="s">
        <v>179</v>
      </c>
      <c r="AS375" s="81">
        <v>0</v>
      </c>
      <c r="AT375" s="81">
        <v>0</v>
      </c>
      <c r="AU375" s="81"/>
      <c r="AV375" s="81"/>
      <c r="AW375" s="81"/>
      <c r="AX375" s="81"/>
      <c r="AY375" s="81"/>
      <c r="AZ375" s="81"/>
      <c r="BA375" s="81"/>
      <c r="BB375" s="81"/>
    </row>
    <row r="376" spans="1:54" x14ac:dyDescent="0.35">
      <c r="A376" s="66" t="s">
        <v>439</v>
      </c>
      <c r="B376" s="66" t="s">
        <v>1055</v>
      </c>
      <c r="C376" s="67"/>
      <c r="D376" s="68"/>
      <c r="E376" s="69"/>
      <c r="F376" s="70"/>
      <c r="G376" s="67"/>
      <c r="H376" s="71"/>
      <c r="I376" s="72"/>
      <c r="J376" s="72"/>
      <c r="K376" s="36"/>
      <c r="L376" s="79"/>
      <c r="M376" s="79"/>
      <c r="N376" s="74"/>
      <c r="O376" s="81" t="s">
        <v>1207</v>
      </c>
      <c r="P376" s="83">
        <v>44460.236435185187</v>
      </c>
      <c r="Q376" s="81" t="s">
        <v>1324</v>
      </c>
      <c r="R376" s="81"/>
      <c r="S376" s="81"/>
      <c r="T376" s="81"/>
      <c r="U376" s="85" t="str">
        <f>HYPERLINK("https://pbs.twimg.com/media/E_xVJy2VQAQerFe.jpg")</f>
        <v>https://pbs.twimg.com/media/E_xVJy2VQAQerFe.jpg</v>
      </c>
      <c r="V376" s="85" t="str">
        <f>HYPERLINK("https://pbs.twimg.com/media/E_xVJy2VQAQerFe.jpg")</f>
        <v>https://pbs.twimg.com/media/E_xVJy2VQAQerFe.jpg</v>
      </c>
      <c r="W376" s="83">
        <v>44460.236435185187</v>
      </c>
      <c r="X376" s="89">
        <v>44460</v>
      </c>
      <c r="Y376" s="87" t="s">
        <v>2033</v>
      </c>
      <c r="Z376" s="85" t="str">
        <f>HYPERLINK("https://twitter.com/savana_jiwa/status/1440189164712906754")</f>
        <v>https://twitter.com/savana_jiwa/status/1440189164712906754</v>
      </c>
      <c r="AA376" s="81"/>
      <c r="AB376" s="81"/>
      <c r="AC376" s="87" t="s">
        <v>2955</v>
      </c>
      <c r="AD376" s="81"/>
      <c r="AE376" s="81" t="b">
        <v>0</v>
      </c>
      <c r="AF376" s="81">
        <v>0</v>
      </c>
      <c r="AG376" s="87" t="s">
        <v>3875</v>
      </c>
      <c r="AH376" s="81" t="b">
        <v>0</v>
      </c>
      <c r="AI376" s="81" t="s">
        <v>4092</v>
      </c>
      <c r="AJ376" s="81"/>
      <c r="AK376" s="87" t="s">
        <v>3875</v>
      </c>
      <c r="AL376" s="81" t="b">
        <v>0</v>
      </c>
      <c r="AM376" s="81">
        <v>321</v>
      </c>
      <c r="AN376" s="87" t="s">
        <v>3520</v>
      </c>
      <c r="AO376" s="87" t="s">
        <v>4109</v>
      </c>
      <c r="AP376" s="81" t="b">
        <v>0</v>
      </c>
      <c r="AQ376" s="87" t="s">
        <v>3520</v>
      </c>
      <c r="AR376" s="81" t="s">
        <v>179</v>
      </c>
      <c r="AS376" s="81">
        <v>0</v>
      </c>
      <c r="AT376" s="81">
        <v>0</v>
      </c>
      <c r="AU376" s="81"/>
      <c r="AV376" s="81"/>
      <c r="AW376" s="81"/>
      <c r="AX376" s="81"/>
      <c r="AY376" s="81"/>
      <c r="AZ376" s="81"/>
      <c r="BA376" s="81"/>
      <c r="BB376" s="81"/>
    </row>
    <row r="377" spans="1:54" x14ac:dyDescent="0.35">
      <c r="A377" s="66" t="s">
        <v>439</v>
      </c>
      <c r="B377" s="66" t="s">
        <v>910</v>
      </c>
      <c r="C377" s="67"/>
      <c r="D377" s="68"/>
      <c r="E377" s="69"/>
      <c r="F377" s="70"/>
      <c r="G377" s="67"/>
      <c r="H377" s="71"/>
      <c r="I377" s="72"/>
      <c r="J377" s="72"/>
      <c r="K377" s="36"/>
      <c r="L377" s="79"/>
      <c r="M377" s="79"/>
      <c r="N377" s="74"/>
      <c r="O377" s="81" t="s">
        <v>1205</v>
      </c>
      <c r="P377" s="83">
        <v>44460.236435185187</v>
      </c>
      <c r="Q377" s="81" t="s">
        <v>1324</v>
      </c>
      <c r="R377" s="81"/>
      <c r="S377" s="81"/>
      <c r="T377" s="81"/>
      <c r="U377" s="85" t="str">
        <f>HYPERLINK("https://pbs.twimg.com/media/E_xVJy2VQAQerFe.jpg")</f>
        <v>https://pbs.twimg.com/media/E_xVJy2VQAQerFe.jpg</v>
      </c>
      <c r="V377" s="85" t="str">
        <f>HYPERLINK("https://pbs.twimg.com/media/E_xVJy2VQAQerFe.jpg")</f>
        <v>https://pbs.twimg.com/media/E_xVJy2VQAQerFe.jpg</v>
      </c>
      <c r="W377" s="83">
        <v>44460.236435185187</v>
      </c>
      <c r="X377" s="89">
        <v>44460</v>
      </c>
      <c r="Y377" s="87" t="s">
        <v>2033</v>
      </c>
      <c r="Z377" s="85" t="str">
        <f>HYPERLINK("https://twitter.com/savana_jiwa/status/1440189164712906754")</f>
        <v>https://twitter.com/savana_jiwa/status/1440189164712906754</v>
      </c>
      <c r="AA377" s="81"/>
      <c r="AB377" s="81"/>
      <c r="AC377" s="87" t="s">
        <v>2955</v>
      </c>
      <c r="AD377" s="81"/>
      <c r="AE377" s="81" t="b">
        <v>0</v>
      </c>
      <c r="AF377" s="81">
        <v>0</v>
      </c>
      <c r="AG377" s="87" t="s">
        <v>3875</v>
      </c>
      <c r="AH377" s="81" t="b">
        <v>0</v>
      </c>
      <c r="AI377" s="81" t="s">
        <v>4092</v>
      </c>
      <c r="AJ377" s="81"/>
      <c r="AK377" s="87" t="s">
        <v>3875</v>
      </c>
      <c r="AL377" s="81" t="b">
        <v>0</v>
      </c>
      <c r="AM377" s="81">
        <v>321</v>
      </c>
      <c r="AN377" s="87" t="s">
        <v>3520</v>
      </c>
      <c r="AO377" s="87" t="s">
        <v>4109</v>
      </c>
      <c r="AP377" s="81" t="b">
        <v>0</v>
      </c>
      <c r="AQ377" s="87" t="s">
        <v>3520</v>
      </c>
      <c r="AR377" s="81" t="s">
        <v>179</v>
      </c>
      <c r="AS377" s="81">
        <v>0</v>
      </c>
      <c r="AT377" s="81">
        <v>0</v>
      </c>
      <c r="AU377" s="81"/>
      <c r="AV377" s="81"/>
      <c r="AW377" s="81"/>
      <c r="AX377" s="81"/>
      <c r="AY377" s="81"/>
      <c r="AZ377" s="81"/>
      <c r="BA377" s="81"/>
      <c r="BB377" s="81"/>
    </row>
    <row r="378" spans="1:54" x14ac:dyDescent="0.35">
      <c r="A378" s="66" t="s">
        <v>440</v>
      </c>
      <c r="B378" s="66" t="s">
        <v>1055</v>
      </c>
      <c r="C378" s="67"/>
      <c r="D378" s="68"/>
      <c r="E378" s="69"/>
      <c r="F378" s="70"/>
      <c r="G378" s="67"/>
      <c r="H378" s="71"/>
      <c r="I378" s="72"/>
      <c r="J378" s="72"/>
      <c r="K378" s="36"/>
      <c r="L378" s="79"/>
      <c r="M378" s="79"/>
      <c r="N378" s="74"/>
      <c r="O378" s="81" t="s">
        <v>1207</v>
      </c>
      <c r="P378" s="83">
        <v>44460.236886574072</v>
      </c>
      <c r="Q378" s="81" t="s">
        <v>1324</v>
      </c>
      <c r="R378" s="81"/>
      <c r="S378" s="81"/>
      <c r="T378" s="81"/>
      <c r="U378" s="85" t="str">
        <f>HYPERLINK("https://pbs.twimg.com/media/E_xVJy2VQAQerFe.jpg")</f>
        <v>https://pbs.twimg.com/media/E_xVJy2VQAQerFe.jpg</v>
      </c>
      <c r="V378" s="85" t="str">
        <f>HYPERLINK("https://pbs.twimg.com/media/E_xVJy2VQAQerFe.jpg")</f>
        <v>https://pbs.twimg.com/media/E_xVJy2VQAQerFe.jpg</v>
      </c>
      <c r="W378" s="83">
        <v>44460.236886574072</v>
      </c>
      <c r="X378" s="89">
        <v>44460</v>
      </c>
      <c r="Y378" s="87" t="s">
        <v>2034</v>
      </c>
      <c r="Z378" s="85" t="str">
        <f>HYPERLINK("https://twitter.com/lonassis/status/1440189325803614209")</f>
        <v>https://twitter.com/lonassis/status/1440189325803614209</v>
      </c>
      <c r="AA378" s="81"/>
      <c r="AB378" s="81"/>
      <c r="AC378" s="87" t="s">
        <v>2956</v>
      </c>
      <c r="AD378" s="81"/>
      <c r="AE378" s="81" t="b">
        <v>0</v>
      </c>
      <c r="AF378" s="81">
        <v>0</v>
      </c>
      <c r="AG378" s="87" t="s">
        <v>3875</v>
      </c>
      <c r="AH378" s="81" t="b">
        <v>0</v>
      </c>
      <c r="AI378" s="81" t="s">
        <v>4092</v>
      </c>
      <c r="AJ378" s="81"/>
      <c r="AK378" s="87" t="s">
        <v>3875</v>
      </c>
      <c r="AL378" s="81" t="b">
        <v>0</v>
      </c>
      <c r="AM378" s="81">
        <v>321</v>
      </c>
      <c r="AN378" s="87" t="s">
        <v>3520</v>
      </c>
      <c r="AO378" s="87" t="s">
        <v>4111</v>
      </c>
      <c r="AP378" s="81" t="b">
        <v>0</v>
      </c>
      <c r="AQ378" s="87" t="s">
        <v>3520</v>
      </c>
      <c r="AR378" s="81" t="s">
        <v>179</v>
      </c>
      <c r="AS378" s="81">
        <v>0</v>
      </c>
      <c r="AT378" s="81">
        <v>0</v>
      </c>
      <c r="AU378" s="81"/>
      <c r="AV378" s="81"/>
      <c r="AW378" s="81"/>
      <c r="AX378" s="81"/>
      <c r="AY378" s="81"/>
      <c r="AZ378" s="81"/>
      <c r="BA378" s="81"/>
      <c r="BB378" s="81"/>
    </row>
    <row r="379" spans="1:54" x14ac:dyDescent="0.35">
      <c r="A379" s="66" t="s">
        <v>440</v>
      </c>
      <c r="B379" s="66" t="s">
        <v>910</v>
      </c>
      <c r="C379" s="67"/>
      <c r="D379" s="68"/>
      <c r="E379" s="69"/>
      <c r="F379" s="70"/>
      <c r="G379" s="67"/>
      <c r="H379" s="71"/>
      <c r="I379" s="72"/>
      <c r="J379" s="72"/>
      <c r="K379" s="36"/>
      <c r="L379" s="79"/>
      <c r="M379" s="79"/>
      <c r="N379" s="74"/>
      <c r="O379" s="81" t="s">
        <v>1205</v>
      </c>
      <c r="P379" s="83">
        <v>44460.236886574072</v>
      </c>
      <c r="Q379" s="81" t="s">
        <v>1324</v>
      </c>
      <c r="R379" s="81"/>
      <c r="S379" s="81"/>
      <c r="T379" s="81"/>
      <c r="U379" s="85" t="str">
        <f>HYPERLINK("https://pbs.twimg.com/media/E_xVJy2VQAQerFe.jpg")</f>
        <v>https://pbs.twimg.com/media/E_xVJy2VQAQerFe.jpg</v>
      </c>
      <c r="V379" s="85" t="str">
        <f>HYPERLINK("https://pbs.twimg.com/media/E_xVJy2VQAQerFe.jpg")</f>
        <v>https://pbs.twimg.com/media/E_xVJy2VQAQerFe.jpg</v>
      </c>
      <c r="W379" s="83">
        <v>44460.236886574072</v>
      </c>
      <c r="X379" s="89">
        <v>44460</v>
      </c>
      <c r="Y379" s="87" t="s">
        <v>2034</v>
      </c>
      <c r="Z379" s="85" t="str">
        <f>HYPERLINK("https://twitter.com/lonassis/status/1440189325803614209")</f>
        <v>https://twitter.com/lonassis/status/1440189325803614209</v>
      </c>
      <c r="AA379" s="81"/>
      <c r="AB379" s="81"/>
      <c r="AC379" s="87" t="s">
        <v>2956</v>
      </c>
      <c r="AD379" s="81"/>
      <c r="AE379" s="81" t="b">
        <v>0</v>
      </c>
      <c r="AF379" s="81">
        <v>0</v>
      </c>
      <c r="AG379" s="87" t="s">
        <v>3875</v>
      </c>
      <c r="AH379" s="81" t="b">
        <v>0</v>
      </c>
      <c r="AI379" s="81" t="s">
        <v>4092</v>
      </c>
      <c r="AJ379" s="81"/>
      <c r="AK379" s="87" t="s">
        <v>3875</v>
      </c>
      <c r="AL379" s="81" t="b">
        <v>0</v>
      </c>
      <c r="AM379" s="81">
        <v>321</v>
      </c>
      <c r="AN379" s="87" t="s">
        <v>3520</v>
      </c>
      <c r="AO379" s="87" t="s">
        <v>4111</v>
      </c>
      <c r="AP379" s="81" t="b">
        <v>0</v>
      </c>
      <c r="AQ379" s="87" t="s">
        <v>3520</v>
      </c>
      <c r="AR379" s="81" t="s">
        <v>179</v>
      </c>
      <c r="AS379" s="81">
        <v>0</v>
      </c>
      <c r="AT379" s="81">
        <v>0</v>
      </c>
      <c r="AU379" s="81"/>
      <c r="AV379" s="81"/>
      <c r="AW379" s="81"/>
      <c r="AX379" s="81"/>
      <c r="AY379" s="81"/>
      <c r="AZ379" s="81"/>
      <c r="BA379" s="81"/>
      <c r="BB379" s="81"/>
    </row>
    <row r="380" spans="1:54" x14ac:dyDescent="0.35">
      <c r="A380" s="66" t="s">
        <v>441</v>
      </c>
      <c r="B380" s="66" t="s">
        <v>1055</v>
      </c>
      <c r="C380" s="67"/>
      <c r="D380" s="68"/>
      <c r="E380" s="69"/>
      <c r="F380" s="70"/>
      <c r="G380" s="67"/>
      <c r="H380" s="71"/>
      <c r="I380" s="72"/>
      <c r="J380" s="72"/>
      <c r="K380" s="36"/>
      <c r="L380" s="79"/>
      <c r="M380" s="79"/>
      <c r="N380" s="74"/>
      <c r="O380" s="81" t="s">
        <v>1207</v>
      </c>
      <c r="P380" s="83">
        <v>44460.242256944446</v>
      </c>
      <c r="Q380" s="81" t="s">
        <v>1324</v>
      </c>
      <c r="R380" s="81"/>
      <c r="S380" s="81"/>
      <c r="T380" s="81"/>
      <c r="U380" s="85" t="str">
        <f>HYPERLINK("https://pbs.twimg.com/media/E_xVJy2VQAQerFe.jpg")</f>
        <v>https://pbs.twimg.com/media/E_xVJy2VQAQerFe.jpg</v>
      </c>
      <c r="V380" s="85" t="str">
        <f>HYPERLINK("https://pbs.twimg.com/media/E_xVJy2VQAQerFe.jpg")</f>
        <v>https://pbs.twimg.com/media/E_xVJy2VQAQerFe.jpg</v>
      </c>
      <c r="W380" s="83">
        <v>44460.242256944446</v>
      </c>
      <c r="X380" s="89">
        <v>44460</v>
      </c>
      <c r="Y380" s="87" t="s">
        <v>2035</v>
      </c>
      <c r="Z380" s="85" t="str">
        <f>HYPERLINK("https://twitter.com/ignmrg/status/1440191273822871552")</f>
        <v>https://twitter.com/ignmrg/status/1440191273822871552</v>
      </c>
      <c r="AA380" s="81"/>
      <c r="AB380" s="81"/>
      <c r="AC380" s="87" t="s">
        <v>2957</v>
      </c>
      <c r="AD380" s="81"/>
      <c r="AE380" s="81" t="b">
        <v>0</v>
      </c>
      <c r="AF380" s="81">
        <v>0</v>
      </c>
      <c r="AG380" s="87" t="s">
        <v>3875</v>
      </c>
      <c r="AH380" s="81" t="b">
        <v>0</v>
      </c>
      <c r="AI380" s="81" t="s">
        <v>4092</v>
      </c>
      <c r="AJ380" s="81"/>
      <c r="AK380" s="87" t="s">
        <v>3875</v>
      </c>
      <c r="AL380" s="81" t="b">
        <v>0</v>
      </c>
      <c r="AM380" s="81">
        <v>321</v>
      </c>
      <c r="AN380" s="87" t="s">
        <v>3520</v>
      </c>
      <c r="AO380" s="87" t="s">
        <v>4111</v>
      </c>
      <c r="AP380" s="81" t="b">
        <v>0</v>
      </c>
      <c r="AQ380" s="87" t="s">
        <v>3520</v>
      </c>
      <c r="AR380" s="81" t="s">
        <v>179</v>
      </c>
      <c r="AS380" s="81">
        <v>0</v>
      </c>
      <c r="AT380" s="81">
        <v>0</v>
      </c>
      <c r="AU380" s="81"/>
      <c r="AV380" s="81"/>
      <c r="AW380" s="81"/>
      <c r="AX380" s="81"/>
      <c r="AY380" s="81"/>
      <c r="AZ380" s="81"/>
      <c r="BA380" s="81"/>
      <c r="BB380" s="81"/>
    </row>
    <row r="381" spans="1:54" x14ac:dyDescent="0.35">
      <c r="A381" s="66" t="s">
        <v>441</v>
      </c>
      <c r="B381" s="66" t="s">
        <v>910</v>
      </c>
      <c r="C381" s="67"/>
      <c r="D381" s="68"/>
      <c r="E381" s="69"/>
      <c r="F381" s="70"/>
      <c r="G381" s="67"/>
      <c r="H381" s="71"/>
      <c r="I381" s="72"/>
      <c r="J381" s="72"/>
      <c r="K381" s="36"/>
      <c r="L381" s="79"/>
      <c r="M381" s="79"/>
      <c r="N381" s="74"/>
      <c r="O381" s="81" t="s">
        <v>1205</v>
      </c>
      <c r="P381" s="83">
        <v>44460.242256944446</v>
      </c>
      <c r="Q381" s="81" t="s">
        <v>1324</v>
      </c>
      <c r="R381" s="81"/>
      <c r="S381" s="81"/>
      <c r="T381" s="81"/>
      <c r="U381" s="85" t="str">
        <f>HYPERLINK("https://pbs.twimg.com/media/E_xVJy2VQAQerFe.jpg")</f>
        <v>https://pbs.twimg.com/media/E_xVJy2VQAQerFe.jpg</v>
      </c>
      <c r="V381" s="85" t="str">
        <f>HYPERLINK("https://pbs.twimg.com/media/E_xVJy2VQAQerFe.jpg")</f>
        <v>https://pbs.twimg.com/media/E_xVJy2VQAQerFe.jpg</v>
      </c>
      <c r="W381" s="83">
        <v>44460.242256944446</v>
      </c>
      <c r="X381" s="89">
        <v>44460</v>
      </c>
      <c r="Y381" s="87" t="s">
        <v>2035</v>
      </c>
      <c r="Z381" s="85" t="str">
        <f>HYPERLINK("https://twitter.com/ignmrg/status/1440191273822871552")</f>
        <v>https://twitter.com/ignmrg/status/1440191273822871552</v>
      </c>
      <c r="AA381" s="81"/>
      <c r="AB381" s="81"/>
      <c r="AC381" s="87" t="s">
        <v>2957</v>
      </c>
      <c r="AD381" s="81"/>
      <c r="AE381" s="81" t="b">
        <v>0</v>
      </c>
      <c r="AF381" s="81">
        <v>0</v>
      </c>
      <c r="AG381" s="87" t="s">
        <v>3875</v>
      </c>
      <c r="AH381" s="81" t="b">
        <v>0</v>
      </c>
      <c r="AI381" s="81" t="s">
        <v>4092</v>
      </c>
      <c r="AJ381" s="81"/>
      <c r="AK381" s="87" t="s">
        <v>3875</v>
      </c>
      <c r="AL381" s="81" t="b">
        <v>0</v>
      </c>
      <c r="AM381" s="81">
        <v>321</v>
      </c>
      <c r="AN381" s="87" t="s">
        <v>3520</v>
      </c>
      <c r="AO381" s="87" t="s">
        <v>4111</v>
      </c>
      <c r="AP381" s="81" t="b">
        <v>0</v>
      </c>
      <c r="AQ381" s="87" t="s">
        <v>3520</v>
      </c>
      <c r="AR381" s="81" t="s">
        <v>179</v>
      </c>
      <c r="AS381" s="81">
        <v>0</v>
      </c>
      <c r="AT381" s="81">
        <v>0</v>
      </c>
      <c r="AU381" s="81"/>
      <c r="AV381" s="81"/>
      <c r="AW381" s="81"/>
      <c r="AX381" s="81"/>
      <c r="AY381" s="81"/>
      <c r="AZ381" s="81"/>
      <c r="BA381" s="81"/>
      <c r="BB381" s="81"/>
    </row>
    <row r="382" spans="1:54" x14ac:dyDescent="0.35">
      <c r="A382" s="66" t="s">
        <v>442</v>
      </c>
      <c r="B382" s="66" t="s">
        <v>1055</v>
      </c>
      <c r="C382" s="67"/>
      <c r="D382" s="68"/>
      <c r="E382" s="69"/>
      <c r="F382" s="70"/>
      <c r="G382" s="67"/>
      <c r="H382" s="71"/>
      <c r="I382" s="72"/>
      <c r="J382" s="72"/>
      <c r="K382" s="36"/>
      <c r="L382" s="79"/>
      <c r="M382" s="79"/>
      <c r="N382" s="74"/>
      <c r="O382" s="81" t="s">
        <v>1207</v>
      </c>
      <c r="P382" s="83">
        <v>44460.243877314817</v>
      </c>
      <c r="Q382" s="81" t="s">
        <v>1324</v>
      </c>
      <c r="R382" s="81"/>
      <c r="S382" s="81"/>
      <c r="T382" s="81"/>
      <c r="U382" s="85" t="str">
        <f>HYPERLINK("https://pbs.twimg.com/media/E_xVJy2VQAQerFe.jpg")</f>
        <v>https://pbs.twimg.com/media/E_xVJy2VQAQerFe.jpg</v>
      </c>
      <c r="V382" s="85" t="str">
        <f>HYPERLINK("https://pbs.twimg.com/media/E_xVJy2VQAQerFe.jpg")</f>
        <v>https://pbs.twimg.com/media/E_xVJy2VQAQerFe.jpg</v>
      </c>
      <c r="W382" s="83">
        <v>44460.243877314817</v>
      </c>
      <c r="X382" s="89">
        <v>44460</v>
      </c>
      <c r="Y382" s="87" t="s">
        <v>2036</v>
      </c>
      <c r="Z382" s="85" t="str">
        <f>HYPERLINK("https://twitter.com/jayengrono31/status/1440191860941590532")</f>
        <v>https://twitter.com/jayengrono31/status/1440191860941590532</v>
      </c>
      <c r="AA382" s="81"/>
      <c r="AB382" s="81"/>
      <c r="AC382" s="87" t="s">
        <v>2958</v>
      </c>
      <c r="AD382" s="81"/>
      <c r="AE382" s="81" t="b">
        <v>0</v>
      </c>
      <c r="AF382" s="81">
        <v>0</v>
      </c>
      <c r="AG382" s="87" t="s">
        <v>3875</v>
      </c>
      <c r="AH382" s="81" t="b">
        <v>0</v>
      </c>
      <c r="AI382" s="81" t="s">
        <v>4092</v>
      </c>
      <c r="AJ382" s="81"/>
      <c r="AK382" s="87" t="s">
        <v>3875</v>
      </c>
      <c r="AL382" s="81" t="b">
        <v>0</v>
      </c>
      <c r="AM382" s="81">
        <v>321</v>
      </c>
      <c r="AN382" s="87" t="s">
        <v>3520</v>
      </c>
      <c r="AO382" s="87" t="s">
        <v>4110</v>
      </c>
      <c r="AP382" s="81" t="b">
        <v>0</v>
      </c>
      <c r="AQ382" s="87" t="s">
        <v>3520</v>
      </c>
      <c r="AR382" s="81" t="s">
        <v>179</v>
      </c>
      <c r="AS382" s="81">
        <v>0</v>
      </c>
      <c r="AT382" s="81">
        <v>0</v>
      </c>
      <c r="AU382" s="81"/>
      <c r="AV382" s="81"/>
      <c r="AW382" s="81"/>
      <c r="AX382" s="81"/>
      <c r="AY382" s="81"/>
      <c r="AZ382" s="81"/>
      <c r="BA382" s="81"/>
      <c r="BB382" s="81"/>
    </row>
    <row r="383" spans="1:54" x14ac:dyDescent="0.35">
      <c r="A383" s="66" t="s">
        <v>442</v>
      </c>
      <c r="B383" s="66" t="s">
        <v>910</v>
      </c>
      <c r="C383" s="67"/>
      <c r="D383" s="68"/>
      <c r="E383" s="69"/>
      <c r="F383" s="70"/>
      <c r="G383" s="67"/>
      <c r="H383" s="71"/>
      <c r="I383" s="72"/>
      <c r="J383" s="72"/>
      <c r="K383" s="36"/>
      <c r="L383" s="79"/>
      <c r="M383" s="79"/>
      <c r="N383" s="74"/>
      <c r="O383" s="81" t="s">
        <v>1205</v>
      </c>
      <c r="P383" s="83">
        <v>44460.243877314817</v>
      </c>
      <c r="Q383" s="81" t="s">
        <v>1324</v>
      </c>
      <c r="R383" s="81"/>
      <c r="S383" s="81"/>
      <c r="T383" s="81"/>
      <c r="U383" s="85" t="str">
        <f>HYPERLINK("https://pbs.twimg.com/media/E_xVJy2VQAQerFe.jpg")</f>
        <v>https://pbs.twimg.com/media/E_xVJy2VQAQerFe.jpg</v>
      </c>
      <c r="V383" s="85" t="str">
        <f>HYPERLINK("https://pbs.twimg.com/media/E_xVJy2VQAQerFe.jpg")</f>
        <v>https://pbs.twimg.com/media/E_xVJy2VQAQerFe.jpg</v>
      </c>
      <c r="W383" s="83">
        <v>44460.243877314817</v>
      </c>
      <c r="X383" s="89">
        <v>44460</v>
      </c>
      <c r="Y383" s="87" t="s">
        <v>2036</v>
      </c>
      <c r="Z383" s="85" t="str">
        <f>HYPERLINK("https://twitter.com/jayengrono31/status/1440191860941590532")</f>
        <v>https://twitter.com/jayengrono31/status/1440191860941590532</v>
      </c>
      <c r="AA383" s="81"/>
      <c r="AB383" s="81"/>
      <c r="AC383" s="87" t="s">
        <v>2958</v>
      </c>
      <c r="AD383" s="81"/>
      <c r="AE383" s="81" t="b">
        <v>0</v>
      </c>
      <c r="AF383" s="81">
        <v>0</v>
      </c>
      <c r="AG383" s="87" t="s">
        <v>3875</v>
      </c>
      <c r="AH383" s="81" t="b">
        <v>0</v>
      </c>
      <c r="AI383" s="81" t="s">
        <v>4092</v>
      </c>
      <c r="AJ383" s="81"/>
      <c r="AK383" s="87" t="s">
        <v>3875</v>
      </c>
      <c r="AL383" s="81" t="b">
        <v>0</v>
      </c>
      <c r="AM383" s="81">
        <v>321</v>
      </c>
      <c r="AN383" s="87" t="s">
        <v>3520</v>
      </c>
      <c r="AO383" s="87" t="s">
        <v>4110</v>
      </c>
      <c r="AP383" s="81" t="b">
        <v>0</v>
      </c>
      <c r="AQ383" s="87" t="s">
        <v>3520</v>
      </c>
      <c r="AR383" s="81" t="s">
        <v>179</v>
      </c>
      <c r="AS383" s="81">
        <v>0</v>
      </c>
      <c r="AT383" s="81">
        <v>0</v>
      </c>
      <c r="AU383" s="81"/>
      <c r="AV383" s="81"/>
      <c r="AW383" s="81"/>
      <c r="AX383" s="81"/>
      <c r="AY383" s="81"/>
      <c r="AZ383" s="81"/>
      <c r="BA383" s="81"/>
      <c r="BB383" s="81"/>
    </row>
    <row r="384" spans="1:54" x14ac:dyDescent="0.35">
      <c r="A384" s="66" t="s">
        <v>443</v>
      </c>
      <c r="B384" s="66" t="s">
        <v>1055</v>
      </c>
      <c r="C384" s="67"/>
      <c r="D384" s="68"/>
      <c r="E384" s="69"/>
      <c r="F384" s="70"/>
      <c r="G384" s="67"/>
      <c r="H384" s="71"/>
      <c r="I384" s="72"/>
      <c r="J384" s="72"/>
      <c r="K384" s="36"/>
      <c r="L384" s="79"/>
      <c r="M384" s="79"/>
      <c r="N384" s="74"/>
      <c r="O384" s="81" t="s">
        <v>1207</v>
      </c>
      <c r="P384" s="83">
        <v>44460.246087962965</v>
      </c>
      <c r="Q384" s="81" t="s">
        <v>1324</v>
      </c>
      <c r="R384" s="81"/>
      <c r="S384" s="81"/>
      <c r="T384" s="81"/>
      <c r="U384" s="85" t="str">
        <f>HYPERLINK("https://pbs.twimg.com/media/E_xVJy2VQAQerFe.jpg")</f>
        <v>https://pbs.twimg.com/media/E_xVJy2VQAQerFe.jpg</v>
      </c>
      <c r="V384" s="85" t="str">
        <f>HYPERLINK("https://pbs.twimg.com/media/E_xVJy2VQAQerFe.jpg")</f>
        <v>https://pbs.twimg.com/media/E_xVJy2VQAQerFe.jpg</v>
      </c>
      <c r="W384" s="83">
        <v>44460.246087962965</v>
      </c>
      <c r="X384" s="89">
        <v>44460</v>
      </c>
      <c r="Y384" s="87" t="s">
        <v>1808</v>
      </c>
      <c r="Z384" s="85" t="str">
        <f>HYPERLINK("https://twitter.com/kuntuldowo/status/1440192659000156164")</f>
        <v>https://twitter.com/kuntuldowo/status/1440192659000156164</v>
      </c>
      <c r="AA384" s="81"/>
      <c r="AB384" s="81"/>
      <c r="AC384" s="87" t="s">
        <v>2959</v>
      </c>
      <c r="AD384" s="81"/>
      <c r="AE384" s="81" t="b">
        <v>0</v>
      </c>
      <c r="AF384" s="81">
        <v>0</v>
      </c>
      <c r="AG384" s="87" t="s">
        <v>3875</v>
      </c>
      <c r="AH384" s="81" t="b">
        <v>0</v>
      </c>
      <c r="AI384" s="81" t="s">
        <v>4092</v>
      </c>
      <c r="AJ384" s="81"/>
      <c r="AK384" s="87" t="s">
        <v>3875</v>
      </c>
      <c r="AL384" s="81" t="b">
        <v>0</v>
      </c>
      <c r="AM384" s="81">
        <v>321</v>
      </c>
      <c r="AN384" s="87" t="s">
        <v>3520</v>
      </c>
      <c r="AO384" s="87" t="s">
        <v>4109</v>
      </c>
      <c r="AP384" s="81" t="b">
        <v>0</v>
      </c>
      <c r="AQ384" s="87" t="s">
        <v>3520</v>
      </c>
      <c r="AR384" s="81" t="s">
        <v>179</v>
      </c>
      <c r="AS384" s="81">
        <v>0</v>
      </c>
      <c r="AT384" s="81">
        <v>0</v>
      </c>
      <c r="AU384" s="81"/>
      <c r="AV384" s="81"/>
      <c r="AW384" s="81"/>
      <c r="AX384" s="81"/>
      <c r="AY384" s="81"/>
      <c r="AZ384" s="81"/>
      <c r="BA384" s="81"/>
      <c r="BB384" s="81"/>
    </row>
    <row r="385" spans="1:54" x14ac:dyDescent="0.35">
      <c r="A385" s="66" t="s">
        <v>443</v>
      </c>
      <c r="B385" s="66" t="s">
        <v>910</v>
      </c>
      <c r="C385" s="67"/>
      <c r="D385" s="68"/>
      <c r="E385" s="69"/>
      <c r="F385" s="70"/>
      <c r="G385" s="67"/>
      <c r="H385" s="71"/>
      <c r="I385" s="72"/>
      <c r="J385" s="72"/>
      <c r="K385" s="36"/>
      <c r="L385" s="79"/>
      <c r="M385" s="79"/>
      <c r="N385" s="74"/>
      <c r="O385" s="81" t="s">
        <v>1205</v>
      </c>
      <c r="P385" s="83">
        <v>44460.246087962965</v>
      </c>
      <c r="Q385" s="81" t="s">
        <v>1324</v>
      </c>
      <c r="R385" s="81"/>
      <c r="S385" s="81"/>
      <c r="T385" s="81"/>
      <c r="U385" s="85" t="str">
        <f>HYPERLINK("https://pbs.twimg.com/media/E_xVJy2VQAQerFe.jpg")</f>
        <v>https://pbs.twimg.com/media/E_xVJy2VQAQerFe.jpg</v>
      </c>
      <c r="V385" s="85" t="str">
        <f>HYPERLINK("https://pbs.twimg.com/media/E_xVJy2VQAQerFe.jpg")</f>
        <v>https://pbs.twimg.com/media/E_xVJy2VQAQerFe.jpg</v>
      </c>
      <c r="W385" s="83">
        <v>44460.246087962965</v>
      </c>
      <c r="X385" s="89">
        <v>44460</v>
      </c>
      <c r="Y385" s="87" t="s">
        <v>1808</v>
      </c>
      <c r="Z385" s="85" t="str">
        <f>HYPERLINK("https://twitter.com/kuntuldowo/status/1440192659000156164")</f>
        <v>https://twitter.com/kuntuldowo/status/1440192659000156164</v>
      </c>
      <c r="AA385" s="81"/>
      <c r="AB385" s="81"/>
      <c r="AC385" s="87" t="s">
        <v>2959</v>
      </c>
      <c r="AD385" s="81"/>
      <c r="AE385" s="81" t="b">
        <v>0</v>
      </c>
      <c r="AF385" s="81">
        <v>0</v>
      </c>
      <c r="AG385" s="87" t="s">
        <v>3875</v>
      </c>
      <c r="AH385" s="81" t="b">
        <v>0</v>
      </c>
      <c r="AI385" s="81" t="s">
        <v>4092</v>
      </c>
      <c r="AJ385" s="81"/>
      <c r="AK385" s="87" t="s">
        <v>3875</v>
      </c>
      <c r="AL385" s="81" t="b">
        <v>0</v>
      </c>
      <c r="AM385" s="81">
        <v>321</v>
      </c>
      <c r="AN385" s="87" t="s">
        <v>3520</v>
      </c>
      <c r="AO385" s="87" t="s">
        <v>4109</v>
      </c>
      <c r="AP385" s="81" t="b">
        <v>0</v>
      </c>
      <c r="AQ385" s="87" t="s">
        <v>3520</v>
      </c>
      <c r="AR385" s="81" t="s">
        <v>179</v>
      </c>
      <c r="AS385" s="81">
        <v>0</v>
      </c>
      <c r="AT385" s="81">
        <v>0</v>
      </c>
      <c r="AU385" s="81"/>
      <c r="AV385" s="81"/>
      <c r="AW385" s="81"/>
      <c r="AX385" s="81"/>
      <c r="AY385" s="81"/>
      <c r="AZ385" s="81"/>
      <c r="BA385" s="81"/>
      <c r="BB385" s="81"/>
    </row>
    <row r="386" spans="1:54" x14ac:dyDescent="0.35">
      <c r="A386" s="66" t="s">
        <v>444</v>
      </c>
      <c r="B386" s="66" t="s">
        <v>1055</v>
      </c>
      <c r="C386" s="67"/>
      <c r="D386" s="68"/>
      <c r="E386" s="69"/>
      <c r="F386" s="70"/>
      <c r="G386" s="67"/>
      <c r="H386" s="71"/>
      <c r="I386" s="72"/>
      <c r="J386" s="72"/>
      <c r="K386" s="36"/>
      <c r="L386" s="79"/>
      <c r="M386" s="79"/>
      <c r="N386" s="74"/>
      <c r="O386" s="81" t="s">
        <v>1207</v>
      </c>
      <c r="P386" s="83">
        <v>44460.249224537038</v>
      </c>
      <c r="Q386" s="81" t="s">
        <v>1324</v>
      </c>
      <c r="R386" s="81"/>
      <c r="S386" s="81"/>
      <c r="T386" s="81"/>
      <c r="U386" s="85" t="str">
        <f>HYPERLINK("https://pbs.twimg.com/media/E_xVJy2VQAQerFe.jpg")</f>
        <v>https://pbs.twimg.com/media/E_xVJy2VQAQerFe.jpg</v>
      </c>
      <c r="V386" s="85" t="str">
        <f>HYPERLINK("https://pbs.twimg.com/media/E_xVJy2VQAQerFe.jpg")</f>
        <v>https://pbs.twimg.com/media/E_xVJy2VQAQerFe.jpg</v>
      </c>
      <c r="W386" s="83">
        <v>44460.249224537038</v>
      </c>
      <c r="X386" s="89">
        <v>44460</v>
      </c>
      <c r="Y386" s="87" t="s">
        <v>2037</v>
      </c>
      <c r="Z386" s="85" t="str">
        <f>HYPERLINK("https://twitter.com/tiwah22/status/1440193795602092034")</f>
        <v>https://twitter.com/tiwah22/status/1440193795602092034</v>
      </c>
      <c r="AA386" s="81"/>
      <c r="AB386" s="81"/>
      <c r="AC386" s="87" t="s">
        <v>2960</v>
      </c>
      <c r="AD386" s="81"/>
      <c r="AE386" s="81" t="b">
        <v>0</v>
      </c>
      <c r="AF386" s="81">
        <v>0</v>
      </c>
      <c r="AG386" s="87" t="s">
        <v>3875</v>
      </c>
      <c r="AH386" s="81" t="b">
        <v>0</v>
      </c>
      <c r="AI386" s="81" t="s">
        <v>4092</v>
      </c>
      <c r="AJ386" s="81"/>
      <c r="AK386" s="87" t="s">
        <v>3875</v>
      </c>
      <c r="AL386" s="81" t="b">
        <v>0</v>
      </c>
      <c r="AM386" s="81">
        <v>321</v>
      </c>
      <c r="AN386" s="87" t="s">
        <v>3520</v>
      </c>
      <c r="AO386" s="87" t="s">
        <v>4109</v>
      </c>
      <c r="AP386" s="81" t="b">
        <v>0</v>
      </c>
      <c r="AQ386" s="87" t="s">
        <v>3520</v>
      </c>
      <c r="AR386" s="81" t="s">
        <v>179</v>
      </c>
      <c r="AS386" s="81">
        <v>0</v>
      </c>
      <c r="AT386" s="81">
        <v>0</v>
      </c>
      <c r="AU386" s="81"/>
      <c r="AV386" s="81"/>
      <c r="AW386" s="81"/>
      <c r="AX386" s="81"/>
      <c r="AY386" s="81"/>
      <c r="AZ386" s="81"/>
      <c r="BA386" s="81"/>
      <c r="BB386" s="81"/>
    </row>
    <row r="387" spans="1:54" x14ac:dyDescent="0.35">
      <c r="A387" s="66" t="s">
        <v>444</v>
      </c>
      <c r="B387" s="66" t="s">
        <v>910</v>
      </c>
      <c r="C387" s="67"/>
      <c r="D387" s="68"/>
      <c r="E387" s="69"/>
      <c r="F387" s="70"/>
      <c r="G387" s="67"/>
      <c r="H387" s="71"/>
      <c r="I387" s="72"/>
      <c r="J387" s="72"/>
      <c r="K387" s="36"/>
      <c r="L387" s="79"/>
      <c r="M387" s="79"/>
      <c r="N387" s="74"/>
      <c r="O387" s="81" t="s">
        <v>1205</v>
      </c>
      <c r="P387" s="83">
        <v>44460.249224537038</v>
      </c>
      <c r="Q387" s="81" t="s">
        <v>1324</v>
      </c>
      <c r="R387" s="81"/>
      <c r="S387" s="81"/>
      <c r="T387" s="81"/>
      <c r="U387" s="85" t="str">
        <f>HYPERLINK("https://pbs.twimg.com/media/E_xVJy2VQAQerFe.jpg")</f>
        <v>https://pbs.twimg.com/media/E_xVJy2VQAQerFe.jpg</v>
      </c>
      <c r="V387" s="85" t="str">
        <f>HYPERLINK("https://pbs.twimg.com/media/E_xVJy2VQAQerFe.jpg")</f>
        <v>https://pbs.twimg.com/media/E_xVJy2VQAQerFe.jpg</v>
      </c>
      <c r="W387" s="83">
        <v>44460.249224537038</v>
      </c>
      <c r="X387" s="89">
        <v>44460</v>
      </c>
      <c r="Y387" s="87" t="s">
        <v>2037</v>
      </c>
      <c r="Z387" s="85" t="str">
        <f>HYPERLINK("https://twitter.com/tiwah22/status/1440193795602092034")</f>
        <v>https://twitter.com/tiwah22/status/1440193795602092034</v>
      </c>
      <c r="AA387" s="81"/>
      <c r="AB387" s="81"/>
      <c r="AC387" s="87" t="s">
        <v>2960</v>
      </c>
      <c r="AD387" s="81"/>
      <c r="AE387" s="81" t="b">
        <v>0</v>
      </c>
      <c r="AF387" s="81">
        <v>0</v>
      </c>
      <c r="AG387" s="87" t="s">
        <v>3875</v>
      </c>
      <c r="AH387" s="81" t="b">
        <v>0</v>
      </c>
      <c r="AI387" s="81" t="s">
        <v>4092</v>
      </c>
      <c r="AJ387" s="81"/>
      <c r="AK387" s="87" t="s">
        <v>3875</v>
      </c>
      <c r="AL387" s="81" t="b">
        <v>0</v>
      </c>
      <c r="AM387" s="81">
        <v>321</v>
      </c>
      <c r="AN387" s="87" t="s">
        <v>3520</v>
      </c>
      <c r="AO387" s="87" t="s">
        <v>4109</v>
      </c>
      <c r="AP387" s="81" t="b">
        <v>0</v>
      </c>
      <c r="AQ387" s="87" t="s">
        <v>3520</v>
      </c>
      <c r="AR387" s="81" t="s">
        <v>179</v>
      </c>
      <c r="AS387" s="81">
        <v>0</v>
      </c>
      <c r="AT387" s="81">
        <v>0</v>
      </c>
      <c r="AU387" s="81"/>
      <c r="AV387" s="81"/>
      <c r="AW387" s="81"/>
      <c r="AX387" s="81"/>
      <c r="AY387" s="81"/>
      <c r="AZ387" s="81"/>
      <c r="BA387" s="81"/>
      <c r="BB387" s="81"/>
    </row>
    <row r="388" spans="1:54" x14ac:dyDescent="0.35">
      <c r="A388" s="66" t="s">
        <v>445</v>
      </c>
      <c r="B388" s="66" t="s">
        <v>1055</v>
      </c>
      <c r="C388" s="67"/>
      <c r="D388" s="68"/>
      <c r="E388" s="69"/>
      <c r="F388" s="70"/>
      <c r="G388" s="67"/>
      <c r="H388" s="71"/>
      <c r="I388" s="72"/>
      <c r="J388" s="72"/>
      <c r="K388" s="36"/>
      <c r="L388" s="79"/>
      <c r="M388" s="79"/>
      <c r="N388" s="74"/>
      <c r="O388" s="81" t="s">
        <v>1207</v>
      </c>
      <c r="P388" s="83">
        <v>44460.249849537038</v>
      </c>
      <c r="Q388" s="81" t="s">
        <v>1324</v>
      </c>
      <c r="R388" s="81"/>
      <c r="S388" s="81"/>
      <c r="T388" s="81"/>
      <c r="U388" s="85" t="str">
        <f>HYPERLINK("https://pbs.twimg.com/media/E_xVJy2VQAQerFe.jpg")</f>
        <v>https://pbs.twimg.com/media/E_xVJy2VQAQerFe.jpg</v>
      </c>
      <c r="V388" s="85" t="str">
        <f>HYPERLINK("https://pbs.twimg.com/media/E_xVJy2VQAQerFe.jpg")</f>
        <v>https://pbs.twimg.com/media/E_xVJy2VQAQerFe.jpg</v>
      </c>
      <c r="W388" s="83">
        <v>44460.249849537038</v>
      </c>
      <c r="X388" s="89">
        <v>44460</v>
      </c>
      <c r="Y388" s="87" t="s">
        <v>2038</v>
      </c>
      <c r="Z388" s="85" t="str">
        <f>HYPERLINK("https://twitter.com/cangkir_plastik/status/1440194024246108162")</f>
        <v>https://twitter.com/cangkir_plastik/status/1440194024246108162</v>
      </c>
      <c r="AA388" s="81"/>
      <c r="AB388" s="81"/>
      <c r="AC388" s="87" t="s">
        <v>2961</v>
      </c>
      <c r="AD388" s="81"/>
      <c r="AE388" s="81" t="b">
        <v>0</v>
      </c>
      <c r="AF388" s="81">
        <v>0</v>
      </c>
      <c r="AG388" s="87" t="s">
        <v>3875</v>
      </c>
      <c r="AH388" s="81" t="b">
        <v>0</v>
      </c>
      <c r="AI388" s="81" t="s">
        <v>4092</v>
      </c>
      <c r="AJ388" s="81"/>
      <c r="AK388" s="87" t="s">
        <v>3875</v>
      </c>
      <c r="AL388" s="81" t="b">
        <v>0</v>
      </c>
      <c r="AM388" s="81">
        <v>321</v>
      </c>
      <c r="AN388" s="87" t="s">
        <v>3520</v>
      </c>
      <c r="AO388" s="87" t="s">
        <v>4109</v>
      </c>
      <c r="AP388" s="81" t="b">
        <v>0</v>
      </c>
      <c r="AQ388" s="87" t="s">
        <v>3520</v>
      </c>
      <c r="AR388" s="81" t="s">
        <v>179</v>
      </c>
      <c r="AS388" s="81">
        <v>0</v>
      </c>
      <c r="AT388" s="81">
        <v>0</v>
      </c>
      <c r="AU388" s="81"/>
      <c r="AV388" s="81"/>
      <c r="AW388" s="81"/>
      <c r="AX388" s="81"/>
      <c r="AY388" s="81"/>
      <c r="AZ388" s="81"/>
      <c r="BA388" s="81"/>
      <c r="BB388" s="81"/>
    </row>
    <row r="389" spans="1:54" x14ac:dyDescent="0.35">
      <c r="A389" s="66" t="s">
        <v>445</v>
      </c>
      <c r="B389" s="66" t="s">
        <v>910</v>
      </c>
      <c r="C389" s="67"/>
      <c r="D389" s="68"/>
      <c r="E389" s="69"/>
      <c r="F389" s="70"/>
      <c r="G389" s="67"/>
      <c r="H389" s="71"/>
      <c r="I389" s="72"/>
      <c r="J389" s="72"/>
      <c r="K389" s="36"/>
      <c r="L389" s="79"/>
      <c r="M389" s="79"/>
      <c r="N389" s="74"/>
      <c r="O389" s="81" t="s">
        <v>1205</v>
      </c>
      <c r="P389" s="83">
        <v>44460.249849537038</v>
      </c>
      <c r="Q389" s="81" t="s">
        <v>1324</v>
      </c>
      <c r="R389" s="81"/>
      <c r="S389" s="81"/>
      <c r="T389" s="81"/>
      <c r="U389" s="85" t="str">
        <f>HYPERLINK("https://pbs.twimg.com/media/E_xVJy2VQAQerFe.jpg")</f>
        <v>https://pbs.twimg.com/media/E_xVJy2VQAQerFe.jpg</v>
      </c>
      <c r="V389" s="85" t="str">
        <f>HYPERLINK("https://pbs.twimg.com/media/E_xVJy2VQAQerFe.jpg")</f>
        <v>https://pbs.twimg.com/media/E_xVJy2VQAQerFe.jpg</v>
      </c>
      <c r="W389" s="83">
        <v>44460.249849537038</v>
      </c>
      <c r="X389" s="89">
        <v>44460</v>
      </c>
      <c r="Y389" s="87" t="s">
        <v>2038</v>
      </c>
      <c r="Z389" s="85" t="str">
        <f>HYPERLINK("https://twitter.com/cangkir_plastik/status/1440194024246108162")</f>
        <v>https://twitter.com/cangkir_plastik/status/1440194024246108162</v>
      </c>
      <c r="AA389" s="81"/>
      <c r="AB389" s="81"/>
      <c r="AC389" s="87" t="s">
        <v>2961</v>
      </c>
      <c r="AD389" s="81"/>
      <c r="AE389" s="81" t="b">
        <v>0</v>
      </c>
      <c r="AF389" s="81">
        <v>0</v>
      </c>
      <c r="AG389" s="87" t="s">
        <v>3875</v>
      </c>
      <c r="AH389" s="81" t="b">
        <v>0</v>
      </c>
      <c r="AI389" s="81" t="s">
        <v>4092</v>
      </c>
      <c r="AJ389" s="81"/>
      <c r="AK389" s="87" t="s">
        <v>3875</v>
      </c>
      <c r="AL389" s="81" t="b">
        <v>0</v>
      </c>
      <c r="AM389" s="81">
        <v>321</v>
      </c>
      <c r="AN389" s="87" t="s">
        <v>3520</v>
      </c>
      <c r="AO389" s="87" t="s">
        <v>4109</v>
      </c>
      <c r="AP389" s="81" t="b">
        <v>0</v>
      </c>
      <c r="AQ389" s="87" t="s">
        <v>3520</v>
      </c>
      <c r="AR389" s="81" t="s">
        <v>179</v>
      </c>
      <c r="AS389" s="81">
        <v>0</v>
      </c>
      <c r="AT389" s="81">
        <v>0</v>
      </c>
      <c r="AU389" s="81"/>
      <c r="AV389" s="81"/>
      <c r="AW389" s="81"/>
      <c r="AX389" s="81"/>
      <c r="AY389" s="81"/>
      <c r="AZ389" s="81"/>
      <c r="BA389" s="81"/>
      <c r="BB389" s="81"/>
    </row>
    <row r="390" spans="1:54" x14ac:dyDescent="0.35">
      <c r="A390" s="66" t="s">
        <v>446</v>
      </c>
      <c r="B390" s="66" t="s">
        <v>1055</v>
      </c>
      <c r="C390" s="67"/>
      <c r="D390" s="68"/>
      <c r="E390" s="69"/>
      <c r="F390" s="70"/>
      <c r="G390" s="67"/>
      <c r="H390" s="71"/>
      <c r="I390" s="72"/>
      <c r="J390" s="72"/>
      <c r="K390" s="36"/>
      <c r="L390" s="79"/>
      <c r="M390" s="79"/>
      <c r="N390" s="74"/>
      <c r="O390" s="81" t="s">
        <v>1207</v>
      </c>
      <c r="P390" s="83">
        <v>44460.250694444447</v>
      </c>
      <c r="Q390" s="81" t="s">
        <v>1324</v>
      </c>
      <c r="R390" s="81"/>
      <c r="S390" s="81"/>
      <c r="T390" s="81"/>
      <c r="U390" s="85" t="str">
        <f>HYPERLINK("https://pbs.twimg.com/media/E_xVJy2VQAQerFe.jpg")</f>
        <v>https://pbs.twimg.com/media/E_xVJy2VQAQerFe.jpg</v>
      </c>
      <c r="V390" s="85" t="str">
        <f>HYPERLINK("https://pbs.twimg.com/media/E_xVJy2VQAQerFe.jpg")</f>
        <v>https://pbs.twimg.com/media/E_xVJy2VQAQerFe.jpg</v>
      </c>
      <c r="W390" s="83">
        <v>44460.250694444447</v>
      </c>
      <c r="X390" s="89">
        <v>44460</v>
      </c>
      <c r="Y390" s="87" t="s">
        <v>2039</v>
      </c>
      <c r="Z390" s="85" t="str">
        <f>HYPERLINK("https://twitter.com/andiris1die/status/1440194330128359427")</f>
        <v>https://twitter.com/andiris1die/status/1440194330128359427</v>
      </c>
      <c r="AA390" s="81"/>
      <c r="AB390" s="81"/>
      <c r="AC390" s="87" t="s">
        <v>2962</v>
      </c>
      <c r="AD390" s="81"/>
      <c r="AE390" s="81" t="b">
        <v>0</v>
      </c>
      <c r="AF390" s="81">
        <v>0</v>
      </c>
      <c r="AG390" s="87" t="s">
        <v>3875</v>
      </c>
      <c r="AH390" s="81" t="b">
        <v>0</v>
      </c>
      <c r="AI390" s="81" t="s">
        <v>4092</v>
      </c>
      <c r="AJ390" s="81"/>
      <c r="AK390" s="87" t="s">
        <v>3875</v>
      </c>
      <c r="AL390" s="81" t="b">
        <v>0</v>
      </c>
      <c r="AM390" s="81">
        <v>321</v>
      </c>
      <c r="AN390" s="87" t="s">
        <v>3520</v>
      </c>
      <c r="AO390" s="87" t="s">
        <v>4109</v>
      </c>
      <c r="AP390" s="81" t="b">
        <v>0</v>
      </c>
      <c r="AQ390" s="87" t="s">
        <v>3520</v>
      </c>
      <c r="AR390" s="81" t="s">
        <v>179</v>
      </c>
      <c r="AS390" s="81">
        <v>0</v>
      </c>
      <c r="AT390" s="81">
        <v>0</v>
      </c>
      <c r="AU390" s="81"/>
      <c r="AV390" s="81"/>
      <c r="AW390" s="81"/>
      <c r="AX390" s="81"/>
      <c r="AY390" s="81"/>
      <c r="AZ390" s="81"/>
      <c r="BA390" s="81"/>
      <c r="BB390" s="81"/>
    </row>
    <row r="391" spans="1:54" x14ac:dyDescent="0.35">
      <c r="A391" s="66" t="s">
        <v>446</v>
      </c>
      <c r="B391" s="66" t="s">
        <v>910</v>
      </c>
      <c r="C391" s="67"/>
      <c r="D391" s="68"/>
      <c r="E391" s="69"/>
      <c r="F391" s="70"/>
      <c r="G391" s="67"/>
      <c r="H391" s="71"/>
      <c r="I391" s="72"/>
      <c r="J391" s="72"/>
      <c r="K391" s="36"/>
      <c r="L391" s="79"/>
      <c r="M391" s="79"/>
      <c r="N391" s="74"/>
      <c r="O391" s="81" t="s">
        <v>1205</v>
      </c>
      <c r="P391" s="83">
        <v>44460.250694444447</v>
      </c>
      <c r="Q391" s="81" t="s">
        <v>1324</v>
      </c>
      <c r="R391" s="81"/>
      <c r="S391" s="81"/>
      <c r="T391" s="81"/>
      <c r="U391" s="85" t="str">
        <f>HYPERLINK("https://pbs.twimg.com/media/E_xVJy2VQAQerFe.jpg")</f>
        <v>https://pbs.twimg.com/media/E_xVJy2VQAQerFe.jpg</v>
      </c>
      <c r="V391" s="85" t="str">
        <f>HYPERLINK("https://pbs.twimg.com/media/E_xVJy2VQAQerFe.jpg")</f>
        <v>https://pbs.twimg.com/media/E_xVJy2VQAQerFe.jpg</v>
      </c>
      <c r="W391" s="83">
        <v>44460.250694444447</v>
      </c>
      <c r="X391" s="89">
        <v>44460</v>
      </c>
      <c r="Y391" s="87" t="s">
        <v>2039</v>
      </c>
      <c r="Z391" s="85" t="str">
        <f>HYPERLINK("https://twitter.com/andiris1die/status/1440194330128359427")</f>
        <v>https://twitter.com/andiris1die/status/1440194330128359427</v>
      </c>
      <c r="AA391" s="81"/>
      <c r="AB391" s="81"/>
      <c r="AC391" s="87" t="s">
        <v>2962</v>
      </c>
      <c r="AD391" s="81"/>
      <c r="AE391" s="81" t="b">
        <v>0</v>
      </c>
      <c r="AF391" s="81">
        <v>0</v>
      </c>
      <c r="AG391" s="87" t="s">
        <v>3875</v>
      </c>
      <c r="AH391" s="81" t="b">
        <v>0</v>
      </c>
      <c r="AI391" s="81" t="s">
        <v>4092</v>
      </c>
      <c r="AJ391" s="81"/>
      <c r="AK391" s="87" t="s">
        <v>3875</v>
      </c>
      <c r="AL391" s="81" t="b">
        <v>0</v>
      </c>
      <c r="AM391" s="81">
        <v>321</v>
      </c>
      <c r="AN391" s="87" t="s">
        <v>3520</v>
      </c>
      <c r="AO391" s="87" t="s">
        <v>4109</v>
      </c>
      <c r="AP391" s="81" t="b">
        <v>0</v>
      </c>
      <c r="AQ391" s="87" t="s">
        <v>3520</v>
      </c>
      <c r="AR391" s="81" t="s">
        <v>179</v>
      </c>
      <c r="AS391" s="81">
        <v>0</v>
      </c>
      <c r="AT391" s="81">
        <v>0</v>
      </c>
      <c r="AU391" s="81"/>
      <c r="AV391" s="81"/>
      <c r="AW391" s="81"/>
      <c r="AX391" s="81"/>
      <c r="AY391" s="81"/>
      <c r="AZ391" s="81"/>
      <c r="BA391" s="81"/>
      <c r="BB391" s="81"/>
    </row>
    <row r="392" spans="1:54" x14ac:dyDescent="0.35">
      <c r="A392" s="66" t="s">
        <v>447</v>
      </c>
      <c r="B392" s="66" t="s">
        <v>1055</v>
      </c>
      <c r="C392" s="67"/>
      <c r="D392" s="68"/>
      <c r="E392" s="69"/>
      <c r="F392" s="70"/>
      <c r="G392" s="67"/>
      <c r="H392" s="71"/>
      <c r="I392" s="72"/>
      <c r="J392" s="72"/>
      <c r="K392" s="36"/>
      <c r="L392" s="79"/>
      <c r="M392" s="79"/>
      <c r="N392" s="74"/>
      <c r="O392" s="81" t="s">
        <v>1207</v>
      </c>
      <c r="P392" s="83">
        <v>44460.250706018516</v>
      </c>
      <c r="Q392" s="81" t="s">
        <v>1324</v>
      </c>
      <c r="R392" s="81"/>
      <c r="S392" s="81"/>
      <c r="T392" s="81"/>
      <c r="U392" s="85" t="str">
        <f>HYPERLINK("https://pbs.twimg.com/media/E_xVJy2VQAQerFe.jpg")</f>
        <v>https://pbs.twimg.com/media/E_xVJy2VQAQerFe.jpg</v>
      </c>
      <c r="V392" s="85" t="str">
        <f>HYPERLINK("https://pbs.twimg.com/media/E_xVJy2VQAQerFe.jpg")</f>
        <v>https://pbs.twimg.com/media/E_xVJy2VQAQerFe.jpg</v>
      </c>
      <c r="W392" s="83">
        <v>44460.250706018516</v>
      </c>
      <c r="X392" s="89">
        <v>44460</v>
      </c>
      <c r="Y392" s="87" t="s">
        <v>2040</v>
      </c>
      <c r="Z392" s="85" t="str">
        <f>HYPERLINK("https://twitter.com/nenebuas/status/1440194334591098882")</f>
        <v>https://twitter.com/nenebuas/status/1440194334591098882</v>
      </c>
      <c r="AA392" s="81"/>
      <c r="AB392" s="81"/>
      <c r="AC392" s="87" t="s">
        <v>2963</v>
      </c>
      <c r="AD392" s="81"/>
      <c r="AE392" s="81" t="b">
        <v>0</v>
      </c>
      <c r="AF392" s="81">
        <v>0</v>
      </c>
      <c r="AG392" s="87" t="s">
        <v>3875</v>
      </c>
      <c r="AH392" s="81" t="b">
        <v>0</v>
      </c>
      <c r="AI392" s="81" t="s">
        <v>4092</v>
      </c>
      <c r="AJ392" s="81"/>
      <c r="AK392" s="87" t="s">
        <v>3875</v>
      </c>
      <c r="AL392" s="81" t="b">
        <v>0</v>
      </c>
      <c r="AM392" s="81">
        <v>321</v>
      </c>
      <c r="AN392" s="87" t="s">
        <v>3520</v>
      </c>
      <c r="AO392" s="87" t="s">
        <v>4111</v>
      </c>
      <c r="AP392" s="81" t="b">
        <v>0</v>
      </c>
      <c r="AQ392" s="87" t="s">
        <v>3520</v>
      </c>
      <c r="AR392" s="81" t="s">
        <v>179</v>
      </c>
      <c r="AS392" s="81">
        <v>0</v>
      </c>
      <c r="AT392" s="81">
        <v>0</v>
      </c>
      <c r="AU392" s="81"/>
      <c r="AV392" s="81"/>
      <c r="AW392" s="81"/>
      <c r="AX392" s="81"/>
      <c r="AY392" s="81"/>
      <c r="AZ392" s="81"/>
      <c r="BA392" s="81"/>
      <c r="BB392" s="81"/>
    </row>
    <row r="393" spans="1:54" x14ac:dyDescent="0.35">
      <c r="A393" s="66" t="s">
        <v>447</v>
      </c>
      <c r="B393" s="66" t="s">
        <v>910</v>
      </c>
      <c r="C393" s="67"/>
      <c r="D393" s="68"/>
      <c r="E393" s="69"/>
      <c r="F393" s="70"/>
      <c r="G393" s="67"/>
      <c r="H393" s="71"/>
      <c r="I393" s="72"/>
      <c r="J393" s="72"/>
      <c r="K393" s="36"/>
      <c r="L393" s="79"/>
      <c r="M393" s="79"/>
      <c r="N393" s="74"/>
      <c r="O393" s="81" t="s">
        <v>1205</v>
      </c>
      <c r="P393" s="83">
        <v>44460.250706018516</v>
      </c>
      <c r="Q393" s="81" t="s">
        <v>1324</v>
      </c>
      <c r="R393" s="81"/>
      <c r="S393" s="81"/>
      <c r="T393" s="81"/>
      <c r="U393" s="85" t="str">
        <f>HYPERLINK("https://pbs.twimg.com/media/E_xVJy2VQAQerFe.jpg")</f>
        <v>https://pbs.twimg.com/media/E_xVJy2VQAQerFe.jpg</v>
      </c>
      <c r="V393" s="85" t="str">
        <f>HYPERLINK("https://pbs.twimg.com/media/E_xVJy2VQAQerFe.jpg")</f>
        <v>https://pbs.twimg.com/media/E_xVJy2VQAQerFe.jpg</v>
      </c>
      <c r="W393" s="83">
        <v>44460.250706018516</v>
      </c>
      <c r="X393" s="89">
        <v>44460</v>
      </c>
      <c r="Y393" s="87" t="s">
        <v>2040</v>
      </c>
      <c r="Z393" s="85" t="str">
        <f>HYPERLINK("https://twitter.com/nenebuas/status/1440194334591098882")</f>
        <v>https://twitter.com/nenebuas/status/1440194334591098882</v>
      </c>
      <c r="AA393" s="81"/>
      <c r="AB393" s="81"/>
      <c r="AC393" s="87" t="s">
        <v>2963</v>
      </c>
      <c r="AD393" s="81"/>
      <c r="AE393" s="81" t="b">
        <v>0</v>
      </c>
      <c r="AF393" s="81">
        <v>0</v>
      </c>
      <c r="AG393" s="87" t="s">
        <v>3875</v>
      </c>
      <c r="AH393" s="81" t="b">
        <v>0</v>
      </c>
      <c r="AI393" s="81" t="s">
        <v>4092</v>
      </c>
      <c r="AJ393" s="81"/>
      <c r="AK393" s="87" t="s">
        <v>3875</v>
      </c>
      <c r="AL393" s="81" t="b">
        <v>0</v>
      </c>
      <c r="AM393" s="81">
        <v>321</v>
      </c>
      <c r="AN393" s="87" t="s">
        <v>3520</v>
      </c>
      <c r="AO393" s="87" t="s">
        <v>4111</v>
      </c>
      <c r="AP393" s="81" t="b">
        <v>0</v>
      </c>
      <c r="AQ393" s="87" t="s">
        <v>3520</v>
      </c>
      <c r="AR393" s="81" t="s">
        <v>179</v>
      </c>
      <c r="AS393" s="81">
        <v>0</v>
      </c>
      <c r="AT393" s="81">
        <v>0</v>
      </c>
      <c r="AU393" s="81"/>
      <c r="AV393" s="81"/>
      <c r="AW393" s="81"/>
      <c r="AX393" s="81"/>
      <c r="AY393" s="81"/>
      <c r="AZ393" s="81"/>
      <c r="BA393" s="81"/>
      <c r="BB393" s="81"/>
    </row>
    <row r="394" spans="1:54" x14ac:dyDescent="0.35">
      <c r="A394" s="66" t="s">
        <v>448</v>
      </c>
      <c r="B394" s="66" t="s">
        <v>1055</v>
      </c>
      <c r="C394" s="67"/>
      <c r="D394" s="68"/>
      <c r="E394" s="69"/>
      <c r="F394" s="70"/>
      <c r="G394" s="67"/>
      <c r="H394" s="71"/>
      <c r="I394" s="72"/>
      <c r="J394" s="72"/>
      <c r="K394" s="36"/>
      <c r="L394" s="79"/>
      <c r="M394" s="79"/>
      <c r="N394" s="74"/>
      <c r="O394" s="81" t="s">
        <v>1207</v>
      </c>
      <c r="P394" s="83">
        <v>44460.251817129632</v>
      </c>
      <c r="Q394" s="81" t="s">
        <v>1324</v>
      </c>
      <c r="R394" s="81"/>
      <c r="S394" s="81"/>
      <c r="T394" s="81"/>
      <c r="U394" s="85" t="str">
        <f>HYPERLINK("https://pbs.twimg.com/media/E_xVJy2VQAQerFe.jpg")</f>
        <v>https://pbs.twimg.com/media/E_xVJy2VQAQerFe.jpg</v>
      </c>
      <c r="V394" s="85" t="str">
        <f>HYPERLINK("https://pbs.twimg.com/media/E_xVJy2VQAQerFe.jpg")</f>
        <v>https://pbs.twimg.com/media/E_xVJy2VQAQerFe.jpg</v>
      </c>
      <c r="W394" s="83">
        <v>44460.251817129632</v>
      </c>
      <c r="X394" s="89">
        <v>44460</v>
      </c>
      <c r="Y394" s="87" t="s">
        <v>2041</v>
      </c>
      <c r="Z394" s="85" t="str">
        <f>HYPERLINK("https://twitter.com/hanstali/status/1440194735134576643")</f>
        <v>https://twitter.com/hanstali/status/1440194735134576643</v>
      </c>
      <c r="AA394" s="81"/>
      <c r="AB394" s="81"/>
      <c r="AC394" s="87" t="s">
        <v>2964</v>
      </c>
      <c r="AD394" s="81"/>
      <c r="AE394" s="81" t="b">
        <v>0</v>
      </c>
      <c r="AF394" s="81">
        <v>0</v>
      </c>
      <c r="AG394" s="87" t="s">
        <v>3875</v>
      </c>
      <c r="AH394" s="81" t="b">
        <v>0</v>
      </c>
      <c r="AI394" s="81" t="s">
        <v>4092</v>
      </c>
      <c r="AJ394" s="81"/>
      <c r="AK394" s="87" t="s">
        <v>3875</v>
      </c>
      <c r="AL394" s="81" t="b">
        <v>0</v>
      </c>
      <c r="AM394" s="81">
        <v>321</v>
      </c>
      <c r="AN394" s="87" t="s">
        <v>3520</v>
      </c>
      <c r="AO394" s="87" t="s">
        <v>4111</v>
      </c>
      <c r="AP394" s="81" t="b">
        <v>0</v>
      </c>
      <c r="AQ394" s="87" t="s">
        <v>3520</v>
      </c>
      <c r="AR394" s="81" t="s">
        <v>179</v>
      </c>
      <c r="AS394" s="81">
        <v>0</v>
      </c>
      <c r="AT394" s="81">
        <v>0</v>
      </c>
      <c r="AU394" s="81"/>
      <c r="AV394" s="81"/>
      <c r="AW394" s="81"/>
      <c r="AX394" s="81"/>
      <c r="AY394" s="81"/>
      <c r="AZ394" s="81"/>
      <c r="BA394" s="81"/>
      <c r="BB394" s="81"/>
    </row>
    <row r="395" spans="1:54" x14ac:dyDescent="0.35">
      <c r="A395" s="66" t="s">
        <v>448</v>
      </c>
      <c r="B395" s="66" t="s">
        <v>910</v>
      </c>
      <c r="C395" s="67"/>
      <c r="D395" s="68"/>
      <c r="E395" s="69"/>
      <c r="F395" s="70"/>
      <c r="G395" s="67"/>
      <c r="H395" s="71"/>
      <c r="I395" s="72"/>
      <c r="J395" s="72"/>
      <c r="K395" s="36"/>
      <c r="L395" s="79"/>
      <c r="M395" s="79"/>
      <c r="N395" s="74"/>
      <c r="O395" s="81" t="s">
        <v>1205</v>
      </c>
      <c r="P395" s="83">
        <v>44460.251817129632</v>
      </c>
      <c r="Q395" s="81" t="s">
        <v>1324</v>
      </c>
      <c r="R395" s="81"/>
      <c r="S395" s="81"/>
      <c r="T395" s="81"/>
      <c r="U395" s="85" t="str">
        <f>HYPERLINK("https://pbs.twimg.com/media/E_xVJy2VQAQerFe.jpg")</f>
        <v>https://pbs.twimg.com/media/E_xVJy2VQAQerFe.jpg</v>
      </c>
      <c r="V395" s="85" t="str">
        <f>HYPERLINK("https://pbs.twimg.com/media/E_xVJy2VQAQerFe.jpg")</f>
        <v>https://pbs.twimg.com/media/E_xVJy2VQAQerFe.jpg</v>
      </c>
      <c r="W395" s="83">
        <v>44460.251817129632</v>
      </c>
      <c r="X395" s="89">
        <v>44460</v>
      </c>
      <c r="Y395" s="87" t="s">
        <v>2041</v>
      </c>
      <c r="Z395" s="85" t="str">
        <f>HYPERLINK("https://twitter.com/hanstali/status/1440194735134576643")</f>
        <v>https://twitter.com/hanstali/status/1440194735134576643</v>
      </c>
      <c r="AA395" s="81"/>
      <c r="AB395" s="81"/>
      <c r="AC395" s="87" t="s">
        <v>2964</v>
      </c>
      <c r="AD395" s="81"/>
      <c r="AE395" s="81" t="b">
        <v>0</v>
      </c>
      <c r="AF395" s="81">
        <v>0</v>
      </c>
      <c r="AG395" s="87" t="s">
        <v>3875</v>
      </c>
      <c r="AH395" s="81" t="b">
        <v>0</v>
      </c>
      <c r="AI395" s="81" t="s">
        <v>4092</v>
      </c>
      <c r="AJ395" s="81"/>
      <c r="AK395" s="87" t="s">
        <v>3875</v>
      </c>
      <c r="AL395" s="81" t="b">
        <v>0</v>
      </c>
      <c r="AM395" s="81">
        <v>321</v>
      </c>
      <c r="AN395" s="87" t="s">
        <v>3520</v>
      </c>
      <c r="AO395" s="87" t="s">
        <v>4111</v>
      </c>
      <c r="AP395" s="81" t="b">
        <v>0</v>
      </c>
      <c r="AQ395" s="87" t="s">
        <v>3520</v>
      </c>
      <c r="AR395" s="81" t="s">
        <v>179</v>
      </c>
      <c r="AS395" s="81">
        <v>0</v>
      </c>
      <c r="AT395" s="81">
        <v>0</v>
      </c>
      <c r="AU395" s="81"/>
      <c r="AV395" s="81"/>
      <c r="AW395" s="81"/>
      <c r="AX395" s="81"/>
      <c r="AY395" s="81"/>
      <c r="AZ395" s="81"/>
      <c r="BA395" s="81"/>
      <c r="BB395" s="81"/>
    </row>
    <row r="396" spans="1:54" x14ac:dyDescent="0.35">
      <c r="A396" s="66" t="s">
        <v>449</v>
      </c>
      <c r="B396" s="66" t="s">
        <v>1055</v>
      </c>
      <c r="C396" s="67"/>
      <c r="D396" s="68"/>
      <c r="E396" s="69"/>
      <c r="F396" s="70"/>
      <c r="G396" s="67"/>
      <c r="H396" s="71"/>
      <c r="I396" s="72"/>
      <c r="J396" s="72"/>
      <c r="K396" s="36"/>
      <c r="L396" s="79"/>
      <c r="M396" s="79"/>
      <c r="N396" s="74"/>
      <c r="O396" s="81" t="s">
        <v>1207</v>
      </c>
      <c r="P396" s="83">
        <v>44460.252511574072</v>
      </c>
      <c r="Q396" s="81" t="s">
        <v>1324</v>
      </c>
      <c r="R396" s="81"/>
      <c r="S396" s="81"/>
      <c r="T396" s="81"/>
      <c r="U396" s="85" t="str">
        <f>HYPERLINK("https://pbs.twimg.com/media/E_xVJy2VQAQerFe.jpg")</f>
        <v>https://pbs.twimg.com/media/E_xVJy2VQAQerFe.jpg</v>
      </c>
      <c r="V396" s="85" t="str">
        <f>HYPERLINK("https://pbs.twimg.com/media/E_xVJy2VQAQerFe.jpg")</f>
        <v>https://pbs.twimg.com/media/E_xVJy2VQAQerFe.jpg</v>
      </c>
      <c r="W396" s="83">
        <v>44460.252511574072</v>
      </c>
      <c r="X396" s="89">
        <v>44460</v>
      </c>
      <c r="Y396" s="87" t="s">
        <v>2042</v>
      </c>
      <c r="Z396" s="85" t="str">
        <f>HYPERLINK("https://twitter.com/kotamati1999/status/1440194988827033603")</f>
        <v>https://twitter.com/kotamati1999/status/1440194988827033603</v>
      </c>
      <c r="AA396" s="81"/>
      <c r="AB396" s="81"/>
      <c r="AC396" s="87" t="s">
        <v>2965</v>
      </c>
      <c r="AD396" s="81"/>
      <c r="AE396" s="81" t="b">
        <v>0</v>
      </c>
      <c r="AF396" s="81">
        <v>0</v>
      </c>
      <c r="AG396" s="87" t="s">
        <v>3875</v>
      </c>
      <c r="AH396" s="81" t="b">
        <v>0</v>
      </c>
      <c r="AI396" s="81" t="s">
        <v>4092</v>
      </c>
      <c r="AJ396" s="81"/>
      <c r="AK396" s="87" t="s">
        <v>3875</v>
      </c>
      <c r="AL396" s="81" t="b">
        <v>0</v>
      </c>
      <c r="AM396" s="81">
        <v>321</v>
      </c>
      <c r="AN396" s="87" t="s">
        <v>3520</v>
      </c>
      <c r="AO396" s="87" t="s">
        <v>4109</v>
      </c>
      <c r="AP396" s="81" t="b">
        <v>0</v>
      </c>
      <c r="AQ396" s="87" t="s">
        <v>3520</v>
      </c>
      <c r="AR396" s="81" t="s">
        <v>179</v>
      </c>
      <c r="AS396" s="81">
        <v>0</v>
      </c>
      <c r="AT396" s="81">
        <v>0</v>
      </c>
      <c r="AU396" s="81"/>
      <c r="AV396" s="81"/>
      <c r="AW396" s="81"/>
      <c r="AX396" s="81"/>
      <c r="AY396" s="81"/>
      <c r="AZ396" s="81"/>
      <c r="BA396" s="81"/>
      <c r="BB396" s="81"/>
    </row>
    <row r="397" spans="1:54" x14ac:dyDescent="0.35">
      <c r="A397" s="66" t="s">
        <v>449</v>
      </c>
      <c r="B397" s="66" t="s">
        <v>910</v>
      </c>
      <c r="C397" s="67"/>
      <c r="D397" s="68"/>
      <c r="E397" s="69"/>
      <c r="F397" s="70"/>
      <c r="G397" s="67"/>
      <c r="H397" s="71"/>
      <c r="I397" s="72"/>
      <c r="J397" s="72"/>
      <c r="K397" s="36"/>
      <c r="L397" s="79"/>
      <c r="M397" s="79"/>
      <c r="N397" s="74"/>
      <c r="O397" s="81" t="s">
        <v>1205</v>
      </c>
      <c r="P397" s="83">
        <v>44460.252511574072</v>
      </c>
      <c r="Q397" s="81" t="s">
        <v>1324</v>
      </c>
      <c r="R397" s="81"/>
      <c r="S397" s="81"/>
      <c r="T397" s="81"/>
      <c r="U397" s="85" t="str">
        <f>HYPERLINK("https://pbs.twimg.com/media/E_xVJy2VQAQerFe.jpg")</f>
        <v>https://pbs.twimg.com/media/E_xVJy2VQAQerFe.jpg</v>
      </c>
      <c r="V397" s="85" t="str">
        <f>HYPERLINK("https://pbs.twimg.com/media/E_xVJy2VQAQerFe.jpg")</f>
        <v>https://pbs.twimg.com/media/E_xVJy2VQAQerFe.jpg</v>
      </c>
      <c r="W397" s="83">
        <v>44460.252511574072</v>
      </c>
      <c r="X397" s="89">
        <v>44460</v>
      </c>
      <c r="Y397" s="87" t="s">
        <v>2042</v>
      </c>
      <c r="Z397" s="85" t="str">
        <f>HYPERLINK("https://twitter.com/kotamati1999/status/1440194988827033603")</f>
        <v>https://twitter.com/kotamati1999/status/1440194988827033603</v>
      </c>
      <c r="AA397" s="81"/>
      <c r="AB397" s="81"/>
      <c r="AC397" s="87" t="s">
        <v>2965</v>
      </c>
      <c r="AD397" s="81"/>
      <c r="AE397" s="81" t="b">
        <v>0</v>
      </c>
      <c r="AF397" s="81">
        <v>0</v>
      </c>
      <c r="AG397" s="87" t="s">
        <v>3875</v>
      </c>
      <c r="AH397" s="81" t="b">
        <v>0</v>
      </c>
      <c r="AI397" s="81" t="s">
        <v>4092</v>
      </c>
      <c r="AJ397" s="81"/>
      <c r="AK397" s="87" t="s">
        <v>3875</v>
      </c>
      <c r="AL397" s="81" t="b">
        <v>0</v>
      </c>
      <c r="AM397" s="81">
        <v>321</v>
      </c>
      <c r="AN397" s="87" t="s">
        <v>3520</v>
      </c>
      <c r="AO397" s="87" t="s">
        <v>4109</v>
      </c>
      <c r="AP397" s="81" t="b">
        <v>0</v>
      </c>
      <c r="AQ397" s="87" t="s">
        <v>3520</v>
      </c>
      <c r="AR397" s="81" t="s">
        <v>179</v>
      </c>
      <c r="AS397" s="81">
        <v>0</v>
      </c>
      <c r="AT397" s="81">
        <v>0</v>
      </c>
      <c r="AU397" s="81"/>
      <c r="AV397" s="81"/>
      <c r="AW397" s="81"/>
      <c r="AX397" s="81"/>
      <c r="AY397" s="81"/>
      <c r="AZ397" s="81"/>
      <c r="BA397" s="81"/>
      <c r="BB397" s="81"/>
    </row>
    <row r="398" spans="1:54" x14ac:dyDescent="0.35">
      <c r="A398" s="66" t="s">
        <v>450</v>
      </c>
      <c r="B398" s="66" t="s">
        <v>1055</v>
      </c>
      <c r="C398" s="67"/>
      <c r="D398" s="68"/>
      <c r="E398" s="69"/>
      <c r="F398" s="70"/>
      <c r="G398" s="67"/>
      <c r="H398" s="71"/>
      <c r="I398" s="72"/>
      <c r="J398" s="72"/>
      <c r="K398" s="36"/>
      <c r="L398" s="79"/>
      <c r="M398" s="79"/>
      <c r="N398" s="74"/>
      <c r="O398" s="81" t="s">
        <v>1207</v>
      </c>
      <c r="P398" s="83">
        <v>44460.253009259257</v>
      </c>
      <c r="Q398" s="81" t="s">
        <v>1324</v>
      </c>
      <c r="R398" s="81"/>
      <c r="S398" s="81"/>
      <c r="T398" s="81"/>
      <c r="U398" s="85" t="str">
        <f>HYPERLINK("https://pbs.twimg.com/media/E_xVJy2VQAQerFe.jpg")</f>
        <v>https://pbs.twimg.com/media/E_xVJy2VQAQerFe.jpg</v>
      </c>
      <c r="V398" s="85" t="str">
        <f>HYPERLINK("https://pbs.twimg.com/media/E_xVJy2VQAQerFe.jpg")</f>
        <v>https://pbs.twimg.com/media/E_xVJy2VQAQerFe.jpg</v>
      </c>
      <c r="W398" s="83">
        <v>44460.253009259257</v>
      </c>
      <c r="X398" s="89">
        <v>44460</v>
      </c>
      <c r="Y398" s="87" t="s">
        <v>2043</v>
      </c>
      <c r="Z398" s="85" t="str">
        <f>HYPERLINK("https://twitter.com/jengsri_ss/status/1440195168607428619")</f>
        <v>https://twitter.com/jengsri_ss/status/1440195168607428619</v>
      </c>
      <c r="AA398" s="81"/>
      <c r="AB398" s="81"/>
      <c r="AC398" s="87" t="s">
        <v>2966</v>
      </c>
      <c r="AD398" s="81"/>
      <c r="AE398" s="81" t="b">
        <v>0</v>
      </c>
      <c r="AF398" s="81">
        <v>0</v>
      </c>
      <c r="AG398" s="87" t="s">
        <v>3875</v>
      </c>
      <c r="AH398" s="81" t="b">
        <v>0</v>
      </c>
      <c r="AI398" s="81" t="s">
        <v>4092</v>
      </c>
      <c r="AJ398" s="81"/>
      <c r="AK398" s="87" t="s">
        <v>3875</v>
      </c>
      <c r="AL398" s="81" t="b">
        <v>0</v>
      </c>
      <c r="AM398" s="81">
        <v>321</v>
      </c>
      <c r="AN398" s="87" t="s">
        <v>3520</v>
      </c>
      <c r="AO398" s="87" t="s">
        <v>4109</v>
      </c>
      <c r="AP398" s="81" t="b">
        <v>0</v>
      </c>
      <c r="AQ398" s="87" t="s">
        <v>3520</v>
      </c>
      <c r="AR398" s="81" t="s">
        <v>179</v>
      </c>
      <c r="AS398" s="81">
        <v>0</v>
      </c>
      <c r="AT398" s="81">
        <v>0</v>
      </c>
      <c r="AU398" s="81"/>
      <c r="AV398" s="81"/>
      <c r="AW398" s="81"/>
      <c r="AX398" s="81"/>
      <c r="AY398" s="81"/>
      <c r="AZ398" s="81"/>
      <c r="BA398" s="81"/>
      <c r="BB398" s="81"/>
    </row>
    <row r="399" spans="1:54" x14ac:dyDescent="0.35">
      <c r="A399" s="66" t="s">
        <v>450</v>
      </c>
      <c r="B399" s="66" t="s">
        <v>910</v>
      </c>
      <c r="C399" s="67"/>
      <c r="D399" s="68"/>
      <c r="E399" s="69"/>
      <c r="F399" s="70"/>
      <c r="G399" s="67"/>
      <c r="H399" s="71"/>
      <c r="I399" s="72"/>
      <c r="J399" s="72"/>
      <c r="K399" s="36"/>
      <c r="L399" s="79"/>
      <c r="M399" s="79"/>
      <c r="N399" s="74"/>
      <c r="O399" s="81" t="s">
        <v>1205</v>
      </c>
      <c r="P399" s="83">
        <v>44460.253009259257</v>
      </c>
      <c r="Q399" s="81" t="s">
        <v>1324</v>
      </c>
      <c r="R399" s="81"/>
      <c r="S399" s="81"/>
      <c r="T399" s="81"/>
      <c r="U399" s="85" t="str">
        <f>HYPERLINK("https://pbs.twimg.com/media/E_xVJy2VQAQerFe.jpg")</f>
        <v>https://pbs.twimg.com/media/E_xVJy2VQAQerFe.jpg</v>
      </c>
      <c r="V399" s="85" t="str">
        <f>HYPERLINK("https://pbs.twimg.com/media/E_xVJy2VQAQerFe.jpg")</f>
        <v>https://pbs.twimg.com/media/E_xVJy2VQAQerFe.jpg</v>
      </c>
      <c r="W399" s="83">
        <v>44460.253009259257</v>
      </c>
      <c r="X399" s="89">
        <v>44460</v>
      </c>
      <c r="Y399" s="87" t="s">
        <v>2043</v>
      </c>
      <c r="Z399" s="85" t="str">
        <f>HYPERLINK("https://twitter.com/jengsri_ss/status/1440195168607428619")</f>
        <v>https://twitter.com/jengsri_ss/status/1440195168607428619</v>
      </c>
      <c r="AA399" s="81"/>
      <c r="AB399" s="81"/>
      <c r="AC399" s="87" t="s">
        <v>2966</v>
      </c>
      <c r="AD399" s="81"/>
      <c r="AE399" s="81" t="b">
        <v>0</v>
      </c>
      <c r="AF399" s="81">
        <v>0</v>
      </c>
      <c r="AG399" s="87" t="s">
        <v>3875</v>
      </c>
      <c r="AH399" s="81" t="b">
        <v>0</v>
      </c>
      <c r="AI399" s="81" t="s">
        <v>4092</v>
      </c>
      <c r="AJ399" s="81"/>
      <c r="AK399" s="87" t="s">
        <v>3875</v>
      </c>
      <c r="AL399" s="81" t="b">
        <v>0</v>
      </c>
      <c r="AM399" s="81">
        <v>321</v>
      </c>
      <c r="AN399" s="87" t="s">
        <v>3520</v>
      </c>
      <c r="AO399" s="87" t="s">
        <v>4109</v>
      </c>
      <c r="AP399" s="81" t="b">
        <v>0</v>
      </c>
      <c r="AQ399" s="87" t="s">
        <v>3520</v>
      </c>
      <c r="AR399" s="81" t="s">
        <v>179</v>
      </c>
      <c r="AS399" s="81">
        <v>0</v>
      </c>
      <c r="AT399" s="81">
        <v>0</v>
      </c>
      <c r="AU399" s="81"/>
      <c r="AV399" s="81"/>
      <c r="AW399" s="81"/>
      <c r="AX399" s="81"/>
      <c r="AY399" s="81"/>
      <c r="AZ399" s="81"/>
      <c r="BA399" s="81"/>
      <c r="BB399" s="81"/>
    </row>
    <row r="400" spans="1:54" x14ac:dyDescent="0.35">
      <c r="A400" s="66" t="s">
        <v>451</v>
      </c>
      <c r="B400" s="66" t="s">
        <v>1055</v>
      </c>
      <c r="C400" s="67"/>
      <c r="D400" s="68"/>
      <c r="E400" s="69"/>
      <c r="F400" s="70"/>
      <c r="G400" s="67"/>
      <c r="H400" s="71"/>
      <c r="I400" s="72"/>
      <c r="J400" s="72"/>
      <c r="K400" s="36"/>
      <c r="L400" s="79"/>
      <c r="M400" s="79"/>
      <c r="N400" s="74"/>
      <c r="O400" s="81" t="s">
        <v>1207</v>
      </c>
      <c r="P400" s="83">
        <v>44460.253692129627</v>
      </c>
      <c r="Q400" s="81" t="s">
        <v>1324</v>
      </c>
      <c r="R400" s="81"/>
      <c r="S400" s="81"/>
      <c r="T400" s="81"/>
      <c r="U400" s="85" t="str">
        <f>HYPERLINK("https://pbs.twimg.com/media/E_xVJy2VQAQerFe.jpg")</f>
        <v>https://pbs.twimg.com/media/E_xVJy2VQAQerFe.jpg</v>
      </c>
      <c r="V400" s="85" t="str">
        <f>HYPERLINK("https://pbs.twimg.com/media/E_xVJy2VQAQerFe.jpg")</f>
        <v>https://pbs.twimg.com/media/E_xVJy2VQAQerFe.jpg</v>
      </c>
      <c r="W400" s="83">
        <v>44460.253692129627</v>
      </c>
      <c r="X400" s="89">
        <v>44460</v>
      </c>
      <c r="Y400" s="87" t="s">
        <v>2044</v>
      </c>
      <c r="Z400" s="85" t="str">
        <f>HYPERLINK("https://twitter.com/el_subiyanto/status/1440195415534571531")</f>
        <v>https://twitter.com/el_subiyanto/status/1440195415534571531</v>
      </c>
      <c r="AA400" s="81"/>
      <c r="AB400" s="81"/>
      <c r="AC400" s="87" t="s">
        <v>2967</v>
      </c>
      <c r="AD400" s="81"/>
      <c r="AE400" s="81" t="b">
        <v>0</v>
      </c>
      <c r="AF400" s="81">
        <v>0</v>
      </c>
      <c r="AG400" s="87" t="s">
        <v>3875</v>
      </c>
      <c r="AH400" s="81" t="b">
        <v>0</v>
      </c>
      <c r="AI400" s="81" t="s">
        <v>4092</v>
      </c>
      <c r="AJ400" s="81"/>
      <c r="AK400" s="87" t="s">
        <v>3875</v>
      </c>
      <c r="AL400" s="81" t="b">
        <v>0</v>
      </c>
      <c r="AM400" s="81">
        <v>321</v>
      </c>
      <c r="AN400" s="87" t="s">
        <v>3520</v>
      </c>
      <c r="AO400" s="87" t="s">
        <v>4109</v>
      </c>
      <c r="AP400" s="81" t="b">
        <v>0</v>
      </c>
      <c r="AQ400" s="87" t="s">
        <v>3520</v>
      </c>
      <c r="AR400" s="81" t="s">
        <v>179</v>
      </c>
      <c r="AS400" s="81">
        <v>0</v>
      </c>
      <c r="AT400" s="81">
        <v>0</v>
      </c>
      <c r="AU400" s="81"/>
      <c r="AV400" s="81"/>
      <c r="AW400" s="81"/>
      <c r="AX400" s="81"/>
      <c r="AY400" s="81"/>
      <c r="AZ400" s="81"/>
      <c r="BA400" s="81"/>
      <c r="BB400" s="81"/>
    </row>
    <row r="401" spans="1:54" x14ac:dyDescent="0.35">
      <c r="A401" s="66" t="s">
        <v>451</v>
      </c>
      <c r="B401" s="66" t="s">
        <v>910</v>
      </c>
      <c r="C401" s="67"/>
      <c r="D401" s="68"/>
      <c r="E401" s="69"/>
      <c r="F401" s="70"/>
      <c r="G401" s="67"/>
      <c r="H401" s="71"/>
      <c r="I401" s="72"/>
      <c r="J401" s="72"/>
      <c r="K401" s="36"/>
      <c r="L401" s="79"/>
      <c r="M401" s="79"/>
      <c r="N401" s="74"/>
      <c r="O401" s="81" t="s">
        <v>1205</v>
      </c>
      <c r="P401" s="83">
        <v>44460.253692129627</v>
      </c>
      <c r="Q401" s="81" t="s">
        <v>1324</v>
      </c>
      <c r="R401" s="81"/>
      <c r="S401" s="81"/>
      <c r="T401" s="81"/>
      <c r="U401" s="85" t="str">
        <f>HYPERLINK("https://pbs.twimg.com/media/E_xVJy2VQAQerFe.jpg")</f>
        <v>https://pbs.twimg.com/media/E_xVJy2VQAQerFe.jpg</v>
      </c>
      <c r="V401" s="85" t="str">
        <f>HYPERLINK("https://pbs.twimg.com/media/E_xVJy2VQAQerFe.jpg")</f>
        <v>https://pbs.twimg.com/media/E_xVJy2VQAQerFe.jpg</v>
      </c>
      <c r="W401" s="83">
        <v>44460.253692129627</v>
      </c>
      <c r="X401" s="89">
        <v>44460</v>
      </c>
      <c r="Y401" s="87" t="s">
        <v>2044</v>
      </c>
      <c r="Z401" s="85" t="str">
        <f>HYPERLINK("https://twitter.com/el_subiyanto/status/1440195415534571531")</f>
        <v>https://twitter.com/el_subiyanto/status/1440195415534571531</v>
      </c>
      <c r="AA401" s="81"/>
      <c r="AB401" s="81"/>
      <c r="AC401" s="87" t="s">
        <v>2967</v>
      </c>
      <c r="AD401" s="81"/>
      <c r="AE401" s="81" t="b">
        <v>0</v>
      </c>
      <c r="AF401" s="81">
        <v>0</v>
      </c>
      <c r="AG401" s="87" t="s">
        <v>3875</v>
      </c>
      <c r="AH401" s="81" t="b">
        <v>0</v>
      </c>
      <c r="AI401" s="81" t="s">
        <v>4092</v>
      </c>
      <c r="AJ401" s="81"/>
      <c r="AK401" s="87" t="s">
        <v>3875</v>
      </c>
      <c r="AL401" s="81" t="b">
        <v>0</v>
      </c>
      <c r="AM401" s="81">
        <v>321</v>
      </c>
      <c r="AN401" s="87" t="s">
        <v>3520</v>
      </c>
      <c r="AO401" s="87" t="s">
        <v>4109</v>
      </c>
      <c r="AP401" s="81" t="b">
        <v>0</v>
      </c>
      <c r="AQ401" s="87" t="s">
        <v>3520</v>
      </c>
      <c r="AR401" s="81" t="s">
        <v>179</v>
      </c>
      <c r="AS401" s="81">
        <v>0</v>
      </c>
      <c r="AT401" s="81">
        <v>0</v>
      </c>
      <c r="AU401" s="81"/>
      <c r="AV401" s="81"/>
      <c r="AW401" s="81"/>
      <c r="AX401" s="81"/>
      <c r="AY401" s="81"/>
      <c r="AZ401" s="81"/>
      <c r="BA401" s="81"/>
      <c r="BB401" s="81"/>
    </row>
    <row r="402" spans="1:54" x14ac:dyDescent="0.35">
      <c r="A402" s="66" t="s">
        <v>452</v>
      </c>
      <c r="B402" s="66" t="s">
        <v>1055</v>
      </c>
      <c r="C402" s="67"/>
      <c r="D402" s="68"/>
      <c r="E402" s="69"/>
      <c r="F402" s="70"/>
      <c r="G402" s="67"/>
      <c r="H402" s="71"/>
      <c r="I402" s="72"/>
      <c r="J402" s="72"/>
      <c r="K402" s="36"/>
      <c r="L402" s="79"/>
      <c r="M402" s="79"/>
      <c r="N402" s="74"/>
      <c r="O402" s="81" t="s">
        <v>1207</v>
      </c>
      <c r="P402" s="83">
        <v>44460.257754629631</v>
      </c>
      <c r="Q402" s="81" t="s">
        <v>1324</v>
      </c>
      <c r="R402" s="81"/>
      <c r="S402" s="81"/>
      <c r="T402" s="81"/>
      <c r="U402" s="85" t="str">
        <f>HYPERLINK("https://pbs.twimg.com/media/E_xVJy2VQAQerFe.jpg")</f>
        <v>https://pbs.twimg.com/media/E_xVJy2VQAQerFe.jpg</v>
      </c>
      <c r="V402" s="85" t="str">
        <f>HYPERLINK("https://pbs.twimg.com/media/E_xVJy2VQAQerFe.jpg")</f>
        <v>https://pbs.twimg.com/media/E_xVJy2VQAQerFe.jpg</v>
      </c>
      <c r="W402" s="83">
        <v>44460.257754629631</v>
      </c>
      <c r="X402" s="89">
        <v>44460</v>
      </c>
      <c r="Y402" s="87" t="s">
        <v>2045</v>
      </c>
      <c r="Z402" s="85" t="str">
        <f>HYPERLINK("https://twitter.com/linaandria/status/1440196890721591299")</f>
        <v>https://twitter.com/linaandria/status/1440196890721591299</v>
      </c>
      <c r="AA402" s="81"/>
      <c r="AB402" s="81"/>
      <c r="AC402" s="87" t="s">
        <v>2968</v>
      </c>
      <c r="AD402" s="81"/>
      <c r="AE402" s="81" t="b">
        <v>0</v>
      </c>
      <c r="AF402" s="81">
        <v>0</v>
      </c>
      <c r="AG402" s="87" t="s">
        <v>3875</v>
      </c>
      <c r="AH402" s="81" t="b">
        <v>0</v>
      </c>
      <c r="AI402" s="81" t="s">
        <v>4092</v>
      </c>
      <c r="AJ402" s="81"/>
      <c r="AK402" s="87" t="s">
        <v>3875</v>
      </c>
      <c r="AL402" s="81" t="b">
        <v>0</v>
      </c>
      <c r="AM402" s="81">
        <v>321</v>
      </c>
      <c r="AN402" s="87" t="s">
        <v>3520</v>
      </c>
      <c r="AO402" s="87" t="s">
        <v>4109</v>
      </c>
      <c r="AP402" s="81" t="b">
        <v>0</v>
      </c>
      <c r="AQ402" s="87" t="s">
        <v>3520</v>
      </c>
      <c r="AR402" s="81" t="s">
        <v>179</v>
      </c>
      <c r="AS402" s="81">
        <v>0</v>
      </c>
      <c r="AT402" s="81">
        <v>0</v>
      </c>
      <c r="AU402" s="81"/>
      <c r="AV402" s="81"/>
      <c r="AW402" s="81"/>
      <c r="AX402" s="81"/>
      <c r="AY402" s="81"/>
      <c r="AZ402" s="81"/>
      <c r="BA402" s="81"/>
      <c r="BB402" s="81"/>
    </row>
    <row r="403" spans="1:54" x14ac:dyDescent="0.35">
      <c r="A403" s="66" t="s">
        <v>452</v>
      </c>
      <c r="B403" s="66" t="s">
        <v>910</v>
      </c>
      <c r="C403" s="67"/>
      <c r="D403" s="68"/>
      <c r="E403" s="69"/>
      <c r="F403" s="70"/>
      <c r="G403" s="67"/>
      <c r="H403" s="71"/>
      <c r="I403" s="72"/>
      <c r="J403" s="72"/>
      <c r="K403" s="36"/>
      <c r="L403" s="79"/>
      <c r="M403" s="79"/>
      <c r="N403" s="74"/>
      <c r="O403" s="81" t="s">
        <v>1205</v>
      </c>
      <c r="P403" s="83">
        <v>44460.257754629631</v>
      </c>
      <c r="Q403" s="81" t="s">
        <v>1324</v>
      </c>
      <c r="R403" s="81"/>
      <c r="S403" s="81"/>
      <c r="T403" s="81"/>
      <c r="U403" s="85" t="str">
        <f>HYPERLINK("https://pbs.twimg.com/media/E_xVJy2VQAQerFe.jpg")</f>
        <v>https://pbs.twimg.com/media/E_xVJy2VQAQerFe.jpg</v>
      </c>
      <c r="V403" s="85" t="str">
        <f>HYPERLINK("https://pbs.twimg.com/media/E_xVJy2VQAQerFe.jpg")</f>
        <v>https://pbs.twimg.com/media/E_xVJy2VQAQerFe.jpg</v>
      </c>
      <c r="W403" s="83">
        <v>44460.257754629631</v>
      </c>
      <c r="X403" s="89">
        <v>44460</v>
      </c>
      <c r="Y403" s="87" t="s">
        <v>2045</v>
      </c>
      <c r="Z403" s="85" t="str">
        <f>HYPERLINK("https://twitter.com/linaandria/status/1440196890721591299")</f>
        <v>https://twitter.com/linaandria/status/1440196890721591299</v>
      </c>
      <c r="AA403" s="81"/>
      <c r="AB403" s="81"/>
      <c r="AC403" s="87" t="s">
        <v>2968</v>
      </c>
      <c r="AD403" s="81"/>
      <c r="AE403" s="81" t="b">
        <v>0</v>
      </c>
      <c r="AF403" s="81">
        <v>0</v>
      </c>
      <c r="AG403" s="87" t="s">
        <v>3875</v>
      </c>
      <c r="AH403" s="81" t="b">
        <v>0</v>
      </c>
      <c r="AI403" s="81" t="s">
        <v>4092</v>
      </c>
      <c r="AJ403" s="81"/>
      <c r="AK403" s="87" t="s">
        <v>3875</v>
      </c>
      <c r="AL403" s="81" t="b">
        <v>0</v>
      </c>
      <c r="AM403" s="81">
        <v>321</v>
      </c>
      <c r="AN403" s="87" t="s">
        <v>3520</v>
      </c>
      <c r="AO403" s="87" t="s">
        <v>4109</v>
      </c>
      <c r="AP403" s="81" t="b">
        <v>0</v>
      </c>
      <c r="AQ403" s="87" t="s">
        <v>3520</v>
      </c>
      <c r="AR403" s="81" t="s">
        <v>179</v>
      </c>
      <c r="AS403" s="81">
        <v>0</v>
      </c>
      <c r="AT403" s="81">
        <v>0</v>
      </c>
      <c r="AU403" s="81"/>
      <c r="AV403" s="81"/>
      <c r="AW403" s="81"/>
      <c r="AX403" s="81"/>
      <c r="AY403" s="81"/>
      <c r="AZ403" s="81"/>
      <c r="BA403" s="81"/>
      <c r="BB403" s="81"/>
    </row>
    <row r="404" spans="1:54" x14ac:dyDescent="0.35">
      <c r="A404" s="66" t="s">
        <v>453</v>
      </c>
      <c r="B404" s="66" t="s">
        <v>1055</v>
      </c>
      <c r="C404" s="67"/>
      <c r="D404" s="68"/>
      <c r="E404" s="69"/>
      <c r="F404" s="70"/>
      <c r="G404" s="67"/>
      <c r="H404" s="71"/>
      <c r="I404" s="72"/>
      <c r="J404" s="72"/>
      <c r="K404" s="36"/>
      <c r="L404" s="79"/>
      <c r="M404" s="79"/>
      <c r="N404" s="74"/>
      <c r="O404" s="81" t="s">
        <v>1207</v>
      </c>
      <c r="P404" s="83">
        <v>44460.2578587963</v>
      </c>
      <c r="Q404" s="81" t="s">
        <v>1324</v>
      </c>
      <c r="R404" s="81"/>
      <c r="S404" s="81"/>
      <c r="T404" s="81"/>
      <c r="U404" s="85" t="str">
        <f>HYPERLINK("https://pbs.twimg.com/media/E_xVJy2VQAQerFe.jpg")</f>
        <v>https://pbs.twimg.com/media/E_xVJy2VQAQerFe.jpg</v>
      </c>
      <c r="V404" s="85" t="str">
        <f>HYPERLINK("https://pbs.twimg.com/media/E_xVJy2VQAQerFe.jpg")</f>
        <v>https://pbs.twimg.com/media/E_xVJy2VQAQerFe.jpg</v>
      </c>
      <c r="W404" s="83">
        <v>44460.2578587963</v>
      </c>
      <c r="X404" s="89">
        <v>44460</v>
      </c>
      <c r="Y404" s="87" t="s">
        <v>2046</v>
      </c>
      <c r="Z404" s="85" t="str">
        <f>HYPERLINK("https://twitter.com/mimelva_su/status/1440196927350444040")</f>
        <v>https://twitter.com/mimelva_su/status/1440196927350444040</v>
      </c>
      <c r="AA404" s="81"/>
      <c r="AB404" s="81"/>
      <c r="AC404" s="87" t="s">
        <v>2969</v>
      </c>
      <c r="AD404" s="81"/>
      <c r="AE404" s="81" t="b">
        <v>0</v>
      </c>
      <c r="AF404" s="81">
        <v>0</v>
      </c>
      <c r="AG404" s="87" t="s">
        <v>3875</v>
      </c>
      <c r="AH404" s="81" t="b">
        <v>0</v>
      </c>
      <c r="AI404" s="81" t="s">
        <v>4092</v>
      </c>
      <c r="AJ404" s="81"/>
      <c r="AK404" s="87" t="s">
        <v>3875</v>
      </c>
      <c r="AL404" s="81" t="b">
        <v>0</v>
      </c>
      <c r="AM404" s="81">
        <v>321</v>
      </c>
      <c r="AN404" s="87" t="s">
        <v>3520</v>
      </c>
      <c r="AO404" s="87" t="s">
        <v>4109</v>
      </c>
      <c r="AP404" s="81" t="b">
        <v>0</v>
      </c>
      <c r="AQ404" s="87" t="s">
        <v>3520</v>
      </c>
      <c r="AR404" s="81" t="s">
        <v>179</v>
      </c>
      <c r="AS404" s="81">
        <v>0</v>
      </c>
      <c r="AT404" s="81">
        <v>0</v>
      </c>
      <c r="AU404" s="81"/>
      <c r="AV404" s="81"/>
      <c r="AW404" s="81"/>
      <c r="AX404" s="81"/>
      <c r="AY404" s="81"/>
      <c r="AZ404" s="81"/>
      <c r="BA404" s="81"/>
      <c r="BB404" s="81"/>
    </row>
    <row r="405" spans="1:54" x14ac:dyDescent="0.35">
      <c r="A405" s="66" t="s">
        <v>453</v>
      </c>
      <c r="B405" s="66" t="s">
        <v>910</v>
      </c>
      <c r="C405" s="67"/>
      <c r="D405" s="68"/>
      <c r="E405" s="69"/>
      <c r="F405" s="70"/>
      <c r="G405" s="67"/>
      <c r="H405" s="71"/>
      <c r="I405" s="72"/>
      <c r="J405" s="72"/>
      <c r="K405" s="36"/>
      <c r="L405" s="79"/>
      <c r="M405" s="79"/>
      <c r="N405" s="74"/>
      <c r="O405" s="81" t="s">
        <v>1205</v>
      </c>
      <c r="P405" s="83">
        <v>44460.2578587963</v>
      </c>
      <c r="Q405" s="81" t="s">
        <v>1324</v>
      </c>
      <c r="R405" s="81"/>
      <c r="S405" s="81"/>
      <c r="T405" s="81"/>
      <c r="U405" s="85" t="str">
        <f>HYPERLINK("https://pbs.twimg.com/media/E_xVJy2VQAQerFe.jpg")</f>
        <v>https://pbs.twimg.com/media/E_xVJy2VQAQerFe.jpg</v>
      </c>
      <c r="V405" s="85" t="str">
        <f>HYPERLINK("https://pbs.twimg.com/media/E_xVJy2VQAQerFe.jpg")</f>
        <v>https://pbs.twimg.com/media/E_xVJy2VQAQerFe.jpg</v>
      </c>
      <c r="W405" s="83">
        <v>44460.2578587963</v>
      </c>
      <c r="X405" s="89">
        <v>44460</v>
      </c>
      <c r="Y405" s="87" t="s">
        <v>2046</v>
      </c>
      <c r="Z405" s="85" t="str">
        <f>HYPERLINK("https://twitter.com/mimelva_su/status/1440196927350444040")</f>
        <v>https://twitter.com/mimelva_su/status/1440196927350444040</v>
      </c>
      <c r="AA405" s="81"/>
      <c r="AB405" s="81"/>
      <c r="AC405" s="87" t="s">
        <v>2969</v>
      </c>
      <c r="AD405" s="81"/>
      <c r="AE405" s="81" t="b">
        <v>0</v>
      </c>
      <c r="AF405" s="81">
        <v>0</v>
      </c>
      <c r="AG405" s="87" t="s">
        <v>3875</v>
      </c>
      <c r="AH405" s="81" t="b">
        <v>0</v>
      </c>
      <c r="AI405" s="81" t="s">
        <v>4092</v>
      </c>
      <c r="AJ405" s="81"/>
      <c r="AK405" s="87" t="s">
        <v>3875</v>
      </c>
      <c r="AL405" s="81" t="b">
        <v>0</v>
      </c>
      <c r="AM405" s="81">
        <v>321</v>
      </c>
      <c r="AN405" s="87" t="s">
        <v>3520</v>
      </c>
      <c r="AO405" s="87" t="s">
        <v>4109</v>
      </c>
      <c r="AP405" s="81" t="b">
        <v>0</v>
      </c>
      <c r="AQ405" s="87" t="s">
        <v>3520</v>
      </c>
      <c r="AR405" s="81" t="s">
        <v>179</v>
      </c>
      <c r="AS405" s="81">
        <v>0</v>
      </c>
      <c r="AT405" s="81">
        <v>0</v>
      </c>
      <c r="AU405" s="81"/>
      <c r="AV405" s="81"/>
      <c r="AW405" s="81"/>
      <c r="AX405" s="81"/>
      <c r="AY405" s="81"/>
      <c r="AZ405" s="81"/>
      <c r="BA405" s="81"/>
      <c r="BB405" s="81"/>
    </row>
    <row r="406" spans="1:54" x14ac:dyDescent="0.35">
      <c r="A406" s="66" t="s">
        <v>454</v>
      </c>
      <c r="B406" s="66" t="s">
        <v>1055</v>
      </c>
      <c r="C406" s="67"/>
      <c r="D406" s="68"/>
      <c r="E406" s="69"/>
      <c r="F406" s="70"/>
      <c r="G406" s="67"/>
      <c r="H406" s="71"/>
      <c r="I406" s="72"/>
      <c r="J406" s="72"/>
      <c r="K406" s="36"/>
      <c r="L406" s="79"/>
      <c r="M406" s="79"/>
      <c r="N406" s="74"/>
      <c r="O406" s="81" t="s">
        <v>1207</v>
      </c>
      <c r="P406" s="83">
        <v>44460.263113425928</v>
      </c>
      <c r="Q406" s="81" t="s">
        <v>1324</v>
      </c>
      <c r="R406" s="81"/>
      <c r="S406" s="81"/>
      <c r="T406" s="81"/>
      <c r="U406" s="85" t="str">
        <f>HYPERLINK("https://pbs.twimg.com/media/E_xVJy2VQAQerFe.jpg")</f>
        <v>https://pbs.twimg.com/media/E_xVJy2VQAQerFe.jpg</v>
      </c>
      <c r="V406" s="85" t="str">
        <f>HYPERLINK("https://pbs.twimg.com/media/E_xVJy2VQAQerFe.jpg")</f>
        <v>https://pbs.twimg.com/media/E_xVJy2VQAQerFe.jpg</v>
      </c>
      <c r="W406" s="83">
        <v>44460.263113425928</v>
      </c>
      <c r="X406" s="89">
        <v>44460</v>
      </c>
      <c r="Y406" s="87" t="s">
        <v>2047</v>
      </c>
      <c r="Z406" s="85" t="str">
        <f>HYPERLINK("https://twitter.com/rang_hoki/status/1440198828703903755")</f>
        <v>https://twitter.com/rang_hoki/status/1440198828703903755</v>
      </c>
      <c r="AA406" s="81"/>
      <c r="AB406" s="81"/>
      <c r="AC406" s="87" t="s">
        <v>2970</v>
      </c>
      <c r="AD406" s="81"/>
      <c r="AE406" s="81" t="b">
        <v>0</v>
      </c>
      <c r="AF406" s="81">
        <v>0</v>
      </c>
      <c r="AG406" s="87" t="s">
        <v>3875</v>
      </c>
      <c r="AH406" s="81" t="b">
        <v>0</v>
      </c>
      <c r="AI406" s="81" t="s">
        <v>4092</v>
      </c>
      <c r="AJ406" s="81"/>
      <c r="AK406" s="87" t="s">
        <v>3875</v>
      </c>
      <c r="AL406" s="81" t="b">
        <v>0</v>
      </c>
      <c r="AM406" s="81">
        <v>321</v>
      </c>
      <c r="AN406" s="87" t="s">
        <v>3520</v>
      </c>
      <c r="AO406" s="87" t="s">
        <v>4111</v>
      </c>
      <c r="AP406" s="81" t="b">
        <v>0</v>
      </c>
      <c r="AQ406" s="87" t="s">
        <v>3520</v>
      </c>
      <c r="AR406" s="81" t="s">
        <v>179</v>
      </c>
      <c r="AS406" s="81">
        <v>0</v>
      </c>
      <c r="AT406" s="81">
        <v>0</v>
      </c>
      <c r="AU406" s="81"/>
      <c r="AV406" s="81"/>
      <c r="AW406" s="81"/>
      <c r="AX406" s="81"/>
      <c r="AY406" s="81"/>
      <c r="AZ406" s="81"/>
      <c r="BA406" s="81"/>
      <c r="BB406" s="81"/>
    </row>
    <row r="407" spans="1:54" x14ac:dyDescent="0.35">
      <c r="A407" s="66" t="s">
        <v>454</v>
      </c>
      <c r="B407" s="66" t="s">
        <v>910</v>
      </c>
      <c r="C407" s="67"/>
      <c r="D407" s="68"/>
      <c r="E407" s="69"/>
      <c r="F407" s="70"/>
      <c r="G407" s="67"/>
      <c r="H407" s="71"/>
      <c r="I407" s="72"/>
      <c r="J407" s="72"/>
      <c r="K407" s="36"/>
      <c r="L407" s="79"/>
      <c r="M407" s="79"/>
      <c r="N407" s="74"/>
      <c r="O407" s="81" t="s">
        <v>1205</v>
      </c>
      <c r="P407" s="83">
        <v>44460.263113425928</v>
      </c>
      <c r="Q407" s="81" t="s">
        <v>1324</v>
      </c>
      <c r="R407" s="81"/>
      <c r="S407" s="81"/>
      <c r="T407" s="81"/>
      <c r="U407" s="85" t="str">
        <f>HYPERLINK("https://pbs.twimg.com/media/E_xVJy2VQAQerFe.jpg")</f>
        <v>https://pbs.twimg.com/media/E_xVJy2VQAQerFe.jpg</v>
      </c>
      <c r="V407" s="85" t="str">
        <f>HYPERLINK("https://pbs.twimg.com/media/E_xVJy2VQAQerFe.jpg")</f>
        <v>https://pbs.twimg.com/media/E_xVJy2VQAQerFe.jpg</v>
      </c>
      <c r="W407" s="83">
        <v>44460.263113425928</v>
      </c>
      <c r="X407" s="89">
        <v>44460</v>
      </c>
      <c r="Y407" s="87" t="s">
        <v>2047</v>
      </c>
      <c r="Z407" s="85" t="str">
        <f>HYPERLINK("https://twitter.com/rang_hoki/status/1440198828703903755")</f>
        <v>https://twitter.com/rang_hoki/status/1440198828703903755</v>
      </c>
      <c r="AA407" s="81"/>
      <c r="AB407" s="81"/>
      <c r="AC407" s="87" t="s">
        <v>2970</v>
      </c>
      <c r="AD407" s="81"/>
      <c r="AE407" s="81" t="b">
        <v>0</v>
      </c>
      <c r="AF407" s="81">
        <v>0</v>
      </c>
      <c r="AG407" s="87" t="s">
        <v>3875</v>
      </c>
      <c r="AH407" s="81" t="b">
        <v>0</v>
      </c>
      <c r="AI407" s="81" t="s">
        <v>4092</v>
      </c>
      <c r="AJ407" s="81"/>
      <c r="AK407" s="87" t="s">
        <v>3875</v>
      </c>
      <c r="AL407" s="81" t="b">
        <v>0</v>
      </c>
      <c r="AM407" s="81">
        <v>321</v>
      </c>
      <c r="AN407" s="87" t="s">
        <v>3520</v>
      </c>
      <c r="AO407" s="87" t="s">
        <v>4111</v>
      </c>
      <c r="AP407" s="81" t="b">
        <v>0</v>
      </c>
      <c r="AQ407" s="87" t="s">
        <v>3520</v>
      </c>
      <c r="AR407" s="81" t="s">
        <v>179</v>
      </c>
      <c r="AS407" s="81">
        <v>0</v>
      </c>
      <c r="AT407" s="81">
        <v>0</v>
      </c>
      <c r="AU407" s="81"/>
      <c r="AV407" s="81"/>
      <c r="AW407" s="81"/>
      <c r="AX407" s="81"/>
      <c r="AY407" s="81"/>
      <c r="AZ407" s="81"/>
      <c r="BA407" s="81"/>
      <c r="BB407" s="81"/>
    </row>
    <row r="408" spans="1:54" x14ac:dyDescent="0.35">
      <c r="A408" s="66" t="s">
        <v>455</v>
      </c>
      <c r="B408" s="66" t="s">
        <v>1055</v>
      </c>
      <c r="C408" s="67"/>
      <c r="D408" s="68"/>
      <c r="E408" s="69"/>
      <c r="F408" s="70"/>
      <c r="G408" s="67"/>
      <c r="H408" s="71"/>
      <c r="I408" s="72"/>
      <c r="J408" s="72"/>
      <c r="K408" s="36"/>
      <c r="L408" s="79"/>
      <c r="M408" s="79"/>
      <c r="N408" s="74"/>
      <c r="O408" s="81" t="s">
        <v>1207</v>
      </c>
      <c r="P408" s="83">
        <v>44460.265960648147</v>
      </c>
      <c r="Q408" s="81" t="s">
        <v>1324</v>
      </c>
      <c r="R408" s="81"/>
      <c r="S408" s="81"/>
      <c r="T408" s="81"/>
      <c r="U408" s="85" t="str">
        <f>HYPERLINK("https://pbs.twimg.com/media/E_xVJy2VQAQerFe.jpg")</f>
        <v>https://pbs.twimg.com/media/E_xVJy2VQAQerFe.jpg</v>
      </c>
      <c r="V408" s="85" t="str">
        <f>HYPERLINK("https://pbs.twimg.com/media/E_xVJy2VQAQerFe.jpg")</f>
        <v>https://pbs.twimg.com/media/E_xVJy2VQAQerFe.jpg</v>
      </c>
      <c r="W408" s="83">
        <v>44460.265960648147</v>
      </c>
      <c r="X408" s="89">
        <v>44460</v>
      </c>
      <c r="Y408" s="87" t="s">
        <v>2048</v>
      </c>
      <c r="Z408" s="85" t="str">
        <f>HYPERLINK("https://twitter.com/iisinyo/status/1440199860926308353")</f>
        <v>https://twitter.com/iisinyo/status/1440199860926308353</v>
      </c>
      <c r="AA408" s="81"/>
      <c r="AB408" s="81"/>
      <c r="AC408" s="87" t="s">
        <v>2971</v>
      </c>
      <c r="AD408" s="81"/>
      <c r="AE408" s="81" t="b">
        <v>0</v>
      </c>
      <c r="AF408" s="81">
        <v>0</v>
      </c>
      <c r="AG408" s="87" t="s">
        <v>3875</v>
      </c>
      <c r="AH408" s="81" t="b">
        <v>0</v>
      </c>
      <c r="AI408" s="81" t="s">
        <v>4092</v>
      </c>
      <c r="AJ408" s="81"/>
      <c r="AK408" s="87" t="s">
        <v>3875</v>
      </c>
      <c r="AL408" s="81" t="b">
        <v>0</v>
      </c>
      <c r="AM408" s="81">
        <v>321</v>
      </c>
      <c r="AN408" s="87" t="s">
        <v>3520</v>
      </c>
      <c r="AO408" s="87" t="s">
        <v>4109</v>
      </c>
      <c r="AP408" s="81" t="b">
        <v>0</v>
      </c>
      <c r="AQ408" s="87" t="s">
        <v>3520</v>
      </c>
      <c r="AR408" s="81" t="s">
        <v>179</v>
      </c>
      <c r="AS408" s="81">
        <v>0</v>
      </c>
      <c r="AT408" s="81">
        <v>0</v>
      </c>
      <c r="AU408" s="81"/>
      <c r="AV408" s="81"/>
      <c r="AW408" s="81"/>
      <c r="AX408" s="81"/>
      <c r="AY408" s="81"/>
      <c r="AZ408" s="81"/>
      <c r="BA408" s="81"/>
      <c r="BB408" s="81"/>
    </row>
    <row r="409" spans="1:54" x14ac:dyDescent="0.35">
      <c r="A409" s="66" t="s">
        <v>455</v>
      </c>
      <c r="B409" s="66" t="s">
        <v>910</v>
      </c>
      <c r="C409" s="67"/>
      <c r="D409" s="68"/>
      <c r="E409" s="69"/>
      <c r="F409" s="70"/>
      <c r="G409" s="67"/>
      <c r="H409" s="71"/>
      <c r="I409" s="72"/>
      <c r="J409" s="72"/>
      <c r="K409" s="36"/>
      <c r="L409" s="79"/>
      <c r="M409" s="79"/>
      <c r="N409" s="74"/>
      <c r="O409" s="81" t="s">
        <v>1205</v>
      </c>
      <c r="P409" s="83">
        <v>44460.265960648147</v>
      </c>
      <c r="Q409" s="81" t="s">
        <v>1324</v>
      </c>
      <c r="R409" s="81"/>
      <c r="S409" s="81"/>
      <c r="T409" s="81"/>
      <c r="U409" s="85" t="str">
        <f>HYPERLINK("https://pbs.twimg.com/media/E_xVJy2VQAQerFe.jpg")</f>
        <v>https://pbs.twimg.com/media/E_xVJy2VQAQerFe.jpg</v>
      </c>
      <c r="V409" s="85" t="str">
        <f>HYPERLINK("https://pbs.twimg.com/media/E_xVJy2VQAQerFe.jpg")</f>
        <v>https://pbs.twimg.com/media/E_xVJy2VQAQerFe.jpg</v>
      </c>
      <c r="W409" s="83">
        <v>44460.265960648147</v>
      </c>
      <c r="X409" s="89">
        <v>44460</v>
      </c>
      <c r="Y409" s="87" t="s">
        <v>2048</v>
      </c>
      <c r="Z409" s="85" t="str">
        <f>HYPERLINK("https://twitter.com/iisinyo/status/1440199860926308353")</f>
        <v>https://twitter.com/iisinyo/status/1440199860926308353</v>
      </c>
      <c r="AA409" s="81"/>
      <c r="AB409" s="81"/>
      <c r="AC409" s="87" t="s">
        <v>2971</v>
      </c>
      <c r="AD409" s="81"/>
      <c r="AE409" s="81" t="b">
        <v>0</v>
      </c>
      <c r="AF409" s="81">
        <v>0</v>
      </c>
      <c r="AG409" s="87" t="s">
        <v>3875</v>
      </c>
      <c r="AH409" s="81" t="b">
        <v>0</v>
      </c>
      <c r="AI409" s="81" t="s">
        <v>4092</v>
      </c>
      <c r="AJ409" s="81"/>
      <c r="AK409" s="87" t="s">
        <v>3875</v>
      </c>
      <c r="AL409" s="81" t="b">
        <v>0</v>
      </c>
      <c r="AM409" s="81">
        <v>321</v>
      </c>
      <c r="AN409" s="87" t="s">
        <v>3520</v>
      </c>
      <c r="AO409" s="87" t="s">
        <v>4109</v>
      </c>
      <c r="AP409" s="81" t="b">
        <v>0</v>
      </c>
      <c r="AQ409" s="87" t="s">
        <v>3520</v>
      </c>
      <c r="AR409" s="81" t="s">
        <v>179</v>
      </c>
      <c r="AS409" s="81">
        <v>0</v>
      </c>
      <c r="AT409" s="81">
        <v>0</v>
      </c>
      <c r="AU409" s="81"/>
      <c r="AV409" s="81"/>
      <c r="AW409" s="81"/>
      <c r="AX409" s="81"/>
      <c r="AY409" s="81"/>
      <c r="AZ409" s="81"/>
      <c r="BA409" s="81"/>
      <c r="BB409" s="81"/>
    </row>
    <row r="410" spans="1:54" x14ac:dyDescent="0.35">
      <c r="A410" s="66" t="s">
        <v>456</v>
      </c>
      <c r="B410" s="66" t="s">
        <v>1055</v>
      </c>
      <c r="C410" s="67"/>
      <c r="D410" s="68"/>
      <c r="E410" s="69"/>
      <c r="F410" s="70"/>
      <c r="G410" s="67"/>
      <c r="H410" s="71"/>
      <c r="I410" s="72"/>
      <c r="J410" s="72"/>
      <c r="K410" s="36"/>
      <c r="L410" s="79"/>
      <c r="M410" s="79"/>
      <c r="N410" s="74"/>
      <c r="O410" s="81" t="s">
        <v>1207</v>
      </c>
      <c r="P410" s="83">
        <v>44460.266215277778</v>
      </c>
      <c r="Q410" s="81" t="s">
        <v>1324</v>
      </c>
      <c r="R410" s="81"/>
      <c r="S410" s="81"/>
      <c r="T410" s="81"/>
      <c r="U410" s="85" t="str">
        <f>HYPERLINK("https://pbs.twimg.com/media/E_xVJy2VQAQerFe.jpg")</f>
        <v>https://pbs.twimg.com/media/E_xVJy2VQAQerFe.jpg</v>
      </c>
      <c r="V410" s="85" t="str">
        <f>HYPERLINK("https://pbs.twimg.com/media/E_xVJy2VQAQerFe.jpg")</f>
        <v>https://pbs.twimg.com/media/E_xVJy2VQAQerFe.jpg</v>
      </c>
      <c r="W410" s="83">
        <v>44460.266215277778</v>
      </c>
      <c r="X410" s="89">
        <v>44460</v>
      </c>
      <c r="Y410" s="87" t="s">
        <v>2049</v>
      </c>
      <c r="Z410" s="85" t="str">
        <f>HYPERLINK("https://twitter.com/van_karonese/status/1440199955772104708")</f>
        <v>https://twitter.com/van_karonese/status/1440199955772104708</v>
      </c>
      <c r="AA410" s="81"/>
      <c r="AB410" s="81"/>
      <c r="AC410" s="87" t="s">
        <v>2972</v>
      </c>
      <c r="AD410" s="81"/>
      <c r="AE410" s="81" t="b">
        <v>0</v>
      </c>
      <c r="AF410" s="81">
        <v>0</v>
      </c>
      <c r="AG410" s="87" t="s">
        <v>3875</v>
      </c>
      <c r="AH410" s="81" t="b">
        <v>0</v>
      </c>
      <c r="AI410" s="81" t="s">
        <v>4092</v>
      </c>
      <c r="AJ410" s="81"/>
      <c r="AK410" s="87" t="s">
        <v>3875</v>
      </c>
      <c r="AL410" s="81" t="b">
        <v>0</v>
      </c>
      <c r="AM410" s="81">
        <v>321</v>
      </c>
      <c r="AN410" s="87" t="s">
        <v>3520</v>
      </c>
      <c r="AO410" s="87" t="s">
        <v>4109</v>
      </c>
      <c r="AP410" s="81" t="b">
        <v>0</v>
      </c>
      <c r="AQ410" s="87" t="s">
        <v>3520</v>
      </c>
      <c r="AR410" s="81" t="s">
        <v>179</v>
      </c>
      <c r="AS410" s="81">
        <v>0</v>
      </c>
      <c r="AT410" s="81">
        <v>0</v>
      </c>
      <c r="AU410" s="81"/>
      <c r="AV410" s="81"/>
      <c r="AW410" s="81"/>
      <c r="AX410" s="81"/>
      <c r="AY410" s="81"/>
      <c r="AZ410" s="81"/>
      <c r="BA410" s="81"/>
      <c r="BB410" s="81"/>
    </row>
    <row r="411" spans="1:54" x14ac:dyDescent="0.35">
      <c r="A411" s="66" t="s">
        <v>456</v>
      </c>
      <c r="B411" s="66" t="s">
        <v>910</v>
      </c>
      <c r="C411" s="67"/>
      <c r="D411" s="68"/>
      <c r="E411" s="69"/>
      <c r="F411" s="70"/>
      <c r="G411" s="67"/>
      <c r="H411" s="71"/>
      <c r="I411" s="72"/>
      <c r="J411" s="72"/>
      <c r="K411" s="36"/>
      <c r="L411" s="79"/>
      <c r="M411" s="79"/>
      <c r="N411" s="74"/>
      <c r="O411" s="81" t="s">
        <v>1205</v>
      </c>
      <c r="P411" s="83">
        <v>44460.266215277778</v>
      </c>
      <c r="Q411" s="81" t="s">
        <v>1324</v>
      </c>
      <c r="R411" s="81"/>
      <c r="S411" s="81"/>
      <c r="T411" s="81"/>
      <c r="U411" s="85" t="str">
        <f>HYPERLINK("https://pbs.twimg.com/media/E_xVJy2VQAQerFe.jpg")</f>
        <v>https://pbs.twimg.com/media/E_xVJy2VQAQerFe.jpg</v>
      </c>
      <c r="V411" s="85" t="str">
        <f>HYPERLINK("https://pbs.twimg.com/media/E_xVJy2VQAQerFe.jpg")</f>
        <v>https://pbs.twimg.com/media/E_xVJy2VQAQerFe.jpg</v>
      </c>
      <c r="W411" s="83">
        <v>44460.266215277778</v>
      </c>
      <c r="X411" s="89">
        <v>44460</v>
      </c>
      <c r="Y411" s="87" t="s">
        <v>2049</v>
      </c>
      <c r="Z411" s="85" t="str">
        <f>HYPERLINK("https://twitter.com/van_karonese/status/1440199955772104708")</f>
        <v>https://twitter.com/van_karonese/status/1440199955772104708</v>
      </c>
      <c r="AA411" s="81"/>
      <c r="AB411" s="81"/>
      <c r="AC411" s="87" t="s">
        <v>2972</v>
      </c>
      <c r="AD411" s="81"/>
      <c r="AE411" s="81" t="b">
        <v>0</v>
      </c>
      <c r="AF411" s="81">
        <v>0</v>
      </c>
      <c r="AG411" s="87" t="s">
        <v>3875</v>
      </c>
      <c r="AH411" s="81" t="b">
        <v>0</v>
      </c>
      <c r="AI411" s="81" t="s">
        <v>4092</v>
      </c>
      <c r="AJ411" s="81"/>
      <c r="AK411" s="87" t="s">
        <v>3875</v>
      </c>
      <c r="AL411" s="81" t="b">
        <v>0</v>
      </c>
      <c r="AM411" s="81">
        <v>321</v>
      </c>
      <c r="AN411" s="87" t="s">
        <v>3520</v>
      </c>
      <c r="AO411" s="87" t="s">
        <v>4109</v>
      </c>
      <c r="AP411" s="81" t="b">
        <v>0</v>
      </c>
      <c r="AQ411" s="87" t="s">
        <v>3520</v>
      </c>
      <c r="AR411" s="81" t="s">
        <v>179</v>
      </c>
      <c r="AS411" s="81">
        <v>0</v>
      </c>
      <c r="AT411" s="81">
        <v>0</v>
      </c>
      <c r="AU411" s="81"/>
      <c r="AV411" s="81"/>
      <c r="AW411" s="81"/>
      <c r="AX411" s="81"/>
      <c r="AY411" s="81"/>
      <c r="AZ411" s="81"/>
      <c r="BA411" s="81"/>
      <c r="BB411" s="81"/>
    </row>
    <row r="412" spans="1:54" x14ac:dyDescent="0.35">
      <c r="A412" s="66" t="s">
        <v>457</v>
      </c>
      <c r="B412" s="66" t="s">
        <v>457</v>
      </c>
      <c r="C412" s="67"/>
      <c r="D412" s="68"/>
      <c r="E412" s="69"/>
      <c r="F412" s="70"/>
      <c r="G412" s="67"/>
      <c r="H412" s="71"/>
      <c r="I412" s="72"/>
      <c r="J412" s="72"/>
      <c r="K412" s="36"/>
      <c r="L412" s="79"/>
      <c r="M412" s="79"/>
      <c r="N412" s="74"/>
      <c r="O412" s="81" t="s">
        <v>179</v>
      </c>
      <c r="P412" s="83">
        <v>44460.267222222225</v>
      </c>
      <c r="Q412" s="81" t="s">
        <v>1336</v>
      </c>
      <c r="R412" s="81"/>
      <c r="S412" s="81"/>
      <c r="T412" s="81"/>
      <c r="U412" s="81"/>
      <c r="V412" s="85" t="str">
        <f>HYPERLINK("https://pbs.twimg.com/profile_images/1417702090055421954/sDUjIXYK_normal.jpg")</f>
        <v>https://pbs.twimg.com/profile_images/1417702090055421954/sDUjIXYK_normal.jpg</v>
      </c>
      <c r="W412" s="83">
        <v>44460.267222222225</v>
      </c>
      <c r="X412" s="89">
        <v>44460</v>
      </c>
      <c r="Y412" s="87" t="s">
        <v>2050</v>
      </c>
      <c r="Z412" s="85" t="str">
        <f>HYPERLINK("https://twitter.com/gochimobsi/status/1440200319070130185")</f>
        <v>https://twitter.com/gochimobsi/status/1440200319070130185</v>
      </c>
      <c r="AA412" s="81"/>
      <c r="AB412" s="81"/>
      <c r="AC412" s="87" t="s">
        <v>2973</v>
      </c>
      <c r="AD412" s="81"/>
      <c r="AE412" s="81" t="b">
        <v>0</v>
      </c>
      <c r="AF412" s="81">
        <v>0</v>
      </c>
      <c r="AG412" s="87" t="s">
        <v>3875</v>
      </c>
      <c r="AH412" s="81" t="b">
        <v>0</v>
      </c>
      <c r="AI412" s="81" t="s">
        <v>4092</v>
      </c>
      <c r="AJ412" s="81"/>
      <c r="AK412" s="87" t="s">
        <v>3875</v>
      </c>
      <c r="AL412" s="81" t="b">
        <v>0</v>
      </c>
      <c r="AM412" s="81">
        <v>0</v>
      </c>
      <c r="AN412" s="87" t="s">
        <v>3875</v>
      </c>
      <c r="AO412" s="87" t="s">
        <v>4110</v>
      </c>
      <c r="AP412" s="81" t="b">
        <v>0</v>
      </c>
      <c r="AQ412" s="87" t="s">
        <v>2973</v>
      </c>
      <c r="AR412" s="81" t="s">
        <v>179</v>
      </c>
      <c r="AS412" s="81">
        <v>0</v>
      </c>
      <c r="AT412" s="81">
        <v>0</v>
      </c>
      <c r="AU412" s="81"/>
      <c r="AV412" s="81"/>
      <c r="AW412" s="81"/>
      <c r="AX412" s="81"/>
      <c r="AY412" s="81"/>
      <c r="AZ412" s="81"/>
      <c r="BA412" s="81"/>
      <c r="BB412" s="81"/>
    </row>
    <row r="413" spans="1:54" x14ac:dyDescent="0.35">
      <c r="A413" s="66" t="s">
        <v>458</v>
      </c>
      <c r="B413" s="66" t="s">
        <v>1055</v>
      </c>
      <c r="C413" s="67"/>
      <c r="D413" s="68"/>
      <c r="E413" s="69"/>
      <c r="F413" s="70"/>
      <c r="G413" s="67"/>
      <c r="H413" s="71"/>
      <c r="I413" s="72"/>
      <c r="J413" s="72"/>
      <c r="K413" s="36"/>
      <c r="L413" s="79"/>
      <c r="M413" s="79"/>
      <c r="N413" s="74"/>
      <c r="O413" s="81" t="s">
        <v>1207</v>
      </c>
      <c r="P413" s="83">
        <v>44460.268506944441</v>
      </c>
      <c r="Q413" s="81" t="s">
        <v>1324</v>
      </c>
      <c r="R413" s="81"/>
      <c r="S413" s="81"/>
      <c r="T413" s="81"/>
      <c r="U413" s="85" t="str">
        <f>HYPERLINK("https://pbs.twimg.com/media/E_xVJy2VQAQerFe.jpg")</f>
        <v>https://pbs.twimg.com/media/E_xVJy2VQAQerFe.jpg</v>
      </c>
      <c r="V413" s="85" t="str">
        <f>HYPERLINK("https://pbs.twimg.com/media/E_xVJy2VQAQerFe.jpg")</f>
        <v>https://pbs.twimg.com/media/E_xVJy2VQAQerFe.jpg</v>
      </c>
      <c r="W413" s="83">
        <v>44460.268506944441</v>
      </c>
      <c r="X413" s="89">
        <v>44460</v>
      </c>
      <c r="Y413" s="87" t="s">
        <v>2051</v>
      </c>
      <c r="Z413" s="85" t="str">
        <f>HYPERLINK("https://twitter.com/solhot_beken/status/1440200786936414216")</f>
        <v>https://twitter.com/solhot_beken/status/1440200786936414216</v>
      </c>
      <c r="AA413" s="81"/>
      <c r="AB413" s="81"/>
      <c r="AC413" s="87" t="s">
        <v>2974</v>
      </c>
      <c r="AD413" s="81"/>
      <c r="AE413" s="81" t="b">
        <v>0</v>
      </c>
      <c r="AF413" s="81">
        <v>0</v>
      </c>
      <c r="AG413" s="87" t="s">
        <v>3875</v>
      </c>
      <c r="AH413" s="81" t="b">
        <v>0</v>
      </c>
      <c r="AI413" s="81" t="s">
        <v>4092</v>
      </c>
      <c r="AJ413" s="81"/>
      <c r="AK413" s="87" t="s">
        <v>3875</v>
      </c>
      <c r="AL413" s="81" t="b">
        <v>0</v>
      </c>
      <c r="AM413" s="81">
        <v>321</v>
      </c>
      <c r="AN413" s="87" t="s">
        <v>3520</v>
      </c>
      <c r="AO413" s="87" t="s">
        <v>4109</v>
      </c>
      <c r="AP413" s="81" t="b">
        <v>0</v>
      </c>
      <c r="AQ413" s="87" t="s">
        <v>3520</v>
      </c>
      <c r="AR413" s="81" t="s">
        <v>179</v>
      </c>
      <c r="AS413" s="81">
        <v>0</v>
      </c>
      <c r="AT413" s="81">
        <v>0</v>
      </c>
      <c r="AU413" s="81"/>
      <c r="AV413" s="81"/>
      <c r="AW413" s="81"/>
      <c r="AX413" s="81"/>
      <c r="AY413" s="81"/>
      <c r="AZ413" s="81"/>
      <c r="BA413" s="81"/>
      <c r="BB413" s="81"/>
    </row>
    <row r="414" spans="1:54" x14ac:dyDescent="0.35">
      <c r="A414" s="66" t="s">
        <v>458</v>
      </c>
      <c r="B414" s="66" t="s">
        <v>910</v>
      </c>
      <c r="C414" s="67"/>
      <c r="D414" s="68"/>
      <c r="E414" s="69"/>
      <c r="F414" s="70"/>
      <c r="G414" s="67"/>
      <c r="H414" s="71"/>
      <c r="I414" s="72"/>
      <c r="J414" s="72"/>
      <c r="K414" s="36"/>
      <c r="L414" s="79"/>
      <c r="M414" s="79"/>
      <c r="N414" s="74"/>
      <c r="O414" s="81" t="s">
        <v>1205</v>
      </c>
      <c r="P414" s="83">
        <v>44460.268506944441</v>
      </c>
      <c r="Q414" s="81" t="s">
        <v>1324</v>
      </c>
      <c r="R414" s="81"/>
      <c r="S414" s="81"/>
      <c r="T414" s="81"/>
      <c r="U414" s="85" t="str">
        <f>HYPERLINK("https://pbs.twimg.com/media/E_xVJy2VQAQerFe.jpg")</f>
        <v>https://pbs.twimg.com/media/E_xVJy2VQAQerFe.jpg</v>
      </c>
      <c r="V414" s="85" t="str">
        <f>HYPERLINK("https://pbs.twimg.com/media/E_xVJy2VQAQerFe.jpg")</f>
        <v>https://pbs.twimg.com/media/E_xVJy2VQAQerFe.jpg</v>
      </c>
      <c r="W414" s="83">
        <v>44460.268506944441</v>
      </c>
      <c r="X414" s="89">
        <v>44460</v>
      </c>
      <c r="Y414" s="87" t="s">
        <v>2051</v>
      </c>
      <c r="Z414" s="85" t="str">
        <f>HYPERLINK("https://twitter.com/solhot_beken/status/1440200786936414216")</f>
        <v>https://twitter.com/solhot_beken/status/1440200786936414216</v>
      </c>
      <c r="AA414" s="81"/>
      <c r="AB414" s="81"/>
      <c r="AC414" s="87" t="s">
        <v>2974</v>
      </c>
      <c r="AD414" s="81"/>
      <c r="AE414" s="81" t="b">
        <v>0</v>
      </c>
      <c r="AF414" s="81">
        <v>0</v>
      </c>
      <c r="AG414" s="87" t="s">
        <v>3875</v>
      </c>
      <c r="AH414" s="81" t="b">
        <v>0</v>
      </c>
      <c r="AI414" s="81" t="s">
        <v>4092</v>
      </c>
      <c r="AJ414" s="81"/>
      <c r="AK414" s="87" t="s">
        <v>3875</v>
      </c>
      <c r="AL414" s="81" t="b">
        <v>0</v>
      </c>
      <c r="AM414" s="81">
        <v>321</v>
      </c>
      <c r="AN414" s="87" t="s">
        <v>3520</v>
      </c>
      <c r="AO414" s="87" t="s">
        <v>4109</v>
      </c>
      <c r="AP414" s="81" t="b">
        <v>0</v>
      </c>
      <c r="AQ414" s="87" t="s">
        <v>3520</v>
      </c>
      <c r="AR414" s="81" t="s">
        <v>179</v>
      </c>
      <c r="AS414" s="81">
        <v>0</v>
      </c>
      <c r="AT414" s="81">
        <v>0</v>
      </c>
      <c r="AU414" s="81"/>
      <c r="AV414" s="81"/>
      <c r="AW414" s="81"/>
      <c r="AX414" s="81"/>
      <c r="AY414" s="81"/>
      <c r="AZ414" s="81"/>
      <c r="BA414" s="81"/>
      <c r="BB414" s="81"/>
    </row>
    <row r="415" spans="1:54" x14ac:dyDescent="0.35">
      <c r="A415" s="66" t="s">
        <v>459</v>
      </c>
      <c r="B415" s="66" t="s">
        <v>1055</v>
      </c>
      <c r="C415" s="67"/>
      <c r="D415" s="68"/>
      <c r="E415" s="69"/>
      <c r="F415" s="70"/>
      <c r="G415" s="67"/>
      <c r="H415" s="71"/>
      <c r="I415" s="72"/>
      <c r="J415" s="72"/>
      <c r="K415" s="36"/>
      <c r="L415" s="79"/>
      <c r="M415" s="79"/>
      <c r="N415" s="74"/>
      <c r="O415" s="81" t="s">
        <v>1207</v>
      </c>
      <c r="P415" s="83">
        <v>44460.272881944446</v>
      </c>
      <c r="Q415" s="81" t="s">
        <v>1324</v>
      </c>
      <c r="R415" s="81"/>
      <c r="S415" s="81"/>
      <c r="T415" s="81"/>
      <c r="U415" s="85" t="str">
        <f>HYPERLINK("https://pbs.twimg.com/media/E_xVJy2VQAQerFe.jpg")</f>
        <v>https://pbs.twimg.com/media/E_xVJy2VQAQerFe.jpg</v>
      </c>
      <c r="V415" s="85" t="str">
        <f>HYPERLINK("https://pbs.twimg.com/media/E_xVJy2VQAQerFe.jpg")</f>
        <v>https://pbs.twimg.com/media/E_xVJy2VQAQerFe.jpg</v>
      </c>
      <c r="W415" s="83">
        <v>44460.272881944446</v>
      </c>
      <c r="X415" s="89">
        <v>44460</v>
      </c>
      <c r="Y415" s="87" t="s">
        <v>2052</v>
      </c>
      <c r="Z415" s="85" t="str">
        <f>HYPERLINK("https://twitter.com/puanmerdeka2/status/1440202369413775363")</f>
        <v>https://twitter.com/puanmerdeka2/status/1440202369413775363</v>
      </c>
      <c r="AA415" s="81"/>
      <c r="AB415" s="81"/>
      <c r="AC415" s="87" t="s">
        <v>2975</v>
      </c>
      <c r="AD415" s="81"/>
      <c r="AE415" s="81" t="b">
        <v>0</v>
      </c>
      <c r="AF415" s="81">
        <v>0</v>
      </c>
      <c r="AG415" s="87" t="s">
        <v>3875</v>
      </c>
      <c r="AH415" s="81" t="b">
        <v>0</v>
      </c>
      <c r="AI415" s="81" t="s">
        <v>4092</v>
      </c>
      <c r="AJ415" s="81"/>
      <c r="AK415" s="87" t="s">
        <v>3875</v>
      </c>
      <c r="AL415" s="81" t="b">
        <v>0</v>
      </c>
      <c r="AM415" s="81">
        <v>321</v>
      </c>
      <c r="AN415" s="87" t="s">
        <v>3520</v>
      </c>
      <c r="AO415" s="87" t="s">
        <v>4109</v>
      </c>
      <c r="AP415" s="81" t="b">
        <v>0</v>
      </c>
      <c r="AQ415" s="87" t="s">
        <v>3520</v>
      </c>
      <c r="AR415" s="81" t="s">
        <v>179</v>
      </c>
      <c r="AS415" s="81">
        <v>0</v>
      </c>
      <c r="AT415" s="81">
        <v>0</v>
      </c>
      <c r="AU415" s="81"/>
      <c r="AV415" s="81"/>
      <c r="AW415" s="81"/>
      <c r="AX415" s="81"/>
      <c r="AY415" s="81"/>
      <c r="AZ415" s="81"/>
      <c r="BA415" s="81"/>
      <c r="BB415" s="81"/>
    </row>
    <row r="416" spans="1:54" x14ac:dyDescent="0.35">
      <c r="A416" s="66" t="s">
        <v>459</v>
      </c>
      <c r="B416" s="66" t="s">
        <v>910</v>
      </c>
      <c r="C416" s="67"/>
      <c r="D416" s="68"/>
      <c r="E416" s="69"/>
      <c r="F416" s="70"/>
      <c r="G416" s="67"/>
      <c r="H416" s="71"/>
      <c r="I416" s="72"/>
      <c r="J416" s="72"/>
      <c r="K416" s="36"/>
      <c r="L416" s="79"/>
      <c r="M416" s="79"/>
      <c r="N416" s="74"/>
      <c r="O416" s="81" t="s">
        <v>1205</v>
      </c>
      <c r="P416" s="83">
        <v>44460.272881944446</v>
      </c>
      <c r="Q416" s="81" t="s">
        <v>1324</v>
      </c>
      <c r="R416" s="81"/>
      <c r="S416" s="81"/>
      <c r="T416" s="81"/>
      <c r="U416" s="85" t="str">
        <f>HYPERLINK("https://pbs.twimg.com/media/E_xVJy2VQAQerFe.jpg")</f>
        <v>https://pbs.twimg.com/media/E_xVJy2VQAQerFe.jpg</v>
      </c>
      <c r="V416" s="85" t="str">
        <f>HYPERLINK("https://pbs.twimg.com/media/E_xVJy2VQAQerFe.jpg")</f>
        <v>https://pbs.twimg.com/media/E_xVJy2VQAQerFe.jpg</v>
      </c>
      <c r="W416" s="83">
        <v>44460.272881944446</v>
      </c>
      <c r="X416" s="89">
        <v>44460</v>
      </c>
      <c r="Y416" s="87" t="s">
        <v>2052</v>
      </c>
      <c r="Z416" s="85" t="str">
        <f>HYPERLINK("https://twitter.com/puanmerdeka2/status/1440202369413775363")</f>
        <v>https://twitter.com/puanmerdeka2/status/1440202369413775363</v>
      </c>
      <c r="AA416" s="81"/>
      <c r="AB416" s="81"/>
      <c r="AC416" s="87" t="s">
        <v>2975</v>
      </c>
      <c r="AD416" s="81"/>
      <c r="AE416" s="81" t="b">
        <v>0</v>
      </c>
      <c r="AF416" s="81">
        <v>0</v>
      </c>
      <c r="AG416" s="87" t="s">
        <v>3875</v>
      </c>
      <c r="AH416" s="81" t="b">
        <v>0</v>
      </c>
      <c r="AI416" s="81" t="s">
        <v>4092</v>
      </c>
      <c r="AJ416" s="81"/>
      <c r="AK416" s="87" t="s">
        <v>3875</v>
      </c>
      <c r="AL416" s="81" t="b">
        <v>0</v>
      </c>
      <c r="AM416" s="81">
        <v>321</v>
      </c>
      <c r="AN416" s="87" t="s">
        <v>3520</v>
      </c>
      <c r="AO416" s="87" t="s">
        <v>4109</v>
      </c>
      <c r="AP416" s="81" t="b">
        <v>0</v>
      </c>
      <c r="AQ416" s="87" t="s">
        <v>3520</v>
      </c>
      <c r="AR416" s="81" t="s">
        <v>179</v>
      </c>
      <c r="AS416" s="81">
        <v>0</v>
      </c>
      <c r="AT416" s="81">
        <v>0</v>
      </c>
      <c r="AU416" s="81"/>
      <c r="AV416" s="81"/>
      <c r="AW416" s="81"/>
      <c r="AX416" s="81"/>
      <c r="AY416" s="81"/>
      <c r="AZ416" s="81"/>
      <c r="BA416" s="81"/>
      <c r="BB416" s="81"/>
    </row>
    <row r="417" spans="1:54" x14ac:dyDescent="0.35">
      <c r="A417" s="66" t="s">
        <v>460</v>
      </c>
      <c r="B417" s="66" t="s">
        <v>1055</v>
      </c>
      <c r="C417" s="67"/>
      <c r="D417" s="68"/>
      <c r="E417" s="69"/>
      <c r="F417" s="70"/>
      <c r="G417" s="67"/>
      <c r="H417" s="71"/>
      <c r="I417" s="72"/>
      <c r="J417" s="72"/>
      <c r="K417" s="36"/>
      <c r="L417" s="79"/>
      <c r="M417" s="79"/>
      <c r="N417" s="74"/>
      <c r="O417" s="81" t="s">
        <v>1207</v>
      </c>
      <c r="P417" s="83">
        <v>44460.274537037039</v>
      </c>
      <c r="Q417" s="81" t="s">
        <v>1324</v>
      </c>
      <c r="R417" s="81"/>
      <c r="S417" s="81"/>
      <c r="T417" s="81"/>
      <c r="U417" s="85" t="str">
        <f>HYPERLINK("https://pbs.twimg.com/media/E_xVJy2VQAQerFe.jpg")</f>
        <v>https://pbs.twimg.com/media/E_xVJy2VQAQerFe.jpg</v>
      </c>
      <c r="V417" s="85" t="str">
        <f>HYPERLINK("https://pbs.twimg.com/media/E_xVJy2VQAQerFe.jpg")</f>
        <v>https://pbs.twimg.com/media/E_xVJy2VQAQerFe.jpg</v>
      </c>
      <c r="W417" s="83">
        <v>44460.274537037039</v>
      </c>
      <c r="X417" s="89">
        <v>44460</v>
      </c>
      <c r="Y417" s="87" t="s">
        <v>2053</v>
      </c>
      <c r="Z417" s="85" t="str">
        <f>HYPERLINK("https://twitter.com/miss_win69/status/1440202968523939847")</f>
        <v>https://twitter.com/miss_win69/status/1440202968523939847</v>
      </c>
      <c r="AA417" s="81"/>
      <c r="AB417" s="81"/>
      <c r="AC417" s="87" t="s">
        <v>2976</v>
      </c>
      <c r="AD417" s="81"/>
      <c r="AE417" s="81" t="b">
        <v>0</v>
      </c>
      <c r="AF417" s="81">
        <v>0</v>
      </c>
      <c r="AG417" s="87" t="s">
        <v>3875</v>
      </c>
      <c r="AH417" s="81" t="b">
        <v>0</v>
      </c>
      <c r="AI417" s="81" t="s">
        <v>4092</v>
      </c>
      <c r="AJ417" s="81"/>
      <c r="AK417" s="87" t="s">
        <v>3875</v>
      </c>
      <c r="AL417" s="81" t="b">
        <v>0</v>
      </c>
      <c r="AM417" s="81">
        <v>321</v>
      </c>
      <c r="AN417" s="87" t="s">
        <v>3520</v>
      </c>
      <c r="AO417" s="87" t="s">
        <v>4109</v>
      </c>
      <c r="AP417" s="81" t="b">
        <v>0</v>
      </c>
      <c r="AQ417" s="87" t="s">
        <v>3520</v>
      </c>
      <c r="AR417" s="81" t="s">
        <v>179</v>
      </c>
      <c r="AS417" s="81">
        <v>0</v>
      </c>
      <c r="AT417" s="81">
        <v>0</v>
      </c>
      <c r="AU417" s="81"/>
      <c r="AV417" s="81"/>
      <c r="AW417" s="81"/>
      <c r="AX417" s="81"/>
      <c r="AY417" s="81"/>
      <c r="AZ417" s="81"/>
      <c r="BA417" s="81"/>
      <c r="BB417" s="81"/>
    </row>
    <row r="418" spans="1:54" x14ac:dyDescent="0.35">
      <c r="A418" s="66" t="s">
        <v>460</v>
      </c>
      <c r="B418" s="66" t="s">
        <v>910</v>
      </c>
      <c r="C418" s="67"/>
      <c r="D418" s="68"/>
      <c r="E418" s="69"/>
      <c r="F418" s="70"/>
      <c r="G418" s="67"/>
      <c r="H418" s="71"/>
      <c r="I418" s="72"/>
      <c r="J418" s="72"/>
      <c r="K418" s="36"/>
      <c r="L418" s="79"/>
      <c r="M418" s="79"/>
      <c r="N418" s="74"/>
      <c r="O418" s="81" t="s">
        <v>1205</v>
      </c>
      <c r="P418" s="83">
        <v>44460.274537037039</v>
      </c>
      <c r="Q418" s="81" t="s">
        <v>1324</v>
      </c>
      <c r="R418" s="81"/>
      <c r="S418" s="81"/>
      <c r="T418" s="81"/>
      <c r="U418" s="85" t="str">
        <f>HYPERLINK("https://pbs.twimg.com/media/E_xVJy2VQAQerFe.jpg")</f>
        <v>https://pbs.twimg.com/media/E_xVJy2VQAQerFe.jpg</v>
      </c>
      <c r="V418" s="85" t="str">
        <f>HYPERLINK("https://pbs.twimg.com/media/E_xVJy2VQAQerFe.jpg")</f>
        <v>https://pbs.twimg.com/media/E_xVJy2VQAQerFe.jpg</v>
      </c>
      <c r="W418" s="83">
        <v>44460.274537037039</v>
      </c>
      <c r="X418" s="89">
        <v>44460</v>
      </c>
      <c r="Y418" s="87" t="s">
        <v>2053</v>
      </c>
      <c r="Z418" s="85" t="str">
        <f>HYPERLINK("https://twitter.com/miss_win69/status/1440202968523939847")</f>
        <v>https://twitter.com/miss_win69/status/1440202968523939847</v>
      </c>
      <c r="AA418" s="81"/>
      <c r="AB418" s="81"/>
      <c r="AC418" s="87" t="s">
        <v>2976</v>
      </c>
      <c r="AD418" s="81"/>
      <c r="AE418" s="81" t="b">
        <v>0</v>
      </c>
      <c r="AF418" s="81">
        <v>0</v>
      </c>
      <c r="AG418" s="87" t="s">
        <v>3875</v>
      </c>
      <c r="AH418" s="81" t="b">
        <v>0</v>
      </c>
      <c r="AI418" s="81" t="s">
        <v>4092</v>
      </c>
      <c r="AJ418" s="81"/>
      <c r="AK418" s="87" t="s">
        <v>3875</v>
      </c>
      <c r="AL418" s="81" t="b">
        <v>0</v>
      </c>
      <c r="AM418" s="81">
        <v>321</v>
      </c>
      <c r="AN418" s="87" t="s">
        <v>3520</v>
      </c>
      <c r="AO418" s="87" t="s">
        <v>4109</v>
      </c>
      <c r="AP418" s="81" t="b">
        <v>0</v>
      </c>
      <c r="AQ418" s="87" t="s">
        <v>3520</v>
      </c>
      <c r="AR418" s="81" t="s">
        <v>179</v>
      </c>
      <c r="AS418" s="81">
        <v>0</v>
      </c>
      <c r="AT418" s="81">
        <v>0</v>
      </c>
      <c r="AU418" s="81"/>
      <c r="AV418" s="81"/>
      <c r="AW418" s="81"/>
      <c r="AX418" s="81"/>
      <c r="AY418" s="81"/>
      <c r="AZ418" s="81"/>
      <c r="BA418" s="81"/>
      <c r="BB418" s="81"/>
    </row>
    <row r="419" spans="1:54" x14ac:dyDescent="0.35">
      <c r="A419" s="66" t="s">
        <v>461</v>
      </c>
      <c r="B419" s="66" t="s">
        <v>1055</v>
      </c>
      <c r="C419" s="67"/>
      <c r="D419" s="68"/>
      <c r="E419" s="69"/>
      <c r="F419" s="70"/>
      <c r="G419" s="67"/>
      <c r="H419" s="71"/>
      <c r="I419" s="72"/>
      <c r="J419" s="72"/>
      <c r="K419" s="36"/>
      <c r="L419" s="79"/>
      <c r="M419" s="79"/>
      <c r="N419" s="74"/>
      <c r="O419" s="81" t="s">
        <v>1207</v>
      </c>
      <c r="P419" s="83">
        <v>44460.276689814818</v>
      </c>
      <c r="Q419" s="81" t="s">
        <v>1324</v>
      </c>
      <c r="R419" s="81"/>
      <c r="S419" s="81"/>
      <c r="T419" s="81"/>
      <c r="U419" s="85" t="str">
        <f>HYPERLINK("https://pbs.twimg.com/media/E_xVJy2VQAQerFe.jpg")</f>
        <v>https://pbs.twimg.com/media/E_xVJy2VQAQerFe.jpg</v>
      </c>
      <c r="V419" s="85" t="str">
        <f>HYPERLINK("https://pbs.twimg.com/media/E_xVJy2VQAQerFe.jpg")</f>
        <v>https://pbs.twimg.com/media/E_xVJy2VQAQerFe.jpg</v>
      </c>
      <c r="W419" s="83">
        <v>44460.276689814818</v>
      </c>
      <c r="X419" s="89">
        <v>44460</v>
      </c>
      <c r="Y419" s="87" t="s">
        <v>2054</v>
      </c>
      <c r="Z419" s="85" t="str">
        <f>HYPERLINK("https://twitter.com/dijei_mc/status/1440203750933553156")</f>
        <v>https://twitter.com/dijei_mc/status/1440203750933553156</v>
      </c>
      <c r="AA419" s="81"/>
      <c r="AB419" s="81"/>
      <c r="AC419" s="87" t="s">
        <v>2977</v>
      </c>
      <c r="AD419" s="81"/>
      <c r="AE419" s="81" t="b">
        <v>0</v>
      </c>
      <c r="AF419" s="81">
        <v>0</v>
      </c>
      <c r="AG419" s="87" t="s">
        <v>3875</v>
      </c>
      <c r="AH419" s="81" t="b">
        <v>0</v>
      </c>
      <c r="AI419" s="81" t="s">
        <v>4092</v>
      </c>
      <c r="AJ419" s="81"/>
      <c r="AK419" s="87" t="s">
        <v>3875</v>
      </c>
      <c r="AL419" s="81" t="b">
        <v>0</v>
      </c>
      <c r="AM419" s="81">
        <v>321</v>
      </c>
      <c r="AN419" s="87" t="s">
        <v>3520</v>
      </c>
      <c r="AO419" s="87" t="s">
        <v>4109</v>
      </c>
      <c r="AP419" s="81" t="b">
        <v>0</v>
      </c>
      <c r="AQ419" s="87" t="s">
        <v>3520</v>
      </c>
      <c r="AR419" s="81" t="s">
        <v>179</v>
      </c>
      <c r="AS419" s="81">
        <v>0</v>
      </c>
      <c r="AT419" s="81">
        <v>0</v>
      </c>
      <c r="AU419" s="81"/>
      <c r="AV419" s="81"/>
      <c r="AW419" s="81"/>
      <c r="AX419" s="81"/>
      <c r="AY419" s="81"/>
      <c r="AZ419" s="81"/>
      <c r="BA419" s="81"/>
      <c r="BB419" s="81"/>
    </row>
    <row r="420" spans="1:54" x14ac:dyDescent="0.35">
      <c r="A420" s="66" t="s">
        <v>461</v>
      </c>
      <c r="B420" s="66" t="s">
        <v>910</v>
      </c>
      <c r="C420" s="67"/>
      <c r="D420" s="68"/>
      <c r="E420" s="69"/>
      <c r="F420" s="70"/>
      <c r="G420" s="67"/>
      <c r="H420" s="71"/>
      <c r="I420" s="72"/>
      <c r="J420" s="72"/>
      <c r="K420" s="36"/>
      <c r="L420" s="79"/>
      <c r="M420" s="79"/>
      <c r="N420" s="74"/>
      <c r="O420" s="81" t="s">
        <v>1205</v>
      </c>
      <c r="P420" s="83">
        <v>44460.276689814818</v>
      </c>
      <c r="Q420" s="81" t="s">
        <v>1324</v>
      </c>
      <c r="R420" s="81"/>
      <c r="S420" s="81"/>
      <c r="T420" s="81"/>
      <c r="U420" s="85" t="str">
        <f>HYPERLINK("https://pbs.twimg.com/media/E_xVJy2VQAQerFe.jpg")</f>
        <v>https://pbs.twimg.com/media/E_xVJy2VQAQerFe.jpg</v>
      </c>
      <c r="V420" s="85" t="str">
        <f>HYPERLINK("https://pbs.twimg.com/media/E_xVJy2VQAQerFe.jpg")</f>
        <v>https://pbs.twimg.com/media/E_xVJy2VQAQerFe.jpg</v>
      </c>
      <c r="W420" s="83">
        <v>44460.276689814818</v>
      </c>
      <c r="X420" s="89">
        <v>44460</v>
      </c>
      <c r="Y420" s="87" t="s">
        <v>2054</v>
      </c>
      <c r="Z420" s="85" t="str">
        <f>HYPERLINK("https://twitter.com/dijei_mc/status/1440203750933553156")</f>
        <v>https://twitter.com/dijei_mc/status/1440203750933553156</v>
      </c>
      <c r="AA420" s="81"/>
      <c r="AB420" s="81"/>
      <c r="AC420" s="87" t="s">
        <v>2977</v>
      </c>
      <c r="AD420" s="81"/>
      <c r="AE420" s="81" t="b">
        <v>0</v>
      </c>
      <c r="AF420" s="81">
        <v>0</v>
      </c>
      <c r="AG420" s="87" t="s">
        <v>3875</v>
      </c>
      <c r="AH420" s="81" t="b">
        <v>0</v>
      </c>
      <c r="AI420" s="81" t="s">
        <v>4092</v>
      </c>
      <c r="AJ420" s="81"/>
      <c r="AK420" s="87" t="s">
        <v>3875</v>
      </c>
      <c r="AL420" s="81" t="b">
        <v>0</v>
      </c>
      <c r="AM420" s="81">
        <v>321</v>
      </c>
      <c r="AN420" s="87" t="s">
        <v>3520</v>
      </c>
      <c r="AO420" s="87" t="s">
        <v>4109</v>
      </c>
      <c r="AP420" s="81" t="b">
        <v>0</v>
      </c>
      <c r="AQ420" s="87" t="s">
        <v>3520</v>
      </c>
      <c r="AR420" s="81" t="s">
        <v>179</v>
      </c>
      <c r="AS420" s="81">
        <v>0</v>
      </c>
      <c r="AT420" s="81">
        <v>0</v>
      </c>
      <c r="AU420" s="81"/>
      <c r="AV420" s="81"/>
      <c r="AW420" s="81"/>
      <c r="AX420" s="81"/>
      <c r="AY420" s="81"/>
      <c r="AZ420" s="81"/>
      <c r="BA420" s="81"/>
      <c r="BB420" s="81"/>
    </row>
    <row r="421" spans="1:54" x14ac:dyDescent="0.35">
      <c r="A421" s="66" t="s">
        <v>462</v>
      </c>
      <c r="B421" s="66" t="s">
        <v>1055</v>
      </c>
      <c r="C421" s="67"/>
      <c r="D421" s="68"/>
      <c r="E421" s="69"/>
      <c r="F421" s="70"/>
      <c r="G421" s="67"/>
      <c r="H421" s="71"/>
      <c r="I421" s="72"/>
      <c r="J421" s="72"/>
      <c r="K421" s="36"/>
      <c r="L421" s="79"/>
      <c r="M421" s="79"/>
      <c r="N421" s="74"/>
      <c r="O421" s="81" t="s">
        <v>1207</v>
      </c>
      <c r="P421" s="83">
        <v>44460.276724537034</v>
      </c>
      <c r="Q421" s="81" t="s">
        <v>1324</v>
      </c>
      <c r="R421" s="81"/>
      <c r="S421" s="81"/>
      <c r="T421" s="81"/>
      <c r="U421" s="85" t="str">
        <f>HYPERLINK("https://pbs.twimg.com/media/E_xVJy2VQAQerFe.jpg")</f>
        <v>https://pbs.twimg.com/media/E_xVJy2VQAQerFe.jpg</v>
      </c>
      <c r="V421" s="85" t="str">
        <f>HYPERLINK("https://pbs.twimg.com/media/E_xVJy2VQAQerFe.jpg")</f>
        <v>https://pbs.twimg.com/media/E_xVJy2VQAQerFe.jpg</v>
      </c>
      <c r="W421" s="83">
        <v>44460.276724537034</v>
      </c>
      <c r="X421" s="89">
        <v>44460</v>
      </c>
      <c r="Y421" s="87" t="s">
        <v>2055</v>
      </c>
      <c r="Z421" s="85" t="str">
        <f>HYPERLINK("https://twitter.com/riaukalit/status/1440203763873050624")</f>
        <v>https://twitter.com/riaukalit/status/1440203763873050624</v>
      </c>
      <c r="AA421" s="81"/>
      <c r="AB421" s="81"/>
      <c r="AC421" s="87" t="s">
        <v>2978</v>
      </c>
      <c r="AD421" s="81"/>
      <c r="AE421" s="81" t="b">
        <v>0</v>
      </c>
      <c r="AF421" s="81">
        <v>0</v>
      </c>
      <c r="AG421" s="87" t="s">
        <v>3875</v>
      </c>
      <c r="AH421" s="81" t="b">
        <v>0</v>
      </c>
      <c r="AI421" s="81" t="s">
        <v>4092</v>
      </c>
      <c r="AJ421" s="81"/>
      <c r="AK421" s="87" t="s">
        <v>3875</v>
      </c>
      <c r="AL421" s="81" t="b">
        <v>0</v>
      </c>
      <c r="AM421" s="81">
        <v>321</v>
      </c>
      <c r="AN421" s="87" t="s">
        <v>3520</v>
      </c>
      <c r="AO421" s="87" t="s">
        <v>4109</v>
      </c>
      <c r="AP421" s="81" t="b">
        <v>0</v>
      </c>
      <c r="AQ421" s="87" t="s">
        <v>3520</v>
      </c>
      <c r="AR421" s="81" t="s">
        <v>179</v>
      </c>
      <c r="AS421" s="81">
        <v>0</v>
      </c>
      <c r="AT421" s="81">
        <v>0</v>
      </c>
      <c r="AU421" s="81"/>
      <c r="AV421" s="81"/>
      <c r="AW421" s="81"/>
      <c r="AX421" s="81"/>
      <c r="AY421" s="81"/>
      <c r="AZ421" s="81"/>
      <c r="BA421" s="81"/>
      <c r="BB421" s="81"/>
    </row>
    <row r="422" spans="1:54" x14ac:dyDescent="0.35">
      <c r="A422" s="66" t="s">
        <v>462</v>
      </c>
      <c r="B422" s="66" t="s">
        <v>910</v>
      </c>
      <c r="C422" s="67"/>
      <c r="D422" s="68"/>
      <c r="E422" s="69"/>
      <c r="F422" s="70"/>
      <c r="G422" s="67"/>
      <c r="H422" s="71"/>
      <c r="I422" s="72"/>
      <c r="J422" s="72"/>
      <c r="K422" s="36"/>
      <c r="L422" s="79"/>
      <c r="M422" s="79"/>
      <c r="N422" s="74"/>
      <c r="O422" s="81" t="s">
        <v>1205</v>
      </c>
      <c r="P422" s="83">
        <v>44460.276724537034</v>
      </c>
      <c r="Q422" s="81" t="s">
        <v>1324</v>
      </c>
      <c r="R422" s="81"/>
      <c r="S422" s="81"/>
      <c r="T422" s="81"/>
      <c r="U422" s="85" t="str">
        <f>HYPERLINK("https://pbs.twimg.com/media/E_xVJy2VQAQerFe.jpg")</f>
        <v>https://pbs.twimg.com/media/E_xVJy2VQAQerFe.jpg</v>
      </c>
      <c r="V422" s="85" t="str">
        <f>HYPERLINK("https://pbs.twimg.com/media/E_xVJy2VQAQerFe.jpg")</f>
        <v>https://pbs.twimg.com/media/E_xVJy2VQAQerFe.jpg</v>
      </c>
      <c r="W422" s="83">
        <v>44460.276724537034</v>
      </c>
      <c r="X422" s="89">
        <v>44460</v>
      </c>
      <c r="Y422" s="87" t="s">
        <v>2055</v>
      </c>
      <c r="Z422" s="85" t="str">
        <f>HYPERLINK("https://twitter.com/riaukalit/status/1440203763873050624")</f>
        <v>https://twitter.com/riaukalit/status/1440203763873050624</v>
      </c>
      <c r="AA422" s="81"/>
      <c r="AB422" s="81"/>
      <c r="AC422" s="87" t="s">
        <v>2978</v>
      </c>
      <c r="AD422" s="81"/>
      <c r="AE422" s="81" t="b">
        <v>0</v>
      </c>
      <c r="AF422" s="81">
        <v>0</v>
      </c>
      <c r="AG422" s="87" t="s">
        <v>3875</v>
      </c>
      <c r="AH422" s="81" t="b">
        <v>0</v>
      </c>
      <c r="AI422" s="81" t="s">
        <v>4092</v>
      </c>
      <c r="AJ422" s="81"/>
      <c r="AK422" s="87" t="s">
        <v>3875</v>
      </c>
      <c r="AL422" s="81" t="b">
        <v>0</v>
      </c>
      <c r="AM422" s="81">
        <v>321</v>
      </c>
      <c r="AN422" s="87" t="s">
        <v>3520</v>
      </c>
      <c r="AO422" s="87" t="s">
        <v>4109</v>
      </c>
      <c r="AP422" s="81" t="b">
        <v>0</v>
      </c>
      <c r="AQ422" s="87" t="s">
        <v>3520</v>
      </c>
      <c r="AR422" s="81" t="s">
        <v>179</v>
      </c>
      <c r="AS422" s="81">
        <v>0</v>
      </c>
      <c r="AT422" s="81">
        <v>0</v>
      </c>
      <c r="AU422" s="81"/>
      <c r="AV422" s="81"/>
      <c r="AW422" s="81"/>
      <c r="AX422" s="81"/>
      <c r="AY422" s="81"/>
      <c r="AZ422" s="81"/>
      <c r="BA422" s="81"/>
      <c r="BB422" s="81"/>
    </row>
    <row r="423" spans="1:54" x14ac:dyDescent="0.35">
      <c r="A423" s="66" t="s">
        <v>463</v>
      </c>
      <c r="B423" s="66" t="s">
        <v>1064</v>
      </c>
      <c r="C423" s="67"/>
      <c r="D423" s="68"/>
      <c r="E423" s="69"/>
      <c r="F423" s="70"/>
      <c r="G423" s="67"/>
      <c r="H423" s="71"/>
      <c r="I423" s="72"/>
      <c r="J423" s="72"/>
      <c r="K423" s="36"/>
      <c r="L423" s="79"/>
      <c r="M423" s="79"/>
      <c r="N423" s="74"/>
      <c r="O423" s="81" t="s">
        <v>1206</v>
      </c>
      <c r="P423" s="83">
        <v>44460.278067129628</v>
      </c>
      <c r="Q423" s="81" t="s">
        <v>1337</v>
      </c>
      <c r="R423" s="81"/>
      <c r="S423" s="81"/>
      <c r="T423" s="81"/>
      <c r="U423" s="81"/>
      <c r="V423" s="85" t="str">
        <f>HYPERLINK("https://pbs.twimg.com/profile_images/1442054010089836548/7KI6yJls_normal.jpg")</f>
        <v>https://pbs.twimg.com/profile_images/1442054010089836548/7KI6yJls_normal.jpg</v>
      </c>
      <c r="W423" s="83">
        <v>44460.278067129628</v>
      </c>
      <c r="X423" s="89">
        <v>44460</v>
      </c>
      <c r="Y423" s="87" t="s">
        <v>2056</v>
      </c>
      <c r="Z423" s="85" t="str">
        <f>HYPERLINK("https://twitter.com/aritononang/status/1440204251326664710")</f>
        <v>https://twitter.com/aritononang/status/1440204251326664710</v>
      </c>
      <c r="AA423" s="81"/>
      <c r="AB423" s="81"/>
      <c r="AC423" s="87" t="s">
        <v>2979</v>
      </c>
      <c r="AD423" s="87" t="s">
        <v>3704</v>
      </c>
      <c r="AE423" s="81" t="b">
        <v>0</v>
      </c>
      <c r="AF423" s="81">
        <v>0</v>
      </c>
      <c r="AG423" s="87" t="s">
        <v>3938</v>
      </c>
      <c r="AH423" s="81" t="b">
        <v>0</v>
      </c>
      <c r="AI423" s="81" t="s">
        <v>4092</v>
      </c>
      <c r="AJ423" s="81"/>
      <c r="AK423" s="87" t="s">
        <v>3875</v>
      </c>
      <c r="AL423" s="81" t="b">
        <v>0</v>
      </c>
      <c r="AM423" s="81">
        <v>0</v>
      </c>
      <c r="AN423" s="87" t="s">
        <v>3875</v>
      </c>
      <c r="AO423" s="87" t="s">
        <v>4109</v>
      </c>
      <c r="AP423" s="81" t="b">
        <v>0</v>
      </c>
      <c r="AQ423" s="87" t="s">
        <v>3704</v>
      </c>
      <c r="AR423" s="81" t="s">
        <v>179</v>
      </c>
      <c r="AS423" s="81">
        <v>0</v>
      </c>
      <c r="AT423" s="81">
        <v>0</v>
      </c>
      <c r="AU423" s="81"/>
      <c r="AV423" s="81"/>
      <c r="AW423" s="81"/>
      <c r="AX423" s="81"/>
      <c r="AY423" s="81"/>
      <c r="AZ423" s="81"/>
      <c r="BA423" s="81"/>
      <c r="BB423" s="81"/>
    </row>
    <row r="424" spans="1:54" x14ac:dyDescent="0.35">
      <c r="A424" s="66" t="s">
        <v>463</v>
      </c>
      <c r="B424" s="66" t="s">
        <v>1065</v>
      </c>
      <c r="C424" s="67"/>
      <c r="D424" s="68"/>
      <c r="E424" s="69"/>
      <c r="F424" s="70"/>
      <c r="G424" s="67"/>
      <c r="H424" s="71"/>
      <c r="I424" s="72"/>
      <c r="J424" s="72"/>
      <c r="K424" s="36"/>
      <c r="L424" s="79"/>
      <c r="M424" s="79"/>
      <c r="N424" s="74"/>
      <c r="O424" s="81" t="s">
        <v>1208</v>
      </c>
      <c r="P424" s="83">
        <v>44460.278067129628</v>
      </c>
      <c r="Q424" s="81" t="s">
        <v>1337</v>
      </c>
      <c r="R424" s="81"/>
      <c r="S424" s="81"/>
      <c r="T424" s="81"/>
      <c r="U424" s="81"/>
      <c r="V424" s="85" t="str">
        <f>HYPERLINK("https://pbs.twimg.com/profile_images/1442054010089836548/7KI6yJls_normal.jpg")</f>
        <v>https://pbs.twimg.com/profile_images/1442054010089836548/7KI6yJls_normal.jpg</v>
      </c>
      <c r="W424" s="83">
        <v>44460.278067129628</v>
      </c>
      <c r="X424" s="89">
        <v>44460</v>
      </c>
      <c r="Y424" s="87" t="s">
        <v>2056</v>
      </c>
      <c r="Z424" s="85" t="str">
        <f>HYPERLINK("https://twitter.com/aritononang/status/1440204251326664710")</f>
        <v>https://twitter.com/aritononang/status/1440204251326664710</v>
      </c>
      <c r="AA424" s="81"/>
      <c r="AB424" s="81"/>
      <c r="AC424" s="87" t="s">
        <v>2979</v>
      </c>
      <c r="AD424" s="87" t="s">
        <v>3704</v>
      </c>
      <c r="AE424" s="81" t="b">
        <v>0</v>
      </c>
      <c r="AF424" s="81">
        <v>0</v>
      </c>
      <c r="AG424" s="87" t="s">
        <v>3938</v>
      </c>
      <c r="AH424" s="81" t="b">
        <v>0</v>
      </c>
      <c r="AI424" s="81" t="s">
        <v>4092</v>
      </c>
      <c r="AJ424" s="81"/>
      <c r="AK424" s="87" t="s">
        <v>3875</v>
      </c>
      <c r="AL424" s="81" t="b">
        <v>0</v>
      </c>
      <c r="AM424" s="81">
        <v>0</v>
      </c>
      <c r="AN424" s="87" t="s">
        <v>3875</v>
      </c>
      <c r="AO424" s="87" t="s">
        <v>4109</v>
      </c>
      <c r="AP424" s="81" t="b">
        <v>0</v>
      </c>
      <c r="AQ424" s="87" t="s">
        <v>3704</v>
      </c>
      <c r="AR424" s="81" t="s">
        <v>179</v>
      </c>
      <c r="AS424" s="81">
        <v>0</v>
      </c>
      <c r="AT424" s="81">
        <v>0</v>
      </c>
      <c r="AU424" s="81"/>
      <c r="AV424" s="81"/>
      <c r="AW424" s="81"/>
      <c r="AX424" s="81"/>
      <c r="AY424" s="81"/>
      <c r="AZ424" s="81"/>
      <c r="BA424" s="81"/>
      <c r="BB424" s="81"/>
    </row>
    <row r="425" spans="1:54" x14ac:dyDescent="0.35">
      <c r="A425" s="66" t="s">
        <v>464</v>
      </c>
      <c r="B425" s="66" t="s">
        <v>1055</v>
      </c>
      <c r="C425" s="67"/>
      <c r="D425" s="68"/>
      <c r="E425" s="69"/>
      <c r="F425" s="70"/>
      <c r="G425" s="67"/>
      <c r="H425" s="71"/>
      <c r="I425" s="72"/>
      <c r="J425" s="72"/>
      <c r="K425" s="36"/>
      <c r="L425" s="79"/>
      <c r="M425" s="79"/>
      <c r="N425" s="74"/>
      <c r="O425" s="81" t="s">
        <v>1207</v>
      </c>
      <c r="P425" s="83">
        <v>44460.280428240738</v>
      </c>
      <c r="Q425" s="81" t="s">
        <v>1324</v>
      </c>
      <c r="R425" s="81"/>
      <c r="S425" s="81"/>
      <c r="T425" s="81"/>
      <c r="U425" s="85" t="str">
        <f>HYPERLINK("https://pbs.twimg.com/media/E_xVJy2VQAQerFe.jpg")</f>
        <v>https://pbs.twimg.com/media/E_xVJy2VQAQerFe.jpg</v>
      </c>
      <c r="V425" s="85" t="str">
        <f>HYPERLINK("https://pbs.twimg.com/media/E_xVJy2VQAQerFe.jpg")</f>
        <v>https://pbs.twimg.com/media/E_xVJy2VQAQerFe.jpg</v>
      </c>
      <c r="W425" s="83">
        <v>44460.280428240738</v>
      </c>
      <c r="X425" s="89">
        <v>44460</v>
      </c>
      <c r="Y425" s="87" t="s">
        <v>2057</v>
      </c>
      <c r="Z425" s="85" t="str">
        <f>HYPERLINK("https://twitter.com/swgkhofu/status/1440205104196452358")</f>
        <v>https://twitter.com/swgkhofu/status/1440205104196452358</v>
      </c>
      <c r="AA425" s="81"/>
      <c r="AB425" s="81"/>
      <c r="AC425" s="87" t="s">
        <v>2980</v>
      </c>
      <c r="AD425" s="81"/>
      <c r="AE425" s="81" t="b">
        <v>0</v>
      </c>
      <c r="AF425" s="81">
        <v>0</v>
      </c>
      <c r="AG425" s="87" t="s">
        <v>3875</v>
      </c>
      <c r="AH425" s="81" t="b">
        <v>0</v>
      </c>
      <c r="AI425" s="81" t="s">
        <v>4092</v>
      </c>
      <c r="AJ425" s="81"/>
      <c r="AK425" s="87" t="s">
        <v>3875</v>
      </c>
      <c r="AL425" s="81" t="b">
        <v>0</v>
      </c>
      <c r="AM425" s="81">
        <v>321</v>
      </c>
      <c r="AN425" s="87" t="s">
        <v>3520</v>
      </c>
      <c r="AO425" s="87" t="s">
        <v>4109</v>
      </c>
      <c r="AP425" s="81" t="b">
        <v>0</v>
      </c>
      <c r="AQ425" s="87" t="s">
        <v>3520</v>
      </c>
      <c r="AR425" s="81" t="s">
        <v>179</v>
      </c>
      <c r="AS425" s="81">
        <v>0</v>
      </c>
      <c r="AT425" s="81">
        <v>0</v>
      </c>
      <c r="AU425" s="81"/>
      <c r="AV425" s="81"/>
      <c r="AW425" s="81"/>
      <c r="AX425" s="81"/>
      <c r="AY425" s="81"/>
      <c r="AZ425" s="81"/>
      <c r="BA425" s="81"/>
      <c r="BB425" s="81"/>
    </row>
    <row r="426" spans="1:54" x14ac:dyDescent="0.35">
      <c r="A426" s="66" t="s">
        <v>464</v>
      </c>
      <c r="B426" s="66" t="s">
        <v>910</v>
      </c>
      <c r="C426" s="67"/>
      <c r="D426" s="68"/>
      <c r="E426" s="69"/>
      <c r="F426" s="70"/>
      <c r="G426" s="67"/>
      <c r="H426" s="71"/>
      <c r="I426" s="72"/>
      <c r="J426" s="72"/>
      <c r="K426" s="36"/>
      <c r="L426" s="79"/>
      <c r="M426" s="79"/>
      <c r="N426" s="74"/>
      <c r="O426" s="81" t="s">
        <v>1205</v>
      </c>
      <c r="P426" s="83">
        <v>44460.280428240738</v>
      </c>
      <c r="Q426" s="81" t="s">
        <v>1324</v>
      </c>
      <c r="R426" s="81"/>
      <c r="S426" s="81"/>
      <c r="T426" s="81"/>
      <c r="U426" s="85" t="str">
        <f>HYPERLINK("https://pbs.twimg.com/media/E_xVJy2VQAQerFe.jpg")</f>
        <v>https://pbs.twimg.com/media/E_xVJy2VQAQerFe.jpg</v>
      </c>
      <c r="V426" s="85" t="str">
        <f>HYPERLINK("https://pbs.twimg.com/media/E_xVJy2VQAQerFe.jpg")</f>
        <v>https://pbs.twimg.com/media/E_xVJy2VQAQerFe.jpg</v>
      </c>
      <c r="W426" s="83">
        <v>44460.280428240738</v>
      </c>
      <c r="X426" s="89">
        <v>44460</v>
      </c>
      <c r="Y426" s="87" t="s">
        <v>2057</v>
      </c>
      <c r="Z426" s="85" t="str">
        <f>HYPERLINK("https://twitter.com/swgkhofu/status/1440205104196452358")</f>
        <v>https://twitter.com/swgkhofu/status/1440205104196452358</v>
      </c>
      <c r="AA426" s="81"/>
      <c r="AB426" s="81"/>
      <c r="AC426" s="87" t="s">
        <v>2980</v>
      </c>
      <c r="AD426" s="81"/>
      <c r="AE426" s="81" t="b">
        <v>0</v>
      </c>
      <c r="AF426" s="81">
        <v>0</v>
      </c>
      <c r="AG426" s="87" t="s">
        <v>3875</v>
      </c>
      <c r="AH426" s="81" t="b">
        <v>0</v>
      </c>
      <c r="AI426" s="81" t="s">
        <v>4092</v>
      </c>
      <c r="AJ426" s="81"/>
      <c r="AK426" s="87" t="s">
        <v>3875</v>
      </c>
      <c r="AL426" s="81" t="b">
        <v>0</v>
      </c>
      <c r="AM426" s="81">
        <v>321</v>
      </c>
      <c r="AN426" s="87" t="s">
        <v>3520</v>
      </c>
      <c r="AO426" s="87" t="s">
        <v>4109</v>
      </c>
      <c r="AP426" s="81" t="b">
        <v>0</v>
      </c>
      <c r="AQ426" s="87" t="s">
        <v>3520</v>
      </c>
      <c r="AR426" s="81" t="s">
        <v>179</v>
      </c>
      <c r="AS426" s="81">
        <v>0</v>
      </c>
      <c r="AT426" s="81">
        <v>0</v>
      </c>
      <c r="AU426" s="81"/>
      <c r="AV426" s="81"/>
      <c r="AW426" s="81"/>
      <c r="AX426" s="81"/>
      <c r="AY426" s="81"/>
      <c r="AZ426" s="81"/>
      <c r="BA426" s="81"/>
      <c r="BB426" s="81"/>
    </row>
    <row r="427" spans="1:54" x14ac:dyDescent="0.35">
      <c r="A427" s="66" t="s">
        <v>465</v>
      </c>
      <c r="B427" s="66" t="s">
        <v>1055</v>
      </c>
      <c r="C427" s="67"/>
      <c r="D427" s="68"/>
      <c r="E427" s="69"/>
      <c r="F427" s="70"/>
      <c r="G427" s="67"/>
      <c r="H427" s="71"/>
      <c r="I427" s="72"/>
      <c r="J427" s="72"/>
      <c r="K427" s="36"/>
      <c r="L427" s="79"/>
      <c r="M427" s="79"/>
      <c r="N427" s="74"/>
      <c r="O427" s="81" t="s">
        <v>1207</v>
      </c>
      <c r="P427" s="83">
        <v>44460.280706018515</v>
      </c>
      <c r="Q427" s="81" t="s">
        <v>1324</v>
      </c>
      <c r="R427" s="81"/>
      <c r="S427" s="81"/>
      <c r="T427" s="81"/>
      <c r="U427" s="85" t="str">
        <f>HYPERLINK("https://pbs.twimg.com/media/E_xVJy2VQAQerFe.jpg")</f>
        <v>https://pbs.twimg.com/media/E_xVJy2VQAQerFe.jpg</v>
      </c>
      <c r="V427" s="85" t="str">
        <f>HYPERLINK("https://pbs.twimg.com/media/E_xVJy2VQAQerFe.jpg")</f>
        <v>https://pbs.twimg.com/media/E_xVJy2VQAQerFe.jpg</v>
      </c>
      <c r="W427" s="83">
        <v>44460.280706018515</v>
      </c>
      <c r="X427" s="89">
        <v>44460</v>
      </c>
      <c r="Y427" s="87" t="s">
        <v>2058</v>
      </c>
      <c r="Z427" s="85" t="str">
        <f>HYPERLINK("https://twitter.com/agusprehadi/status/1440205207099490305")</f>
        <v>https://twitter.com/agusprehadi/status/1440205207099490305</v>
      </c>
      <c r="AA427" s="81"/>
      <c r="AB427" s="81"/>
      <c r="AC427" s="87" t="s">
        <v>2981</v>
      </c>
      <c r="AD427" s="81"/>
      <c r="AE427" s="81" t="b">
        <v>0</v>
      </c>
      <c r="AF427" s="81">
        <v>0</v>
      </c>
      <c r="AG427" s="87" t="s">
        <v>3875</v>
      </c>
      <c r="AH427" s="81" t="b">
        <v>0</v>
      </c>
      <c r="AI427" s="81" t="s">
        <v>4092</v>
      </c>
      <c r="AJ427" s="81"/>
      <c r="AK427" s="87" t="s">
        <v>3875</v>
      </c>
      <c r="AL427" s="81" t="b">
        <v>0</v>
      </c>
      <c r="AM427" s="81">
        <v>321</v>
      </c>
      <c r="AN427" s="87" t="s">
        <v>3520</v>
      </c>
      <c r="AO427" s="87" t="s">
        <v>4109</v>
      </c>
      <c r="AP427" s="81" t="b">
        <v>0</v>
      </c>
      <c r="AQ427" s="87" t="s">
        <v>3520</v>
      </c>
      <c r="AR427" s="81" t="s">
        <v>179</v>
      </c>
      <c r="AS427" s="81">
        <v>0</v>
      </c>
      <c r="AT427" s="81">
        <v>0</v>
      </c>
      <c r="AU427" s="81"/>
      <c r="AV427" s="81"/>
      <c r="AW427" s="81"/>
      <c r="AX427" s="81"/>
      <c r="AY427" s="81"/>
      <c r="AZ427" s="81"/>
      <c r="BA427" s="81"/>
      <c r="BB427" s="81"/>
    </row>
    <row r="428" spans="1:54" x14ac:dyDescent="0.35">
      <c r="A428" s="66" t="s">
        <v>465</v>
      </c>
      <c r="B428" s="66" t="s">
        <v>910</v>
      </c>
      <c r="C428" s="67"/>
      <c r="D428" s="68"/>
      <c r="E428" s="69"/>
      <c r="F428" s="70"/>
      <c r="G428" s="67"/>
      <c r="H428" s="71"/>
      <c r="I428" s="72"/>
      <c r="J428" s="72"/>
      <c r="K428" s="36"/>
      <c r="L428" s="79"/>
      <c r="M428" s="79"/>
      <c r="N428" s="74"/>
      <c r="O428" s="81" t="s">
        <v>1205</v>
      </c>
      <c r="P428" s="83">
        <v>44460.280706018515</v>
      </c>
      <c r="Q428" s="81" t="s">
        <v>1324</v>
      </c>
      <c r="R428" s="81"/>
      <c r="S428" s="81"/>
      <c r="T428" s="81"/>
      <c r="U428" s="85" t="str">
        <f>HYPERLINK("https://pbs.twimg.com/media/E_xVJy2VQAQerFe.jpg")</f>
        <v>https://pbs.twimg.com/media/E_xVJy2VQAQerFe.jpg</v>
      </c>
      <c r="V428" s="85" t="str">
        <f>HYPERLINK("https://pbs.twimg.com/media/E_xVJy2VQAQerFe.jpg")</f>
        <v>https://pbs.twimg.com/media/E_xVJy2VQAQerFe.jpg</v>
      </c>
      <c r="W428" s="83">
        <v>44460.280706018515</v>
      </c>
      <c r="X428" s="89">
        <v>44460</v>
      </c>
      <c r="Y428" s="87" t="s">
        <v>2058</v>
      </c>
      <c r="Z428" s="85" t="str">
        <f>HYPERLINK("https://twitter.com/agusprehadi/status/1440205207099490305")</f>
        <v>https://twitter.com/agusprehadi/status/1440205207099490305</v>
      </c>
      <c r="AA428" s="81"/>
      <c r="AB428" s="81"/>
      <c r="AC428" s="87" t="s">
        <v>2981</v>
      </c>
      <c r="AD428" s="81"/>
      <c r="AE428" s="81" t="b">
        <v>0</v>
      </c>
      <c r="AF428" s="81">
        <v>0</v>
      </c>
      <c r="AG428" s="87" t="s">
        <v>3875</v>
      </c>
      <c r="AH428" s="81" t="b">
        <v>0</v>
      </c>
      <c r="AI428" s="81" t="s">
        <v>4092</v>
      </c>
      <c r="AJ428" s="81"/>
      <c r="AK428" s="87" t="s">
        <v>3875</v>
      </c>
      <c r="AL428" s="81" t="b">
        <v>0</v>
      </c>
      <c r="AM428" s="81">
        <v>321</v>
      </c>
      <c r="AN428" s="87" t="s">
        <v>3520</v>
      </c>
      <c r="AO428" s="87" t="s">
        <v>4109</v>
      </c>
      <c r="AP428" s="81" t="b">
        <v>0</v>
      </c>
      <c r="AQ428" s="87" t="s">
        <v>3520</v>
      </c>
      <c r="AR428" s="81" t="s">
        <v>179</v>
      </c>
      <c r="AS428" s="81">
        <v>0</v>
      </c>
      <c r="AT428" s="81">
        <v>0</v>
      </c>
      <c r="AU428" s="81"/>
      <c r="AV428" s="81"/>
      <c r="AW428" s="81"/>
      <c r="AX428" s="81"/>
      <c r="AY428" s="81"/>
      <c r="AZ428" s="81"/>
      <c r="BA428" s="81"/>
      <c r="BB428" s="81"/>
    </row>
    <row r="429" spans="1:54" x14ac:dyDescent="0.35">
      <c r="A429" s="66" t="s">
        <v>466</v>
      </c>
      <c r="B429" s="66" t="s">
        <v>1055</v>
      </c>
      <c r="C429" s="67"/>
      <c r="D429" s="68"/>
      <c r="E429" s="69"/>
      <c r="F429" s="70"/>
      <c r="G429" s="67"/>
      <c r="H429" s="71"/>
      <c r="I429" s="72"/>
      <c r="J429" s="72"/>
      <c r="K429" s="36"/>
      <c r="L429" s="79"/>
      <c r="M429" s="79"/>
      <c r="N429" s="74"/>
      <c r="O429" s="81" t="s">
        <v>1207</v>
      </c>
      <c r="P429" s="83">
        <v>44460.283831018518</v>
      </c>
      <c r="Q429" s="81" t="s">
        <v>1324</v>
      </c>
      <c r="R429" s="81"/>
      <c r="S429" s="81"/>
      <c r="T429" s="81"/>
      <c r="U429" s="85" t="str">
        <f>HYPERLINK("https://pbs.twimg.com/media/E_xVJy2VQAQerFe.jpg")</f>
        <v>https://pbs.twimg.com/media/E_xVJy2VQAQerFe.jpg</v>
      </c>
      <c r="V429" s="85" t="str">
        <f>HYPERLINK("https://pbs.twimg.com/media/E_xVJy2VQAQerFe.jpg")</f>
        <v>https://pbs.twimg.com/media/E_xVJy2VQAQerFe.jpg</v>
      </c>
      <c r="W429" s="83">
        <v>44460.283831018518</v>
      </c>
      <c r="X429" s="89">
        <v>44460</v>
      </c>
      <c r="Y429" s="87" t="s">
        <v>2059</v>
      </c>
      <c r="Z429" s="85" t="str">
        <f>HYPERLINK("https://twitter.com/dbrawzl/status/1440206336537477120")</f>
        <v>https://twitter.com/dbrawzl/status/1440206336537477120</v>
      </c>
      <c r="AA429" s="81"/>
      <c r="AB429" s="81"/>
      <c r="AC429" s="87" t="s">
        <v>2982</v>
      </c>
      <c r="AD429" s="81"/>
      <c r="AE429" s="81" t="b">
        <v>0</v>
      </c>
      <c r="AF429" s="81">
        <v>0</v>
      </c>
      <c r="AG429" s="87" t="s">
        <v>3875</v>
      </c>
      <c r="AH429" s="81" t="b">
        <v>0</v>
      </c>
      <c r="AI429" s="81" t="s">
        <v>4092</v>
      </c>
      <c r="AJ429" s="81"/>
      <c r="AK429" s="87" t="s">
        <v>3875</v>
      </c>
      <c r="AL429" s="81" t="b">
        <v>0</v>
      </c>
      <c r="AM429" s="81">
        <v>321</v>
      </c>
      <c r="AN429" s="87" t="s">
        <v>3520</v>
      </c>
      <c r="AO429" s="87" t="s">
        <v>4109</v>
      </c>
      <c r="AP429" s="81" t="b">
        <v>0</v>
      </c>
      <c r="AQ429" s="87" t="s">
        <v>3520</v>
      </c>
      <c r="AR429" s="81" t="s">
        <v>179</v>
      </c>
      <c r="AS429" s="81">
        <v>0</v>
      </c>
      <c r="AT429" s="81">
        <v>0</v>
      </c>
      <c r="AU429" s="81"/>
      <c r="AV429" s="81"/>
      <c r="AW429" s="81"/>
      <c r="AX429" s="81"/>
      <c r="AY429" s="81"/>
      <c r="AZ429" s="81"/>
      <c r="BA429" s="81"/>
      <c r="BB429" s="81"/>
    </row>
    <row r="430" spans="1:54" x14ac:dyDescent="0.35">
      <c r="A430" s="66" t="s">
        <v>466</v>
      </c>
      <c r="B430" s="66" t="s">
        <v>910</v>
      </c>
      <c r="C430" s="67"/>
      <c r="D430" s="68"/>
      <c r="E430" s="69"/>
      <c r="F430" s="70"/>
      <c r="G430" s="67"/>
      <c r="H430" s="71"/>
      <c r="I430" s="72"/>
      <c r="J430" s="72"/>
      <c r="K430" s="36"/>
      <c r="L430" s="79"/>
      <c r="M430" s="79"/>
      <c r="N430" s="74"/>
      <c r="O430" s="81" t="s">
        <v>1205</v>
      </c>
      <c r="P430" s="83">
        <v>44460.283831018518</v>
      </c>
      <c r="Q430" s="81" t="s">
        <v>1324</v>
      </c>
      <c r="R430" s="81"/>
      <c r="S430" s="81"/>
      <c r="T430" s="81"/>
      <c r="U430" s="85" t="str">
        <f>HYPERLINK("https://pbs.twimg.com/media/E_xVJy2VQAQerFe.jpg")</f>
        <v>https://pbs.twimg.com/media/E_xVJy2VQAQerFe.jpg</v>
      </c>
      <c r="V430" s="85" t="str">
        <f>HYPERLINK("https://pbs.twimg.com/media/E_xVJy2VQAQerFe.jpg")</f>
        <v>https://pbs.twimg.com/media/E_xVJy2VQAQerFe.jpg</v>
      </c>
      <c r="W430" s="83">
        <v>44460.283831018518</v>
      </c>
      <c r="X430" s="89">
        <v>44460</v>
      </c>
      <c r="Y430" s="87" t="s">
        <v>2059</v>
      </c>
      <c r="Z430" s="85" t="str">
        <f>HYPERLINK("https://twitter.com/dbrawzl/status/1440206336537477120")</f>
        <v>https://twitter.com/dbrawzl/status/1440206336537477120</v>
      </c>
      <c r="AA430" s="81"/>
      <c r="AB430" s="81"/>
      <c r="AC430" s="87" t="s">
        <v>2982</v>
      </c>
      <c r="AD430" s="81"/>
      <c r="AE430" s="81" t="b">
        <v>0</v>
      </c>
      <c r="AF430" s="81">
        <v>0</v>
      </c>
      <c r="AG430" s="87" t="s">
        <v>3875</v>
      </c>
      <c r="AH430" s="81" t="b">
        <v>0</v>
      </c>
      <c r="AI430" s="81" t="s">
        <v>4092</v>
      </c>
      <c r="AJ430" s="81"/>
      <c r="AK430" s="87" t="s">
        <v>3875</v>
      </c>
      <c r="AL430" s="81" t="b">
        <v>0</v>
      </c>
      <c r="AM430" s="81">
        <v>321</v>
      </c>
      <c r="AN430" s="87" t="s">
        <v>3520</v>
      </c>
      <c r="AO430" s="87" t="s">
        <v>4109</v>
      </c>
      <c r="AP430" s="81" t="b">
        <v>0</v>
      </c>
      <c r="AQ430" s="87" t="s">
        <v>3520</v>
      </c>
      <c r="AR430" s="81" t="s">
        <v>179</v>
      </c>
      <c r="AS430" s="81">
        <v>0</v>
      </c>
      <c r="AT430" s="81">
        <v>0</v>
      </c>
      <c r="AU430" s="81"/>
      <c r="AV430" s="81"/>
      <c r="AW430" s="81"/>
      <c r="AX430" s="81"/>
      <c r="AY430" s="81"/>
      <c r="AZ430" s="81"/>
      <c r="BA430" s="81"/>
      <c r="BB430" s="81"/>
    </row>
    <row r="431" spans="1:54" x14ac:dyDescent="0.35">
      <c r="A431" s="66" t="s">
        <v>467</v>
      </c>
      <c r="B431" s="66" t="s">
        <v>1055</v>
      </c>
      <c r="C431" s="67"/>
      <c r="D431" s="68"/>
      <c r="E431" s="69"/>
      <c r="F431" s="70"/>
      <c r="G431" s="67"/>
      <c r="H431" s="71"/>
      <c r="I431" s="72"/>
      <c r="J431" s="72"/>
      <c r="K431" s="36"/>
      <c r="L431" s="79"/>
      <c r="M431" s="79"/>
      <c r="N431" s="74"/>
      <c r="O431" s="81" t="s">
        <v>1207</v>
      </c>
      <c r="P431" s="83">
        <v>44460.28465277778</v>
      </c>
      <c r="Q431" s="81" t="s">
        <v>1324</v>
      </c>
      <c r="R431" s="81"/>
      <c r="S431" s="81"/>
      <c r="T431" s="81"/>
      <c r="U431" s="85" t="str">
        <f>HYPERLINK("https://pbs.twimg.com/media/E_xVJy2VQAQerFe.jpg")</f>
        <v>https://pbs.twimg.com/media/E_xVJy2VQAQerFe.jpg</v>
      </c>
      <c r="V431" s="85" t="str">
        <f>HYPERLINK("https://pbs.twimg.com/media/E_xVJy2VQAQerFe.jpg")</f>
        <v>https://pbs.twimg.com/media/E_xVJy2VQAQerFe.jpg</v>
      </c>
      <c r="W431" s="83">
        <v>44460.28465277778</v>
      </c>
      <c r="X431" s="89">
        <v>44460</v>
      </c>
      <c r="Y431" s="87" t="s">
        <v>2060</v>
      </c>
      <c r="Z431" s="85" t="str">
        <f>HYPERLINK("https://twitter.com/cheese_02/status/1440206634505039877")</f>
        <v>https://twitter.com/cheese_02/status/1440206634505039877</v>
      </c>
      <c r="AA431" s="81"/>
      <c r="AB431" s="81"/>
      <c r="AC431" s="87" t="s">
        <v>2983</v>
      </c>
      <c r="AD431" s="81"/>
      <c r="AE431" s="81" t="b">
        <v>0</v>
      </c>
      <c r="AF431" s="81">
        <v>0</v>
      </c>
      <c r="AG431" s="87" t="s">
        <v>3875</v>
      </c>
      <c r="AH431" s="81" t="b">
        <v>0</v>
      </c>
      <c r="AI431" s="81" t="s">
        <v>4092</v>
      </c>
      <c r="AJ431" s="81"/>
      <c r="AK431" s="87" t="s">
        <v>3875</v>
      </c>
      <c r="AL431" s="81" t="b">
        <v>0</v>
      </c>
      <c r="AM431" s="81">
        <v>321</v>
      </c>
      <c r="AN431" s="87" t="s">
        <v>3520</v>
      </c>
      <c r="AO431" s="87" t="s">
        <v>4109</v>
      </c>
      <c r="AP431" s="81" t="b">
        <v>0</v>
      </c>
      <c r="AQ431" s="87" t="s">
        <v>3520</v>
      </c>
      <c r="AR431" s="81" t="s">
        <v>179</v>
      </c>
      <c r="AS431" s="81">
        <v>0</v>
      </c>
      <c r="AT431" s="81">
        <v>0</v>
      </c>
      <c r="AU431" s="81"/>
      <c r="AV431" s="81"/>
      <c r="AW431" s="81"/>
      <c r="AX431" s="81"/>
      <c r="AY431" s="81"/>
      <c r="AZ431" s="81"/>
      <c r="BA431" s="81"/>
      <c r="BB431" s="81"/>
    </row>
    <row r="432" spans="1:54" x14ac:dyDescent="0.35">
      <c r="A432" s="66" t="s">
        <v>467</v>
      </c>
      <c r="B432" s="66" t="s">
        <v>910</v>
      </c>
      <c r="C432" s="67"/>
      <c r="D432" s="68"/>
      <c r="E432" s="69"/>
      <c r="F432" s="70"/>
      <c r="G432" s="67"/>
      <c r="H432" s="71"/>
      <c r="I432" s="72"/>
      <c r="J432" s="72"/>
      <c r="K432" s="36"/>
      <c r="L432" s="79"/>
      <c r="M432" s="79"/>
      <c r="N432" s="74"/>
      <c r="O432" s="81" t="s">
        <v>1205</v>
      </c>
      <c r="P432" s="83">
        <v>44460.28465277778</v>
      </c>
      <c r="Q432" s="81" t="s">
        <v>1324</v>
      </c>
      <c r="R432" s="81"/>
      <c r="S432" s="81"/>
      <c r="T432" s="81"/>
      <c r="U432" s="85" t="str">
        <f>HYPERLINK("https://pbs.twimg.com/media/E_xVJy2VQAQerFe.jpg")</f>
        <v>https://pbs.twimg.com/media/E_xVJy2VQAQerFe.jpg</v>
      </c>
      <c r="V432" s="85" t="str">
        <f>HYPERLINK("https://pbs.twimg.com/media/E_xVJy2VQAQerFe.jpg")</f>
        <v>https://pbs.twimg.com/media/E_xVJy2VQAQerFe.jpg</v>
      </c>
      <c r="W432" s="83">
        <v>44460.28465277778</v>
      </c>
      <c r="X432" s="89">
        <v>44460</v>
      </c>
      <c r="Y432" s="87" t="s">
        <v>2060</v>
      </c>
      <c r="Z432" s="85" t="str">
        <f>HYPERLINK("https://twitter.com/cheese_02/status/1440206634505039877")</f>
        <v>https://twitter.com/cheese_02/status/1440206634505039877</v>
      </c>
      <c r="AA432" s="81"/>
      <c r="AB432" s="81"/>
      <c r="AC432" s="87" t="s">
        <v>2983</v>
      </c>
      <c r="AD432" s="81"/>
      <c r="AE432" s="81" t="b">
        <v>0</v>
      </c>
      <c r="AF432" s="81">
        <v>0</v>
      </c>
      <c r="AG432" s="87" t="s">
        <v>3875</v>
      </c>
      <c r="AH432" s="81" t="b">
        <v>0</v>
      </c>
      <c r="AI432" s="81" t="s">
        <v>4092</v>
      </c>
      <c r="AJ432" s="81"/>
      <c r="AK432" s="87" t="s">
        <v>3875</v>
      </c>
      <c r="AL432" s="81" t="b">
        <v>0</v>
      </c>
      <c r="AM432" s="81">
        <v>321</v>
      </c>
      <c r="AN432" s="87" t="s">
        <v>3520</v>
      </c>
      <c r="AO432" s="87" t="s">
        <v>4109</v>
      </c>
      <c r="AP432" s="81" t="b">
        <v>0</v>
      </c>
      <c r="AQ432" s="87" t="s">
        <v>3520</v>
      </c>
      <c r="AR432" s="81" t="s">
        <v>179</v>
      </c>
      <c r="AS432" s="81">
        <v>0</v>
      </c>
      <c r="AT432" s="81">
        <v>0</v>
      </c>
      <c r="AU432" s="81"/>
      <c r="AV432" s="81"/>
      <c r="AW432" s="81"/>
      <c r="AX432" s="81"/>
      <c r="AY432" s="81"/>
      <c r="AZ432" s="81"/>
      <c r="BA432" s="81"/>
      <c r="BB432" s="81"/>
    </row>
    <row r="433" spans="1:54" x14ac:dyDescent="0.35">
      <c r="A433" s="66" t="s">
        <v>468</v>
      </c>
      <c r="B433" s="66" t="s">
        <v>1055</v>
      </c>
      <c r="C433" s="67"/>
      <c r="D433" s="68"/>
      <c r="E433" s="69"/>
      <c r="F433" s="70"/>
      <c r="G433" s="67"/>
      <c r="H433" s="71"/>
      <c r="I433" s="72"/>
      <c r="J433" s="72"/>
      <c r="K433" s="36"/>
      <c r="L433" s="79"/>
      <c r="M433" s="79"/>
      <c r="N433" s="74"/>
      <c r="O433" s="81" t="s">
        <v>1207</v>
      </c>
      <c r="P433" s="83">
        <v>44460.286620370367</v>
      </c>
      <c r="Q433" s="81" t="s">
        <v>1324</v>
      </c>
      <c r="R433" s="81"/>
      <c r="S433" s="81"/>
      <c r="T433" s="81"/>
      <c r="U433" s="85" t="str">
        <f>HYPERLINK("https://pbs.twimg.com/media/E_xVJy2VQAQerFe.jpg")</f>
        <v>https://pbs.twimg.com/media/E_xVJy2VQAQerFe.jpg</v>
      </c>
      <c r="V433" s="85" t="str">
        <f>HYPERLINK("https://pbs.twimg.com/media/E_xVJy2VQAQerFe.jpg")</f>
        <v>https://pbs.twimg.com/media/E_xVJy2VQAQerFe.jpg</v>
      </c>
      <c r="W433" s="83">
        <v>44460.286620370367</v>
      </c>
      <c r="X433" s="89">
        <v>44460</v>
      </c>
      <c r="Y433" s="87" t="s">
        <v>2061</v>
      </c>
      <c r="Z433" s="85" t="str">
        <f>HYPERLINK("https://twitter.com/cangcingiss/status/1440207348266516480")</f>
        <v>https://twitter.com/cangcingiss/status/1440207348266516480</v>
      </c>
      <c r="AA433" s="81"/>
      <c r="AB433" s="81"/>
      <c r="AC433" s="87" t="s">
        <v>2984</v>
      </c>
      <c r="AD433" s="81"/>
      <c r="AE433" s="81" t="b">
        <v>0</v>
      </c>
      <c r="AF433" s="81">
        <v>0</v>
      </c>
      <c r="AG433" s="87" t="s">
        <v>3875</v>
      </c>
      <c r="AH433" s="81" t="b">
        <v>0</v>
      </c>
      <c r="AI433" s="81" t="s">
        <v>4092</v>
      </c>
      <c r="AJ433" s="81"/>
      <c r="AK433" s="87" t="s">
        <v>3875</v>
      </c>
      <c r="AL433" s="81" t="b">
        <v>0</v>
      </c>
      <c r="AM433" s="81">
        <v>321</v>
      </c>
      <c r="AN433" s="87" t="s">
        <v>3520</v>
      </c>
      <c r="AO433" s="87" t="s">
        <v>4109</v>
      </c>
      <c r="AP433" s="81" t="b">
        <v>0</v>
      </c>
      <c r="AQ433" s="87" t="s">
        <v>3520</v>
      </c>
      <c r="AR433" s="81" t="s">
        <v>179</v>
      </c>
      <c r="AS433" s="81">
        <v>0</v>
      </c>
      <c r="AT433" s="81">
        <v>0</v>
      </c>
      <c r="AU433" s="81"/>
      <c r="AV433" s="81"/>
      <c r="AW433" s="81"/>
      <c r="AX433" s="81"/>
      <c r="AY433" s="81"/>
      <c r="AZ433" s="81"/>
      <c r="BA433" s="81"/>
      <c r="BB433" s="81"/>
    </row>
    <row r="434" spans="1:54" x14ac:dyDescent="0.35">
      <c r="A434" s="66" t="s">
        <v>468</v>
      </c>
      <c r="B434" s="66" t="s">
        <v>910</v>
      </c>
      <c r="C434" s="67"/>
      <c r="D434" s="68"/>
      <c r="E434" s="69"/>
      <c r="F434" s="70"/>
      <c r="G434" s="67"/>
      <c r="H434" s="71"/>
      <c r="I434" s="72"/>
      <c r="J434" s="72"/>
      <c r="K434" s="36"/>
      <c r="L434" s="79"/>
      <c r="M434" s="79"/>
      <c r="N434" s="74"/>
      <c r="O434" s="81" t="s">
        <v>1205</v>
      </c>
      <c r="P434" s="83">
        <v>44460.286620370367</v>
      </c>
      <c r="Q434" s="81" t="s">
        <v>1324</v>
      </c>
      <c r="R434" s="81"/>
      <c r="S434" s="81"/>
      <c r="T434" s="81"/>
      <c r="U434" s="85" t="str">
        <f>HYPERLINK("https://pbs.twimg.com/media/E_xVJy2VQAQerFe.jpg")</f>
        <v>https://pbs.twimg.com/media/E_xVJy2VQAQerFe.jpg</v>
      </c>
      <c r="V434" s="85" t="str">
        <f>HYPERLINK("https://pbs.twimg.com/media/E_xVJy2VQAQerFe.jpg")</f>
        <v>https://pbs.twimg.com/media/E_xVJy2VQAQerFe.jpg</v>
      </c>
      <c r="W434" s="83">
        <v>44460.286620370367</v>
      </c>
      <c r="X434" s="89">
        <v>44460</v>
      </c>
      <c r="Y434" s="87" t="s">
        <v>2061</v>
      </c>
      <c r="Z434" s="85" t="str">
        <f>HYPERLINK("https://twitter.com/cangcingiss/status/1440207348266516480")</f>
        <v>https://twitter.com/cangcingiss/status/1440207348266516480</v>
      </c>
      <c r="AA434" s="81"/>
      <c r="AB434" s="81"/>
      <c r="AC434" s="87" t="s">
        <v>2984</v>
      </c>
      <c r="AD434" s="81"/>
      <c r="AE434" s="81" t="b">
        <v>0</v>
      </c>
      <c r="AF434" s="81">
        <v>0</v>
      </c>
      <c r="AG434" s="87" t="s">
        <v>3875</v>
      </c>
      <c r="AH434" s="81" t="b">
        <v>0</v>
      </c>
      <c r="AI434" s="81" t="s">
        <v>4092</v>
      </c>
      <c r="AJ434" s="81"/>
      <c r="AK434" s="87" t="s">
        <v>3875</v>
      </c>
      <c r="AL434" s="81" t="b">
        <v>0</v>
      </c>
      <c r="AM434" s="81">
        <v>321</v>
      </c>
      <c r="AN434" s="87" t="s">
        <v>3520</v>
      </c>
      <c r="AO434" s="87" t="s">
        <v>4109</v>
      </c>
      <c r="AP434" s="81" t="b">
        <v>0</v>
      </c>
      <c r="AQ434" s="87" t="s">
        <v>3520</v>
      </c>
      <c r="AR434" s="81" t="s">
        <v>179</v>
      </c>
      <c r="AS434" s="81">
        <v>0</v>
      </c>
      <c r="AT434" s="81">
        <v>0</v>
      </c>
      <c r="AU434" s="81"/>
      <c r="AV434" s="81"/>
      <c r="AW434" s="81"/>
      <c r="AX434" s="81"/>
      <c r="AY434" s="81"/>
      <c r="AZ434" s="81"/>
      <c r="BA434" s="81"/>
      <c r="BB434" s="81"/>
    </row>
    <row r="435" spans="1:54" x14ac:dyDescent="0.35">
      <c r="A435" s="66" t="s">
        <v>469</v>
      </c>
      <c r="B435" s="66" t="s">
        <v>1055</v>
      </c>
      <c r="C435" s="67"/>
      <c r="D435" s="68"/>
      <c r="E435" s="69"/>
      <c r="F435" s="70"/>
      <c r="G435" s="67"/>
      <c r="H435" s="71"/>
      <c r="I435" s="72"/>
      <c r="J435" s="72"/>
      <c r="K435" s="36"/>
      <c r="L435" s="79"/>
      <c r="M435" s="79"/>
      <c r="N435" s="74"/>
      <c r="O435" s="81" t="s">
        <v>1207</v>
      </c>
      <c r="P435" s="83">
        <v>44460.286643518521</v>
      </c>
      <c r="Q435" s="81" t="s">
        <v>1324</v>
      </c>
      <c r="R435" s="81"/>
      <c r="S435" s="81"/>
      <c r="T435" s="81"/>
      <c r="U435" s="85" t="str">
        <f>HYPERLINK("https://pbs.twimg.com/media/E_xVJy2VQAQerFe.jpg")</f>
        <v>https://pbs.twimg.com/media/E_xVJy2VQAQerFe.jpg</v>
      </c>
      <c r="V435" s="85" t="str">
        <f>HYPERLINK("https://pbs.twimg.com/media/E_xVJy2VQAQerFe.jpg")</f>
        <v>https://pbs.twimg.com/media/E_xVJy2VQAQerFe.jpg</v>
      </c>
      <c r="W435" s="83">
        <v>44460.286643518521</v>
      </c>
      <c r="X435" s="89">
        <v>44460</v>
      </c>
      <c r="Y435" s="87" t="s">
        <v>2062</v>
      </c>
      <c r="Z435" s="85" t="str">
        <f>HYPERLINK("https://twitter.com/konconkri/status/1440207358341251082")</f>
        <v>https://twitter.com/konconkri/status/1440207358341251082</v>
      </c>
      <c r="AA435" s="81"/>
      <c r="AB435" s="81"/>
      <c r="AC435" s="87" t="s">
        <v>2985</v>
      </c>
      <c r="AD435" s="81"/>
      <c r="AE435" s="81" t="b">
        <v>0</v>
      </c>
      <c r="AF435" s="81">
        <v>0</v>
      </c>
      <c r="AG435" s="87" t="s">
        <v>3875</v>
      </c>
      <c r="AH435" s="81" t="b">
        <v>0</v>
      </c>
      <c r="AI435" s="81" t="s">
        <v>4092</v>
      </c>
      <c r="AJ435" s="81"/>
      <c r="AK435" s="87" t="s">
        <v>3875</v>
      </c>
      <c r="AL435" s="81" t="b">
        <v>0</v>
      </c>
      <c r="AM435" s="81">
        <v>321</v>
      </c>
      <c r="AN435" s="87" t="s">
        <v>3520</v>
      </c>
      <c r="AO435" s="87" t="s">
        <v>4109</v>
      </c>
      <c r="AP435" s="81" t="b">
        <v>0</v>
      </c>
      <c r="AQ435" s="87" t="s">
        <v>3520</v>
      </c>
      <c r="AR435" s="81" t="s">
        <v>179</v>
      </c>
      <c r="AS435" s="81">
        <v>0</v>
      </c>
      <c r="AT435" s="81">
        <v>0</v>
      </c>
      <c r="AU435" s="81"/>
      <c r="AV435" s="81"/>
      <c r="AW435" s="81"/>
      <c r="AX435" s="81"/>
      <c r="AY435" s="81"/>
      <c r="AZ435" s="81"/>
      <c r="BA435" s="81"/>
      <c r="BB435" s="81"/>
    </row>
    <row r="436" spans="1:54" x14ac:dyDescent="0.35">
      <c r="A436" s="66" t="s">
        <v>469</v>
      </c>
      <c r="B436" s="66" t="s">
        <v>910</v>
      </c>
      <c r="C436" s="67"/>
      <c r="D436" s="68"/>
      <c r="E436" s="69"/>
      <c r="F436" s="70"/>
      <c r="G436" s="67"/>
      <c r="H436" s="71"/>
      <c r="I436" s="72"/>
      <c r="J436" s="72"/>
      <c r="K436" s="36"/>
      <c r="L436" s="79"/>
      <c r="M436" s="79"/>
      <c r="N436" s="74"/>
      <c r="O436" s="81" t="s">
        <v>1205</v>
      </c>
      <c r="P436" s="83">
        <v>44460.286643518521</v>
      </c>
      <c r="Q436" s="81" t="s">
        <v>1324</v>
      </c>
      <c r="R436" s="81"/>
      <c r="S436" s="81"/>
      <c r="T436" s="81"/>
      <c r="U436" s="85" t="str">
        <f>HYPERLINK("https://pbs.twimg.com/media/E_xVJy2VQAQerFe.jpg")</f>
        <v>https://pbs.twimg.com/media/E_xVJy2VQAQerFe.jpg</v>
      </c>
      <c r="V436" s="85" t="str">
        <f>HYPERLINK("https://pbs.twimg.com/media/E_xVJy2VQAQerFe.jpg")</f>
        <v>https://pbs.twimg.com/media/E_xVJy2VQAQerFe.jpg</v>
      </c>
      <c r="W436" s="83">
        <v>44460.286643518521</v>
      </c>
      <c r="X436" s="89">
        <v>44460</v>
      </c>
      <c r="Y436" s="87" t="s">
        <v>2062</v>
      </c>
      <c r="Z436" s="85" t="str">
        <f>HYPERLINK("https://twitter.com/konconkri/status/1440207358341251082")</f>
        <v>https://twitter.com/konconkri/status/1440207358341251082</v>
      </c>
      <c r="AA436" s="81"/>
      <c r="AB436" s="81"/>
      <c r="AC436" s="87" t="s">
        <v>2985</v>
      </c>
      <c r="AD436" s="81"/>
      <c r="AE436" s="81" t="b">
        <v>0</v>
      </c>
      <c r="AF436" s="81">
        <v>0</v>
      </c>
      <c r="AG436" s="87" t="s">
        <v>3875</v>
      </c>
      <c r="AH436" s="81" t="b">
        <v>0</v>
      </c>
      <c r="AI436" s="81" t="s">
        <v>4092</v>
      </c>
      <c r="AJ436" s="81"/>
      <c r="AK436" s="87" t="s">
        <v>3875</v>
      </c>
      <c r="AL436" s="81" t="b">
        <v>0</v>
      </c>
      <c r="AM436" s="81">
        <v>321</v>
      </c>
      <c r="AN436" s="87" t="s">
        <v>3520</v>
      </c>
      <c r="AO436" s="87" t="s">
        <v>4109</v>
      </c>
      <c r="AP436" s="81" t="b">
        <v>0</v>
      </c>
      <c r="AQ436" s="87" t="s">
        <v>3520</v>
      </c>
      <c r="AR436" s="81" t="s">
        <v>179</v>
      </c>
      <c r="AS436" s="81">
        <v>0</v>
      </c>
      <c r="AT436" s="81">
        <v>0</v>
      </c>
      <c r="AU436" s="81"/>
      <c r="AV436" s="81"/>
      <c r="AW436" s="81"/>
      <c r="AX436" s="81"/>
      <c r="AY436" s="81"/>
      <c r="AZ436" s="81"/>
      <c r="BA436" s="81"/>
      <c r="BB436" s="81"/>
    </row>
    <row r="437" spans="1:54" x14ac:dyDescent="0.35">
      <c r="A437" s="66" t="s">
        <v>470</v>
      </c>
      <c r="B437" s="66" t="s">
        <v>1055</v>
      </c>
      <c r="C437" s="67"/>
      <c r="D437" s="68"/>
      <c r="E437" s="69"/>
      <c r="F437" s="70"/>
      <c r="G437" s="67"/>
      <c r="H437" s="71"/>
      <c r="I437" s="72"/>
      <c r="J437" s="72"/>
      <c r="K437" s="36"/>
      <c r="L437" s="79"/>
      <c r="M437" s="79"/>
      <c r="N437" s="74"/>
      <c r="O437" s="81" t="s">
        <v>1207</v>
      </c>
      <c r="P437" s="83">
        <v>44460.287997685184</v>
      </c>
      <c r="Q437" s="81" t="s">
        <v>1324</v>
      </c>
      <c r="R437" s="81"/>
      <c r="S437" s="81"/>
      <c r="T437" s="81"/>
      <c r="U437" s="85" t="str">
        <f>HYPERLINK("https://pbs.twimg.com/media/E_xVJy2VQAQerFe.jpg")</f>
        <v>https://pbs.twimg.com/media/E_xVJy2VQAQerFe.jpg</v>
      </c>
      <c r="V437" s="85" t="str">
        <f>HYPERLINK("https://pbs.twimg.com/media/E_xVJy2VQAQerFe.jpg")</f>
        <v>https://pbs.twimg.com/media/E_xVJy2VQAQerFe.jpg</v>
      </c>
      <c r="W437" s="83">
        <v>44460.287997685184</v>
      </c>
      <c r="X437" s="89">
        <v>44460</v>
      </c>
      <c r="Y437" s="87" t="s">
        <v>2063</v>
      </c>
      <c r="Z437" s="85" t="str">
        <f>HYPERLINK("https://twitter.com/andreasnuryan2/status/1440207847820718091")</f>
        <v>https://twitter.com/andreasnuryan2/status/1440207847820718091</v>
      </c>
      <c r="AA437" s="81"/>
      <c r="AB437" s="81"/>
      <c r="AC437" s="87" t="s">
        <v>2986</v>
      </c>
      <c r="AD437" s="81"/>
      <c r="AE437" s="81" t="b">
        <v>0</v>
      </c>
      <c r="AF437" s="81">
        <v>0</v>
      </c>
      <c r="AG437" s="87" t="s">
        <v>3875</v>
      </c>
      <c r="AH437" s="81" t="b">
        <v>0</v>
      </c>
      <c r="AI437" s="81" t="s">
        <v>4092</v>
      </c>
      <c r="AJ437" s="81"/>
      <c r="AK437" s="87" t="s">
        <v>3875</v>
      </c>
      <c r="AL437" s="81" t="b">
        <v>0</v>
      </c>
      <c r="AM437" s="81">
        <v>321</v>
      </c>
      <c r="AN437" s="87" t="s">
        <v>3520</v>
      </c>
      <c r="AO437" s="87" t="s">
        <v>4109</v>
      </c>
      <c r="AP437" s="81" t="b">
        <v>0</v>
      </c>
      <c r="AQ437" s="87" t="s">
        <v>3520</v>
      </c>
      <c r="AR437" s="81" t="s">
        <v>179</v>
      </c>
      <c r="AS437" s="81">
        <v>0</v>
      </c>
      <c r="AT437" s="81">
        <v>0</v>
      </c>
      <c r="AU437" s="81"/>
      <c r="AV437" s="81"/>
      <c r="AW437" s="81"/>
      <c r="AX437" s="81"/>
      <c r="AY437" s="81"/>
      <c r="AZ437" s="81"/>
      <c r="BA437" s="81"/>
      <c r="BB437" s="81"/>
    </row>
    <row r="438" spans="1:54" x14ac:dyDescent="0.35">
      <c r="A438" s="66" t="s">
        <v>470</v>
      </c>
      <c r="B438" s="66" t="s">
        <v>910</v>
      </c>
      <c r="C438" s="67"/>
      <c r="D438" s="68"/>
      <c r="E438" s="69"/>
      <c r="F438" s="70"/>
      <c r="G438" s="67"/>
      <c r="H438" s="71"/>
      <c r="I438" s="72"/>
      <c r="J438" s="72"/>
      <c r="K438" s="36"/>
      <c r="L438" s="79"/>
      <c r="M438" s="79"/>
      <c r="N438" s="74"/>
      <c r="O438" s="81" t="s">
        <v>1205</v>
      </c>
      <c r="P438" s="83">
        <v>44460.287997685184</v>
      </c>
      <c r="Q438" s="81" t="s">
        <v>1324</v>
      </c>
      <c r="R438" s="81"/>
      <c r="S438" s="81"/>
      <c r="T438" s="81"/>
      <c r="U438" s="85" t="str">
        <f>HYPERLINK("https://pbs.twimg.com/media/E_xVJy2VQAQerFe.jpg")</f>
        <v>https://pbs.twimg.com/media/E_xVJy2VQAQerFe.jpg</v>
      </c>
      <c r="V438" s="85" t="str">
        <f>HYPERLINK("https://pbs.twimg.com/media/E_xVJy2VQAQerFe.jpg")</f>
        <v>https://pbs.twimg.com/media/E_xVJy2VQAQerFe.jpg</v>
      </c>
      <c r="W438" s="83">
        <v>44460.287997685184</v>
      </c>
      <c r="X438" s="89">
        <v>44460</v>
      </c>
      <c r="Y438" s="87" t="s">
        <v>2063</v>
      </c>
      <c r="Z438" s="85" t="str">
        <f>HYPERLINK("https://twitter.com/andreasnuryan2/status/1440207847820718091")</f>
        <v>https://twitter.com/andreasnuryan2/status/1440207847820718091</v>
      </c>
      <c r="AA438" s="81"/>
      <c r="AB438" s="81"/>
      <c r="AC438" s="87" t="s">
        <v>2986</v>
      </c>
      <c r="AD438" s="81"/>
      <c r="AE438" s="81" t="b">
        <v>0</v>
      </c>
      <c r="AF438" s="81">
        <v>0</v>
      </c>
      <c r="AG438" s="87" t="s">
        <v>3875</v>
      </c>
      <c r="AH438" s="81" t="b">
        <v>0</v>
      </c>
      <c r="AI438" s="81" t="s">
        <v>4092</v>
      </c>
      <c r="AJ438" s="81"/>
      <c r="AK438" s="87" t="s">
        <v>3875</v>
      </c>
      <c r="AL438" s="81" t="b">
        <v>0</v>
      </c>
      <c r="AM438" s="81">
        <v>321</v>
      </c>
      <c r="AN438" s="87" t="s">
        <v>3520</v>
      </c>
      <c r="AO438" s="87" t="s">
        <v>4109</v>
      </c>
      <c r="AP438" s="81" t="b">
        <v>0</v>
      </c>
      <c r="AQ438" s="87" t="s">
        <v>3520</v>
      </c>
      <c r="AR438" s="81" t="s">
        <v>179</v>
      </c>
      <c r="AS438" s="81">
        <v>0</v>
      </c>
      <c r="AT438" s="81">
        <v>0</v>
      </c>
      <c r="AU438" s="81"/>
      <c r="AV438" s="81"/>
      <c r="AW438" s="81"/>
      <c r="AX438" s="81"/>
      <c r="AY438" s="81"/>
      <c r="AZ438" s="81"/>
      <c r="BA438" s="81"/>
      <c r="BB438" s="81"/>
    </row>
    <row r="439" spans="1:54" x14ac:dyDescent="0.35">
      <c r="A439" s="66" t="s">
        <v>471</v>
      </c>
      <c r="B439" s="66" t="s">
        <v>1055</v>
      </c>
      <c r="C439" s="67"/>
      <c r="D439" s="68"/>
      <c r="E439" s="69"/>
      <c r="F439" s="70"/>
      <c r="G439" s="67"/>
      <c r="H439" s="71"/>
      <c r="I439" s="72"/>
      <c r="J439" s="72"/>
      <c r="K439" s="36"/>
      <c r="L439" s="79"/>
      <c r="M439" s="79"/>
      <c r="N439" s="74"/>
      <c r="O439" s="81" t="s">
        <v>1207</v>
      </c>
      <c r="P439" s="83">
        <v>44460.288090277776</v>
      </c>
      <c r="Q439" s="81" t="s">
        <v>1324</v>
      </c>
      <c r="R439" s="81"/>
      <c r="S439" s="81"/>
      <c r="T439" s="81"/>
      <c r="U439" s="85" t="str">
        <f>HYPERLINK("https://pbs.twimg.com/media/E_xVJy2VQAQerFe.jpg")</f>
        <v>https://pbs.twimg.com/media/E_xVJy2VQAQerFe.jpg</v>
      </c>
      <c r="V439" s="85" t="str">
        <f>HYPERLINK("https://pbs.twimg.com/media/E_xVJy2VQAQerFe.jpg")</f>
        <v>https://pbs.twimg.com/media/E_xVJy2VQAQerFe.jpg</v>
      </c>
      <c r="W439" s="83">
        <v>44460.288090277776</v>
      </c>
      <c r="X439" s="89">
        <v>44460</v>
      </c>
      <c r="Y439" s="87" t="s">
        <v>2064</v>
      </c>
      <c r="Z439" s="85" t="str">
        <f>HYPERLINK("https://twitter.com/fauziah_sifa28/status/1440207881597427721")</f>
        <v>https://twitter.com/fauziah_sifa28/status/1440207881597427721</v>
      </c>
      <c r="AA439" s="81"/>
      <c r="AB439" s="81"/>
      <c r="AC439" s="87" t="s">
        <v>2987</v>
      </c>
      <c r="AD439" s="81"/>
      <c r="AE439" s="81" t="b">
        <v>0</v>
      </c>
      <c r="AF439" s="81">
        <v>0</v>
      </c>
      <c r="AG439" s="87" t="s">
        <v>3875</v>
      </c>
      <c r="AH439" s="81" t="b">
        <v>0</v>
      </c>
      <c r="AI439" s="81" t="s">
        <v>4092</v>
      </c>
      <c r="AJ439" s="81"/>
      <c r="AK439" s="87" t="s">
        <v>3875</v>
      </c>
      <c r="AL439" s="81" t="b">
        <v>0</v>
      </c>
      <c r="AM439" s="81">
        <v>321</v>
      </c>
      <c r="AN439" s="87" t="s">
        <v>3520</v>
      </c>
      <c r="AO439" s="87" t="s">
        <v>4109</v>
      </c>
      <c r="AP439" s="81" t="b">
        <v>0</v>
      </c>
      <c r="AQ439" s="87" t="s">
        <v>3520</v>
      </c>
      <c r="AR439" s="81" t="s">
        <v>179</v>
      </c>
      <c r="AS439" s="81">
        <v>0</v>
      </c>
      <c r="AT439" s="81">
        <v>0</v>
      </c>
      <c r="AU439" s="81"/>
      <c r="AV439" s="81"/>
      <c r="AW439" s="81"/>
      <c r="AX439" s="81"/>
      <c r="AY439" s="81"/>
      <c r="AZ439" s="81"/>
      <c r="BA439" s="81"/>
      <c r="BB439" s="81"/>
    </row>
    <row r="440" spans="1:54" x14ac:dyDescent="0.35">
      <c r="A440" s="66" t="s">
        <v>471</v>
      </c>
      <c r="B440" s="66" t="s">
        <v>910</v>
      </c>
      <c r="C440" s="67"/>
      <c r="D440" s="68"/>
      <c r="E440" s="69"/>
      <c r="F440" s="70"/>
      <c r="G440" s="67"/>
      <c r="H440" s="71"/>
      <c r="I440" s="72"/>
      <c r="J440" s="72"/>
      <c r="K440" s="36"/>
      <c r="L440" s="79"/>
      <c r="M440" s="79"/>
      <c r="N440" s="74"/>
      <c r="O440" s="81" t="s">
        <v>1205</v>
      </c>
      <c r="P440" s="83">
        <v>44460.288090277776</v>
      </c>
      <c r="Q440" s="81" t="s">
        <v>1324</v>
      </c>
      <c r="R440" s="81"/>
      <c r="S440" s="81"/>
      <c r="T440" s="81"/>
      <c r="U440" s="85" t="str">
        <f>HYPERLINK("https://pbs.twimg.com/media/E_xVJy2VQAQerFe.jpg")</f>
        <v>https://pbs.twimg.com/media/E_xVJy2VQAQerFe.jpg</v>
      </c>
      <c r="V440" s="85" t="str">
        <f>HYPERLINK("https://pbs.twimg.com/media/E_xVJy2VQAQerFe.jpg")</f>
        <v>https://pbs.twimg.com/media/E_xVJy2VQAQerFe.jpg</v>
      </c>
      <c r="W440" s="83">
        <v>44460.288090277776</v>
      </c>
      <c r="X440" s="89">
        <v>44460</v>
      </c>
      <c r="Y440" s="87" t="s">
        <v>2064</v>
      </c>
      <c r="Z440" s="85" t="str">
        <f>HYPERLINK("https://twitter.com/fauziah_sifa28/status/1440207881597427721")</f>
        <v>https://twitter.com/fauziah_sifa28/status/1440207881597427721</v>
      </c>
      <c r="AA440" s="81"/>
      <c r="AB440" s="81"/>
      <c r="AC440" s="87" t="s">
        <v>2987</v>
      </c>
      <c r="AD440" s="81"/>
      <c r="AE440" s="81" t="b">
        <v>0</v>
      </c>
      <c r="AF440" s="81">
        <v>0</v>
      </c>
      <c r="AG440" s="87" t="s">
        <v>3875</v>
      </c>
      <c r="AH440" s="81" t="b">
        <v>0</v>
      </c>
      <c r="AI440" s="81" t="s">
        <v>4092</v>
      </c>
      <c r="AJ440" s="81"/>
      <c r="AK440" s="87" t="s">
        <v>3875</v>
      </c>
      <c r="AL440" s="81" t="b">
        <v>0</v>
      </c>
      <c r="AM440" s="81">
        <v>321</v>
      </c>
      <c r="AN440" s="87" t="s">
        <v>3520</v>
      </c>
      <c r="AO440" s="87" t="s">
        <v>4109</v>
      </c>
      <c r="AP440" s="81" t="b">
        <v>0</v>
      </c>
      <c r="AQ440" s="87" t="s">
        <v>3520</v>
      </c>
      <c r="AR440" s="81" t="s">
        <v>179</v>
      </c>
      <c r="AS440" s="81">
        <v>0</v>
      </c>
      <c r="AT440" s="81">
        <v>0</v>
      </c>
      <c r="AU440" s="81"/>
      <c r="AV440" s="81"/>
      <c r="AW440" s="81"/>
      <c r="AX440" s="81"/>
      <c r="AY440" s="81"/>
      <c r="AZ440" s="81"/>
      <c r="BA440" s="81"/>
      <c r="BB440" s="81"/>
    </row>
    <row r="441" spans="1:54" x14ac:dyDescent="0.35">
      <c r="A441" s="66" t="s">
        <v>472</v>
      </c>
      <c r="B441" s="66" t="s">
        <v>1055</v>
      </c>
      <c r="C441" s="67"/>
      <c r="D441" s="68"/>
      <c r="E441" s="69"/>
      <c r="F441" s="70"/>
      <c r="G441" s="67"/>
      <c r="H441" s="71"/>
      <c r="I441" s="72"/>
      <c r="J441" s="72"/>
      <c r="K441" s="36"/>
      <c r="L441" s="79"/>
      <c r="M441" s="79"/>
      <c r="N441" s="74"/>
      <c r="O441" s="81" t="s">
        <v>1207</v>
      </c>
      <c r="P441" s="83">
        <v>44460.289143518516</v>
      </c>
      <c r="Q441" s="81" t="s">
        <v>1324</v>
      </c>
      <c r="R441" s="81"/>
      <c r="S441" s="81"/>
      <c r="T441" s="81"/>
      <c r="U441" s="85" t="str">
        <f>HYPERLINK("https://pbs.twimg.com/media/E_xVJy2VQAQerFe.jpg")</f>
        <v>https://pbs.twimg.com/media/E_xVJy2VQAQerFe.jpg</v>
      </c>
      <c r="V441" s="85" t="str">
        <f>HYPERLINK("https://pbs.twimg.com/media/E_xVJy2VQAQerFe.jpg")</f>
        <v>https://pbs.twimg.com/media/E_xVJy2VQAQerFe.jpg</v>
      </c>
      <c r="W441" s="83">
        <v>44460.289143518516</v>
      </c>
      <c r="X441" s="89">
        <v>44460</v>
      </c>
      <c r="Y441" s="87" t="s">
        <v>2065</v>
      </c>
      <c r="Z441" s="85" t="str">
        <f>HYPERLINK("https://twitter.com/ariefanarya/status/1440208261840470020")</f>
        <v>https://twitter.com/ariefanarya/status/1440208261840470020</v>
      </c>
      <c r="AA441" s="81"/>
      <c r="AB441" s="81"/>
      <c r="AC441" s="87" t="s">
        <v>2988</v>
      </c>
      <c r="AD441" s="81"/>
      <c r="AE441" s="81" t="b">
        <v>0</v>
      </c>
      <c r="AF441" s="81">
        <v>0</v>
      </c>
      <c r="AG441" s="87" t="s">
        <v>3875</v>
      </c>
      <c r="AH441" s="81" t="b">
        <v>0</v>
      </c>
      <c r="AI441" s="81" t="s">
        <v>4092</v>
      </c>
      <c r="AJ441" s="81"/>
      <c r="AK441" s="87" t="s">
        <v>3875</v>
      </c>
      <c r="AL441" s="81" t="b">
        <v>0</v>
      </c>
      <c r="AM441" s="81">
        <v>321</v>
      </c>
      <c r="AN441" s="87" t="s">
        <v>3520</v>
      </c>
      <c r="AO441" s="87" t="s">
        <v>4109</v>
      </c>
      <c r="AP441" s="81" t="b">
        <v>0</v>
      </c>
      <c r="AQ441" s="87" t="s">
        <v>3520</v>
      </c>
      <c r="AR441" s="81" t="s">
        <v>179</v>
      </c>
      <c r="AS441" s="81">
        <v>0</v>
      </c>
      <c r="AT441" s="81">
        <v>0</v>
      </c>
      <c r="AU441" s="81"/>
      <c r="AV441" s="81"/>
      <c r="AW441" s="81"/>
      <c r="AX441" s="81"/>
      <c r="AY441" s="81"/>
      <c r="AZ441" s="81"/>
      <c r="BA441" s="81"/>
      <c r="BB441" s="81"/>
    </row>
    <row r="442" spans="1:54" x14ac:dyDescent="0.35">
      <c r="A442" s="66" t="s">
        <v>472</v>
      </c>
      <c r="B442" s="66" t="s">
        <v>910</v>
      </c>
      <c r="C442" s="67"/>
      <c r="D442" s="68"/>
      <c r="E442" s="69"/>
      <c r="F442" s="70"/>
      <c r="G442" s="67"/>
      <c r="H442" s="71"/>
      <c r="I442" s="72"/>
      <c r="J442" s="72"/>
      <c r="K442" s="36"/>
      <c r="L442" s="79"/>
      <c r="M442" s="79"/>
      <c r="N442" s="74"/>
      <c r="O442" s="81" t="s">
        <v>1205</v>
      </c>
      <c r="P442" s="83">
        <v>44460.289143518516</v>
      </c>
      <c r="Q442" s="81" t="s">
        <v>1324</v>
      </c>
      <c r="R442" s="81"/>
      <c r="S442" s="81"/>
      <c r="T442" s="81"/>
      <c r="U442" s="85" t="str">
        <f>HYPERLINK("https://pbs.twimg.com/media/E_xVJy2VQAQerFe.jpg")</f>
        <v>https://pbs.twimg.com/media/E_xVJy2VQAQerFe.jpg</v>
      </c>
      <c r="V442" s="85" t="str">
        <f>HYPERLINK("https://pbs.twimg.com/media/E_xVJy2VQAQerFe.jpg")</f>
        <v>https://pbs.twimg.com/media/E_xVJy2VQAQerFe.jpg</v>
      </c>
      <c r="W442" s="83">
        <v>44460.289143518516</v>
      </c>
      <c r="X442" s="89">
        <v>44460</v>
      </c>
      <c r="Y442" s="87" t="s">
        <v>2065</v>
      </c>
      <c r="Z442" s="85" t="str">
        <f>HYPERLINK("https://twitter.com/ariefanarya/status/1440208261840470020")</f>
        <v>https://twitter.com/ariefanarya/status/1440208261840470020</v>
      </c>
      <c r="AA442" s="81"/>
      <c r="AB442" s="81"/>
      <c r="AC442" s="87" t="s">
        <v>2988</v>
      </c>
      <c r="AD442" s="81"/>
      <c r="AE442" s="81" t="b">
        <v>0</v>
      </c>
      <c r="AF442" s="81">
        <v>0</v>
      </c>
      <c r="AG442" s="87" t="s">
        <v>3875</v>
      </c>
      <c r="AH442" s="81" t="b">
        <v>0</v>
      </c>
      <c r="AI442" s="81" t="s">
        <v>4092</v>
      </c>
      <c r="AJ442" s="81"/>
      <c r="AK442" s="87" t="s">
        <v>3875</v>
      </c>
      <c r="AL442" s="81" t="b">
        <v>0</v>
      </c>
      <c r="AM442" s="81">
        <v>321</v>
      </c>
      <c r="AN442" s="87" t="s">
        <v>3520</v>
      </c>
      <c r="AO442" s="87" t="s">
        <v>4109</v>
      </c>
      <c r="AP442" s="81" t="b">
        <v>0</v>
      </c>
      <c r="AQ442" s="87" t="s">
        <v>3520</v>
      </c>
      <c r="AR442" s="81" t="s">
        <v>179</v>
      </c>
      <c r="AS442" s="81">
        <v>0</v>
      </c>
      <c r="AT442" s="81">
        <v>0</v>
      </c>
      <c r="AU442" s="81"/>
      <c r="AV442" s="81"/>
      <c r="AW442" s="81"/>
      <c r="AX442" s="81"/>
      <c r="AY442" s="81"/>
      <c r="AZ442" s="81"/>
      <c r="BA442" s="81"/>
      <c r="BB442" s="81"/>
    </row>
    <row r="443" spans="1:54" x14ac:dyDescent="0.35">
      <c r="A443" s="66" t="s">
        <v>473</v>
      </c>
      <c r="B443" s="66" t="s">
        <v>1055</v>
      </c>
      <c r="C443" s="67"/>
      <c r="D443" s="68"/>
      <c r="E443" s="69"/>
      <c r="F443" s="70"/>
      <c r="G443" s="67"/>
      <c r="H443" s="71"/>
      <c r="I443" s="72"/>
      <c r="J443" s="72"/>
      <c r="K443" s="36"/>
      <c r="L443" s="79"/>
      <c r="M443" s="79"/>
      <c r="N443" s="74"/>
      <c r="O443" s="81" t="s">
        <v>1207</v>
      </c>
      <c r="P443" s="83">
        <v>44460.29005787037</v>
      </c>
      <c r="Q443" s="81" t="s">
        <v>1324</v>
      </c>
      <c r="R443" s="81"/>
      <c r="S443" s="81"/>
      <c r="T443" s="81"/>
      <c r="U443" s="85" t="str">
        <f>HYPERLINK("https://pbs.twimg.com/media/E_xVJy2VQAQerFe.jpg")</f>
        <v>https://pbs.twimg.com/media/E_xVJy2VQAQerFe.jpg</v>
      </c>
      <c r="V443" s="85" t="str">
        <f>HYPERLINK("https://pbs.twimg.com/media/E_xVJy2VQAQerFe.jpg")</f>
        <v>https://pbs.twimg.com/media/E_xVJy2VQAQerFe.jpg</v>
      </c>
      <c r="W443" s="83">
        <v>44460.29005787037</v>
      </c>
      <c r="X443" s="89">
        <v>44460</v>
      </c>
      <c r="Y443" s="87" t="s">
        <v>2066</v>
      </c>
      <c r="Z443" s="85" t="str">
        <f>HYPERLINK("https://twitter.com/sgrdamai/status/1440208593924472840")</f>
        <v>https://twitter.com/sgrdamai/status/1440208593924472840</v>
      </c>
      <c r="AA443" s="81"/>
      <c r="AB443" s="81"/>
      <c r="AC443" s="87" t="s">
        <v>2989</v>
      </c>
      <c r="AD443" s="81"/>
      <c r="AE443" s="81" t="b">
        <v>0</v>
      </c>
      <c r="AF443" s="81">
        <v>0</v>
      </c>
      <c r="AG443" s="87" t="s">
        <v>3875</v>
      </c>
      <c r="AH443" s="81" t="b">
        <v>0</v>
      </c>
      <c r="AI443" s="81" t="s">
        <v>4092</v>
      </c>
      <c r="AJ443" s="81"/>
      <c r="AK443" s="87" t="s">
        <v>3875</v>
      </c>
      <c r="AL443" s="81" t="b">
        <v>0</v>
      </c>
      <c r="AM443" s="81">
        <v>321</v>
      </c>
      <c r="AN443" s="87" t="s">
        <v>3520</v>
      </c>
      <c r="AO443" s="87" t="s">
        <v>4111</v>
      </c>
      <c r="AP443" s="81" t="b">
        <v>0</v>
      </c>
      <c r="AQ443" s="87" t="s">
        <v>3520</v>
      </c>
      <c r="AR443" s="81" t="s">
        <v>179</v>
      </c>
      <c r="AS443" s="81">
        <v>0</v>
      </c>
      <c r="AT443" s="81">
        <v>0</v>
      </c>
      <c r="AU443" s="81"/>
      <c r="AV443" s="81"/>
      <c r="AW443" s="81"/>
      <c r="AX443" s="81"/>
      <c r="AY443" s="81"/>
      <c r="AZ443" s="81"/>
      <c r="BA443" s="81"/>
      <c r="BB443" s="81"/>
    </row>
    <row r="444" spans="1:54" x14ac:dyDescent="0.35">
      <c r="A444" s="66" t="s">
        <v>473</v>
      </c>
      <c r="B444" s="66" t="s">
        <v>910</v>
      </c>
      <c r="C444" s="67"/>
      <c r="D444" s="68"/>
      <c r="E444" s="69"/>
      <c r="F444" s="70"/>
      <c r="G444" s="67"/>
      <c r="H444" s="71"/>
      <c r="I444" s="72"/>
      <c r="J444" s="72"/>
      <c r="K444" s="36"/>
      <c r="L444" s="79"/>
      <c r="M444" s="79"/>
      <c r="N444" s="74"/>
      <c r="O444" s="81" t="s">
        <v>1205</v>
      </c>
      <c r="P444" s="83">
        <v>44460.29005787037</v>
      </c>
      <c r="Q444" s="81" t="s">
        <v>1324</v>
      </c>
      <c r="R444" s="81"/>
      <c r="S444" s="81"/>
      <c r="T444" s="81"/>
      <c r="U444" s="85" t="str">
        <f>HYPERLINK("https://pbs.twimg.com/media/E_xVJy2VQAQerFe.jpg")</f>
        <v>https://pbs.twimg.com/media/E_xVJy2VQAQerFe.jpg</v>
      </c>
      <c r="V444" s="85" t="str">
        <f>HYPERLINK("https://pbs.twimg.com/media/E_xVJy2VQAQerFe.jpg")</f>
        <v>https://pbs.twimg.com/media/E_xVJy2VQAQerFe.jpg</v>
      </c>
      <c r="W444" s="83">
        <v>44460.29005787037</v>
      </c>
      <c r="X444" s="89">
        <v>44460</v>
      </c>
      <c r="Y444" s="87" t="s">
        <v>2066</v>
      </c>
      <c r="Z444" s="85" t="str">
        <f>HYPERLINK("https://twitter.com/sgrdamai/status/1440208593924472840")</f>
        <v>https://twitter.com/sgrdamai/status/1440208593924472840</v>
      </c>
      <c r="AA444" s="81"/>
      <c r="AB444" s="81"/>
      <c r="AC444" s="87" t="s">
        <v>2989</v>
      </c>
      <c r="AD444" s="81"/>
      <c r="AE444" s="81" t="b">
        <v>0</v>
      </c>
      <c r="AF444" s="81">
        <v>0</v>
      </c>
      <c r="AG444" s="87" t="s">
        <v>3875</v>
      </c>
      <c r="AH444" s="81" t="b">
        <v>0</v>
      </c>
      <c r="AI444" s="81" t="s">
        <v>4092</v>
      </c>
      <c r="AJ444" s="81"/>
      <c r="AK444" s="87" t="s">
        <v>3875</v>
      </c>
      <c r="AL444" s="81" t="b">
        <v>0</v>
      </c>
      <c r="AM444" s="81">
        <v>321</v>
      </c>
      <c r="AN444" s="87" t="s">
        <v>3520</v>
      </c>
      <c r="AO444" s="87" t="s">
        <v>4111</v>
      </c>
      <c r="AP444" s="81" t="b">
        <v>0</v>
      </c>
      <c r="AQ444" s="87" t="s">
        <v>3520</v>
      </c>
      <c r="AR444" s="81" t="s">
        <v>179</v>
      </c>
      <c r="AS444" s="81">
        <v>0</v>
      </c>
      <c r="AT444" s="81">
        <v>0</v>
      </c>
      <c r="AU444" s="81"/>
      <c r="AV444" s="81"/>
      <c r="AW444" s="81"/>
      <c r="AX444" s="81"/>
      <c r="AY444" s="81"/>
      <c r="AZ444" s="81"/>
      <c r="BA444" s="81"/>
      <c r="BB444" s="81"/>
    </row>
    <row r="445" spans="1:54" x14ac:dyDescent="0.35">
      <c r="A445" s="66" t="s">
        <v>474</v>
      </c>
      <c r="B445" s="66" t="s">
        <v>1055</v>
      </c>
      <c r="C445" s="67"/>
      <c r="D445" s="68"/>
      <c r="E445" s="69"/>
      <c r="F445" s="70"/>
      <c r="G445" s="67"/>
      <c r="H445" s="71"/>
      <c r="I445" s="72"/>
      <c r="J445" s="72"/>
      <c r="K445" s="36"/>
      <c r="L445" s="79"/>
      <c r="M445" s="79"/>
      <c r="N445" s="74"/>
      <c r="O445" s="81" t="s">
        <v>1207</v>
      </c>
      <c r="P445" s="83">
        <v>44460.292407407411</v>
      </c>
      <c r="Q445" s="81" t="s">
        <v>1324</v>
      </c>
      <c r="R445" s="81"/>
      <c r="S445" s="81"/>
      <c r="T445" s="81"/>
      <c r="U445" s="85" t="str">
        <f>HYPERLINK("https://pbs.twimg.com/media/E_xVJy2VQAQerFe.jpg")</f>
        <v>https://pbs.twimg.com/media/E_xVJy2VQAQerFe.jpg</v>
      </c>
      <c r="V445" s="85" t="str">
        <f>HYPERLINK("https://pbs.twimg.com/media/E_xVJy2VQAQerFe.jpg")</f>
        <v>https://pbs.twimg.com/media/E_xVJy2VQAQerFe.jpg</v>
      </c>
      <c r="W445" s="83">
        <v>44460.292407407411</v>
      </c>
      <c r="X445" s="89">
        <v>44460</v>
      </c>
      <c r="Y445" s="87" t="s">
        <v>2067</v>
      </c>
      <c r="Z445" s="85" t="str">
        <f>HYPERLINK("https://twitter.com/kakekharam/status/1440209446618091521")</f>
        <v>https://twitter.com/kakekharam/status/1440209446618091521</v>
      </c>
      <c r="AA445" s="81"/>
      <c r="AB445" s="81"/>
      <c r="AC445" s="87" t="s">
        <v>2990</v>
      </c>
      <c r="AD445" s="81"/>
      <c r="AE445" s="81" t="b">
        <v>0</v>
      </c>
      <c r="AF445" s="81">
        <v>0</v>
      </c>
      <c r="AG445" s="87" t="s">
        <v>3875</v>
      </c>
      <c r="AH445" s="81" t="b">
        <v>0</v>
      </c>
      <c r="AI445" s="81" t="s">
        <v>4092</v>
      </c>
      <c r="AJ445" s="81"/>
      <c r="AK445" s="87" t="s">
        <v>3875</v>
      </c>
      <c r="AL445" s="81" t="b">
        <v>0</v>
      </c>
      <c r="AM445" s="81">
        <v>321</v>
      </c>
      <c r="AN445" s="87" t="s">
        <v>3520</v>
      </c>
      <c r="AO445" s="87" t="s">
        <v>4110</v>
      </c>
      <c r="AP445" s="81" t="b">
        <v>0</v>
      </c>
      <c r="AQ445" s="87" t="s">
        <v>3520</v>
      </c>
      <c r="AR445" s="81" t="s">
        <v>179</v>
      </c>
      <c r="AS445" s="81">
        <v>0</v>
      </c>
      <c r="AT445" s="81">
        <v>0</v>
      </c>
      <c r="AU445" s="81"/>
      <c r="AV445" s="81"/>
      <c r="AW445" s="81"/>
      <c r="AX445" s="81"/>
      <c r="AY445" s="81"/>
      <c r="AZ445" s="81"/>
      <c r="BA445" s="81"/>
      <c r="BB445" s="81"/>
    </row>
    <row r="446" spans="1:54" x14ac:dyDescent="0.35">
      <c r="A446" s="66" t="s">
        <v>474</v>
      </c>
      <c r="B446" s="66" t="s">
        <v>910</v>
      </c>
      <c r="C446" s="67"/>
      <c r="D446" s="68"/>
      <c r="E446" s="69"/>
      <c r="F446" s="70"/>
      <c r="G446" s="67"/>
      <c r="H446" s="71"/>
      <c r="I446" s="72"/>
      <c r="J446" s="72"/>
      <c r="K446" s="36"/>
      <c r="L446" s="79"/>
      <c r="M446" s="79"/>
      <c r="N446" s="74"/>
      <c r="O446" s="81" t="s">
        <v>1205</v>
      </c>
      <c r="P446" s="83">
        <v>44460.292407407411</v>
      </c>
      <c r="Q446" s="81" t="s">
        <v>1324</v>
      </c>
      <c r="R446" s="81"/>
      <c r="S446" s="81"/>
      <c r="T446" s="81"/>
      <c r="U446" s="85" t="str">
        <f>HYPERLINK("https://pbs.twimg.com/media/E_xVJy2VQAQerFe.jpg")</f>
        <v>https://pbs.twimg.com/media/E_xVJy2VQAQerFe.jpg</v>
      </c>
      <c r="V446" s="85" t="str">
        <f>HYPERLINK("https://pbs.twimg.com/media/E_xVJy2VQAQerFe.jpg")</f>
        <v>https://pbs.twimg.com/media/E_xVJy2VQAQerFe.jpg</v>
      </c>
      <c r="W446" s="83">
        <v>44460.292407407411</v>
      </c>
      <c r="X446" s="89">
        <v>44460</v>
      </c>
      <c r="Y446" s="87" t="s">
        <v>2067</v>
      </c>
      <c r="Z446" s="85" t="str">
        <f>HYPERLINK("https://twitter.com/kakekharam/status/1440209446618091521")</f>
        <v>https://twitter.com/kakekharam/status/1440209446618091521</v>
      </c>
      <c r="AA446" s="81"/>
      <c r="AB446" s="81"/>
      <c r="AC446" s="87" t="s">
        <v>2990</v>
      </c>
      <c r="AD446" s="81"/>
      <c r="AE446" s="81" t="b">
        <v>0</v>
      </c>
      <c r="AF446" s="81">
        <v>0</v>
      </c>
      <c r="AG446" s="87" t="s">
        <v>3875</v>
      </c>
      <c r="AH446" s="81" t="b">
        <v>0</v>
      </c>
      <c r="AI446" s="81" t="s">
        <v>4092</v>
      </c>
      <c r="AJ446" s="81"/>
      <c r="AK446" s="87" t="s">
        <v>3875</v>
      </c>
      <c r="AL446" s="81" t="b">
        <v>0</v>
      </c>
      <c r="AM446" s="81">
        <v>321</v>
      </c>
      <c r="AN446" s="87" t="s">
        <v>3520</v>
      </c>
      <c r="AO446" s="87" t="s">
        <v>4110</v>
      </c>
      <c r="AP446" s="81" t="b">
        <v>0</v>
      </c>
      <c r="AQ446" s="87" t="s">
        <v>3520</v>
      </c>
      <c r="AR446" s="81" t="s">
        <v>179</v>
      </c>
      <c r="AS446" s="81">
        <v>0</v>
      </c>
      <c r="AT446" s="81">
        <v>0</v>
      </c>
      <c r="AU446" s="81"/>
      <c r="AV446" s="81"/>
      <c r="AW446" s="81"/>
      <c r="AX446" s="81"/>
      <c r="AY446" s="81"/>
      <c r="AZ446" s="81"/>
      <c r="BA446" s="81"/>
      <c r="BB446" s="81"/>
    </row>
    <row r="447" spans="1:54" x14ac:dyDescent="0.35">
      <c r="A447" s="66" t="s">
        <v>475</v>
      </c>
      <c r="B447" s="66" t="s">
        <v>1055</v>
      </c>
      <c r="C447" s="67"/>
      <c r="D447" s="68"/>
      <c r="E447" s="69"/>
      <c r="F447" s="70"/>
      <c r="G447" s="67"/>
      <c r="H447" s="71"/>
      <c r="I447" s="72"/>
      <c r="J447" s="72"/>
      <c r="K447" s="36"/>
      <c r="L447" s="79"/>
      <c r="M447" s="79"/>
      <c r="N447" s="74"/>
      <c r="O447" s="81" t="s">
        <v>1207</v>
      </c>
      <c r="P447" s="83">
        <v>44460.293935185182</v>
      </c>
      <c r="Q447" s="81" t="s">
        <v>1324</v>
      </c>
      <c r="R447" s="81"/>
      <c r="S447" s="81"/>
      <c r="T447" s="81"/>
      <c r="U447" s="85" t="str">
        <f>HYPERLINK("https://pbs.twimg.com/media/E_xVJy2VQAQerFe.jpg")</f>
        <v>https://pbs.twimg.com/media/E_xVJy2VQAQerFe.jpg</v>
      </c>
      <c r="V447" s="85" t="str">
        <f>HYPERLINK("https://pbs.twimg.com/media/E_xVJy2VQAQerFe.jpg")</f>
        <v>https://pbs.twimg.com/media/E_xVJy2VQAQerFe.jpg</v>
      </c>
      <c r="W447" s="83">
        <v>44460.293935185182</v>
      </c>
      <c r="X447" s="89">
        <v>44460</v>
      </c>
      <c r="Y447" s="87" t="s">
        <v>2068</v>
      </c>
      <c r="Z447" s="85" t="str">
        <f>HYPERLINK("https://twitter.com/abbasciputabbas/status/1440209998265520131")</f>
        <v>https://twitter.com/abbasciputabbas/status/1440209998265520131</v>
      </c>
      <c r="AA447" s="81"/>
      <c r="AB447" s="81"/>
      <c r="AC447" s="87" t="s">
        <v>2991</v>
      </c>
      <c r="AD447" s="81"/>
      <c r="AE447" s="81" t="b">
        <v>0</v>
      </c>
      <c r="AF447" s="81">
        <v>0</v>
      </c>
      <c r="AG447" s="87" t="s">
        <v>3875</v>
      </c>
      <c r="AH447" s="81" t="b">
        <v>0</v>
      </c>
      <c r="AI447" s="81" t="s">
        <v>4092</v>
      </c>
      <c r="AJ447" s="81"/>
      <c r="AK447" s="87" t="s">
        <v>3875</v>
      </c>
      <c r="AL447" s="81" t="b">
        <v>0</v>
      </c>
      <c r="AM447" s="81">
        <v>321</v>
      </c>
      <c r="AN447" s="87" t="s">
        <v>3520</v>
      </c>
      <c r="AO447" s="87" t="s">
        <v>4109</v>
      </c>
      <c r="AP447" s="81" t="b">
        <v>0</v>
      </c>
      <c r="AQ447" s="87" t="s">
        <v>3520</v>
      </c>
      <c r="AR447" s="81" t="s">
        <v>179</v>
      </c>
      <c r="AS447" s="81">
        <v>0</v>
      </c>
      <c r="AT447" s="81">
        <v>0</v>
      </c>
      <c r="AU447" s="81"/>
      <c r="AV447" s="81"/>
      <c r="AW447" s="81"/>
      <c r="AX447" s="81"/>
      <c r="AY447" s="81"/>
      <c r="AZ447" s="81"/>
      <c r="BA447" s="81"/>
      <c r="BB447" s="81"/>
    </row>
    <row r="448" spans="1:54" x14ac:dyDescent="0.35">
      <c r="A448" s="66" t="s">
        <v>475</v>
      </c>
      <c r="B448" s="66" t="s">
        <v>910</v>
      </c>
      <c r="C448" s="67"/>
      <c r="D448" s="68"/>
      <c r="E448" s="69"/>
      <c r="F448" s="70"/>
      <c r="G448" s="67"/>
      <c r="H448" s="71"/>
      <c r="I448" s="72"/>
      <c r="J448" s="72"/>
      <c r="K448" s="36"/>
      <c r="L448" s="79"/>
      <c r="M448" s="79"/>
      <c r="N448" s="74"/>
      <c r="O448" s="81" t="s">
        <v>1205</v>
      </c>
      <c r="P448" s="83">
        <v>44460.293935185182</v>
      </c>
      <c r="Q448" s="81" t="s">
        <v>1324</v>
      </c>
      <c r="R448" s="81"/>
      <c r="S448" s="81"/>
      <c r="T448" s="81"/>
      <c r="U448" s="85" t="str">
        <f>HYPERLINK("https://pbs.twimg.com/media/E_xVJy2VQAQerFe.jpg")</f>
        <v>https://pbs.twimg.com/media/E_xVJy2VQAQerFe.jpg</v>
      </c>
      <c r="V448" s="85" t="str">
        <f>HYPERLINK("https://pbs.twimg.com/media/E_xVJy2VQAQerFe.jpg")</f>
        <v>https://pbs.twimg.com/media/E_xVJy2VQAQerFe.jpg</v>
      </c>
      <c r="W448" s="83">
        <v>44460.293935185182</v>
      </c>
      <c r="X448" s="89">
        <v>44460</v>
      </c>
      <c r="Y448" s="87" t="s">
        <v>2068</v>
      </c>
      <c r="Z448" s="85" t="str">
        <f>HYPERLINK("https://twitter.com/abbasciputabbas/status/1440209998265520131")</f>
        <v>https://twitter.com/abbasciputabbas/status/1440209998265520131</v>
      </c>
      <c r="AA448" s="81"/>
      <c r="AB448" s="81"/>
      <c r="AC448" s="87" t="s">
        <v>2991</v>
      </c>
      <c r="AD448" s="81"/>
      <c r="AE448" s="81" t="b">
        <v>0</v>
      </c>
      <c r="AF448" s="81">
        <v>0</v>
      </c>
      <c r="AG448" s="87" t="s">
        <v>3875</v>
      </c>
      <c r="AH448" s="81" t="b">
        <v>0</v>
      </c>
      <c r="AI448" s="81" t="s">
        <v>4092</v>
      </c>
      <c r="AJ448" s="81"/>
      <c r="AK448" s="87" t="s">
        <v>3875</v>
      </c>
      <c r="AL448" s="81" t="b">
        <v>0</v>
      </c>
      <c r="AM448" s="81">
        <v>321</v>
      </c>
      <c r="AN448" s="87" t="s">
        <v>3520</v>
      </c>
      <c r="AO448" s="87" t="s">
        <v>4109</v>
      </c>
      <c r="AP448" s="81" t="b">
        <v>0</v>
      </c>
      <c r="AQ448" s="87" t="s">
        <v>3520</v>
      </c>
      <c r="AR448" s="81" t="s">
        <v>179</v>
      </c>
      <c r="AS448" s="81">
        <v>0</v>
      </c>
      <c r="AT448" s="81">
        <v>0</v>
      </c>
      <c r="AU448" s="81"/>
      <c r="AV448" s="81"/>
      <c r="AW448" s="81"/>
      <c r="AX448" s="81"/>
      <c r="AY448" s="81"/>
      <c r="AZ448" s="81"/>
      <c r="BA448" s="81"/>
      <c r="BB448" s="81"/>
    </row>
    <row r="449" spans="1:54" x14ac:dyDescent="0.35">
      <c r="A449" s="66" t="s">
        <v>476</v>
      </c>
      <c r="B449" s="66" t="s">
        <v>1055</v>
      </c>
      <c r="C449" s="67"/>
      <c r="D449" s="68"/>
      <c r="E449" s="69"/>
      <c r="F449" s="70"/>
      <c r="G449" s="67"/>
      <c r="H449" s="71"/>
      <c r="I449" s="72"/>
      <c r="J449" s="72"/>
      <c r="K449" s="36"/>
      <c r="L449" s="79"/>
      <c r="M449" s="79"/>
      <c r="N449" s="74"/>
      <c r="O449" s="81" t="s">
        <v>1207</v>
      </c>
      <c r="P449" s="83">
        <v>44460.294953703706</v>
      </c>
      <c r="Q449" s="81" t="s">
        <v>1324</v>
      </c>
      <c r="R449" s="81"/>
      <c r="S449" s="81"/>
      <c r="T449" s="81"/>
      <c r="U449" s="85" t="str">
        <f>HYPERLINK("https://pbs.twimg.com/media/E_xVJy2VQAQerFe.jpg")</f>
        <v>https://pbs.twimg.com/media/E_xVJy2VQAQerFe.jpg</v>
      </c>
      <c r="V449" s="85" t="str">
        <f>HYPERLINK("https://pbs.twimg.com/media/E_xVJy2VQAQerFe.jpg")</f>
        <v>https://pbs.twimg.com/media/E_xVJy2VQAQerFe.jpg</v>
      </c>
      <c r="W449" s="83">
        <v>44460.294953703706</v>
      </c>
      <c r="X449" s="89">
        <v>44460</v>
      </c>
      <c r="Y449" s="87" t="s">
        <v>2069</v>
      </c>
      <c r="Z449" s="85" t="str">
        <f>HYPERLINK("https://twitter.com/iichigoryota/status/1440210367594909699")</f>
        <v>https://twitter.com/iichigoryota/status/1440210367594909699</v>
      </c>
      <c r="AA449" s="81"/>
      <c r="AB449" s="81"/>
      <c r="AC449" s="87" t="s">
        <v>2992</v>
      </c>
      <c r="AD449" s="81"/>
      <c r="AE449" s="81" t="b">
        <v>0</v>
      </c>
      <c r="AF449" s="81">
        <v>0</v>
      </c>
      <c r="AG449" s="87" t="s">
        <v>3875</v>
      </c>
      <c r="AH449" s="81" t="b">
        <v>0</v>
      </c>
      <c r="AI449" s="81" t="s">
        <v>4092</v>
      </c>
      <c r="AJ449" s="81"/>
      <c r="AK449" s="87" t="s">
        <v>3875</v>
      </c>
      <c r="AL449" s="81" t="b">
        <v>0</v>
      </c>
      <c r="AM449" s="81">
        <v>321</v>
      </c>
      <c r="AN449" s="87" t="s">
        <v>3520</v>
      </c>
      <c r="AO449" s="87" t="s">
        <v>4111</v>
      </c>
      <c r="AP449" s="81" t="b">
        <v>0</v>
      </c>
      <c r="AQ449" s="87" t="s">
        <v>3520</v>
      </c>
      <c r="AR449" s="81" t="s">
        <v>179</v>
      </c>
      <c r="AS449" s="81">
        <v>0</v>
      </c>
      <c r="AT449" s="81">
        <v>0</v>
      </c>
      <c r="AU449" s="81"/>
      <c r="AV449" s="81"/>
      <c r="AW449" s="81"/>
      <c r="AX449" s="81"/>
      <c r="AY449" s="81"/>
      <c r="AZ449" s="81"/>
      <c r="BA449" s="81"/>
      <c r="BB449" s="81"/>
    </row>
    <row r="450" spans="1:54" x14ac:dyDescent="0.35">
      <c r="A450" s="66" t="s">
        <v>476</v>
      </c>
      <c r="B450" s="66" t="s">
        <v>910</v>
      </c>
      <c r="C450" s="67"/>
      <c r="D450" s="68"/>
      <c r="E450" s="69"/>
      <c r="F450" s="70"/>
      <c r="G450" s="67"/>
      <c r="H450" s="71"/>
      <c r="I450" s="72"/>
      <c r="J450" s="72"/>
      <c r="K450" s="36"/>
      <c r="L450" s="79"/>
      <c r="M450" s="79"/>
      <c r="N450" s="74"/>
      <c r="O450" s="81" t="s">
        <v>1205</v>
      </c>
      <c r="P450" s="83">
        <v>44460.294953703706</v>
      </c>
      <c r="Q450" s="81" t="s">
        <v>1324</v>
      </c>
      <c r="R450" s="81"/>
      <c r="S450" s="81"/>
      <c r="T450" s="81"/>
      <c r="U450" s="85" t="str">
        <f>HYPERLINK("https://pbs.twimg.com/media/E_xVJy2VQAQerFe.jpg")</f>
        <v>https://pbs.twimg.com/media/E_xVJy2VQAQerFe.jpg</v>
      </c>
      <c r="V450" s="85" t="str">
        <f>HYPERLINK("https://pbs.twimg.com/media/E_xVJy2VQAQerFe.jpg")</f>
        <v>https://pbs.twimg.com/media/E_xVJy2VQAQerFe.jpg</v>
      </c>
      <c r="W450" s="83">
        <v>44460.294953703706</v>
      </c>
      <c r="X450" s="89">
        <v>44460</v>
      </c>
      <c r="Y450" s="87" t="s">
        <v>2069</v>
      </c>
      <c r="Z450" s="85" t="str">
        <f>HYPERLINK("https://twitter.com/iichigoryota/status/1440210367594909699")</f>
        <v>https://twitter.com/iichigoryota/status/1440210367594909699</v>
      </c>
      <c r="AA450" s="81"/>
      <c r="AB450" s="81"/>
      <c r="AC450" s="87" t="s">
        <v>2992</v>
      </c>
      <c r="AD450" s="81"/>
      <c r="AE450" s="81" t="b">
        <v>0</v>
      </c>
      <c r="AF450" s="81">
        <v>0</v>
      </c>
      <c r="AG450" s="87" t="s">
        <v>3875</v>
      </c>
      <c r="AH450" s="81" t="b">
        <v>0</v>
      </c>
      <c r="AI450" s="81" t="s">
        <v>4092</v>
      </c>
      <c r="AJ450" s="81"/>
      <c r="AK450" s="87" t="s">
        <v>3875</v>
      </c>
      <c r="AL450" s="81" t="b">
        <v>0</v>
      </c>
      <c r="AM450" s="81">
        <v>321</v>
      </c>
      <c r="AN450" s="87" t="s">
        <v>3520</v>
      </c>
      <c r="AO450" s="87" t="s">
        <v>4111</v>
      </c>
      <c r="AP450" s="81" t="b">
        <v>0</v>
      </c>
      <c r="AQ450" s="87" t="s">
        <v>3520</v>
      </c>
      <c r="AR450" s="81" t="s">
        <v>179</v>
      </c>
      <c r="AS450" s="81">
        <v>0</v>
      </c>
      <c r="AT450" s="81">
        <v>0</v>
      </c>
      <c r="AU450" s="81"/>
      <c r="AV450" s="81"/>
      <c r="AW450" s="81"/>
      <c r="AX450" s="81"/>
      <c r="AY450" s="81"/>
      <c r="AZ450" s="81"/>
      <c r="BA450" s="81"/>
      <c r="BB450" s="81"/>
    </row>
    <row r="451" spans="1:54" x14ac:dyDescent="0.35">
      <c r="A451" s="66" t="s">
        <v>477</v>
      </c>
      <c r="B451" s="66" t="s">
        <v>1055</v>
      </c>
      <c r="C451" s="67"/>
      <c r="D451" s="68"/>
      <c r="E451" s="69"/>
      <c r="F451" s="70"/>
      <c r="G451" s="67"/>
      <c r="H451" s="71"/>
      <c r="I451" s="72"/>
      <c r="J451" s="72"/>
      <c r="K451" s="36"/>
      <c r="L451" s="79"/>
      <c r="M451" s="79"/>
      <c r="N451" s="74"/>
      <c r="O451" s="81" t="s">
        <v>1207</v>
      </c>
      <c r="P451" s="83">
        <v>44460.296053240738</v>
      </c>
      <c r="Q451" s="81" t="s">
        <v>1324</v>
      </c>
      <c r="R451" s="81"/>
      <c r="S451" s="81"/>
      <c r="T451" s="81"/>
      <c r="U451" s="85" t="str">
        <f>HYPERLINK("https://pbs.twimg.com/media/E_xVJy2VQAQerFe.jpg")</f>
        <v>https://pbs.twimg.com/media/E_xVJy2VQAQerFe.jpg</v>
      </c>
      <c r="V451" s="85" t="str">
        <f>HYPERLINK("https://pbs.twimg.com/media/E_xVJy2VQAQerFe.jpg")</f>
        <v>https://pbs.twimg.com/media/E_xVJy2VQAQerFe.jpg</v>
      </c>
      <c r="W451" s="83">
        <v>44460.296053240738</v>
      </c>
      <c r="X451" s="89">
        <v>44460</v>
      </c>
      <c r="Y451" s="87" t="s">
        <v>2070</v>
      </c>
      <c r="Z451" s="85" t="str">
        <f>HYPERLINK("https://twitter.com/herusugiri/status/1440210767349837831")</f>
        <v>https://twitter.com/herusugiri/status/1440210767349837831</v>
      </c>
      <c r="AA451" s="81"/>
      <c r="AB451" s="81"/>
      <c r="AC451" s="87" t="s">
        <v>2993</v>
      </c>
      <c r="AD451" s="81"/>
      <c r="AE451" s="81" t="b">
        <v>0</v>
      </c>
      <c r="AF451" s="81">
        <v>0</v>
      </c>
      <c r="AG451" s="87" t="s">
        <v>3875</v>
      </c>
      <c r="AH451" s="81" t="b">
        <v>0</v>
      </c>
      <c r="AI451" s="81" t="s">
        <v>4092</v>
      </c>
      <c r="AJ451" s="81"/>
      <c r="AK451" s="87" t="s">
        <v>3875</v>
      </c>
      <c r="AL451" s="81" t="b">
        <v>0</v>
      </c>
      <c r="AM451" s="81">
        <v>321</v>
      </c>
      <c r="AN451" s="87" t="s">
        <v>3520</v>
      </c>
      <c r="AO451" s="87" t="s">
        <v>4110</v>
      </c>
      <c r="AP451" s="81" t="b">
        <v>0</v>
      </c>
      <c r="AQ451" s="87" t="s">
        <v>3520</v>
      </c>
      <c r="AR451" s="81" t="s">
        <v>179</v>
      </c>
      <c r="AS451" s="81">
        <v>0</v>
      </c>
      <c r="AT451" s="81">
        <v>0</v>
      </c>
      <c r="AU451" s="81"/>
      <c r="AV451" s="81"/>
      <c r="AW451" s="81"/>
      <c r="AX451" s="81"/>
      <c r="AY451" s="81"/>
      <c r="AZ451" s="81"/>
      <c r="BA451" s="81"/>
      <c r="BB451" s="81"/>
    </row>
    <row r="452" spans="1:54" x14ac:dyDescent="0.35">
      <c r="A452" s="66" t="s">
        <v>477</v>
      </c>
      <c r="B452" s="66" t="s">
        <v>910</v>
      </c>
      <c r="C452" s="67"/>
      <c r="D452" s="68"/>
      <c r="E452" s="69"/>
      <c r="F452" s="70"/>
      <c r="G452" s="67"/>
      <c r="H452" s="71"/>
      <c r="I452" s="72"/>
      <c r="J452" s="72"/>
      <c r="K452" s="36"/>
      <c r="L452" s="79"/>
      <c r="M452" s="79"/>
      <c r="N452" s="74"/>
      <c r="O452" s="81" t="s">
        <v>1205</v>
      </c>
      <c r="P452" s="83">
        <v>44460.296053240738</v>
      </c>
      <c r="Q452" s="81" t="s">
        <v>1324</v>
      </c>
      <c r="R452" s="81"/>
      <c r="S452" s="81"/>
      <c r="T452" s="81"/>
      <c r="U452" s="85" t="str">
        <f>HYPERLINK("https://pbs.twimg.com/media/E_xVJy2VQAQerFe.jpg")</f>
        <v>https://pbs.twimg.com/media/E_xVJy2VQAQerFe.jpg</v>
      </c>
      <c r="V452" s="85" t="str">
        <f>HYPERLINK("https://pbs.twimg.com/media/E_xVJy2VQAQerFe.jpg")</f>
        <v>https://pbs.twimg.com/media/E_xVJy2VQAQerFe.jpg</v>
      </c>
      <c r="W452" s="83">
        <v>44460.296053240738</v>
      </c>
      <c r="X452" s="89">
        <v>44460</v>
      </c>
      <c r="Y452" s="87" t="s">
        <v>2070</v>
      </c>
      <c r="Z452" s="85" t="str">
        <f>HYPERLINK("https://twitter.com/herusugiri/status/1440210767349837831")</f>
        <v>https://twitter.com/herusugiri/status/1440210767349837831</v>
      </c>
      <c r="AA452" s="81"/>
      <c r="AB452" s="81"/>
      <c r="AC452" s="87" t="s">
        <v>2993</v>
      </c>
      <c r="AD452" s="81"/>
      <c r="AE452" s="81" t="b">
        <v>0</v>
      </c>
      <c r="AF452" s="81">
        <v>0</v>
      </c>
      <c r="AG452" s="87" t="s">
        <v>3875</v>
      </c>
      <c r="AH452" s="81" t="b">
        <v>0</v>
      </c>
      <c r="AI452" s="81" t="s">
        <v>4092</v>
      </c>
      <c r="AJ452" s="81"/>
      <c r="AK452" s="87" t="s">
        <v>3875</v>
      </c>
      <c r="AL452" s="81" t="b">
        <v>0</v>
      </c>
      <c r="AM452" s="81">
        <v>321</v>
      </c>
      <c r="AN452" s="87" t="s">
        <v>3520</v>
      </c>
      <c r="AO452" s="87" t="s">
        <v>4110</v>
      </c>
      <c r="AP452" s="81" t="b">
        <v>0</v>
      </c>
      <c r="AQ452" s="87" t="s">
        <v>3520</v>
      </c>
      <c r="AR452" s="81" t="s">
        <v>179</v>
      </c>
      <c r="AS452" s="81">
        <v>0</v>
      </c>
      <c r="AT452" s="81">
        <v>0</v>
      </c>
      <c r="AU452" s="81"/>
      <c r="AV452" s="81"/>
      <c r="AW452" s="81"/>
      <c r="AX452" s="81"/>
      <c r="AY452" s="81"/>
      <c r="AZ452" s="81"/>
      <c r="BA452" s="81"/>
      <c r="BB452" s="81"/>
    </row>
    <row r="453" spans="1:54" x14ac:dyDescent="0.35">
      <c r="A453" s="66" t="s">
        <v>478</v>
      </c>
      <c r="B453" s="66" t="s">
        <v>1055</v>
      </c>
      <c r="C453" s="67"/>
      <c r="D453" s="68"/>
      <c r="E453" s="69"/>
      <c r="F453" s="70"/>
      <c r="G453" s="67"/>
      <c r="H453" s="71"/>
      <c r="I453" s="72"/>
      <c r="J453" s="72"/>
      <c r="K453" s="36"/>
      <c r="L453" s="79"/>
      <c r="M453" s="79"/>
      <c r="N453" s="74"/>
      <c r="O453" s="81" t="s">
        <v>1207</v>
      </c>
      <c r="P453" s="83">
        <v>44460.296400462961</v>
      </c>
      <c r="Q453" s="81" t="s">
        <v>1324</v>
      </c>
      <c r="R453" s="81"/>
      <c r="S453" s="81"/>
      <c r="T453" s="81"/>
      <c r="U453" s="85" t="str">
        <f>HYPERLINK("https://pbs.twimg.com/media/E_xVJy2VQAQerFe.jpg")</f>
        <v>https://pbs.twimg.com/media/E_xVJy2VQAQerFe.jpg</v>
      </c>
      <c r="V453" s="85" t="str">
        <f>HYPERLINK("https://pbs.twimg.com/media/E_xVJy2VQAQerFe.jpg")</f>
        <v>https://pbs.twimg.com/media/E_xVJy2VQAQerFe.jpg</v>
      </c>
      <c r="W453" s="83">
        <v>44460.296400462961</v>
      </c>
      <c r="X453" s="89">
        <v>44460</v>
      </c>
      <c r="Y453" s="87" t="s">
        <v>2071</v>
      </c>
      <c r="Z453" s="85" t="str">
        <f>HYPERLINK("https://twitter.com/tlbfrmnsyh/status/1440210893283807232")</f>
        <v>https://twitter.com/tlbfrmnsyh/status/1440210893283807232</v>
      </c>
      <c r="AA453" s="81"/>
      <c r="AB453" s="81"/>
      <c r="AC453" s="87" t="s">
        <v>2994</v>
      </c>
      <c r="AD453" s="81"/>
      <c r="AE453" s="81" t="b">
        <v>0</v>
      </c>
      <c r="AF453" s="81">
        <v>0</v>
      </c>
      <c r="AG453" s="87" t="s">
        <v>3875</v>
      </c>
      <c r="AH453" s="81" t="b">
        <v>0</v>
      </c>
      <c r="AI453" s="81" t="s">
        <v>4092</v>
      </c>
      <c r="AJ453" s="81"/>
      <c r="AK453" s="87" t="s">
        <v>3875</v>
      </c>
      <c r="AL453" s="81" t="b">
        <v>0</v>
      </c>
      <c r="AM453" s="81">
        <v>321</v>
      </c>
      <c r="AN453" s="87" t="s">
        <v>3520</v>
      </c>
      <c r="AO453" s="87" t="s">
        <v>4109</v>
      </c>
      <c r="AP453" s="81" t="b">
        <v>0</v>
      </c>
      <c r="AQ453" s="87" t="s">
        <v>3520</v>
      </c>
      <c r="AR453" s="81" t="s">
        <v>179</v>
      </c>
      <c r="AS453" s="81">
        <v>0</v>
      </c>
      <c r="AT453" s="81">
        <v>0</v>
      </c>
      <c r="AU453" s="81"/>
      <c r="AV453" s="81"/>
      <c r="AW453" s="81"/>
      <c r="AX453" s="81"/>
      <c r="AY453" s="81"/>
      <c r="AZ453" s="81"/>
      <c r="BA453" s="81"/>
      <c r="BB453" s="81"/>
    </row>
    <row r="454" spans="1:54" x14ac:dyDescent="0.35">
      <c r="A454" s="66" t="s">
        <v>478</v>
      </c>
      <c r="B454" s="66" t="s">
        <v>910</v>
      </c>
      <c r="C454" s="67"/>
      <c r="D454" s="68"/>
      <c r="E454" s="69"/>
      <c r="F454" s="70"/>
      <c r="G454" s="67"/>
      <c r="H454" s="71"/>
      <c r="I454" s="72"/>
      <c r="J454" s="72"/>
      <c r="K454" s="36"/>
      <c r="L454" s="79"/>
      <c r="M454" s="79"/>
      <c r="N454" s="74"/>
      <c r="O454" s="81" t="s">
        <v>1205</v>
      </c>
      <c r="P454" s="83">
        <v>44460.296400462961</v>
      </c>
      <c r="Q454" s="81" t="s">
        <v>1324</v>
      </c>
      <c r="R454" s="81"/>
      <c r="S454" s="81"/>
      <c r="T454" s="81"/>
      <c r="U454" s="85" t="str">
        <f>HYPERLINK("https://pbs.twimg.com/media/E_xVJy2VQAQerFe.jpg")</f>
        <v>https://pbs.twimg.com/media/E_xVJy2VQAQerFe.jpg</v>
      </c>
      <c r="V454" s="85" t="str">
        <f>HYPERLINK("https://pbs.twimg.com/media/E_xVJy2VQAQerFe.jpg")</f>
        <v>https://pbs.twimg.com/media/E_xVJy2VQAQerFe.jpg</v>
      </c>
      <c r="W454" s="83">
        <v>44460.296400462961</v>
      </c>
      <c r="X454" s="89">
        <v>44460</v>
      </c>
      <c r="Y454" s="87" t="s">
        <v>2071</v>
      </c>
      <c r="Z454" s="85" t="str">
        <f>HYPERLINK("https://twitter.com/tlbfrmnsyh/status/1440210893283807232")</f>
        <v>https://twitter.com/tlbfrmnsyh/status/1440210893283807232</v>
      </c>
      <c r="AA454" s="81"/>
      <c r="AB454" s="81"/>
      <c r="AC454" s="87" t="s">
        <v>2994</v>
      </c>
      <c r="AD454" s="81"/>
      <c r="AE454" s="81" t="b">
        <v>0</v>
      </c>
      <c r="AF454" s="81">
        <v>0</v>
      </c>
      <c r="AG454" s="87" t="s">
        <v>3875</v>
      </c>
      <c r="AH454" s="81" t="b">
        <v>0</v>
      </c>
      <c r="AI454" s="81" t="s">
        <v>4092</v>
      </c>
      <c r="AJ454" s="81"/>
      <c r="AK454" s="87" t="s">
        <v>3875</v>
      </c>
      <c r="AL454" s="81" t="b">
        <v>0</v>
      </c>
      <c r="AM454" s="81">
        <v>321</v>
      </c>
      <c r="AN454" s="87" t="s">
        <v>3520</v>
      </c>
      <c r="AO454" s="87" t="s">
        <v>4109</v>
      </c>
      <c r="AP454" s="81" t="b">
        <v>0</v>
      </c>
      <c r="AQ454" s="87" t="s">
        <v>3520</v>
      </c>
      <c r="AR454" s="81" t="s">
        <v>179</v>
      </c>
      <c r="AS454" s="81">
        <v>0</v>
      </c>
      <c r="AT454" s="81">
        <v>0</v>
      </c>
      <c r="AU454" s="81"/>
      <c r="AV454" s="81"/>
      <c r="AW454" s="81"/>
      <c r="AX454" s="81"/>
      <c r="AY454" s="81"/>
      <c r="AZ454" s="81"/>
      <c r="BA454" s="81"/>
      <c r="BB454" s="81"/>
    </row>
    <row r="455" spans="1:54" x14ac:dyDescent="0.35">
      <c r="A455" s="66" t="s">
        <v>479</v>
      </c>
      <c r="B455" s="66" t="s">
        <v>1055</v>
      </c>
      <c r="C455" s="67"/>
      <c r="D455" s="68"/>
      <c r="E455" s="69"/>
      <c r="F455" s="70"/>
      <c r="G455" s="67"/>
      <c r="H455" s="71"/>
      <c r="I455" s="72"/>
      <c r="J455" s="72"/>
      <c r="K455" s="36"/>
      <c r="L455" s="79"/>
      <c r="M455" s="79"/>
      <c r="N455" s="74"/>
      <c r="O455" s="81" t="s">
        <v>1207</v>
      </c>
      <c r="P455" s="83">
        <v>44460.298252314817</v>
      </c>
      <c r="Q455" s="81" t="s">
        <v>1324</v>
      </c>
      <c r="R455" s="81"/>
      <c r="S455" s="81"/>
      <c r="T455" s="81"/>
      <c r="U455" s="85" t="str">
        <f>HYPERLINK("https://pbs.twimg.com/media/E_xVJy2VQAQerFe.jpg")</f>
        <v>https://pbs.twimg.com/media/E_xVJy2VQAQerFe.jpg</v>
      </c>
      <c r="V455" s="85" t="str">
        <f>HYPERLINK("https://pbs.twimg.com/media/E_xVJy2VQAQerFe.jpg")</f>
        <v>https://pbs.twimg.com/media/E_xVJy2VQAQerFe.jpg</v>
      </c>
      <c r="W455" s="83">
        <v>44460.298252314817</v>
      </c>
      <c r="X455" s="89">
        <v>44460</v>
      </c>
      <c r="Y455" s="87" t="s">
        <v>2072</v>
      </c>
      <c r="Z455" s="85" t="str">
        <f>HYPERLINK("https://twitter.com/djtytyd/status/1440211564368326660")</f>
        <v>https://twitter.com/djtytyd/status/1440211564368326660</v>
      </c>
      <c r="AA455" s="81"/>
      <c r="AB455" s="81"/>
      <c r="AC455" s="87" t="s">
        <v>2995</v>
      </c>
      <c r="AD455" s="81"/>
      <c r="AE455" s="81" t="b">
        <v>0</v>
      </c>
      <c r="AF455" s="81">
        <v>0</v>
      </c>
      <c r="AG455" s="87" t="s">
        <v>3875</v>
      </c>
      <c r="AH455" s="81" t="b">
        <v>0</v>
      </c>
      <c r="AI455" s="81" t="s">
        <v>4092</v>
      </c>
      <c r="AJ455" s="81"/>
      <c r="AK455" s="87" t="s">
        <v>3875</v>
      </c>
      <c r="AL455" s="81" t="b">
        <v>0</v>
      </c>
      <c r="AM455" s="81">
        <v>321</v>
      </c>
      <c r="AN455" s="87" t="s">
        <v>3520</v>
      </c>
      <c r="AO455" s="87" t="s">
        <v>4109</v>
      </c>
      <c r="AP455" s="81" t="b">
        <v>0</v>
      </c>
      <c r="AQ455" s="87" t="s">
        <v>3520</v>
      </c>
      <c r="AR455" s="81" t="s">
        <v>179</v>
      </c>
      <c r="AS455" s="81">
        <v>0</v>
      </c>
      <c r="AT455" s="81">
        <v>0</v>
      </c>
      <c r="AU455" s="81"/>
      <c r="AV455" s="81"/>
      <c r="AW455" s="81"/>
      <c r="AX455" s="81"/>
      <c r="AY455" s="81"/>
      <c r="AZ455" s="81"/>
      <c r="BA455" s="81"/>
      <c r="BB455" s="81"/>
    </row>
    <row r="456" spans="1:54" x14ac:dyDescent="0.35">
      <c r="A456" s="66" t="s">
        <v>479</v>
      </c>
      <c r="B456" s="66" t="s">
        <v>910</v>
      </c>
      <c r="C456" s="67"/>
      <c r="D456" s="68"/>
      <c r="E456" s="69"/>
      <c r="F456" s="70"/>
      <c r="G456" s="67"/>
      <c r="H456" s="71"/>
      <c r="I456" s="72"/>
      <c r="J456" s="72"/>
      <c r="K456" s="36"/>
      <c r="L456" s="79"/>
      <c r="M456" s="79"/>
      <c r="N456" s="74"/>
      <c r="O456" s="81" t="s">
        <v>1205</v>
      </c>
      <c r="P456" s="83">
        <v>44460.298252314817</v>
      </c>
      <c r="Q456" s="81" t="s">
        <v>1324</v>
      </c>
      <c r="R456" s="81"/>
      <c r="S456" s="81"/>
      <c r="T456" s="81"/>
      <c r="U456" s="85" t="str">
        <f>HYPERLINK("https://pbs.twimg.com/media/E_xVJy2VQAQerFe.jpg")</f>
        <v>https://pbs.twimg.com/media/E_xVJy2VQAQerFe.jpg</v>
      </c>
      <c r="V456" s="85" t="str">
        <f>HYPERLINK("https://pbs.twimg.com/media/E_xVJy2VQAQerFe.jpg")</f>
        <v>https://pbs.twimg.com/media/E_xVJy2VQAQerFe.jpg</v>
      </c>
      <c r="W456" s="83">
        <v>44460.298252314817</v>
      </c>
      <c r="X456" s="89">
        <v>44460</v>
      </c>
      <c r="Y456" s="87" t="s">
        <v>2072</v>
      </c>
      <c r="Z456" s="85" t="str">
        <f>HYPERLINK("https://twitter.com/djtytyd/status/1440211564368326660")</f>
        <v>https://twitter.com/djtytyd/status/1440211564368326660</v>
      </c>
      <c r="AA456" s="81"/>
      <c r="AB456" s="81"/>
      <c r="AC456" s="87" t="s">
        <v>2995</v>
      </c>
      <c r="AD456" s="81"/>
      <c r="AE456" s="81" t="b">
        <v>0</v>
      </c>
      <c r="AF456" s="81">
        <v>0</v>
      </c>
      <c r="AG456" s="87" t="s">
        <v>3875</v>
      </c>
      <c r="AH456" s="81" t="b">
        <v>0</v>
      </c>
      <c r="AI456" s="81" t="s">
        <v>4092</v>
      </c>
      <c r="AJ456" s="81"/>
      <c r="AK456" s="87" t="s">
        <v>3875</v>
      </c>
      <c r="AL456" s="81" t="b">
        <v>0</v>
      </c>
      <c r="AM456" s="81">
        <v>321</v>
      </c>
      <c r="AN456" s="87" t="s">
        <v>3520</v>
      </c>
      <c r="AO456" s="87" t="s">
        <v>4109</v>
      </c>
      <c r="AP456" s="81" t="b">
        <v>0</v>
      </c>
      <c r="AQ456" s="87" t="s">
        <v>3520</v>
      </c>
      <c r="AR456" s="81" t="s">
        <v>179</v>
      </c>
      <c r="AS456" s="81">
        <v>0</v>
      </c>
      <c r="AT456" s="81">
        <v>0</v>
      </c>
      <c r="AU456" s="81"/>
      <c r="AV456" s="81"/>
      <c r="AW456" s="81"/>
      <c r="AX456" s="81"/>
      <c r="AY456" s="81"/>
      <c r="AZ456" s="81"/>
      <c r="BA456" s="81"/>
      <c r="BB456" s="81"/>
    </row>
    <row r="457" spans="1:54" x14ac:dyDescent="0.35">
      <c r="A457" s="66" t="s">
        <v>480</v>
      </c>
      <c r="B457" s="66" t="s">
        <v>1055</v>
      </c>
      <c r="C457" s="67"/>
      <c r="D457" s="68"/>
      <c r="E457" s="69"/>
      <c r="F457" s="70"/>
      <c r="G457" s="67"/>
      <c r="H457" s="71"/>
      <c r="I457" s="72"/>
      <c r="J457" s="72"/>
      <c r="K457" s="36"/>
      <c r="L457" s="79"/>
      <c r="M457" s="79"/>
      <c r="N457" s="74"/>
      <c r="O457" s="81" t="s">
        <v>1207</v>
      </c>
      <c r="P457" s="83">
        <v>44460.29828703704</v>
      </c>
      <c r="Q457" s="81" t="s">
        <v>1324</v>
      </c>
      <c r="R457" s="81"/>
      <c r="S457" s="81"/>
      <c r="T457" s="81"/>
      <c r="U457" s="85" t="str">
        <f>HYPERLINK("https://pbs.twimg.com/media/E_xVJy2VQAQerFe.jpg")</f>
        <v>https://pbs.twimg.com/media/E_xVJy2VQAQerFe.jpg</v>
      </c>
      <c r="V457" s="85" t="str">
        <f>HYPERLINK("https://pbs.twimg.com/media/E_xVJy2VQAQerFe.jpg")</f>
        <v>https://pbs.twimg.com/media/E_xVJy2VQAQerFe.jpg</v>
      </c>
      <c r="W457" s="83">
        <v>44460.29828703704</v>
      </c>
      <c r="X457" s="89">
        <v>44460</v>
      </c>
      <c r="Y457" s="87" t="s">
        <v>2073</v>
      </c>
      <c r="Z457" s="85" t="str">
        <f>HYPERLINK("https://twitter.com/thomass90392754/status/1440211575663595531")</f>
        <v>https://twitter.com/thomass90392754/status/1440211575663595531</v>
      </c>
      <c r="AA457" s="81"/>
      <c r="AB457" s="81"/>
      <c r="AC457" s="87" t="s">
        <v>2996</v>
      </c>
      <c r="AD457" s="81"/>
      <c r="AE457" s="81" t="b">
        <v>0</v>
      </c>
      <c r="AF457" s="81">
        <v>0</v>
      </c>
      <c r="AG457" s="87" t="s">
        <v>3875</v>
      </c>
      <c r="AH457" s="81" t="b">
        <v>0</v>
      </c>
      <c r="AI457" s="81" t="s">
        <v>4092</v>
      </c>
      <c r="AJ457" s="81"/>
      <c r="AK457" s="87" t="s">
        <v>3875</v>
      </c>
      <c r="AL457" s="81" t="b">
        <v>0</v>
      </c>
      <c r="AM457" s="81">
        <v>321</v>
      </c>
      <c r="AN457" s="87" t="s">
        <v>3520</v>
      </c>
      <c r="AO457" s="87" t="s">
        <v>4109</v>
      </c>
      <c r="AP457" s="81" t="b">
        <v>0</v>
      </c>
      <c r="AQ457" s="87" t="s">
        <v>3520</v>
      </c>
      <c r="AR457" s="81" t="s">
        <v>179</v>
      </c>
      <c r="AS457" s="81">
        <v>0</v>
      </c>
      <c r="AT457" s="81">
        <v>0</v>
      </c>
      <c r="AU457" s="81"/>
      <c r="AV457" s="81"/>
      <c r="AW457" s="81"/>
      <c r="AX457" s="81"/>
      <c r="AY457" s="81"/>
      <c r="AZ457" s="81"/>
      <c r="BA457" s="81"/>
      <c r="BB457" s="81"/>
    </row>
    <row r="458" spans="1:54" x14ac:dyDescent="0.35">
      <c r="A458" s="66" t="s">
        <v>480</v>
      </c>
      <c r="B458" s="66" t="s">
        <v>910</v>
      </c>
      <c r="C458" s="67"/>
      <c r="D458" s="68"/>
      <c r="E458" s="69"/>
      <c r="F458" s="70"/>
      <c r="G458" s="67"/>
      <c r="H458" s="71"/>
      <c r="I458" s="72"/>
      <c r="J458" s="72"/>
      <c r="K458" s="36"/>
      <c r="L458" s="79"/>
      <c r="M458" s="79"/>
      <c r="N458" s="74"/>
      <c r="O458" s="81" t="s">
        <v>1205</v>
      </c>
      <c r="P458" s="83">
        <v>44460.29828703704</v>
      </c>
      <c r="Q458" s="81" t="s">
        <v>1324</v>
      </c>
      <c r="R458" s="81"/>
      <c r="S458" s="81"/>
      <c r="T458" s="81"/>
      <c r="U458" s="85" t="str">
        <f>HYPERLINK("https://pbs.twimg.com/media/E_xVJy2VQAQerFe.jpg")</f>
        <v>https://pbs.twimg.com/media/E_xVJy2VQAQerFe.jpg</v>
      </c>
      <c r="V458" s="85" t="str">
        <f>HYPERLINK("https://pbs.twimg.com/media/E_xVJy2VQAQerFe.jpg")</f>
        <v>https://pbs.twimg.com/media/E_xVJy2VQAQerFe.jpg</v>
      </c>
      <c r="W458" s="83">
        <v>44460.29828703704</v>
      </c>
      <c r="X458" s="89">
        <v>44460</v>
      </c>
      <c r="Y458" s="87" t="s">
        <v>2073</v>
      </c>
      <c r="Z458" s="85" t="str">
        <f>HYPERLINK("https://twitter.com/thomass90392754/status/1440211575663595531")</f>
        <v>https://twitter.com/thomass90392754/status/1440211575663595531</v>
      </c>
      <c r="AA458" s="81"/>
      <c r="AB458" s="81"/>
      <c r="AC458" s="87" t="s">
        <v>2996</v>
      </c>
      <c r="AD458" s="81"/>
      <c r="AE458" s="81" t="b">
        <v>0</v>
      </c>
      <c r="AF458" s="81">
        <v>0</v>
      </c>
      <c r="AG458" s="87" t="s">
        <v>3875</v>
      </c>
      <c r="AH458" s="81" t="b">
        <v>0</v>
      </c>
      <c r="AI458" s="81" t="s">
        <v>4092</v>
      </c>
      <c r="AJ458" s="81"/>
      <c r="AK458" s="87" t="s">
        <v>3875</v>
      </c>
      <c r="AL458" s="81" t="b">
        <v>0</v>
      </c>
      <c r="AM458" s="81">
        <v>321</v>
      </c>
      <c r="AN458" s="87" t="s">
        <v>3520</v>
      </c>
      <c r="AO458" s="87" t="s">
        <v>4109</v>
      </c>
      <c r="AP458" s="81" t="b">
        <v>0</v>
      </c>
      <c r="AQ458" s="87" t="s">
        <v>3520</v>
      </c>
      <c r="AR458" s="81" t="s">
        <v>179</v>
      </c>
      <c r="AS458" s="81">
        <v>0</v>
      </c>
      <c r="AT458" s="81">
        <v>0</v>
      </c>
      <c r="AU458" s="81"/>
      <c r="AV458" s="81"/>
      <c r="AW458" s="81"/>
      <c r="AX458" s="81"/>
      <c r="AY458" s="81"/>
      <c r="AZ458" s="81"/>
      <c r="BA458" s="81"/>
      <c r="BB458" s="81"/>
    </row>
    <row r="459" spans="1:54" x14ac:dyDescent="0.35">
      <c r="A459" s="66" t="s">
        <v>481</v>
      </c>
      <c r="B459" s="66" t="s">
        <v>1055</v>
      </c>
      <c r="C459" s="67"/>
      <c r="D459" s="68"/>
      <c r="E459" s="69"/>
      <c r="F459" s="70"/>
      <c r="G459" s="67"/>
      <c r="H459" s="71"/>
      <c r="I459" s="72"/>
      <c r="J459" s="72"/>
      <c r="K459" s="36"/>
      <c r="L459" s="79"/>
      <c r="M459" s="79"/>
      <c r="N459" s="74"/>
      <c r="O459" s="81" t="s">
        <v>1207</v>
      </c>
      <c r="P459" s="83">
        <v>44460.299131944441</v>
      </c>
      <c r="Q459" s="81" t="s">
        <v>1324</v>
      </c>
      <c r="R459" s="81"/>
      <c r="S459" s="81"/>
      <c r="T459" s="81"/>
      <c r="U459" s="85" t="str">
        <f>HYPERLINK("https://pbs.twimg.com/media/E_xVJy2VQAQerFe.jpg")</f>
        <v>https://pbs.twimg.com/media/E_xVJy2VQAQerFe.jpg</v>
      </c>
      <c r="V459" s="85" t="str">
        <f>HYPERLINK("https://pbs.twimg.com/media/E_xVJy2VQAQerFe.jpg")</f>
        <v>https://pbs.twimg.com/media/E_xVJy2VQAQerFe.jpg</v>
      </c>
      <c r="W459" s="83">
        <v>44460.299131944441</v>
      </c>
      <c r="X459" s="89">
        <v>44460</v>
      </c>
      <c r="Y459" s="87" t="s">
        <v>2074</v>
      </c>
      <c r="Z459" s="85" t="str">
        <f>HYPERLINK("https://twitter.com/ariestuck26/status/1440211882212687872")</f>
        <v>https://twitter.com/ariestuck26/status/1440211882212687872</v>
      </c>
      <c r="AA459" s="81"/>
      <c r="AB459" s="81"/>
      <c r="AC459" s="87" t="s">
        <v>2997</v>
      </c>
      <c r="AD459" s="81"/>
      <c r="AE459" s="81" t="b">
        <v>0</v>
      </c>
      <c r="AF459" s="81">
        <v>0</v>
      </c>
      <c r="AG459" s="87" t="s">
        <v>3875</v>
      </c>
      <c r="AH459" s="81" t="b">
        <v>0</v>
      </c>
      <c r="AI459" s="81" t="s">
        <v>4092</v>
      </c>
      <c r="AJ459" s="81"/>
      <c r="AK459" s="87" t="s">
        <v>3875</v>
      </c>
      <c r="AL459" s="81" t="b">
        <v>0</v>
      </c>
      <c r="AM459" s="81">
        <v>321</v>
      </c>
      <c r="AN459" s="87" t="s">
        <v>3520</v>
      </c>
      <c r="AO459" s="87" t="s">
        <v>4109</v>
      </c>
      <c r="AP459" s="81" t="b">
        <v>0</v>
      </c>
      <c r="AQ459" s="87" t="s">
        <v>3520</v>
      </c>
      <c r="AR459" s="81" t="s">
        <v>179</v>
      </c>
      <c r="AS459" s="81">
        <v>0</v>
      </c>
      <c r="AT459" s="81">
        <v>0</v>
      </c>
      <c r="AU459" s="81"/>
      <c r="AV459" s="81"/>
      <c r="AW459" s="81"/>
      <c r="AX459" s="81"/>
      <c r="AY459" s="81"/>
      <c r="AZ459" s="81"/>
      <c r="BA459" s="81"/>
      <c r="BB459" s="81"/>
    </row>
    <row r="460" spans="1:54" x14ac:dyDescent="0.35">
      <c r="A460" s="66" t="s">
        <v>481</v>
      </c>
      <c r="B460" s="66" t="s">
        <v>910</v>
      </c>
      <c r="C460" s="67"/>
      <c r="D460" s="68"/>
      <c r="E460" s="69"/>
      <c r="F460" s="70"/>
      <c r="G460" s="67"/>
      <c r="H460" s="71"/>
      <c r="I460" s="72"/>
      <c r="J460" s="72"/>
      <c r="K460" s="36"/>
      <c r="L460" s="79"/>
      <c r="M460" s="79"/>
      <c r="N460" s="74"/>
      <c r="O460" s="81" t="s">
        <v>1205</v>
      </c>
      <c r="P460" s="83">
        <v>44460.299131944441</v>
      </c>
      <c r="Q460" s="81" t="s">
        <v>1324</v>
      </c>
      <c r="R460" s="81"/>
      <c r="S460" s="81"/>
      <c r="T460" s="81"/>
      <c r="U460" s="85" t="str">
        <f>HYPERLINK("https://pbs.twimg.com/media/E_xVJy2VQAQerFe.jpg")</f>
        <v>https://pbs.twimg.com/media/E_xVJy2VQAQerFe.jpg</v>
      </c>
      <c r="V460" s="85" t="str">
        <f>HYPERLINK("https://pbs.twimg.com/media/E_xVJy2VQAQerFe.jpg")</f>
        <v>https://pbs.twimg.com/media/E_xVJy2VQAQerFe.jpg</v>
      </c>
      <c r="W460" s="83">
        <v>44460.299131944441</v>
      </c>
      <c r="X460" s="89">
        <v>44460</v>
      </c>
      <c r="Y460" s="87" t="s">
        <v>2074</v>
      </c>
      <c r="Z460" s="85" t="str">
        <f>HYPERLINK("https://twitter.com/ariestuck26/status/1440211882212687872")</f>
        <v>https://twitter.com/ariestuck26/status/1440211882212687872</v>
      </c>
      <c r="AA460" s="81"/>
      <c r="AB460" s="81"/>
      <c r="AC460" s="87" t="s">
        <v>2997</v>
      </c>
      <c r="AD460" s="81"/>
      <c r="AE460" s="81" t="b">
        <v>0</v>
      </c>
      <c r="AF460" s="81">
        <v>0</v>
      </c>
      <c r="AG460" s="87" t="s">
        <v>3875</v>
      </c>
      <c r="AH460" s="81" t="b">
        <v>0</v>
      </c>
      <c r="AI460" s="81" t="s">
        <v>4092</v>
      </c>
      <c r="AJ460" s="81"/>
      <c r="AK460" s="87" t="s">
        <v>3875</v>
      </c>
      <c r="AL460" s="81" t="b">
        <v>0</v>
      </c>
      <c r="AM460" s="81">
        <v>321</v>
      </c>
      <c r="AN460" s="87" t="s">
        <v>3520</v>
      </c>
      <c r="AO460" s="87" t="s">
        <v>4109</v>
      </c>
      <c r="AP460" s="81" t="b">
        <v>0</v>
      </c>
      <c r="AQ460" s="87" t="s">
        <v>3520</v>
      </c>
      <c r="AR460" s="81" t="s">
        <v>179</v>
      </c>
      <c r="AS460" s="81">
        <v>0</v>
      </c>
      <c r="AT460" s="81">
        <v>0</v>
      </c>
      <c r="AU460" s="81"/>
      <c r="AV460" s="81"/>
      <c r="AW460" s="81"/>
      <c r="AX460" s="81"/>
      <c r="AY460" s="81"/>
      <c r="AZ460" s="81"/>
      <c r="BA460" s="81"/>
      <c r="BB460" s="81"/>
    </row>
    <row r="461" spans="1:54" x14ac:dyDescent="0.35">
      <c r="A461" s="66" t="s">
        <v>482</v>
      </c>
      <c r="B461" s="66" t="s">
        <v>1055</v>
      </c>
      <c r="C461" s="67"/>
      <c r="D461" s="68"/>
      <c r="E461" s="69"/>
      <c r="F461" s="70"/>
      <c r="G461" s="67"/>
      <c r="H461" s="71"/>
      <c r="I461" s="72"/>
      <c r="J461" s="72"/>
      <c r="K461" s="36"/>
      <c r="L461" s="79"/>
      <c r="M461" s="79"/>
      <c r="N461" s="74"/>
      <c r="O461" s="81" t="s">
        <v>1207</v>
      </c>
      <c r="P461" s="83">
        <v>44460.300416666665</v>
      </c>
      <c r="Q461" s="81" t="s">
        <v>1324</v>
      </c>
      <c r="R461" s="81"/>
      <c r="S461" s="81"/>
      <c r="T461" s="81"/>
      <c r="U461" s="85" t="str">
        <f>HYPERLINK("https://pbs.twimg.com/media/E_xVJy2VQAQerFe.jpg")</f>
        <v>https://pbs.twimg.com/media/E_xVJy2VQAQerFe.jpg</v>
      </c>
      <c r="V461" s="85" t="str">
        <f>HYPERLINK("https://pbs.twimg.com/media/E_xVJy2VQAQerFe.jpg")</f>
        <v>https://pbs.twimg.com/media/E_xVJy2VQAQerFe.jpg</v>
      </c>
      <c r="W461" s="83">
        <v>44460.300416666665</v>
      </c>
      <c r="X461" s="89">
        <v>44460</v>
      </c>
      <c r="Y461" s="87" t="s">
        <v>2075</v>
      </c>
      <c r="Z461" s="85" t="str">
        <f>HYPERLINK("https://twitter.com/evadarma42/status/1440212349357416454")</f>
        <v>https://twitter.com/evadarma42/status/1440212349357416454</v>
      </c>
      <c r="AA461" s="81"/>
      <c r="AB461" s="81"/>
      <c r="AC461" s="87" t="s">
        <v>2998</v>
      </c>
      <c r="AD461" s="81"/>
      <c r="AE461" s="81" t="b">
        <v>0</v>
      </c>
      <c r="AF461" s="81">
        <v>0</v>
      </c>
      <c r="AG461" s="87" t="s">
        <v>3875</v>
      </c>
      <c r="AH461" s="81" t="b">
        <v>0</v>
      </c>
      <c r="AI461" s="81" t="s">
        <v>4092</v>
      </c>
      <c r="AJ461" s="81"/>
      <c r="AK461" s="87" t="s">
        <v>3875</v>
      </c>
      <c r="AL461" s="81" t="b">
        <v>0</v>
      </c>
      <c r="AM461" s="81">
        <v>321</v>
      </c>
      <c r="AN461" s="87" t="s">
        <v>3520</v>
      </c>
      <c r="AO461" s="87" t="s">
        <v>4109</v>
      </c>
      <c r="AP461" s="81" t="b">
        <v>0</v>
      </c>
      <c r="AQ461" s="87" t="s">
        <v>3520</v>
      </c>
      <c r="AR461" s="81" t="s">
        <v>179</v>
      </c>
      <c r="AS461" s="81">
        <v>0</v>
      </c>
      <c r="AT461" s="81">
        <v>0</v>
      </c>
      <c r="AU461" s="81"/>
      <c r="AV461" s="81"/>
      <c r="AW461" s="81"/>
      <c r="AX461" s="81"/>
      <c r="AY461" s="81"/>
      <c r="AZ461" s="81"/>
      <c r="BA461" s="81"/>
      <c r="BB461" s="81"/>
    </row>
    <row r="462" spans="1:54" x14ac:dyDescent="0.35">
      <c r="A462" s="66" t="s">
        <v>482</v>
      </c>
      <c r="B462" s="66" t="s">
        <v>910</v>
      </c>
      <c r="C462" s="67"/>
      <c r="D462" s="68"/>
      <c r="E462" s="69"/>
      <c r="F462" s="70"/>
      <c r="G462" s="67"/>
      <c r="H462" s="71"/>
      <c r="I462" s="72"/>
      <c r="J462" s="72"/>
      <c r="K462" s="36"/>
      <c r="L462" s="79"/>
      <c r="M462" s="79"/>
      <c r="N462" s="74"/>
      <c r="O462" s="81" t="s">
        <v>1205</v>
      </c>
      <c r="P462" s="83">
        <v>44460.300416666665</v>
      </c>
      <c r="Q462" s="81" t="s">
        <v>1324</v>
      </c>
      <c r="R462" s="81"/>
      <c r="S462" s="81"/>
      <c r="T462" s="81"/>
      <c r="U462" s="85" t="str">
        <f>HYPERLINK("https://pbs.twimg.com/media/E_xVJy2VQAQerFe.jpg")</f>
        <v>https://pbs.twimg.com/media/E_xVJy2VQAQerFe.jpg</v>
      </c>
      <c r="V462" s="85" t="str">
        <f>HYPERLINK("https://pbs.twimg.com/media/E_xVJy2VQAQerFe.jpg")</f>
        <v>https://pbs.twimg.com/media/E_xVJy2VQAQerFe.jpg</v>
      </c>
      <c r="W462" s="83">
        <v>44460.300416666665</v>
      </c>
      <c r="X462" s="89">
        <v>44460</v>
      </c>
      <c r="Y462" s="87" t="s">
        <v>2075</v>
      </c>
      <c r="Z462" s="85" t="str">
        <f>HYPERLINK("https://twitter.com/evadarma42/status/1440212349357416454")</f>
        <v>https://twitter.com/evadarma42/status/1440212349357416454</v>
      </c>
      <c r="AA462" s="81"/>
      <c r="AB462" s="81"/>
      <c r="AC462" s="87" t="s">
        <v>2998</v>
      </c>
      <c r="AD462" s="81"/>
      <c r="AE462" s="81" t="b">
        <v>0</v>
      </c>
      <c r="AF462" s="81">
        <v>0</v>
      </c>
      <c r="AG462" s="87" t="s">
        <v>3875</v>
      </c>
      <c r="AH462" s="81" t="b">
        <v>0</v>
      </c>
      <c r="AI462" s="81" t="s">
        <v>4092</v>
      </c>
      <c r="AJ462" s="81"/>
      <c r="AK462" s="87" t="s">
        <v>3875</v>
      </c>
      <c r="AL462" s="81" t="b">
        <v>0</v>
      </c>
      <c r="AM462" s="81">
        <v>321</v>
      </c>
      <c r="AN462" s="87" t="s">
        <v>3520</v>
      </c>
      <c r="AO462" s="87" t="s">
        <v>4109</v>
      </c>
      <c r="AP462" s="81" t="b">
        <v>0</v>
      </c>
      <c r="AQ462" s="87" t="s">
        <v>3520</v>
      </c>
      <c r="AR462" s="81" t="s">
        <v>179</v>
      </c>
      <c r="AS462" s="81">
        <v>0</v>
      </c>
      <c r="AT462" s="81">
        <v>0</v>
      </c>
      <c r="AU462" s="81"/>
      <c r="AV462" s="81"/>
      <c r="AW462" s="81"/>
      <c r="AX462" s="81"/>
      <c r="AY462" s="81"/>
      <c r="AZ462" s="81"/>
      <c r="BA462" s="81"/>
      <c r="BB462" s="81"/>
    </row>
    <row r="463" spans="1:54" x14ac:dyDescent="0.35">
      <c r="A463" s="66" t="s">
        <v>483</v>
      </c>
      <c r="B463" s="66" t="s">
        <v>1055</v>
      </c>
      <c r="C463" s="67"/>
      <c r="D463" s="68"/>
      <c r="E463" s="69"/>
      <c r="F463" s="70"/>
      <c r="G463" s="67"/>
      <c r="H463" s="71"/>
      <c r="I463" s="72"/>
      <c r="J463" s="72"/>
      <c r="K463" s="36"/>
      <c r="L463" s="79"/>
      <c r="M463" s="79"/>
      <c r="N463" s="74"/>
      <c r="O463" s="81" t="s">
        <v>1207</v>
      </c>
      <c r="P463" s="83">
        <v>44460.301122685189</v>
      </c>
      <c r="Q463" s="81" t="s">
        <v>1324</v>
      </c>
      <c r="R463" s="81"/>
      <c r="S463" s="81"/>
      <c r="T463" s="81"/>
      <c r="U463" s="85" t="str">
        <f>HYPERLINK("https://pbs.twimg.com/media/E_xVJy2VQAQerFe.jpg")</f>
        <v>https://pbs.twimg.com/media/E_xVJy2VQAQerFe.jpg</v>
      </c>
      <c r="V463" s="85" t="str">
        <f>HYPERLINK("https://pbs.twimg.com/media/E_xVJy2VQAQerFe.jpg")</f>
        <v>https://pbs.twimg.com/media/E_xVJy2VQAQerFe.jpg</v>
      </c>
      <c r="W463" s="83">
        <v>44460.301122685189</v>
      </c>
      <c r="X463" s="89">
        <v>44460</v>
      </c>
      <c r="Y463" s="87" t="s">
        <v>2076</v>
      </c>
      <c r="Z463" s="85" t="str">
        <f>HYPERLINK("https://twitter.com/arie_mdana/status/1440212605759488002")</f>
        <v>https://twitter.com/arie_mdana/status/1440212605759488002</v>
      </c>
      <c r="AA463" s="81"/>
      <c r="AB463" s="81"/>
      <c r="AC463" s="87" t="s">
        <v>2999</v>
      </c>
      <c r="AD463" s="81"/>
      <c r="AE463" s="81" t="b">
        <v>0</v>
      </c>
      <c r="AF463" s="81">
        <v>0</v>
      </c>
      <c r="AG463" s="87" t="s">
        <v>3875</v>
      </c>
      <c r="AH463" s="81" t="b">
        <v>0</v>
      </c>
      <c r="AI463" s="81" t="s">
        <v>4092</v>
      </c>
      <c r="AJ463" s="81"/>
      <c r="AK463" s="87" t="s">
        <v>3875</v>
      </c>
      <c r="AL463" s="81" t="b">
        <v>0</v>
      </c>
      <c r="AM463" s="81">
        <v>321</v>
      </c>
      <c r="AN463" s="87" t="s">
        <v>3520</v>
      </c>
      <c r="AO463" s="87" t="s">
        <v>4109</v>
      </c>
      <c r="AP463" s="81" t="b">
        <v>0</v>
      </c>
      <c r="AQ463" s="87" t="s">
        <v>3520</v>
      </c>
      <c r="AR463" s="81" t="s">
        <v>179</v>
      </c>
      <c r="AS463" s="81">
        <v>0</v>
      </c>
      <c r="AT463" s="81">
        <v>0</v>
      </c>
      <c r="AU463" s="81"/>
      <c r="AV463" s="81"/>
      <c r="AW463" s="81"/>
      <c r="AX463" s="81"/>
      <c r="AY463" s="81"/>
      <c r="AZ463" s="81"/>
      <c r="BA463" s="81"/>
      <c r="BB463" s="81"/>
    </row>
    <row r="464" spans="1:54" x14ac:dyDescent="0.35">
      <c r="A464" s="66" t="s">
        <v>483</v>
      </c>
      <c r="B464" s="66" t="s">
        <v>910</v>
      </c>
      <c r="C464" s="67"/>
      <c r="D464" s="68"/>
      <c r="E464" s="69"/>
      <c r="F464" s="70"/>
      <c r="G464" s="67"/>
      <c r="H464" s="71"/>
      <c r="I464" s="72"/>
      <c r="J464" s="72"/>
      <c r="K464" s="36"/>
      <c r="L464" s="79"/>
      <c r="M464" s="79"/>
      <c r="N464" s="74"/>
      <c r="O464" s="81" t="s">
        <v>1205</v>
      </c>
      <c r="P464" s="83">
        <v>44460.301122685189</v>
      </c>
      <c r="Q464" s="81" t="s">
        <v>1324</v>
      </c>
      <c r="R464" s="81"/>
      <c r="S464" s="81"/>
      <c r="T464" s="81"/>
      <c r="U464" s="85" t="str">
        <f>HYPERLINK("https://pbs.twimg.com/media/E_xVJy2VQAQerFe.jpg")</f>
        <v>https://pbs.twimg.com/media/E_xVJy2VQAQerFe.jpg</v>
      </c>
      <c r="V464" s="85" t="str">
        <f>HYPERLINK("https://pbs.twimg.com/media/E_xVJy2VQAQerFe.jpg")</f>
        <v>https://pbs.twimg.com/media/E_xVJy2VQAQerFe.jpg</v>
      </c>
      <c r="W464" s="83">
        <v>44460.301122685189</v>
      </c>
      <c r="X464" s="89">
        <v>44460</v>
      </c>
      <c r="Y464" s="87" t="s">
        <v>2076</v>
      </c>
      <c r="Z464" s="85" t="str">
        <f>HYPERLINK("https://twitter.com/arie_mdana/status/1440212605759488002")</f>
        <v>https://twitter.com/arie_mdana/status/1440212605759488002</v>
      </c>
      <c r="AA464" s="81"/>
      <c r="AB464" s="81"/>
      <c r="AC464" s="87" t="s">
        <v>2999</v>
      </c>
      <c r="AD464" s="81"/>
      <c r="AE464" s="81" t="b">
        <v>0</v>
      </c>
      <c r="AF464" s="81">
        <v>0</v>
      </c>
      <c r="AG464" s="87" t="s">
        <v>3875</v>
      </c>
      <c r="AH464" s="81" t="b">
        <v>0</v>
      </c>
      <c r="AI464" s="81" t="s">
        <v>4092</v>
      </c>
      <c r="AJ464" s="81"/>
      <c r="AK464" s="87" t="s">
        <v>3875</v>
      </c>
      <c r="AL464" s="81" t="b">
        <v>0</v>
      </c>
      <c r="AM464" s="81">
        <v>321</v>
      </c>
      <c r="AN464" s="87" t="s">
        <v>3520</v>
      </c>
      <c r="AO464" s="87" t="s">
        <v>4109</v>
      </c>
      <c r="AP464" s="81" t="b">
        <v>0</v>
      </c>
      <c r="AQ464" s="87" t="s">
        <v>3520</v>
      </c>
      <c r="AR464" s="81" t="s">
        <v>179</v>
      </c>
      <c r="AS464" s="81">
        <v>0</v>
      </c>
      <c r="AT464" s="81">
        <v>0</v>
      </c>
      <c r="AU464" s="81"/>
      <c r="AV464" s="81"/>
      <c r="AW464" s="81"/>
      <c r="AX464" s="81"/>
      <c r="AY464" s="81"/>
      <c r="AZ464" s="81"/>
      <c r="BA464" s="81"/>
      <c r="BB464" s="81"/>
    </row>
    <row r="465" spans="1:54" x14ac:dyDescent="0.35">
      <c r="A465" s="66" t="s">
        <v>484</v>
      </c>
      <c r="B465" s="66" t="s">
        <v>1066</v>
      </c>
      <c r="C465" s="67"/>
      <c r="D465" s="68"/>
      <c r="E465" s="69"/>
      <c r="F465" s="70"/>
      <c r="G465" s="67"/>
      <c r="H465" s="71"/>
      <c r="I465" s="72"/>
      <c r="J465" s="72"/>
      <c r="K465" s="36"/>
      <c r="L465" s="79"/>
      <c r="M465" s="79"/>
      <c r="N465" s="74"/>
      <c r="O465" s="81" t="s">
        <v>1206</v>
      </c>
      <c r="P465" s="83">
        <v>44460.305266203701</v>
      </c>
      <c r="Q465" s="81" t="s">
        <v>1338</v>
      </c>
      <c r="R465" s="81"/>
      <c r="S465" s="81"/>
      <c r="T465" s="81"/>
      <c r="U465" s="81"/>
      <c r="V465" s="85" t="str">
        <f>HYPERLINK("https://pbs.twimg.com/profile_images/1091700350472474624/CsuQ65QF_normal.jpg")</f>
        <v>https://pbs.twimg.com/profile_images/1091700350472474624/CsuQ65QF_normal.jpg</v>
      </c>
      <c r="W465" s="83">
        <v>44460.305266203701</v>
      </c>
      <c r="X465" s="89">
        <v>44460</v>
      </c>
      <c r="Y465" s="87" t="s">
        <v>2077</v>
      </c>
      <c r="Z465" s="85" t="str">
        <f>HYPERLINK("https://twitter.com/festifiki/status/1440214104644349954")</f>
        <v>https://twitter.com/festifiki/status/1440214104644349954</v>
      </c>
      <c r="AA465" s="81"/>
      <c r="AB465" s="81"/>
      <c r="AC465" s="87" t="s">
        <v>3000</v>
      </c>
      <c r="AD465" s="81"/>
      <c r="AE465" s="81" t="b">
        <v>0</v>
      </c>
      <c r="AF465" s="81">
        <v>0</v>
      </c>
      <c r="AG465" s="87" t="s">
        <v>3875</v>
      </c>
      <c r="AH465" s="81" t="b">
        <v>0</v>
      </c>
      <c r="AI465" s="81" t="s">
        <v>4092</v>
      </c>
      <c r="AJ465" s="81"/>
      <c r="AK465" s="87" t="s">
        <v>3875</v>
      </c>
      <c r="AL465" s="81" t="b">
        <v>0</v>
      </c>
      <c r="AM465" s="81">
        <v>0</v>
      </c>
      <c r="AN465" s="87" t="s">
        <v>3875</v>
      </c>
      <c r="AO465" s="87" t="s">
        <v>4110</v>
      </c>
      <c r="AP465" s="81" t="b">
        <v>0</v>
      </c>
      <c r="AQ465" s="87" t="s">
        <v>3000</v>
      </c>
      <c r="AR465" s="81" t="s">
        <v>179</v>
      </c>
      <c r="AS465" s="81">
        <v>0</v>
      </c>
      <c r="AT465" s="81">
        <v>0</v>
      </c>
      <c r="AU465" s="81"/>
      <c r="AV465" s="81"/>
      <c r="AW465" s="81"/>
      <c r="AX465" s="81"/>
      <c r="AY465" s="81"/>
      <c r="AZ465" s="81"/>
      <c r="BA465" s="81"/>
      <c r="BB465" s="81"/>
    </row>
    <row r="466" spans="1:54" x14ac:dyDescent="0.35">
      <c r="A466" s="66" t="s">
        <v>485</v>
      </c>
      <c r="B466" s="66" t="s">
        <v>1055</v>
      </c>
      <c r="C466" s="67"/>
      <c r="D466" s="68"/>
      <c r="E466" s="69"/>
      <c r="F466" s="70"/>
      <c r="G466" s="67"/>
      <c r="H466" s="71"/>
      <c r="I466" s="72"/>
      <c r="J466" s="72"/>
      <c r="K466" s="36"/>
      <c r="L466" s="79"/>
      <c r="M466" s="79"/>
      <c r="N466" s="74"/>
      <c r="O466" s="81" t="s">
        <v>1207</v>
      </c>
      <c r="P466" s="83">
        <v>44460.306770833333</v>
      </c>
      <c r="Q466" s="81" t="s">
        <v>1324</v>
      </c>
      <c r="R466" s="81"/>
      <c r="S466" s="81"/>
      <c r="T466" s="81"/>
      <c r="U466" s="85" t="str">
        <f>HYPERLINK("https://pbs.twimg.com/media/E_xVJy2VQAQerFe.jpg")</f>
        <v>https://pbs.twimg.com/media/E_xVJy2VQAQerFe.jpg</v>
      </c>
      <c r="V466" s="85" t="str">
        <f>HYPERLINK("https://pbs.twimg.com/media/E_xVJy2VQAQerFe.jpg")</f>
        <v>https://pbs.twimg.com/media/E_xVJy2VQAQerFe.jpg</v>
      </c>
      <c r="W466" s="83">
        <v>44460.306770833333</v>
      </c>
      <c r="X466" s="89">
        <v>44460</v>
      </c>
      <c r="Y466" s="87" t="s">
        <v>2078</v>
      </c>
      <c r="Z466" s="85" t="str">
        <f>HYPERLINK("https://twitter.com/laxyyta/status/1440214649861931014")</f>
        <v>https://twitter.com/laxyyta/status/1440214649861931014</v>
      </c>
      <c r="AA466" s="81"/>
      <c r="AB466" s="81"/>
      <c r="AC466" s="87" t="s">
        <v>3001</v>
      </c>
      <c r="AD466" s="81"/>
      <c r="AE466" s="81" t="b">
        <v>0</v>
      </c>
      <c r="AF466" s="81">
        <v>0</v>
      </c>
      <c r="AG466" s="87" t="s">
        <v>3875</v>
      </c>
      <c r="AH466" s="81" t="b">
        <v>0</v>
      </c>
      <c r="AI466" s="81" t="s">
        <v>4092</v>
      </c>
      <c r="AJ466" s="81"/>
      <c r="AK466" s="87" t="s">
        <v>3875</v>
      </c>
      <c r="AL466" s="81" t="b">
        <v>0</v>
      </c>
      <c r="AM466" s="81">
        <v>321</v>
      </c>
      <c r="AN466" s="87" t="s">
        <v>3520</v>
      </c>
      <c r="AO466" s="87" t="s">
        <v>4111</v>
      </c>
      <c r="AP466" s="81" t="b">
        <v>0</v>
      </c>
      <c r="AQ466" s="87" t="s">
        <v>3520</v>
      </c>
      <c r="AR466" s="81" t="s">
        <v>179</v>
      </c>
      <c r="AS466" s="81">
        <v>0</v>
      </c>
      <c r="AT466" s="81">
        <v>0</v>
      </c>
      <c r="AU466" s="81"/>
      <c r="AV466" s="81"/>
      <c r="AW466" s="81"/>
      <c r="AX466" s="81"/>
      <c r="AY466" s="81"/>
      <c r="AZ466" s="81"/>
      <c r="BA466" s="81"/>
      <c r="BB466" s="81"/>
    </row>
    <row r="467" spans="1:54" x14ac:dyDescent="0.35">
      <c r="A467" s="66" t="s">
        <v>485</v>
      </c>
      <c r="B467" s="66" t="s">
        <v>910</v>
      </c>
      <c r="C467" s="67"/>
      <c r="D467" s="68"/>
      <c r="E467" s="69"/>
      <c r="F467" s="70"/>
      <c r="G467" s="67"/>
      <c r="H467" s="71"/>
      <c r="I467" s="72"/>
      <c r="J467" s="72"/>
      <c r="K467" s="36"/>
      <c r="L467" s="79"/>
      <c r="M467" s="79"/>
      <c r="N467" s="74"/>
      <c r="O467" s="81" t="s">
        <v>1205</v>
      </c>
      <c r="P467" s="83">
        <v>44460.306770833333</v>
      </c>
      <c r="Q467" s="81" t="s">
        <v>1324</v>
      </c>
      <c r="R467" s="81"/>
      <c r="S467" s="81"/>
      <c r="T467" s="81"/>
      <c r="U467" s="85" t="str">
        <f>HYPERLINK("https://pbs.twimg.com/media/E_xVJy2VQAQerFe.jpg")</f>
        <v>https://pbs.twimg.com/media/E_xVJy2VQAQerFe.jpg</v>
      </c>
      <c r="V467" s="85" t="str">
        <f>HYPERLINK("https://pbs.twimg.com/media/E_xVJy2VQAQerFe.jpg")</f>
        <v>https://pbs.twimg.com/media/E_xVJy2VQAQerFe.jpg</v>
      </c>
      <c r="W467" s="83">
        <v>44460.306770833333</v>
      </c>
      <c r="X467" s="89">
        <v>44460</v>
      </c>
      <c r="Y467" s="87" t="s">
        <v>2078</v>
      </c>
      <c r="Z467" s="85" t="str">
        <f>HYPERLINK("https://twitter.com/laxyyta/status/1440214649861931014")</f>
        <v>https://twitter.com/laxyyta/status/1440214649861931014</v>
      </c>
      <c r="AA467" s="81"/>
      <c r="AB467" s="81"/>
      <c r="AC467" s="87" t="s">
        <v>3001</v>
      </c>
      <c r="AD467" s="81"/>
      <c r="AE467" s="81" t="b">
        <v>0</v>
      </c>
      <c r="AF467" s="81">
        <v>0</v>
      </c>
      <c r="AG467" s="87" t="s">
        <v>3875</v>
      </c>
      <c r="AH467" s="81" t="b">
        <v>0</v>
      </c>
      <c r="AI467" s="81" t="s">
        <v>4092</v>
      </c>
      <c r="AJ467" s="81"/>
      <c r="AK467" s="87" t="s">
        <v>3875</v>
      </c>
      <c r="AL467" s="81" t="b">
        <v>0</v>
      </c>
      <c r="AM467" s="81">
        <v>321</v>
      </c>
      <c r="AN467" s="87" t="s">
        <v>3520</v>
      </c>
      <c r="AO467" s="87" t="s">
        <v>4111</v>
      </c>
      <c r="AP467" s="81" t="b">
        <v>0</v>
      </c>
      <c r="AQ467" s="87" t="s">
        <v>3520</v>
      </c>
      <c r="AR467" s="81" t="s">
        <v>179</v>
      </c>
      <c r="AS467" s="81">
        <v>0</v>
      </c>
      <c r="AT467" s="81">
        <v>0</v>
      </c>
      <c r="AU467" s="81"/>
      <c r="AV467" s="81"/>
      <c r="AW467" s="81"/>
      <c r="AX467" s="81"/>
      <c r="AY467" s="81"/>
      <c r="AZ467" s="81"/>
      <c r="BA467" s="81"/>
      <c r="BB467" s="81"/>
    </row>
    <row r="468" spans="1:54" x14ac:dyDescent="0.35">
      <c r="A468" s="66" t="s">
        <v>486</v>
      </c>
      <c r="B468" s="66" t="s">
        <v>486</v>
      </c>
      <c r="C468" s="67"/>
      <c r="D468" s="68"/>
      <c r="E468" s="69"/>
      <c r="F468" s="70"/>
      <c r="G468" s="67"/>
      <c r="H468" s="71"/>
      <c r="I468" s="72"/>
      <c r="J468" s="72"/>
      <c r="K468" s="36"/>
      <c r="L468" s="79"/>
      <c r="M468" s="79"/>
      <c r="N468" s="74"/>
      <c r="O468" s="81" t="s">
        <v>179</v>
      </c>
      <c r="P468" s="83">
        <v>44460.307141203702</v>
      </c>
      <c r="Q468" s="81" t="s">
        <v>1339</v>
      </c>
      <c r="R468" s="81"/>
      <c r="S468" s="81"/>
      <c r="T468" s="81"/>
      <c r="U468" s="81"/>
      <c r="V468" s="85" t="str">
        <f>HYPERLINK("https://pbs.twimg.com/profile_images/1436985044833239051/w1ZrOCju_normal.jpg")</f>
        <v>https://pbs.twimg.com/profile_images/1436985044833239051/w1ZrOCju_normal.jpg</v>
      </c>
      <c r="W468" s="83">
        <v>44460.307141203702</v>
      </c>
      <c r="X468" s="89">
        <v>44460</v>
      </c>
      <c r="Y468" s="87" t="s">
        <v>2079</v>
      </c>
      <c r="Z468" s="85" t="str">
        <f>HYPERLINK("https://twitter.com/lovelostlustyou/status/1440214785488875525")</f>
        <v>https://twitter.com/lovelostlustyou/status/1440214785488875525</v>
      </c>
      <c r="AA468" s="81"/>
      <c r="AB468" s="81"/>
      <c r="AC468" s="87" t="s">
        <v>3002</v>
      </c>
      <c r="AD468" s="87" t="s">
        <v>3705</v>
      </c>
      <c r="AE468" s="81" t="b">
        <v>0</v>
      </c>
      <c r="AF468" s="81">
        <v>1</v>
      </c>
      <c r="AG468" s="87" t="s">
        <v>3939</v>
      </c>
      <c r="AH468" s="81" t="b">
        <v>0</v>
      </c>
      <c r="AI468" s="81" t="s">
        <v>4092</v>
      </c>
      <c r="AJ468" s="81"/>
      <c r="AK468" s="87" t="s">
        <v>3875</v>
      </c>
      <c r="AL468" s="81" t="b">
        <v>0</v>
      </c>
      <c r="AM468" s="81">
        <v>0</v>
      </c>
      <c r="AN468" s="87" t="s">
        <v>3875</v>
      </c>
      <c r="AO468" s="87" t="s">
        <v>4110</v>
      </c>
      <c r="AP468" s="81" t="b">
        <v>0</v>
      </c>
      <c r="AQ468" s="87" t="s">
        <v>3705</v>
      </c>
      <c r="AR468" s="81" t="s">
        <v>179</v>
      </c>
      <c r="AS468" s="81">
        <v>0</v>
      </c>
      <c r="AT468" s="81">
        <v>0</v>
      </c>
      <c r="AU468" s="81"/>
      <c r="AV468" s="81"/>
      <c r="AW468" s="81"/>
      <c r="AX468" s="81"/>
      <c r="AY468" s="81"/>
      <c r="AZ468" s="81"/>
      <c r="BA468" s="81"/>
      <c r="BB468" s="81"/>
    </row>
    <row r="469" spans="1:54" x14ac:dyDescent="0.35">
      <c r="A469" s="66" t="s">
        <v>487</v>
      </c>
      <c r="B469" s="66" t="s">
        <v>1055</v>
      </c>
      <c r="C469" s="67"/>
      <c r="D469" s="68"/>
      <c r="E469" s="69"/>
      <c r="F469" s="70"/>
      <c r="G469" s="67"/>
      <c r="H469" s="71"/>
      <c r="I469" s="72"/>
      <c r="J469" s="72"/>
      <c r="K469" s="36"/>
      <c r="L469" s="79"/>
      <c r="M469" s="79"/>
      <c r="N469" s="74"/>
      <c r="O469" s="81" t="s">
        <v>1207</v>
      </c>
      <c r="P469" s="83">
        <v>44460.30746527778</v>
      </c>
      <c r="Q469" s="81" t="s">
        <v>1324</v>
      </c>
      <c r="R469" s="81"/>
      <c r="S469" s="81"/>
      <c r="T469" s="81"/>
      <c r="U469" s="85" t="str">
        <f>HYPERLINK("https://pbs.twimg.com/media/E_xVJy2VQAQerFe.jpg")</f>
        <v>https://pbs.twimg.com/media/E_xVJy2VQAQerFe.jpg</v>
      </c>
      <c r="V469" s="85" t="str">
        <f>HYPERLINK("https://pbs.twimg.com/media/E_xVJy2VQAQerFe.jpg")</f>
        <v>https://pbs.twimg.com/media/E_xVJy2VQAQerFe.jpg</v>
      </c>
      <c r="W469" s="83">
        <v>44460.30746527778</v>
      </c>
      <c r="X469" s="89">
        <v>44460</v>
      </c>
      <c r="Y469" s="87" t="s">
        <v>2080</v>
      </c>
      <c r="Z469" s="85" t="str">
        <f>HYPERLINK("https://twitter.com/fandearb1/status/1440214903004942348")</f>
        <v>https://twitter.com/fandearb1/status/1440214903004942348</v>
      </c>
      <c r="AA469" s="81"/>
      <c r="AB469" s="81"/>
      <c r="AC469" s="87" t="s">
        <v>3003</v>
      </c>
      <c r="AD469" s="81"/>
      <c r="AE469" s="81" t="b">
        <v>0</v>
      </c>
      <c r="AF469" s="81">
        <v>0</v>
      </c>
      <c r="AG469" s="87" t="s">
        <v>3875</v>
      </c>
      <c r="AH469" s="81" t="b">
        <v>0</v>
      </c>
      <c r="AI469" s="81" t="s">
        <v>4092</v>
      </c>
      <c r="AJ469" s="81"/>
      <c r="AK469" s="87" t="s">
        <v>3875</v>
      </c>
      <c r="AL469" s="81" t="b">
        <v>0</v>
      </c>
      <c r="AM469" s="81">
        <v>321</v>
      </c>
      <c r="AN469" s="87" t="s">
        <v>3520</v>
      </c>
      <c r="AO469" s="87" t="s">
        <v>4109</v>
      </c>
      <c r="AP469" s="81" t="b">
        <v>0</v>
      </c>
      <c r="AQ469" s="87" t="s">
        <v>3520</v>
      </c>
      <c r="AR469" s="81" t="s">
        <v>179</v>
      </c>
      <c r="AS469" s="81">
        <v>0</v>
      </c>
      <c r="AT469" s="81">
        <v>0</v>
      </c>
      <c r="AU469" s="81"/>
      <c r="AV469" s="81"/>
      <c r="AW469" s="81"/>
      <c r="AX469" s="81"/>
      <c r="AY469" s="81"/>
      <c r="AZ469" s="81"/>
      <c r="BA469" s="81"/>
      <c r="BB469" s="81"/>
    </row>
    <row r="470" spans="1:54" x14ac:dyDescent="0.35">
      <c r="A470" s="66" t="s">
        <v>487</v>
      </c>
      <c r="B470" s="66" t="s">
        <v>910</v>
      </c>
      <c r="C470" s="67"/>
      <c r="D470" s="68"/>
      <c r="E470" s="69"/>
      <c r="F470" s="70"/>
      <c r="G470" s="67"/>
      <c r="H470" s="71"/>
      <c r="I470" s="72"/>
      <c r="J470" s="72"/>
      <c r="K470" s="36"/>
      <c r="L470" s="79"/>
      <c r="M470" s="79"/>
      <c r="N470" s="74"/>
      <c r="O470" s="81" t="s">
        <v>1205</v>
      </c>
      <c r="P470" s="83">
        <v>44460.30746527778</v>
      </c>
      <c r="Q470" s="81" t="s">
        <v>1324</v>
      </c>
      <c r="R470" s="81"/>
      <c r="S470" s="81"/>
      <c r="T470" s="81"/>
      <c r="U470" s="85" t="str">
        <f>HYPERLINK("https://pbs.twimg.com/media/E_xVJy2VQAQerFe.jpg")</f>
        <v>https://pbs.twimg.com/media/E_xVJy2VQAQerFe.jpg</v>
      </c>
      <c r="V470" s="85" t="str">
        <f>HYPERLINK("https://pbs.twimg.com/media/E_xVJy2VQAQerFe.jpg")</f>
        <v>https://pbs.twimg.com/media/E_xVJy2VQAQerFe.jpg</v>
      </c>
      <c r="W470" s="83">
        <v>44460.30746527778</v>
      </c>
      <c r="X470" s="89">
        <v>44460</v>
      </c>
      <c r="Y470" s="87" t="s">
        <v>2080</v>
      </c>
      <c r="Z470" s="85" t="str">
        <f>HYPERLINK("https://twitter.com/fandearb1/status/1440214903004942348")</f>
        <v>https://twitter.com/fandearb1/status/1440214903004942348</v>
      </c>
      <c r="AA470" s="81"/>
      <c r="AB470" s="81"/>
      <c r="AC470" s="87" t="s">
        <v>3003</v>
      </c>
      <c r="AD470" s="81"/>
      <c r="AE470" s="81" t="b">
        <v>0</v>
      </c>
      <c r="AF470" s="81">
        <v>0</v>
      </c>
      <c r="AG470" s="87" t="s">
        <v>3875</v>
      </c>
      <c r="AH470" s="81" t="b">
        <v>0</v>
      </c>
      <c r="AI470" s="81" t="s">
        <v>4092</v>
      </c>
      <c r="AJ470" s="81"/>
      <c r="AK470" s="87" t="s">
        <v>3875</v>
      </c>
      <c r="AL470" s="81" t="b">
        <v>0</v>
      </c>
      <c r="AM470" s="81">
        <v>321</v>
      </c>
      <c r="AN470" s="87" t="s">
        <v>3520</v>
      </c>
      <c r="AO470" s="87" t="s">
        <v>4109</v>
      </c>
      <c r="AP470" s="81" t="b">
        <v>0</v>
      </c>
      <c r="AQ470" s="87" t="s">
        <v>3520</v>
      </c>
      <c r="AR470" s="81" t="s">
        <v>179</v>
      </c>
      <c r="AS470" s="81">
        <v>0</v>
      </c>
      <c r="AT470" s="81">
        <v>0</v>
      </c>
      <c r="AU470" s="81"/>
      <c r="AV470" s="81"/>
      <c r="AW470" s="81"/>
      <c r="AX470" s="81"/>
      <c r="AY470" s="81"/>
      <c r="AZ470" s="81"/>
      <c r="BA470" s="81"/>
      <c r="BB470" s="81"/>
    </row>
    <row r="471" spans="1:54" x14ac:dyDescent="0.35">
      <c r="A471" s="66" t="s">
        <v>488</v>
      </c>
      <c r="B471" s="66" t="s">
        <v>1055</v>
      </c>
      <c r="C471" s="67"/>
      <c r="D471" s="68"/>
      <c r="E471" s="69"/>
      <c r="F471" s="70"/>
      <c r="G471" s="67"/>
      <c r="H471" s="71"/>
      <c r="I471" s="72"/>
      <c r="J471" s="72"/>
      <c r="K471" s="36"/>
      <c r="L471" s="79"/>
      <c r="M471" s="79"/>
      <c r="N471" s="74"/>
      <c r="O471" s="81" t="s">
        <v>1207</v>
      </c>
      <c r="P471" s="83">
        <v>44460.307615740741</v>
      </c>
      <c r="Q471" s="81" t="s">
        <v>1324</v>
      </c>
      <c r="R471" s="81"/>
      <c r="S471" s="81"/>
      <c r="T471" s="81"/>
      <c r="U471" s="85" t="str">
        <f>HYPERLINK("https://pbs.twimg.com/media/E_xVJy2VQAQerFe.jpg")</f>
        <v>https://pbs.twimg.com/media/E_xVJy2VQAQerFe.jpg</v>
      </c>
      <c r="V471" s="85" t="str">
        <f>HYPERLINK("https://pbs.twimg.com/media/E_xVJy2VQAQerFe.jpg")</f>
        <v>https://pbs.twimg.com/media/E_xVJy2VQAQerFe.jpg</v>
      </c>
      <c r="W471" s="83">
        <v>44460.307615740741</v>
      </c>
      <c r="X471" s="89">
        <v>44460</v>
      </c>
      <c r="Y471" s="87" t="s">
        <v>2081</v>
      </c>
      <c r="Z471" s="85" t="str">
        <f>HYPERLINK("https://twitter.com/hermandokang/status/1440214956561948674")</f>
        <v>https://twitter.com/hermandokang/status/1440214956561948674</v>
      </c>
      <c r="AA471" s="81"/>
      <c r="AB471" s="81"/>
      <c r="AC471" s="87" t="s">
        <v>3004</v>
      </c>
      <c r="AD471" s="81"/>
      <c r="AE471" s="81" t="b">
        <v>0</v>
      </c>
      <c r="AF471" s="81">
        <v>0</v>
      </c>
      <c r="AG471" s="87" t="s">
        <v>3875</v>
      </c>
      <c r="AH471" s="81" t="b">
        <v>0</v>
      </c>
      <c r="AI471" s="81" t="s">
        <v>4092</v>
      </c>
      <c r="AJ471" s="81"/>
      <c r="AK471" s="87" t="s">
        <v>3875</v>
      </c>
      <c r="AL471" s="81" t="b">
        <v>0</v>
      </c>
      <c r="AM471" s="81">
        <v>321</v>
      </c>
      <c r="AN471" s="87" t="s">
        <v>3520</v>
      </c>
      <c r="AO471" s="87" t="s">
        <v>4109</v>
      </c>
      <c r="AP471" s="81" t="b">
        <v>0</v>
      </c>
      <c r="AQ471" s="87" t="s">
        <v>3520</v>
      </c>
      <c r="AR471" s="81" t="s">
        <v>179</v>
      </c>
      <c r="AS471" s="81">
        <v>0</v>
      </c>
      <c r="AT471" s="81">
        <v>0</v>
      </c>
      <c r="AU471" s="81"/>
      <c r="AV471" s="81"/>
      <c r="AW471" s="81"/>
      <c r="AX471" s="81"/>
      <c r="AY471" s="81"/>
      <c r="AZ471" s="81"/>
      <c r="BA471" s="81"/>
      <c r="BB471" s="81"/>
    </row>
    <row r="472" spans="1:54" x14ac:dyDescent="0.35">
      <c r="A472" s="66" t="s">
        <v>488</v>
      </c>
      <c r="B472" s="66" t="s">
        <v>910</v>
      </c>
      <c r="C472" s="67"/>
      <c r="D472" s="68"/>
      <c r="E472" s="69"/>
      <c r="F472" s="70"/>
      <c r="G472" s="67"/>
      <c r="H472" s="71"/>
      <c r="I472" s="72"/>
      <c r="J472" s="72"/>
      <c r="K472" s="36"/>
      <c r="L472" s="79"/>
      <c r="M472" s="79"/>
      <c r="N472" s="74"/>
      <c r="O472" s="81" t="s">
        <v>1205</v>
      </c>
      <c r="P472" s="83">
        <v>44460.307615740741</v>
      </c>
      <c r="Q472" s="81" t="s">
        <v>1324</v>
      </c>
      <c r="R472" s="81"/>
      <c r="S472" s="81"/>
      <c r="T472" s="81"/>
      <c r="U472" s="85" t="str">
        <f>HYPERLINK("https://pbs.twimg.com/media/E_xVJy2VQAQerFe.jpg")</f>
        <v>https://pbs.twimg.com/media/E_xVJy2VQAQerFe.jpg</v>
      </c>
      <c r="V472" s="85" t="str">
        <f>HYPERLINK("https://pbs.twimg.com/media/E_xVJy2VQAQerFe.jpg")</f>
        <v>https://pbs.twimg.com/media/E_xVJy2VQAQerFe.jpg</v>
      </c>
      <c r="W472" s="83">
        <v>44460.307615740741</v>
      </c>
      <c r="X472" s="89">
        <v>44460</v>
      </c>
      <c r="Y472" s="87" t="s">
        <v>2081</v>
      </c>
      <c r="Z472" s="85" t="str">
        <f>HYPERLINK("https://twitter.com/hermandokang/status/1440214956561948674")</f>
        <v>https://twitter.com/hermandokang/status/1440214956561948674</v>
      </c>
      <c r="AA472" s="81"/>
      <c r="AB472" s="81"/>
      <c r="AC472" s="87" t="s">
        <v>3004</v>
      </c>
      <c r="AD472" s="81"/>
      <c r="AE472" s="81" t="b">
        <v>0</v>
      </c>
      <c r="AF472" s="81">
        <v>0</v>
      </c>
      <c r="AG472" s="87" t="s">
        <v>3875</v>
      </c>
      <c r="AH472" s="81" t="b">
        <v>0</v>
      </c>
      <c r="AI472" s="81" t="s">
        <v>4092</v>
      </c>
      <c r="AJ472" s="81"/>
      <c r="AK472" s="87" t="s">
        <v>3875</v>
      </c>
      <c r="AL472" s="81" t="b">
        <v>0</v>
      </c>
      <c r="AM472" s="81">
        <v>321</v>
      </c>
      <c r="AN472" s="87" t="s">
        <v>3520</v>
      </c>
      <c r="AO472" s="87" t="s">
        <v>4109</v>
      </c>
      <c r="AP472" s="81" t="b">
        <v>0</v>
      </c>
      <c r="AQ472" s="87" t="s">
        <v>3520</v>
      </c>
      <c r="AR472" s="81" t="s">
        <v>179</v>
      </c>
      <c r="AS472" s="81">
        <v>0</v>
      </c>
      <c r="AT472" s="81">
        <v>0</v>
      </c>
      <c r="AU472" s="81"/>
      <c r="AV472" s="81"/>
      <c r="AW472" s="81"/>
      <c r="AX472" s="81"/>
      <c r="AY472" s="81"/>
      <c r="AZ472" s="81"/>
      <c r="BA472" s="81"/>
      <c r="BB472" s="81"/>
    </row>
    <row r="473" spans="1:54" x14ac:dyDescent="0.35">
      <c r="A473" s="66" t="s">
        <v>489</v>
      </c>
      <c r="B473" s="66" t="s">
        <v>1055</v>
      </c>
      <c r="C473" s="67"/>
      <c r="D473" s="68"/>
      <c r="E473" s="69"/>
      <c r="F473" s="70"/>
      <c r="G473" s="67"/>
      <c r="H473" s="71"/>
      <c r="I473" s="72"/>
      <c r="J473" s="72"/>
      <c r="K473" s="36"/>
      <c r="L473" s="79"/>
      <c r="M473" s="79"/>
      <c r="N473" s="74"/>
      <c r="O473" s="81" t="s">
        <v>1207</v>
      </c>
      <c r="P473" s="83">
        <v>44460.308344907404</v>
      </c>
      <c r="Q473" s="81" t="s">
        <v>1324</v>
      </c>
      <c r="R473" s="81"/>
      <c r="S473" s="81"/>
      <c r="T473" s="81"/>
      <c r="U473" s="85" t="str">
        <f>HYPERLINK("https://pbs.twimg.com/media/E_xVJy2VQAQerFe.jpg")</f>
        <v>https://pbs.twimg.com/media/E_xVJy2VQAQerFe.jpg</v>
      </c>
      <c r="V473" s="85" t="str">
        <f>HYPERLINK("https://pbs.twimg.com/media/E_xVJy2VQAQerFe.jpg")</f>
        <v>https://pbs.twimg.com/media/E_xVJy2VQAQerFe.jpg</v>
      </c>
      <c r="W473" s="83">
        <v>44460.308344907404</v>
      </c>
      <c r="X473" s="89">
        <v>44460</v>
      </c>
      <c r="Y473" s="87" t="s">
        <v>2082</v>
      </c>
      <c r="Z473" s="85" t="str">
        <f>HYPERLINK("https://twitter.com/rodabambu/status/1440215220845092877")</f>
        <v>https://twitter.com/rodabambu/status/1440215220845092877</v>
      </c>
      <c r="AA473" s="81"/>
      <c r="AB473" s="81"/>
      <c r="AC473" s="87" t="s">
        <v>3005</v>
      </c>
      <c r="AD473" s="81"/>
      <c r="AE473" s="81" t="b">
        <v>0</v>
      </c>
      <c r="AF473" s="81">
        <v>0</v>
      </c>
      <c r="AG473" s="87" t="s">
        <v>3875</v>
      </c>
      <c r="AH473" s="81" t="b">
        <v>0</v>
      </c>
      <c r="AI473" s="81" t="s">
        <v>4092</v>
      </c>
      <c r="AJ473" s="81"/>
      <c r="AK473" s="87" t="s">
        <v>3875</v>
      </c>
      <c r="AL473" s="81" t="b">
        <v>0</v>
      </c>
      <c r="AM473" s="81">
        <v>321</v>
      </c>
      <c r="AN473" s="87" t="s">
        <v>3520</v>
      </c>
      <c r="AO473" s="87" t="s">
        <v>4111</v>
      </c>
      <c r="AP473" s="81" t="b">
        <v>0</v>
      </c>
      <c r="AQ473" s="87" t="s">
        <v>3520</v>
      </c>
      <c r="AR473" s="81" t="s">
        <v>179</v>
      </c>
      <c r="AS473" s="81">
        <v>0</v>
      </c>
      <c r="AT473" s="81">
        <v>0</v>
      </c>
      <c r="AU473" s="81"/>
      <c r="AV473" s="81"/>
      <c r="AW473" s="81"/>
      <c r="AX473" s="81"/>
      <c r="AY473" s="81"/>
      <c r="AZ473" s="81"/>
      <c r="BA473" s="81"/>
      <c r="BB473" s="81"/>
    </row>
    <row r="474" spans="1:54" x14ac:dyDescent="0.35">
      <c r="A474" s="66" t="s">
        <v>489</v>
      </c>
      <c r="B474" s="66" t="s">
        <v>910</v>
      </c>
      <c r="C474" s="67"/>
      <c r="D474" s="68"/>
      <c r="E474" s="69"/>
      <c r="F474" s="70"/>
      <c r="G474" s="67"/>
      <c r="H474" s="71"/>
      <c r="I474" s="72"/>
      <c r="J474" s="72"/>
      <c r="K474" s="36"/>
      <c r="L474" s="79"/>
      <c r="M474" s="79"/>
      <c r="N474" s="74"/>
      <c r="O474" s="81" t="s">
        <v>1205</v>
      </c>
      <c r="P474" s="83">
        <v>44460.308344907404</v>
      </c>
      <c r="Q474" s="81" t="s">
        <v>1324</v>
      </c>
      <c r="R474" s="81"/>
      <c r="S474" s="81"/>
      <c r="T474" s="81"/>
      <c r="U474" s="85" t="str">
        <f>HYPERLINK("https://pbs.twimg.com/media/E_xVJy2VQAQerFe.jpg")</f>
        <v>https://pbs.twimg.com/media/E_xVJy2VQAQerFe.jpg</v>
      </c>
      <c r="V474" s="85" t="str">
        <f>HYPERLINK("https://pbs.twimg.com/media/E_xVJy2VQAQerFe.jpg")</f>
        <v>https://pbs.twimg.com/media/E_xVJy2VQAQerFe.jpg</v>
      </c>
      <c r="W474" s="83">
        <v>44460.308344907404</v>
      </c>
      <c r="X474" s="89">
        <v>44460</v>
      </c>
      <c r="Y474" s="87" t="s">
        <v>2082</v>
      </c>
      <c r="Z474" s="85" t="str">
        <f>HYPERLINK("https://twitter.com/rodabambu/status/1440215220845092877")</f>
        <v>https://twitter.com/rodabambu/status/1440215220845092877</v>
      </c>
      <c r="AA474" s="81"/>
      <c r="AB474" s="81"/>
      <c r="AC474" s="87" t="s">
        <v>3005</v>
      </c>
      <c r="AD474" s="81"/>
      <c r="AE474" s="81" t="b">
        <v>0</v>
      </c>
      <c r="AF474" s="81">
        <v>0</v>
      </c>
      <c r="AG474" s="87" t="s">
        <v>3875</v>
      </c>
      <c r="AH474" s="81" t="b">
        <v>0</v>
      </c>
      <c r="AI474" s="81" t="s">
        <v>4092</v>
      </c>
      <c r="AJ474" s="81"/>
      <c r="AK474" s="87" t="s">
        <v>3875</v>
      </c>
      <c r="AL474" s="81" t="b">
        <v>0</v>
      </c>
      <c r="AM474" s="81">
        <v>321</v>
      </c>
      <c r="AN474" s="87" t="s">
        <v>3520</v>
      </c>
      <c r="AO474" s="87" t="s">
        <v>4111</v>
      </c>
      <c r="AP474" s="81" t="b">
        <v>0</v>
      </c>
      <c r="AQ474" s="87" t="s">
        <v>3520</v>
      </c>
      <c r="AR474" s="81" t="s">
        <v>179</v>
      </c>
      <c r="AS474" s="81">
        <v>0</v>
      </c>
      <c r="AT474" s="81">
        <v>0</v>
      </c>
      <c r="AU474" s="81"/>
      <c r="AV474" s="81"/>
      <c r="AW474" s="81"/>
      <c r="AX474" s="81"/>
      <c r="AY474" s="81"/>
      <c r="AZ474" s="81"/>
      <c r="BA474" s="81"/>
      <c r="BB474" s="81"/>
    </row>
    <row r="475" spans="1:54" x14ac:dyDescent="0.35">
      <c r="A475" s="66" t="s">
        <v>490</v>
      </c>
      <c r="B475" s="66" t="s">
        <v>1055</v>
      </c>
      <c r="C475" s="67"/>
      <c r="D475" s="68"/>
      <c r="E475" s="69"/>
      <c r="F475" s="70"/>
      <c r="G475" s="67"/>
      <c r="H475" s="71"/>
      <c r="I475" s="72"/>
      <c r="J475" s="72"/>
      <c r="K475" s="36"/>
      <c r="L475" s="79"/>
      <c r="M475" s="79"/>
      <c r="N475" s="74"/>
      <c r="O475" s="81" t="s">
        <v>1207</v>
      </c>
      <c r="P475" s="83">
        <v>44460.310729166667</v>
      </c>
      <c r="Q475" s="81" t="s">
        <v>1324</v>
      </c>
      <c r="R475" s="81"/>
      <c r="S475" s="81"/>
      <c r="T475" s="81"/>
      <c r="U475" s="85" t="str">
        <f>HYPERLINK("https://pbs.twimg.com/media/E_xVJy2VQAQerFe.jpg")</f>
        <v>https://pbs.twimg.com/media/E_xVJy2VQAQerFe.jpg</v>
      </c>
      <c r="V475" s="85" t="str">
        <f>HYPERLINK("https://pbs.twimg.com/media/E_xVJy2VQAQerFe.jpg")</f>
        <v>https://pbs.twimg.com/media/E_xVJy2VQAQerFe.jpg</v>
      </c>
      <c r="W475" s="83">
        <v>44460.310729166667</v>
      </c>
      <c r="X475" s="89">
        <v>44460</v>
      </c>
      <c r="Y475" s="87" t="s">
        <v>2083</v>
      </c>
      <c r="Z475" s="85" t="str">
        <f>HYPERLINK("https://twitter.com/boeluxs1/status/1440216084221595655")</f>
        <v>https://twitter.com/boeluxs1/status/1440216084221595655</v>
      </c>
      <c r="AA475" s="81"/>
      <c r="AB475" s="81"/>
      <c r="AC475" s="87" t="s">
        <v>3006</v>
      </c>
      <c r="AD475" s="81"/>
      <c r="AE475" s="81" t="b">
        <v>0</v>
      </c>
      <c r="AF475" s="81">
        <v>0</v>
      </c>
      <c r="AG475" s="87" t="s">
        <v>3875</v>
      </c>
      <c r="AH475" s="81" t="b">
        <v>0</v>
      </c>
      <c r="AI475" s="81" t="s">
        <v>4092</v>
      </c>
      <c r="AJ475" s="81"/>
      <c r="AK475" s="87" t="s">
        <v>3875</v>
      </c>
      <c r="AL475" s="81" t="b">
        <v>0</v>
      </c>
      <c r="AM475" s="81">
        <v>321</v>
      </c>
      <c r="AN475" s="87" t="s">
        <v>3520</v>
      </c>
      <c r="AO475" s="87" t="s">
        <v>4111</v>
      </c>
      <c r="AP475" s="81" t="b">
        <v>0</v>
      </c>
      <c r="AQ475" s="87" t="s">
        <v>3520</v>
      </c>
      <c r="AR475" s="81" t="s">
        <v>179</v>
      </c>
      <c r="AS475" s="81">
        <v>0</v>
      </c>
      <c r="AT475" s="81">
        <v>0</v>
      </c>
      <c r="AU475" s="81"/>
      <c r="AV475" s="81"/>
      <c r="AW475" s="81"/>
      <c r="AX475" s="81"/>
      <c r="AY475" s="81"/>
      <c r="AZ475" s="81"/>
      <c r="BA475" s="81"/>
      <c r="BB475" s="81"/>
    </row>
    <row r="476" spans="1:54" x14ac:dyDescent="0.35">
      <c r="A476" s="66" t="s">
        <v>490</v>
      </c>
      <c r="B476" s="66" t="s">
        <v>910</v>
      </c>
      <c r="C476" s="67"/>
      <c r="D476" s="68"/>
      <c r="E476" s="69"/>
      <c r="F476" s="70"/>
      <c r="G476" s="67"/>
      <c r="H476" s="71"/>
      <c r="I476" s="72"/>
      <c r="J476" s="72"/>
      <c r="K476" s="36"/>
      <c r="L476" s="79"/>
      <c r="M476" s="79"/>
      <c r="N476" s="74"/>
      <c r="O476" s="81" t="s">
        <v>1205</v>
      </c>
      <c r="P476" s="83">
        <v>44460.310729166667</v>
      </c>
      <c r="Q476" s="81" t="s">
        <v>1324</v>
      </c>
      <c r="R476" s="81"/>
      <c r="S476" s="81"/>
      <c r="T476" s="81"/>
      <c r="U476" s="85" t="str">
        <f>HYPERLINK("https://pbs.twimg.com/media/E_xVJy2VQAQerFe.jpg")</f>
        <v>https://pbs.twimg.com/media/E_xVJy2VQAQerFe.jpg</v>
      </c>
      <c r="V476" s="85" t="str">
        <f>HYPERLINK("https://pbs.twimg.com/media/E_xVJy2VQAQerFe.jpg")</f>
        <v>https://pbs.twimg.com/media/E_xVJy2VQAQerFe.jpg</v>
      </c>
      <c r="W476" s="83">
        <v>44460.310729166667</v>
      </c>
      <c r="X476" s="89">
        <v>44460</v>
      </c>
      <c r="Y476" s="87" t="s">
        <v>2083</v>
      </c>
      <c r="Z476" s="85" t="str">
        <f>HYPERLINK("https://twitter.com/boeluxs1/status/1440216084221595655")</f>
        <v>https://twitter.com/boeluxs1/status/1440216084221595655</v>
      </c>
      <c r="AA476" s="81"/>
      <c r="AB476" s="81"/>
      <c r="AC476" s="87" t="s">
        <v>3006</v>
      </c>
      <c r="AD476" s="81"/>
      <c r="AE476" s="81" t="b">
        <v>0</v>
      </c>
      <c r="AF476" s="81">
        <v>0</v>
      </c>
      <c r="AG476" s="87" t="s">
        <v>3875</v>
      </c>
      <c r="AH476" s="81" t="b">
        <v>0</v>
      </c>
      <c r="AI476" s="81" t="s">
        <v>4092</v>
      </c>
      <c r="AJ476" s="81"/>
      <c r="AK476" s="87" t="s">
        <v>3875</v>
      </c>
      <c r="AL476" s="81" t="b">
        <v>0</v>
      </c>
      <c r="AM476" s="81">
        <v>321</v>
      </c>
      <c r="AN476" s="87" t="s">
        <v>3520</v>
      </c>
      <c r="AO476" s="87" t="s">
        <v>4111</v>
      </c>
      <c r="AP476" s="81" t="b">
        <v>0</v>
      </c>
      <c r="AQ476" s="87" t="s">
        <v>3520</v>
      </c>
      <c r="AR476" s="81" t="s">
        <v>179</v>
      </c>
      <c r="AS476" s="81">
        <v>0</v>
      </c>
      <c r="AT476" s="81">
        <v>0</v>
      </c>
      <c r="AU476" s="81"/>
      <c r="AV476" s="81"/>
      <c r="AW476" s="81"/>
      <c r="AX476" s="81"/>
      <c r="AY476" s="81"/>
      <c r="AZ476" s="81"/>
      <c r="BA476" s="81"/>
      <c r="BB476" s="81"/>
    </row>
    <row r="477" spans="1:54" x14ac:dyDescent="0.35">
      <c r="A477" s="66" t="s">
        <v>491</v>
      </c>
      <c r="B477" s="66" t="s">
        <v>1055</v>
      </c>
      <c r="C477" s="67"/>
      <c r="D477" s="68"/>
      <c r="E477" s="69"/>
      <c r="F477" s="70"/>
      <c r="G477" s="67"/>
      <c r="H477" s="71"/>
      <c r="I477" s="72"/>
      <c r="J477" s="72"/>
      <c r="K477" s="36"/>
      <c r="L477" s="79"/>
      <c r="M477" s="79"/>
      <c r="N477" s="74"/>
      <c r="O477" s="81" t="s">
        <v>1207</v>
      </c>
      <c r="P477" s="83">
        <v>44460.311631944445</v>
      </c>
      <c r="Q477" s="81" t="s">
        <v>1324</v>
      </c>
      <c r="R477" s="81"/>
      <c r="S477" s="81"/>
      <c r="T477" s="81"/>
      <c r="U477" s="85" t="str">
        <f>HYPERLINK("https://pbs.twimg.com/media/E_xVJy2VQAQerFe.jpg")</f>
        <v>https://pbs.twimg.com/media/E_xVJy2VQAQerFe.jpg</v>
      </c>
      <c r="V477" s="85" t="str">
        <f>HYPERLINK("https://pbs.twimg.com/media/E_xVJy2VQAQerFe.jpg")</f>
        <v>https://pbs.twimg.com/media/E_xVJy2VQAQerFe.jpg</v>
      </c>
      <c r="W477" s="83">
        <v>44460.311631944445</v>
      </c>
      <c r="X477" s="89">
        <v>44460</v>
      </c>
      <c r="Y477" s="87" t="s">
        <v>2084</v>
      </c>
      <c r="Z477" s="85" t="str">
        <f>HYPERLINK("https://twitter.com/putra_esbeye/status/1440216412149014528")</f>
        <v>https://twitter.com/putra_esbeye/status/1440216412149014528</v>
      </c>
      <c r="AA477" s="81"/>
      <c r="AB477" s="81"/>
      <c r="AC477" s="87" t="s">
        <v>3007</v>
      </c>
      <c r="AD477" s="81"/>
      <c r="AE477" s="81" t="b">
        <v>0</v>
      </c>
      <c r="AF477" s="81">
        <v>0</v>
      </c>
      <c r="AG477" s="87" t="s">
        <v>3875</v>
      </c>
      <c r="AH477" s="81" t="b">
        <v>0</v>
      </c>
      <c r="AI477" s="81" t="s">
        <v>4092</v>
      </c>
      <c r="AJ477" s="81"/>
      <c r="AK477" s="87" t="s">
        <v>3875</v>
      </c>
      <c r="AL477" s="81" t="b">
        <v>0</v>
      </c>
      <c r="AM477" s="81">
        <v>321</v>
      </c>
      <c r="AN477" s="87" t="s">
        <v>3520</v>
      </c>
      <c r="AO477" s="87" t="s">
        <v>4109</v>
      </c>
      <c r="AP477" s="81" t="b">
        <v>0</v>
      </c>
      <c r="AQ477" s="87" t="s">
        <v>3520</v>
      </c>
      <c r="AR477" s="81" t="s">
        <v>179</v>
      </c>
      <c r="AS477" s="81">
        <v>0</v>
      </c>
      <c r="AT477" s="81">
        <v>0</v>
      </c>
      <c r="AU477" s="81"/>
      <c r="AV477" s="81"/>
      <c r="AW477" s="81"/>
      <c r="AX477" s="81"/>
      <c r="AY477" s="81"/>
      <c r="AZ477" s="81"/>
      <c r="BA477" s="81"/>
      <c r="BB477" s="81"/>
    </row>
    <row r="478" spans="1:54" x14ac:dyDescent="0.35">
      <c r="A478" s="66" t="s">
        <v>491</v>
      </c>
      <c r="B478" s="66" t="s">
        <v>910</v>
      </c>
      <c r="C478" s="67"/>
      <c r="D478" s="68"/>
      <c r="E478" s="69"/>
      <c r="F478" s="70"/>
      <c r="G478" s="67"/>
      <c r="H478" s="71"/>
      <c r="I478" s="72"/>
      <c r="J478" s="72"/>
      <c r="K478" s="36"/>
      <c r="L478" s="79"/>
      <c r="M478" s="79"/>
      <c r="N478" s="74"/>
      <c r="O478" s="81" t="s">
        <v>1205</v>
      </c>
      <c r="P478" s="83">
        <v>44460.311631944445</v>
      </c>
      <c r="Q478" s="81" t="s">
        <v>1324</v>
      </c>
      <c r="R478" s="81"/>
      <c r="S478" s="81"/>
      <c r="T478" s="81"/>
      <c r="U478" s="85" t="str">
        <f>HYPERLINK("https://pbs.twimg.com/media/E_xVJy2VQAQerFe.jpg")</f>
        <v>https://pbs.twimg.com/media/E_xVJy2VQAQerFe.jpg</v>
      </c>
      <c r="V478" s="85" t="str">
        <f>HYPERLINK("https://pbs.twimg.com/media/E_xVJy2VQAQerFe.jpg")</f>
        <v>https://pbs.twimg.com/media/E_xVJy2VQAQerFe.jpg</v>
      </c>
      <c r="W478" s="83">
        <v>44460.311631944445</v>
      </c>
      <c r="X478" s="89">
        <v>44460</v>
      </c>
      <c r="Y478" s="87" t="s">
        <v>2084</v>
      </c>
      <c r="Z478" s="85" t="str">
        <f>HYPERLINK("https://twitter.com/putra_esbeye/status/1440216412149014528")</f>
        <v>https://twitter.com/putra_esbeye/status/1440216412149014528</v>
      </c>
      <c r="AA478" s="81"/>
      <c r="AB478" s="81"/>
      <c r="AC478" s="87" t="s">
        <v>3007</v>
      </c>
      <c r="AD478" s="81"/>
      <c r="AE478" s="81" t="b">
        <v>0</v>
      </c>
      <c r="AF478" s="81">
        <v>0</v>
      </c>
      <c r="AG478" s="87" t="s">
        <v>3875</v>
      </c>
      <c r="AH478" s="81" t="b">
        <v>0</v>
      </c>
      <c r="AI478" s="81" t="s">
        <v>4092</v>
      </c>
      <c r="AJ478" s="81"/>
      <c r="AK478" s="87" t="s">
        <v>3875</v>
      </c>
      <c r="AL478" s="81" t="b">
        <v>0</v>
      </c>
      <c r="AM478" s="81">
        <v>321</v>
      </c>
      <c r="AN478" s="87" t="s">
        <v>3520</v>
      </c>
      <c r="AO478" s="87" t="s">
        <v>4109</v>
      </c>
      <c r="AP478" s="81" t="b">
        <v>0</v>
      </c>
      <c r="AQ478" s="87" t="s">
        <v>3520</v>
      </c>
      <c r="AR478" s="81" t="s">
        <v>179</v>
      </c>
      <c r="AS478" s="81">
        <v>0</v>
      </c>
      <c r="AT478" s="81">
        <v>0</v>
      </c>
      <c r="AU478" s="81"/>
      <c r="AV478" s="81"/>
      <c r="AW478" s="81"/>
      <c r="AX478" s="81"/>
      <c r="AY478" s="81"/>
      <c r="AZ478" s="81"/>
      <c r="BA478" s="81"/>
      <c r="BB478" s="81"/>
    </row>
    <row r="479" spans="1:54" x14ac:dyDescent="0.35">
      <c r="A479" s="66" t="s">
        <v>492</v>
      </c>
      <c r="B479" s="66" t="s">
        <v>1055</v>
      </c>
      <c r="C479" s="67"/>
      <c r="D479" s="68"/>
      <c r="E479" s="69"/>
      <c r="F479" s="70"/>
      <c r="G479" s="67"/>
      <c r="H479" s="71"/>
      <c r="I479" s="72"/>
      <c r="J479" s="72"/>
      <c r="K479" s="36"/>
      <c r="L479" s="79"/>
      <c r="M479" s="79"/>
      <c r="N479" s="74"/>
      <c r="O479" s="81" t="s">
        <v>1207</v>
      </c>
      <c r="P479" s="83">
        <v>44460.311701388891</v>
      </c>
      <c r="Q479" s="81" t="s">
        <v>1324</v>
      </c>
      <c r="R479" s="81"/>
      <c r="S479" s="81"/>
      <c r="T479" s="81"/>
      <c r="U479" s="85" t="str">
        <f>HYPERLINK("https://pbs.twimg.com/media/E_xVJy2VQAQerFe.jpg")</f>
        <v>https://pbs.twimg.com/media/E_xVJy2VQAQerFe.jpg</v>
      </c>
      <c r="V479" s="85" t="str">
        <f>HYPERLINK("https://pbs.twimg.com/media/E_xVJy2VQAQerFe.jpg")</f>
        <v>https://pbs.twimg.com/media/E_xVJy2VQAQerFe.jpg</v>
      </c>
      <c r="W479" s="83">
        <v>44460.311701388891</v>
      </c>
      <c r="X479" s="89">
        <v>44460</v>
      </c>
      <c r="Y479" s="87" t="s">
        <v>2085</v>
      </c>
      <c r="Z479" s="85" t="str">
        <f>HYPERLINK("https://twitter.com/_seknas_ri/status/1440216437759492103")</f>
        <v>https://twitter.com/_seknas_ri/status/1440216437759492103</v>
      </c>
      <c r="AA479" s="81"/>
      <c r="AB479" s="81"/>
      <c r="AC479" s="87" t="s">
        <v>3008</v>
      </c>
      <c r="AD479" s="81"/>
      <c r="AE479" s="81" t="b">
        <v>0</v>
      </c>
      <c r="AF479" s="81">
        <v>0</v>
      </c>
      <c r="AG479" s="87" t="s">
        <v>3875</v>
      </c>
      <c r="AH479" s="81" t="b">
        <v>0</v>
      </c>
      <c r="AI479" s="81" t="s">
        <v>4092</v>
      </c>
      <c r="AJ479" s="81"/>
      <c r="AK479" s="87" t="s">
        <v>3875</v>
      </c>
      <c r="AL479" s="81" t="b">
        <v>0</v>
      </c>
      <c r="AM479" s="81">
        <v>321</v>
      </c>
      <c r="AN479" s="87" t="s">
        <v>3520</v>
      </c>
      <c r="AO479" s="87" t="s">
        <v>4109</v>
      </c>
      <c r="AP479" s="81" t="b">
        <v>0</v>
      </c>
      <c r="AQ479" s="87" t="s">
        <v>3520</v>
      </c>
      <c r="AR479" s="81" t="s">
        <v>179</v>
      </c>
      <c r="AS479" s="81">
        <v>0</v>
      </c>
      <c r="AT479" s="81">
        <v>0</v>
      </c>
      <c r="AU479" s="81"/>
      <c r="AV479" s="81"/>
      <c r="AW479" s="81"/>
      <c r="AX479" s="81"/>
      <c r="AY479" s="81"/>
      <c r="AZ479" s="81"/>
      <c r="BA479" s="81"/>
      <c r="BB479" s="81"/>
    </row>
    <row r="480" spans="1:54" x14ac:dyDescent="0.35">
      <c r="A480" s="66" t="s">
        <v>492</v>
      </c>
      <c r="B480" s="66" t="s">
        <v>910</v>
      </c>
      <c r="C480" s="67"/>
      <c r="D480" s="68"/>
      <c r="E480" s="69"/>
      <c r="F480" s="70"/>
      <c r="G480" s="67"/>
      <c r="H480" s="71"/>
      <c r="I480" s="72"/>
      <c r="J480" s="72"/>
      <c r="K480" s="36"/>
      <c r="L480" s="79"/>
      <c r="M480" s="79"/>
      <c r="N480" s="74"/>
      <c r="O480" s="81" t="s">
        <v>1205</v>
      </c>
      <c r="P480" s="83">
        <v>44460.311701388891</v>
      </c>
      <c r="Q480" s="81" t="s">
        <v>1324</v>
      </c>
      <c r="R480" s="81"/>
      <c r="S480" s="81"/>
      <c r="T480" s="81"/>
      <c r="U480" s="85" t="str">
        <f>HYPERLINK("https://pbs.twimg.com/media/E_xVJy2VQAQerFe.jpg")</f>
        <v>https://pbs.twimg.com/media/E_xVJy2VQAQerFe.jpg</v>
      </c>
      <c r="V480" s="85" t="str">
        <f>HYPERLINK("https://pbs.twimg.com/media/E_xVJy2VQAQerFe.jpg")</f>
        <v>https://pbs.twimg.com/media/E_xVJy2VQAQerFe.jpg</v>
      </c>
      <c r="W480" s="83">
        <v>44460.311701388891</v>
      </c>
      <c r="X480" s="89">
        <v>44460</v>
      </c>
      <c r="Y480" s="87" t="s">
        <v>2085</v>
      </c>
      <c r="Z480" s="85" t="str">
        <f>HYPERLINK("https://twitter.com/_seknas_ri/status/1440216437759492103")</f>
        <v>https://twitter.com/_seknas_ri/status/1440216437759492103</v>
      </c>
      <c r="AA480" s="81"/>
      <c r="AB480" s="81"/>
      <c r="AC480" s="87" t="s">
        <v>3008</v>
      </c>
      <c r="AD480" s="81"/>
      <c r="AE480" s="81" t="b">
        <v>0</v>
      </c>
      <c r="AF480" s="81">
        <v>0</v>
      </c>
      <c r="AG480" s="87" t="s">
        <v>3875</v>
      </c>
      <c r="AH480" s="81" t="b">
        <v>0</v>
      </c>
      <c r="AI480" s="81" t="s">
        <v>4092</v>
      </c>
      <c r="AJ480" s="81"/>
      <c r="AK480" s="87" t="s">
        <v>3875</v>
      </c>
      <c r="AL480" s="81" t="b">
        <v>0</v>
      </c>
      <c r="AM480" s="81">
        <v>321</v>
      </c>
      <c r="AN480" s="87" t="s">
        <v>3520</v>
      </c>
      <c r="AO480" s="87" t="s">
        <v>4109</v>
      </c>
      <c r="AP480" s="81" t="b">
        <v>0</v>
      </c>
      <c r="AQ480" s="87" t="s">
        <v>3520</v>
      </c>
      <c r="AR480" s="81" t="s">
        <v>179</v>
      </c>
      <c r="AS480" s="81">
        <v>0</v>
      </c>
      <c r="AT480" s="81">
        <v>0</v>
      </c>
      <c r="AU480" s="81"/>
      <c r="AV480" s="81"/>
      <c r="AW480" s="81"/>
      <c r="AX480" s="81"/>
      <c r="AY480" s="81"/>
      <c r="AZ480" s="81"/>
      <c r="BA480" s="81"/>
      <c r="BB480" s="81"/>
    </row>
    <row r="481" spans="1:54" x14ac:dyDescent="0.35">
      <c r="A481" s="66" t="s">
        <v>493</v>
      </c>
      <c r="B481" s="66" t="s">
        <v>1055</v>
      </c>
      <c r="C481" s="67"/>
      <c r="D481" s="68"/>
      <c r="E481" s="69"/>
      <c r="F481" s="70"/>
      <c r="G481" s="67"/>
      <c r="H481" s="71"/>
      <c r="I481" s="72"/>
      <c r="J481" s="72"/>
      <c r="K481" s="36"/>
      <c r="L481" s="79"/>
      <c r="M481" s="79"/>
      <c r="N481" s="74"/>
      <c r="O481" s="81" t="s">
        <v>1207</v>
      </c>
      <c r="P481" s="83">
        <v>44460.313078703701</v>
      </c>
      <c r="Q481" s="81" t="s">
        <v>1324</v>
      </c>
      <c r="R481" s="81"/>
      <c r="S481" s="81"/>
      <c r="T481" s="81"/>
      <c r="U481" s="85" t="str">
        <f>HYPERLINK("https://pbs.twimg.com/media/E_xVJy2VQAQerFe.jpg")</f>
        <v>https://pbs.twimg.com/media/E_xVJy2VQAQerFe.jpg</v>
      </c>
      <c r="V481" s="85" t="str">
        <f>HYPERLINK("https://pbs.twimg.com/media/E_xVJy2VQAQerFe.jpg")</f>
        <v>https://pbs.twimg.com/media/E_xVJy2VQAQerFe.jpg</v>
      </c>
      <c r="W481" s="83">
        <v>44460.313078703701</v>
      </c>
      <c r="X481" s="89">
        <v>44460</v>
      </c>
      <c r="Y481" s="87" t="s">
        <v>2086</v>
      </c>
      <c r="Z481" s="85" t="str">
        <f>HYPERLINK("https://twitter.com/kulinerbocah/status/1440216935627509762")</f>
        <v>https://twitter.com/kulinerbocah/status/1440216935627509762</v>
      </c>
      <c r="AA481" s="81"/>
      <c r="AB481" s="81"/>
      <c r="AC481" s="87" t="s">
        <v>3009</v>
      </c>
      <c r="AD481" s="81"/>
      <c r="AE481" s="81" t="b">
        <v>0</v>
      </c>
      <c r="AF481" s="81">
        <v>0</v>
      </c>
      <c r="AG481" s="87" t="s">
        <v>3875</v>
      </c>
      <c r="AH481" s="81" t="b">
        <v>0</v>
      </c>
      <c r="AI481" s="81" t="s">
        <v>4092</v>
      </c>
      <c r="AJ481" s="81"/>
      <c r="AK481" s="87" t="s">
        <v>3875</v>
      </c>
      <c r="AL481" s="81" t="b">
        <v>0</v>
      </c>
      <c r="AM481" s="81">
        <v>321</v>
      </c>
      <c r="AN481" s="87" t="s">
        <v>3520</v>
      </c>
      <c r="AO481" s="87" t="s">
        <v>4109</v>
      </c>
      <c r="AP481" s="81" t="b">
        <v>0</v>
      </c>
      <c r="AQ481" s="87" t="s">
        <v>3520</v>
      </c>
      <c r="AR481" s="81" t="s">
        <v>179</v>
      </c>
      <c r="AS481" s="81">
        <v>0</v>
      </c>
      <c r="AT481" s="81">
        <v>0</v>
      </c>
      <c r="AU481" s="81"/>
      <c r="AV481" s="81"/>
      <c r="AW481" s="81"/>
      <c r="AX481" s="81"/>
      <c r="AY481" s="81"/>
      <c r="AZ481" s="81"/>
      <c r="BA481" s="81"/>
      <c r="BB481" s="81"/>
    </row>
    <row r="482" spans="1:54" x14ac:dyDescent="0.35">
      <c r="A482" s="66" t="s">
        <v>493</v>
      </c>
      <c r="B482" s="66" t="s">
        <v>910</v>
      </c>
      <c r="C482" s="67"/>
      <c r="D482" s="68"/>
      <c r="E482" s="69"/>
      <c r="F482" s="70"/>
      <c r="G482" s="67"/>
      <c r="H482" s="71"/>
      <c r="I482" s="72"/>
      <c r="J482" s="72"/>
      <c r="K482" s="36"/>
      <c r="L482" s="79"/>
      <c r="M482" s="79"/>
      <c r="N482" s="74"/>
      <c r="O482" s="81" t="s">
        <v>1205</v>
      </c>
      <c r="P482" s="83">
        <v>44460.313078703701</v>
      </c>
      <c r="Q482" s="81" t="s">
        <v>1324</v>
      </c>
      <c r="R482" s="81"/>
      <c r="S482" s="81"/>
      <c r="T482" s="81"/>
      <c r="U482" s="85" t="str">
        <f>HYPERLINK("https://pbs.twimg.com/media/E_xVJy2VQAQerFe.jpg")</f>
        <v>https://pbs.twimg.com/media/E_xVJy2VQAQerFe.jpg</v>
      </c>
      <c r="V482" s="85" t="str">
        <f>HYPERLINK("https://pbs.twimg.com/media/E_xVJy2VQAQerFe.jpg")</f>
        <v>https://pbs.twimg.com/media/E_xVJy2VQAQerFe.jpg</v>
      </c>
      <c r="W482" s="83">
        <v>44460.313078703701</v>
      </c>
      <c r="X482" s="89">
        <v>44460</v>
      </c>
      <c r="Y482" s="87" t="s">
        <v>2086</v>
      </c>
      <c r="Z482" s="85" t="str">
        <f>HYPERLINK("https://twitter.com/kulinerbocah/status/1440216935627509762")</f>
        <v>https://twitter.com/kulinerbocah/status/1440216935627509762</v>
      </c>
      <c r="AA482" s="81"/>
      <c r="AB482" s="81"/>
      <c r="AC482" s="87" t="s">
        <v>3009</v>
      </c>
      <c r="AD482" s="81"/>
      <c r="AE482" s="81" t="b">
        <v>0</v>
      </c>
      <c r="AF482" s="81">
        <v>0</v>
      </c>
      <c r="AG482" s="87" t="s">
        <v>3875</v>
      </c>
      <c r="AH482" s="81" t="b">
        <v>0</v>
      </c>
      <c r="AI482" s="81" t="s">
        <v>4092</v>
      </c>
      <c r="AJ482" s="81"/>
      <c r="AK482" s="87" t="s">
        <v>3875</v>
      </c>
      <c r="AL482" s="81" t="b">
        <v>0</v>
      </c>
      <c r="AM482" s="81">
        <v>321</v>
      </c>
      <c r="AN482" s="87" t="s">
        <v>3520</v>
      </c>
      <c r="AO482" s="87" t="s">
        <v>4109</v>
      </c>
      <c r="AP482" s="81" t="b">
        <v>0</v>
      </c>
      <c r="AQ482" s="87" t="s">
        <v>3520</v>
      </c>
      <c r="AR482" s="81" t="s">
        <v>179</v>
      </c>
      <c r="AS482" s="81">
        <v>0</v>
      </c>
      <c r="AT482" s="81">
        <v>0</v>
      </c>
      <c r="AU482" s="81"/>
      <c r="AV482" s="81"/>
      <c r="AW482" s="81"/>
      <c r="AX482" s="81"/>
      <c r="AY482" s="81"/>
      <c r="AZ482" s="81"/>
      <c r="BA482" s="81"/>
      <c r="BB482" s="81"/>
    </row>
    <row r="483" spans="1:54" x14ac:dyDescent="0.35">
      <c r="A483" s="66" t="s">
        <v>493</v>
      </c>
      <c r="B483" s="66" t="s">
        <v>1034</v>
      </c>
      <c r="C483" s="67"/>
      <c r="D483" s="68"/>
      <c r="E483" s="69"/>
      <c r="F483" s="70"/>
      <c r="G483" s="67"/>
      <c r="H483" s="71"/>
      <c r="I483" s="72"/>
      <c r="J483" s="72"/>
      <c r="K483" s="36"/>
      <c r="L483" s="79"/>
      <c r="M483" s="79"/>
      <c r="N483" s="74"/>
      <c r="O483" s="81" t="s">
        <v>1207</v>
      </c>
      <c r="P483" s="83">
        <v>44460.313368055555</v>
      </c>
      <c r="Q483" s="81" t="s">
        <v>1334</v>
      </c>
      <c r="R483" s="81"/>
      <c r="S483" s="81"/>
      <c r="T483" s="81"/>
      <c r="U483" s="81"/>
      <c r="V483" s="85" t="str">
        <f>HYPERLINK("https://pbs.twimg.com/profile_images/1426605340334837762/Lp9Zwjco_normal.jpg")</f>
        <v>https://pbs.twimg.com/profile_images/1426605340334837762/Lp9Zwjco_normal.jpg</v>
      </c>
      <c r="W483" s="83">
        <v>44460.313368055555</v>
      </c>
      <c r="X483" s="89">
        <v>44460</v>
      </c>
      <c r="Y483" s="87" t="s">
        <v>2087</v>
      </c>
      <c r="Z483" s="85" t="str">
        <f>HYPERLINK("https://twitter.com/kulinerbocah/status/1440217041001091080")</f>
        <v>https://twitter.com/kulinerbocah/status/1440217041001091080</v>
      </c>
      <c r="AA483" s="81"/>
      <c r="AB483" s="81"/>
      <c r="AC483" s="87" t="s">
        <v>3010</v>
      </c>
      <c r="AD483" s="81"/>
      <c r="AE483" s="81" t="b">
        <v>0</v>
      </c>
      <c r="AF483" s="81">
        <v>0</v>
      </c>
      <c r="AG483" s="87" t="s">
        <v>3875</v>
      </c>
      <c r="AH483" s="81" t="b">
        <v>0</v>
      </c>
      <c r="AI483" s="81" t="s">
        <v>4092</v>
      </c>
      <c r="AJ483" s="81"/>
      <c r="AK483" s="87" t="s">
        <v>3875</v>
      </c>
      <c r="AL483" s="81" t="b">
        <v>0</v>
      </c>
      <c r="AM483" s="81">
        <v>4</v>
      </c>
      <c r="AN483" s="87" t="s">
        <v>3487</v>
      </c>
      <c r="AO483" s="87" t="s">
        <v>4109</v>
      </c>
      <c r="AP483" s="81" t="b">
        <v>0</v>
      </c>
      <c r="AQ483" s="87" t="s">
        <v>3487</v>
      </c>
      <c r="AR483" s="81" t="s">
        <v>179</v>
      </c>
      <c r="AS483" s="81">
        <v>0</v>
      </c>
      <c r="AT483" s="81">
        <v>0</v>
      </c>
      <c r="AU483" s="81"/>
      <c r="AV483" s="81"/>
      <c r="AW483" s="81"/>
      <c r="AX483" s="81"/>
      <c r="AY483" s="81"/>
      <c r="AZ483" s="81"/>
      <c r="BA483" s="81"/>
      <c r="BB483" s="81"/>
    </row>
    <row r="484" spans="1:54" x14ac:dyDescent="0.35">
      <c r="A484" s="66" t="s">
        <v>493</v>
      </c>
      <c r="B484" s="66" t="s">
        <v>910</v>
      </c>
      <c r="C484" s="67"/>
      <c r="D484" s="68"/>
      <c r="E484" s="69"/>
      <c r="F484" s="70"/>
      <c r="G484" s="67"/>
      <c r="H484" s="71"/>
      <c r="I484" s="72"/>
      <c r="J484" s="72"/>
      <c r="K484" s="36"/>
      <c r="L484" s="79"/>
      <c r="M484" s="79"/>
      <c r="N484" s="74"/>
      <c r="O484" s="81" t="s">
        <v>1205</v>
      </c>
      <c r="P484" s="83">
        <v>44460.313368055555</v>
      </c>
      <c r="Q484" s="81" t="s">
        <v>1334</v>
      </c>
      <c r="R484" s="81"/>
      <c r="S484" s="81"/>
      <c r="T484" s="81"/>
      <c r="U484" s="81"/>
      <c r="V484" s="85" t="str">
        <f>HYPERLINK("https://pbs.twimg.com/profile_images/1426605340334837762/Lp9Zwjco_normal.jpg")</f>
        <v>https://pbs.twimg.com/profile_images/1426605340334837762/Lp9Zwjco_normal.jpg</v>
      </c>
      <c r="W484" s="83">
        <v>44460.313368055555</v>
      </c>
      <c r="X484" s="89">
        <v>44460</v>
      </c>
      <c r="Y484" s="87" t="s">
        <v>2087</v>
      </c>
      <c r="Z484" s="85" t="str">
        <f>HYPERLINK("https://twitter.com/kulinerbocah/status/1440217041001091080")</f>
        <v>https://twitter.com/kulinerbocah/status/1440217041001091080</v>
      </c>
      <c r="AA484" s="81"/>
      <c r="AB484" s="81"/>
      <c r="AC484" s="87" t="s">
        <v>3010</v>
      </c>
      <c r="AD484" s="81"/>
      <c r="AE484" s="81" t="b">
        <v>0</v>
      </c>
      <c r="AF484" s="81">
        <v>0</v>
      </c>
      <c r="AG484" s="87" t="s">
        <v>3875</v>
      </c>
      <c r="AH484" s="81" t="b">
        <v>0</v>
      </c>
      <c r="AI484" s="81" t="s">
        <v>4092</v>
      </c>
      <c r="AJ484" s="81"/>
      <c r="AK484" s="87" t="s">
        <v>3875</v>
      </c>
      <c r="AL484" s="81" t="b">
        <v>0</v>
      </c>
      <c r="AM484" s="81">
        <v>4</v>
      </c>
      <c r="AN484" s="87" t="s">
        <v>3487</v>
      </c>
      <c r="AO484" s="87" t="s">
        <v>4109</v>
      </c>
      <c r="AP484" s="81" t="b">
        <v>0</v>
      </c>
      <c r="AQ484" s="87" t="s">
        <v>3487</v>
      </c>
      <c r="AR484" s="81" t="s">
        <v>179</v>
      </c>
      <c r="AS484" s="81">
        <v>0</v>
      </c>
      <c r="AT484" s="81">
        <v>0</v>
      </c>
      <c r="AU484" s="81"/>
      <c r="AV484" s="81"/>
      <c r="AW484" s="81"/>
      <c r="AX484" s="81"/>
      <c r="AY484" s="81"/>
      <c r="AZ484" s="81"/>
      <c r="BA484" s="81"/>
      <c r="BB484" s="81"/>
    </row>
    <row r="485" spans="1:54" x14ac:dyDescent="0.35">
      <c r="A485" s="66" t="s">
        <v>493</v>
      </c>
      <c r="B485" s="66" t="s">
        <v>1055</v>
      </c>
      <c r="C485" s="67"/>
      <c r="D485" s="68"/>
      <c r="E485" s="69"/>
      <c r="F485" s="70"/>
      <c r="G485" s="67"/>
      <c r="H485" s="71"/>
      <c r="I485" s="72"/>
      <c r="J485" s="72"/>
      <c r="K485" s="36"/>
      <c r="L485" s="79"/>
      <c r="M485" s="79"/>
      <c r="N485" s="74"/>
      <c r="O485" s="81" t="s">
        <v>1208</v>
      </c>
      <c r="P485" s="83">
        <v>44460.313368055555</v>
      </c>
      <c r="Q485" s="81" t="s">
        <v>1334</v>
      </c>
      <c r="R485" s="81"/>
      <c r="S485" s="81"/>
      <c r="T485" s="81"/>
      <c r="U485" s="81"/>
      <c r="V485" s="85" t="str">
        <f>HYPERLINK("https://pbs.twimg.com/profile_images/1426605340334837762/Lp9Zwjco_normal.jpg")</f>
        <v>https://pbs.twimg.com/profile_images/1426605340334837762/Lp9Zwjco_normal.jpg</v>
      </c>
      <c r="W485" s="83">
        <v>44460.313368055555</v>
      </c>
      <c r="X485" s="89">
        <v>44460</v>
      </c>
      <c r="Y485" s="87" t="s">
        <v>2087</v>
      </c>
      <c r="Z485" s="85" t="str">
        <f>HYPERLINK("https://twitter.com/kulinerbocah/status/1440217041001091080")</f>
        <v>https://twitter.com/kulinerbocah/status/1440217041001091080</v>
      </c>
      <c r="AA485" s="81"/>
      <c r="AB485" s="81"/>
      <c r="AC485" s="87" t="s">
        <v>3010</v>
      </c>
      <c r="AD485" s="81"/>
      <c r="AE485" s="81" t="b">
        <v>0</v>
      </c>
      <c r="AF485" s="81">
        <v>0</v>
      </c>
      <c r="AG485" s="87" t="s">
        <v>3875</v>
      </c>
      <c r="AH485" s="81" t="b">
        <v>0</v>
      </c>
      <c r="AI485" s="81" t="s">
        <v>4092</v>
      </c>
      <c r="AJ485" s="81"/>
      <c r="AK485" s="87" t="s">
        <v>3875</v>
      </c>
      <c r="AL485" s="81" t="b">
        <v>0</v>
      </c>
      <c r="AM485" s="81">
        <v>4</v>
      </c>
      <c r="AN485" s="87" t="s">
        <v>3487</v>
      </c>
      <c r="AO485" s="87" t="s">
        <v>4109</v>
      </c>
      <c r="AP485" s="81" t="b">
        <v>0</v>
      </c>
      <c r="AQ485" s="87" t="s">
        <v>3487</v>
      </c>
      <c r="AR485" s="81" t="s">
        <v>179</v>
      </c>
      <c r="AS485" s="81">
        <v>0</v>
      </c>
      <c r="AT485" s="81">
        <v>0</v>
      </c>
      <c r="AU485" s="81"/>
      <c r="AV485" s="81"/>
      <c r="AW485" s="81"/>
      <c r="AX485" s="81"/>
      <c r="AY485" s="81"/>
      <c r="AZ485" s="81"/>
      <c r="BA485" s="81"/>
      <c r="BB485" s="81"/>
    </row>
    <row r="486" spans="1:54" x14ac:dyDescent="0.35">
      <c r="A486" s="66" t="s">
        <v>494</v>
      </c>
      <c r="B486" s="66" t="s">
        <v>1055</v>
      </c>
      <c r="C486" s="67"/>
      <c r="D486" s="68"/>
      <c r="E486" s="69"/>
      <c r="F486" s="70"/>
      <c r="G486" s="67"/>
      <c r="H486" s="71"/>
      <c r="I486" s="72"/>
      <c r="J486" s="72"/>
      <c r="K486" s="36"/>
      <c r="L486" s="79"/>
      <c r="M486" s="79"/>
      <c r="N486" s="74"/>
      <c r="O486" s="81" t="s">
        <v>1207</v>
      </c>
      <c r="P486" s="83">
        <v>44460.314988425926</v>
      </c>
      <c r="Q486" s="81" t="s">
        <v>1324</v>
      </c>
      <c r="R486" s="81"/>
      <c r="S486" s="81"/>
      <c r="T486" s="81"/>
      <c r="U486" s="85" t="str">
        <f>HYPERLINK("https://pbs.twimg.com/media/E_xVJy2VQAQerFe.jpg")</f>
        <v>https://pbs.twimg.com/media/E_xVJy2VQAQerFe.jpg</v>
      </c>
      <c r="V486" s="85" t="str">
        <f>HYPERLINK("https://pbs.twimg.com/media/E_xVJy2VQAQerFe.jpg")</f>
        <v>https://pbs.twimg.com/media/E_xVJy2VQAQerFe.jpg</v>
      </c>
      <c r="W486" s="83">
        <v>44460.314988425926</v>
      </c>
      <c r="X486" s="89">
        <v>44460</v>
      </c>
      <c r="Y486" s="87" t="s">
        <v>2088</v>
      </c>
      <c r="Z486" s="85" t="str">
        <f>HYPERLINK("https://twitter.com/santz_lee/status/1440217628987908098")</f>
        <v>https://twitter.com/santz_lee/status/1440217628987908098</v>
      </c>
      <c r="AA486" s="81"/>
      <c r="AB486" s="81"/>
      <c r="AC486" s="87" t="s">
        <v>3011</v>
      </c>
      <c r="AD486" s="81"/>
      <c r="AE486" s="81" t="b">
        <v>0</v>
      </c>
      <c r="AF486" s="81">
        <v>0</v>
      </c>
      <c r="AG486" s="87" t="s">
        <v>3875</v>
      </c>
      <c r="AH486" s="81" t="b">
        <v>0</v>
      </c>
      <c r="AI486" s="81" t="s">
        <v>4092</v>
      </c>
      <c r="AJ486" s="81"/>
      <c r="AK486" s="87" t="s">
        <v>3875</v>
      </c>
      <c r="AL486" s="81" t="b">
        <v>0</v>
      </c>
      <c r="AM486" s="81">
        <v>321</v>
      </c>
      <c r="AN486" s="87" t="s">
        <v>3520</v>
      </c>
      <c r="AO486" s="87" t="s">
        <v>4109</v>
      </c>
      <c r="AP486" s="81" t="b">
        <v>0</v>
      </c>
      <c r="AQ486" s="87" t="s">
        <v>3520</v>
      </c>
      <c r="AR486" s="81" t="s">
        <v>179</v>
      </c>
      <c r="AS486" s="81">
        <v>0</v>
      </c>
      <c r="AT486" s="81">
        <v>0</v>
      </c>
      <c r="AU486" s="81"/>
      <c r="AV486" s="81"/>
      <c r="AW486" s="81"/>
      <c r="AX486" s="81"/>
      <c r="AY486" s="81"/>
      <c r="AZ486" s="81"/>
      <c r="BA486" s="81"/>
      <c r="BB486" s="81"/>
    </row>
    <row r="487" spans="1:54" x14ac:dyDescent="0.35">
      <c r="A487" s="66" t="s">
        <v>494</v>
      </c>
      <c r="B487" s="66" t="s">
        <v>910</v>
      </c>
      <c r="C487" s="67"/>
      <c r="D487" s="68"/>
      <c r="E487" s="69"/>
      <c r="F487" s="70"/>
      <c r="G487" s="67"/>
      <c r="H487" s="71"/>
      <c r="I487" s="72"/>
      <c r="J487" s="72"/>
      <c r="K487" s="36"/>
      <c r="L487" s="79"/>
      <c r="M487" s="79"/>
      <c r="N487" s="74"/>
      <c r="O487" s="81" t="s">
        <v>1205</v>
      </c>
      <c r="P487" s="83">
        <v>44460.314988425926</v>
      </c>
      <c r="Q487" s="81" t="s">
        <v>1324</v>
      </c>
      <c r="R487" s="81"/>
      <c r="S487" s="81"/>
      <c r="T487" s="81"/>
      <c r="U487" s="85" t="str">
        <f>HYPERLINK("https://pbs.twimg.com/media/E_xVJy2VQAQerFe.jpg")</f>
        <v>https://pbs.twimg.com/media/E_xVJy2VQAQerFe.jpg</v>
      </c>
      <c r="V487" s="85" t="str">
        <f>HYPERLINK("https://pbs.twimg.com/media/E_xVJy2VQAQerFe.jpg")</f>
        <v>https://pbs.twimg.com/media/E_xVJy2VQAQerFe.jpg</v>
      </c>
      <c r="W487" s="83">
        <v>44460.314988425926</v>
      </c>
      <c r="X487" s="89">
        <v>44460</v>
      </c>
      <c r="Y487" s="87" t="s">
        <v>2088</v>
      </c>
      <c r="Z487" s="85" t="str">
        <f>HYPERLINK("https://twitter.com/santz_lee/status/1440217628987908098")</f>
        <v>https://twitter.com/santz_lee/status/1440217628987908098</v>
      </c>
      <c r="AA487" s="81"/>
      <c r="AB487" s="81"/>
      <c r="AC487" s="87" t="s">
        <v>3011</v>
      </c>
      <c r="AD487" s="81"/>
      <c r="AE487" s="81" t="b">
        <v>0</v>
      </c>
      <c r="AF487" s="81">
        <v>0</v>
      </c>
      <c r="AG487" s="87" t="s">
        <v>3875</v>
      </c>
      <c r="AH487" s="81" t="b">
        <v>0</v>
      </c>
      <c r="AI487" s="81" t="s">
        <v>4092</v>
      </c>
      <c r="AJ487" s="81"/>
      <c r="AK487" s="87" t="s">
        <v>3875</v>
      </c>
      <c r="AL487" s="81" t="b">
        <v>0</v>
      </c>
      <c r="AM487" s="81">
        <v>321</v>
      </c>
      <c r="AN487" s="87" t="s">
        <v>3520</v>
      </c>
      <c r="AO487" s="87" t="s">
        <v>4109</v>
      </c>
      <c r="AP487" s="81" t="b">
        <v>0</v>
      </c>
      <c r="AQ487" s="87" t="s">
        <v>3520</v>
      </c>
      <c r="AR487" s="81" t="s">
        <v>179</v>
      </c>
      <c r="AS487" s="81">
        <v>0</v>
      </c>
      <c r="AT487" s="81">
        <v>0</v>
      </c>
      <c r="AU487" s="81"/>
      <c r="AV487" s="81"/>
      <c r="AW487" s="81"/>
      <c r="AX487" s="81"/>
      <c r="AY487" s="81"/>
      <c r="AZ487" s="81"/>
      <c r="BA487" s="81"/>
      <c r="BB487" s="81"/>
    </row>
    <row r="488" spans="1:54" x14ac:dyDescent="0.35">
      <c r="A488" s="66" t="s">
        <v>495</v>
      </c>
      <c r="B488" s="66" t="s">
        <v>495</v>
      </c>
      <c r="C488" s="67"/>
      <c r="D488" s="68"/>
      <c r="E488" s="69"/>
      <c r="F488" s="70"/>
      <c r="G488" s="67"/>
      <c r="H488" s="71"/>
      <c r="I488" s="72"/>
      <c r="J488" s="72"/>
      <c r="K488" s="36"/>
      <c r="L488" s="79"/>
      <c r="M488" s="79"/>
      <c r="N488" s="74"/>
      <c r="O488" s="81" t="s">
        <v>179</v>
      </c>
      <c r="P488" s="83">
        <v>44460.321793981479</v>
      </c>
      <c r="Q488" s="81" t="s">
        <v>1340</v>
      </c>
      <c r="R488" s="85" t="str">
        <f>HYPERLINK("http://www.aksesriau.co.id/2021/09/lowongan-kantor-pos-dumai-september-2021.html")</f>
        <v>http://www.aksesriau.co.id/2021/09/lowongan-kantor-pos-dumai-september-2021.html</v>
      </c>
      <c r="S488" s="81" t="s">
        <v>1732</v>
      </c>
      <c r="T488" s="81"/>
      <c r="U488" s="85" t="str">
        <f>HYPERLINK("https://pbs.twimg.com/media/E_ywi67VQAAUv-o.png")</f>
        <v>https://pbs.twimg.com/media/E_ywi67VQAAUv-o.png</v>
      </c>
      <c r="V488" s="85" t="str">
        <f>HYPERLINK("https://pbs.twimg.com/media/E_ywi67VQAAUv-o.png")</f>
        <v>https://pbs.twimg.com/media/E_ywi67VQAAUv-o.png</v>
      </c>
      <c r="W488" s="83">
        <v>44460.321793981479</v>
      </c>
      <c r="X488" s="89">
        <v>44460</v>
      </c>
      <c r="Y488" s="87" t="s">
        <v>2089</v>
      </c>
      <c r="Z488" s="85" t="str">
        <f>HYPERLINK("https://twitter.com/mybigbozz/status/1440220097478463492")</f>
        <v>https://twitter.com/mybigbozz/status/1440220097478463492</v>
      </c>
      <c r="AA488" s="81"/>
      <c r="AB488" s="81"/>
      <c r="AC488" s="87" t="s">
        <v>3012</v>
      </c>
      <c r="AD488" s="81"/>
      <c r="AE488" s="81" t="b">
        <v>0</v>
      </c>
      <c r="AF488" s="81">
        <v>0</v>
      </c>
      <c r="AG488" s="87" t="s">
        <v>3875</v>
      </c>
      <c r="AH488" s="81" t="b">
        <v>0</v>
      </c>
      <c r="AI488" s="81" t="s">
        <v>4092</v>
      </c>
      <c r="AJ488" s="81"/>
      <c r="AK488" s="87" t="s">
        <v>3875</v>
      </c>
      <c r="AL488" s="81" t="b">
        <v>0</v>
      </c>
      <c r="AM488" s="81">
        <v>0</v>
      </c>
      <c r="AN488" s="87" t="s">
        <v>3875</v>
      </c>
      <c r="AO488" s="87" t="s">
        <v>4122</v>
      </c>
      <c r="AP488" s="81" t="b">
        <v>0</v>
      </c>
      <c r="AQ488" s="87" t="s">
        <v>3012</v>
      </c>
      <c r="AR488" s="81" t="s">
        <v>179</v>
      </c>
      <c r="AS488" s="81">
        <v>0</v>
      </c>
      <c r="AT488" s="81">
        <v>0</v>
      </c>
      <c r="AU488" s="81"/>
      <c r="AV488" s="81"/>
      <c r="AW488" s="81"/>
      <c r="AX488" s="81"/>
      <c r="AY488" s="81"/>
      <c r="AZ488" s="81"/>
      <c r="BA488" s="81"/>
      <c r="BB488" s="81"/>
    </row>
    <row r="489" spans="1:54" x14ac:dyDescent="0.35">
      <c r="A489" s="66" t="s">
        <v>496</v>
      </c>
      <c r="B489" s="66" t="s">
        <v>496</v>
      </c>
      <c r="C489" s="67"/>
      <c r="D489" s="68"/>
      <c r="E489" s="69"/>
      <c r="F489" s="70"/>
      <c r="G489" s="67"/>
      <c r="H489" s="71"/>
      <c r="I489" s="72"/>
      <c r="J489" s="72"/>
      <c r="K489" s="36"/>
      <c r="L489" s="79"/>
      <c r="M489" s="79"/>
      <c r="N489" s="74"/>
      <c r="O489" s="81" t="s">
        <v>179</v>
      </c>
      <c r="P489" s="83">
        <v>44460.324664351851</v>
      </c>
      <c r="Q489" s="81" t="s">
        <v>1341</v>
      </c>
      <c r="R489" s="81"/>
      <c r="S489" s="81"/>
      <c r="T489" s="81"/>
      <c r="U489" s="81"/>
      <c r="V489" s="85" t="str">
        <f>HYPERLINK("https://pbs.twimg.com/profile_images/1439889716787118081/jqePyKay_normal.jpg")</f>
        <v>https://pbs.twimg.com/profile_images/1439889716787118081/jqePyKay_normal.jpg</v>
      </c>
      <c r="W489" s="83">
        <v>44460.324664351851</v>
      </c>
      <c r="X489" s="89">
        <v>44460</v>
      </c>
      <c r="Y489" s="87" t="s">
        <v>2090</v>
      </c>
      <c r="Z489" s="85" t="str">
        <f>HYPERLINK("https://twitter.com/adoreliu/status/1440221136214585346")</f>
        <v>https://twitter.com/adoreliu/status/1440221136214585346</v>
      </c>
      <c r="AA489" s="81"/>
      <c r="AB489" s="81"/>
      <c r="AC489" s="87" t="s">
        <v>3013</v>
      </c>
      <c r="AD489" s="87" t="s">
        <v>3706</v>
      </c>
      <c r="AE489" s="81" t="b">
        <v>0</v>
      </c>
      <c r="AF489" s="81">
        <v>0</v>
      </c>
      <c r="AG489" s="87" t="s">
        <v>3940</v>
      </c>
      <c r="AH489" s="81" t="b">
        <v>0</v>
      </c>
      <c r="AI489" s="81" t="s">
        <v>4092</v>
      </c>
      <c r="AJ489" s="81"/>
      <c r="AK489" s="87" t="s">
        <v>3875</v>
      </c>
      <c r="AL489" s="81" t="b">
        <v>0</v>
      </c>
      <c r="AM489" s="81">
        <v>0</v>
      </c>
      <c r="AN489" s="87" t="s">
        <v>3875</v>
      </c>
      <c r="AO489" s="87" t="s">
        <v>4110</v>
      </c>
      <c r="AP489" s="81" t="b">
        <v>0</v>
      </c>
      <c r="AQ489" s="87" t="s">
        <v>3706</v>
      </c>
      <c r="AR489" s="81" t="s">
        <v>179</v>
      </c>
      <c r="AS489" s="81">
        <v>0</v>
      </c>
      <c r="AT489" s="81">
        <v>0</v>
      </c>
      <c r="AU489" s="81"/>
      <c r="AV489" s="81"/>
      <c r="AW489" s="81"/>
      <c r="AX489" s="81"/>
      <c r="AY489" s="81"/>
      <c r="AZ489" s="81"/>
      <c r="BA489" s="81"/>
      <c r="BB489" s="81"/>
    </row>
    <row r="490" spans="1:54" x14ac:dyDescent="0.35">
      <c r="A490" s="66" t="s">
        <v>497</v>
      </c>
      <c r="B490" s="66" t="s">
        <v>1055</v>
      </c>
      <c r="C490" s="67"/>
      <c r="D490" s="68"/>
      <c r="E490" s="69"/>
      <c r="F490" s="70"/>
      <c r="G490" s="67"/>
      <c r="H490" s="71"/>
      <c r="I490" s="72"/>
      <c r="J490" s="72"/>
      <c r="K490" s="36"/>
      <c r="L490" s="79"/>
      <c r="M490" s="79"/>
      <c r="N490" s="74"/>
      <c r="O490" s="81" t="s">
        <v>1207</v>
      </c>
      <c r="P490" s="83">
        <v>44460.325219907405</v>
      </c>
      <c r="Q490" s="81" t="s">
        <v>1324</v>
      </c>
      <c r="R490" s="81"/>
      <c r="S490" s="81"/>
      <c r="T490" s="81"/>
      <c r="U490" s="85" t="str">
        <f>HYPERLINK("https://pbs.twimg.com/media/E_xVJy2VQAQerFe.jpg")</f>
        <v>https://pbs.twimg.com/media/E_xVJy2VQAQerFe.jpg</v>
      </c>
      <c r="V490" s="85" t="str">
        <f>HYPERLINK("https://pbs.twimg.com/media/E_xVJy2VQAQerFe.jpg")</f>
        <v>https://pbs.twimg.com/media/E_xVJy2VQAQerFe.jpg</v>
      </c>
      <c r="W490" s="83">
        <v>44460.325219907405</v>
      </c>
      <c r="X490" s="89">
        <v>44460</v>
      </c>
      <c r="Y490" s="87" t="s">
        <v>2091</v>
      </c>
      <c r="Z490" s="85" t="str">
        <f>HYPERLINK("https://twitter.com/dinisatashya/status/1440221335741816833")</f>
        <v>https://twitter.com/dinisatashya/status/1440221335741816833</v>
      </c>
      <c r="AA490" s="81"/>
      <c r="AB490" s="81"/>
      <c r="AC490" s="87" t="s">
        <v>3014</v>
      </c>
      <c r="AD490" s="81"/>
      <c r="AE490" s="81" t="b">
        <v>0</v>
      </c>
      <c r="AF490" s="81">
        <v>0</v>
      </c>
      <c r="AG490" s="87" t="s">
        <v>3875</v>
      </c>
      <c r="AH490" s="81" t="b">
        <v>0</v>
      </c>
      <c r="AI490" s="81" t="s">
        <v>4092</v>
      </c>
      <c r="AJ490" s="81"/>
      <c r="AK490" s="87" t="s">
        <v>3875</v>
      </c>
      <c r="AL490" s="81" t="b">
        <v>0</v>
      </c>
      <c r="AM490" s="81">
        <v>321</v>
      </c>
      <c r="AN490" s="87" t="s">
        <v>3520</v>
      </c>
      <c r="AO490" s="87" t="s">
        <v>4110</v>
      </c>
      <c r="AP490" s="81" t="b">
        <v>0</v>
      </c>
      <c r="AQ490" s="87" t="s">
        <v>3520</v>
      </c>
      <c r="AR490" s="81" t="s">
        <v>179</v>
      </c>
      <c r="AS490" s="81">
        <v>0</v>
      </c>
      <c r="AT490" s="81">
        <v>0</v>
      </c>
      <c r="AU490" s="81"/>
      <c r="AV490" s="81"/>
      <c r="AW490" s="81"/>
      <c r="AX490" s="81"/>
      <c r="AY490" s="81"/>
      <c r="AZ490" s="81"/>
      <c r="BA490" s="81"/>
      <c r="BB490" s="81"/>
    </row>
    <row r="491" spans="1:54" x14ac:dyDescent="0.35">
      <c r="A491" s="66" t="s">
        <v>497</v>
      </c>
      <c r="B491" s="66" t="s">
        <v>910</v>
      </c>
      <c r="C491" s="67"/>
      <c r="D491" s="68"/>
      <c r="E491" s="69"/>
      <c r="F491" s="70"/>
      <c r="G491" s="67"/>
      <c r="H491" s="71"/>
      <c r="I491" s="72"/>
      <c r="J491" s="72"/>
      <c r="K491" s="36"/>
      <c r="L491" s="79"/>
      <c r="M491" s="79"/>
      <c r="N491" s="74"/>
      <c r="O491" s="81" t="s">
        <v>1205</v>
      </c>
      <c r="P491" s="83">
        <v>44460.325219907405</v>
      </c>
      <c r="Q491" s="81" t="s">
        <v>1324</v>
      </c>
      <c r="R491" s="81"/>
      <c r="S491" s="81"/>
      <c r="T491" s="81"/>
      <c r="U491" s="85" t="str">
        <f>HYPERLINK("https://pbs.twimg.com/media/E_xVJy2VQAQerFe.jpg")</f>
        <v>https://pbs.twimg.com/media/E_xVJy2VQAQerFe.jpg</v>
      </c>
      <c r="V491" s="85" t="str">
        <f>HYPERLINK("https://pbs.twimg.com/media/E_xVJy2VQAQerFe.jpg")</f>
        <v>https://pbs.twimg.com/media/E_xVJy2VQAQerFe.jpg</v>
      </c>
      <c r="W491" s="83">
        <v>44460.325219907405</v>
      </c>
      <c r="X491" s="89">
        <v>44460</v>
      </c>
      <c r="Y491" s="87" t="s">
        <v>2091</v>
      </c>
      <c r="Z491" s="85" t="str">
        <f>HYPERLINK("https://twitter.com/dinisatashya/status/1440221335741816833")</f>
        <v>https://twitter.com/dinisatashya/status/1440221335741816833</v>
      </c>
      <c r="AA491" s="81"/>
      <c r="AB491" s="81"/>
      <c r="AC491" s="87" t="s">
        <v>3014</v>
      </c>
      <c r="AD491" s="81"/>
      <c r="AE491" s="81" t="b">
        <v>0</v>
      </c>
      <c r="AF491" s="81">
        <v>0</v>
      </c>
      <c r="AG491" s="87" t="s">
        <v>3875</v>
      </c>
      <c r="AH491" s="81" t="b">
        <v>0</v>
      </c>
      <c r="AI491" s="81" t="s">
        <v>4092</v>
      </c>
      <c r="AJ491" s="81"/>
      <c r="AK491" s="87" t="s">
        <v>3875</v>
      </c>
      <c r="AL491" s="81" t="b">
        <v>0</v>
      </c>
      <c r="AM491" s="81">
        <v>321</v>
      </c>
      <c r="AN491" s="87" t="s">
        <v>3520</v>
      </c>
      <c r="AO491" s="87" t="s">
        <v>4110</v>
      </c>
      <c r="AP491" s="81" t="b">
        <v>0</v>
      </c>
      <c r="AQ491" s="87" t="s">
        <v>3520</v>
      </c>
      <c r="AR491" s="81" t="s">
        <v>179</v>
      </c>
      <c r="AS491" s="81">
        <v>0</v>
      </c>
      <c r="AT491" s="81">
        <v>0</v>
      </c>
      <c r="AU491" s="81"/>
      <c r="AV491" s="81"/>
      <c r="AW491" s="81"/>
      <c r="AX491" s="81"/>
      <c r="AY491" s="81"/>
      <c r="AZ491" s="81"/>
      <c r="BA491" s="81"/>
      <c r="BB491" s="81"/>
    </row>
    <row r="492" spans="1:54" x14ac:dyDescent="0.35">
      <c r="A492" s="66" t="s">
        <v>498</v>
      </c>
      <c r="B492" s="66" t="s">
        <v>1055</v>
      </c>
      <c r="C492" s="67"/>
      <c r="D492" s="68"/>
      <c r="E492" s="69"/>
      <c r="F492" s="70"/>
      <c r="G492" s="67"/>
      <c r="H492" s="71"/>
      <c r="I492" s="72"/>
      <c r="J492" s="72"/>
      <c r="K492" s="36"/>
      <c r="L492" s="79"/>
      <c r="M492" s="79"/>
      <c r="N492" s="74"/>
      <c r="O492" s="81" t="s">
        <v>1207</v>
      </c>
      <c r="P492" s="83">
        <v>44460.325219907405</v>
      </c>
      <c r="Q492" s="81" t="s">
        <v>1324</v>
      </c>
      <c r="R492" s="81"/>
      <c r="S492" s="81"/>
      <c r="T492" s="81"/>
      <c r="U492" s="85" t="str">
        <f>HYPERLINK("https://pbs.twimg.com/media/E_xVJy2VQAQerFe.jpg")</f>
        <v>https://pbs.twimg.com/media/E_xVJy2VQAQerFe.jpg</v>
      </c>
      <c r="V492" s="85" t="str">
        <f>HYPERLINK("https://pbs.twimg.com/media/E_xVJy2VQAQerFe.jpg")</f>
        <v>https://pbs.twimg.com/media/E_xVJy2VQAQerFe.jpg</v>
      </c>
      <c r="W492" s="83">
        <v>44460.325219907405</v>
      </c>
      <c r="X492" s="89">
        <v>44460</v>
      </c>
      <c r="Y492" s="87" t="s">
        <v>2091</v>
      </c>
      <c r="Z492" s="85" t="str">
        <f>HYPERLINK("https://twitter.com/hirasnapitupulu/status/1440221339000868866")</f>
        <v>https://twitter.com/hirasnapitupulu/status/1440221339000868866</v>
      </c>
      <c r="AA492" s="81"/>
      <c r="AB492" s="81"/>
      <c r="AC492" s="87" t="s">
        <v>3015</v>
      </c>
      <c r="AD492" s="81"/>
      <c r="AE492" s="81" t="b">
        <v>0</v>
      </c>
      <c r="AF492" s="81">
        <v>0</v>
      </c>
      <c r="AG492" s="87" t="s">
        <v>3875</v>
      </c>
      <c r="AH492" s="81" t="b">
        <v>0</v>
      </c>
      <c r="AI492" s="81" t="s">
        <v>4092</v>
      </c>
      <c r="AJ492" s="81"/>
      <c r="AK492" s="87" t="s">
        <v>3875</v>
      </c>
      <c r="AL492" s="81" t="b">
        <v>0</v>
      </c>
      <c r="AM492" s="81">
        <v>321</v>
      </c>
      <c r="AN492" s="87" t="s">
        <v>3520</v>
      </c>
      <c r="AO492" s="87" t="s">
        <v>4109</v>
      </c>
      <c r="AP492" s="81" t="b">
        <v>0</v>
      </c>
      <c r="AQ492" s="87" t="s">
        <v>3520</v>
      </c>
      <c r="AR492" s="81" t="s">
        <v>179</v>
      </c>
      <c r="AS492" s="81">
        <v>0</v>
      </c>
      <c r="AT492" s="81">
        <v>0</v>
      </c>
      <c r="AU492" s="81"/>
      <c r="AV492" s="81"/>
      <c r="AW492" s="81"/>
      <c r="AX492" s="81"/>
      <c r="AY492" s="81"/>
      <c r="AZ492" s="81"/>
      <c r="BA492" s="81"/>
      <c r="BB492" s="81"/>
    </row>
    <row r="493" spans="1:54" x14ac:dyDescent="0.35">
      <c r="A493" s="66" t="s">
        <v>498</v>
      </c>
      <c r="B493" s="66" t="s">
        <v>910</v>
      </c>
      <c r="C493" s="67"/>
      <c r="D493" s="68"/>
      <c r="E493" s="69"/>
      <c r="F493" s="70"/>
      <c r="G493" s="67"/>
      <c r="H493" s="71"/>
      <c r="I493" s="72"/>
      <c r="J493" s="72"/>
      <c r="K493" s="36"/>
      <c r="L493" s="79"/>
      <c r="M493" s="79"/>
      <c r="N493" s="74"/>
      <c r="O493" s="81" t="s">
        <v>1205</v>
      </c>
      <c r="P493" s="83">
        <v>44460.325219907405</v>
      </c>
      <c r="Q493" s="81" t="s">
        <v>1324</v>
      </c>
      <c r="R493" s="81"/>
      <c r="S493" s="81"/>
      <c r="T493" s="81"/>
      <c r="U493" s="85" t="str">
        <f>HYPERLINK("https://pbs.twimg.com/media/E_xVJy2VQAQerFe.jpg")</f>
        <v>https://pbs.twimg.com/media/E_xVJy2VQAQerFe.jpg</v>
      </c>
      <c r="V493" s="85" t="str">
        <f>HYPERLINK("https://pbs.twimg.com/media/E_xVJy2VQAQerFe.jpg")</f>
        <v>https://pbs.twimg.com/media/E_xVJy2VQAQerFe.jpg</v>
      </c>
      <c r="W493" s="83">
        <v>44460.325219907405</v>
      </c>
      <c r="X493" s="89">
        <v>44460</v>
      </c>
      <c r="Y493" s="87" t="s">
        <v>2091</v>
      </c>
      <c r="Z493" s="85" t="str">
        <f>HYPERLINK("https://twitter.com/hirasnapitupulu/status/1440221339000868866")</f>
        <v>https://twitter.com/hirasnapitupulu/status/1440221339000868866</v>
      </c>
      <c r="AA493" s="81"/>
      <c r="AB493" s="81"/>
      <c r="AC493" s="87" t="s">
        <v>3015</v>
      </c>
      <c r="AD493" s="81"/>
      <c r="AE493" s="81" t="b">
        <v>0</v>
      </c>
      <c r="AF493" s="81">
        <v>0</v>
      </c>
      <c r="AG493" s="87" t="s">
        <v>3875</v>
      </c>
      <c r="AH493" s="81" t="b">
        <v>0</v>
      </c>
      <c r="AI493" s="81" t="s">
        <v>4092</v>
      </c>
      <c r="AJ493" s="81"/>
      <c r="AK493" s="87" t="s">
        <v>3875</v>
      </c>
      <c r="AL493" s="81" t="b">
        <v>0</v>
      </c>
      <c r="AM493" s="81">
        <v>321</v>
      </c>
      <c r="AN493" s="87" t="s">
        <v>3520</v>
      </c>
      <c r="AO493" s="87" t="s">
        <v>4109</v>
      </c>
      <c r="AP493" s="81" t="b">
        <v>0</v>
      </c>
      <c r="AQ493" s="87" t="s">
        <v>3520</v>
      </c>
      <c r="AR493" s="81" t="s">
        <v>179</v>
      </c>
      <c r="AS493" s="81">
        <v>0</v>
      </c>
      <c r="AT493" s="81">
        <v>0</v>
      </c>
      <c r="AU493" s="81"/>
      <c r="AV493" s="81"/>
      <c r="AW493" s="81"/>
      <c r="AX493" s="81"/>
      <c r="AY493" s="81"/>
      <c r="AZ493" s="81"/>
      <c r="BA493" s="81"/>
      <c r="BB493" s="81"/>
    </row>
    <row r="494" spans="1:54" x14ac:dyDescent="0.35">
      <c r="A494" s="66" t="s">
        <v>499</v>
      </c>
      <c r="B494" s="66" t="s">
        <v>1055</v>
      </c>
      <c r="C494" s="67"/>
      <c r="D494" s="68"/>
      <c r="E494" s="69"/>
      <c r="F494" s="70"/>
      <c r="G494" s="67"/>
      <c r="H494" s="71"/>
      <c r="I494" s="72"/>
      <c r="J494" s="72"/>
      <c r="K494" s="36"/>
      <c r="L494" s="79"/>
      <c r="M494" s="79"/>
      <c r="N494" s="74"/>
      <c r="O494" s="81" t="s">
        <v>1207</v>
      </c>
      <c r="P494" s="83">
        <v>44460.326597222222</v>
      </c>
      <c r="Q494" s="81" t="s">
        <v>1324</v>
      </c>
      <c r="R494" s="81"/>
      <c r="S494" s="81"/>
      <c r="T494" s="81"/>
      <c r="U494" s="85" t="str">
        <f>HYPERLINK("https://pbs.twimg.com/media/E_xVJy2VQAQerFe.jpg")</f>
        <v>https://pbs.twimg.com/media/E_xVJy2VQAQerFe.jpg</v>
      </c>
      <c r="V494" s="85" t="str">
        <f>HYPERLINK("https://pbs.twimg.com/media/E_xVJy2VQAQerFe.jpg")</f>
        <v>https://pbs.twimg.com/media/E_xVJy2VQAQerFe.jpg</v>
      </c>
      <c r="W494" s="83">
        <v>44460.326597222222</v>
      </c>
      <c r="X494" s="89">
        <v>44460</v>
      </c>
      <c r="Y494" s="87" t="s">
        <v>2092</v>
      </c>
      <c r="Z494" s="85" t="str">
        <f>HYPERLINK("https://twitter.com/abdoeh_abbiati/status/1440221837401542657")</f>
        <v>https://twitter.com/abdoeh_abbiati/status/1440221837401542657</v>
      </c>
      <c r="AA494" s="81"/>
      <c r="AB494" s="81"/>
      <c r="AC494" s="87" t="s">
        <v>3016</v>
      </c>
      <c r="AD494" s="81"/>
      <c r="AE494" s="81" t="b">
        <v>0</v>
      </c>
      <c r="AF494" s="81">
        <v>0</v>
      </c>
      <c r="AG494" s="87" t="s">
        <v>3875</v>
      </c>
      <c r="AH494" s="81" t="b">
        <v>0</v>
      </c>
      <c r="AI494" s="81" t="s">
        <v>4092</v>
      </c>
      <c r="AJ494" s="81"/>
      <c r="AK494" s="87" t="s">
        <v>3875</v>
      </c>
      <c r="AL494" s="81" t="b">
        <v>0</v>
      </c>
      <c r="AM494" s="81">
        <v>321</v>
      </c>
      <c r="AN494" s="87" t="s">
        <v>3520</v>
      </c>
      <c r="AO494" s="87" t="s">
        <v>4109</v>
      </c>
      <c r="AP494" s="81" t="b">
        <v>0</v>
      </c>
      <c r="AQ494" s="87" t="s">
        <v>3520</v>
      </c>
      <c r="AR494" s="81" t="s">
        <v>179</v>
      </c>
      <c r="AS494" s="81">
        <v>0</v>
      </c>
      <c r="AT494" s="81">
        <v>0</v>
      </c>
      <c r="AU494" s="81"/>
      <c r="AV494" s="81"/>
      <c r="AW494" s="81"/>
      <c r="AX494" s="81"/>
      <c r="AY494" s="81"/>
      <c r="AZ494" s="81"/>
      <c r="BA494" s="81"/>
      <c r="BB494" s="81"/>
    </row>
    <row r="495" spans="1:54" x14ac:dyDescent="0.35">
      <c r="A495" s="66" t="s">
        <v>499</v>
      </c>
      <c r="B495" s="66" t="s">
        <v>910</v>
      </c>
      <c r="C495" s="67"/>
      <c r="D495" s="68"/>
      <c r="E495" s="69"/>
      <c r="F495" s="70"/>
      <c r="G495" s="67"/>
      <c r="H495" s="71"/>
      <c r="I495" s="72"/>
      <c r="J495" s="72"/>
      <c r="K495" s="36"/>
      <c r="L495" s="79"/>
      <c r="M495" s="79"/>
      <c r="N495" s="74"/>
      <c r="O495" s="81" t="s">
        <v>1205</v>
      </c>
      <c r="P495" s="83">
        <v>44460.326597222222</v>
      </c>
      <c r="Q495" s="81" t="s">
        <v>1324</v>
      </c>
      <c r="R495" s="81"/>
      <c r="S495" s="81"/>
      <c r="T495" s="81"/>
      <c r="U495" s="85" t="str">
        <f>HYPERLINK("https://pbs.twimg.com/media/E_xVJy2VQAQerFe.jpg")</f>
        <v>https://pbs.twimg.com/media/E_xVJy2VQAQerFe.jpg</v>
      </c>
      <c r="V495" s="85" t="str">
        <f>HYPERLINK("https://pbs.twimg.com/media/E_xVJy2VQAQerFe.jpg")</f>
        <v>https://pbs.twimg.com/media/E_xVJy2VQAQerFe.jpg</v>
      </c>
      <c r="W495" s="83">
        <v>44460.326597222222</v>
      </c>
      <c r="X495" s="89">
        <v>44460</v>
      </c>
      <c r="Y495" s="87" t="s">
        <v>2092</v>
      </c>
      <c r="Z495" s="85" t="str">
        <f>HYPERLINK("https://twitter.com/abdoeh_abbiati/status/1440221837401542657")</f>
        <v>https://twitter.com/abdoeh_abbiati/status/1440221837401542657</v>
      </c>
      <c r="AA495" s="81"/>
      <c r="AB495" s="81"/>
      <c r="AC495" s="87" t="s">
        <v>3016</v>
      </c>
      <c r="AD495" s="81"/>
      <c r="AE495" s="81" t="b">
        <v>0</v>
      </c>
      <c r="AF495" s="81">
        <v>0</v>
      </c>
      <c r="AG495" s="87" t="s">
        <v>3875</v>
      </c>
      <c r="AH495" s="81" t="b">
        <v>0</v>
      </c>
      <c r="AI495" s="81" t="s">
        <v>4092</v>
      </c>
      <c r="AJ495" s="81"/>
      <c r="AK495" s="87" t="s">
        <v>3875</v>
      </c>
      <c r="AL495" s="81" t="b">
        <v>0</v>
      </c>
      <c r="AM495" s="81">
        <v>321</v>
      </c>
      <c r="AN495" s="87" t="s">
        <v>3520</v>
      </c>
      <c r="AO495" s="87" t="s">
        <v>4109</v>
      </c>
      <c r="AP495" s="81" t="b">
        <v>0</v>
      </c>
      <c r="AQ495" s="87" t="s">
        <v>3520</v>
      </c>
      <c r="AR495" s="81" t="s">
        <v>179</v>
      </c>
      <c r="AS495" s="81">
        <v>0</v>
      </c>
      <c r="AT495" s="81">
        <v>0</v>
      </c>
      <c r="AU495" s="81"/>
      <c r="AV495" s="81"/>
      <c r="AW495" s="81"/>
      <c r="AX495" s="81"/>
      <c r="AY495" s="81"/>
      <c r="AZ495" s="81"/>
      <c r="BA495" s="81"/>
      <c r="BB495" s="81"/>
    </row>
    <row r="496" spans="1:54" x14ac:dyDescent="0.35">
      <c r="A496" s="66" t="s">
        <v>500</v>
      </c>
      <c r="B496" s="66" t="s">
        <v>1055</v>
      </c>
      <c r="C496" s="67"/>
      <c r="D496" s="68"/>
      <c r="E496" s="69"/>
      <c r="F496" s="70"/>
      <c r="G496" s="67"/>
      <c r="H496" s="71"/>
      <c r="I496" s="72"/>
      <c r="J496" s="72"/>
      <c r="K496" s="36"/>
      <c r="L496" s="79"/>
      <c r="M496" s="79"/>
      <c r="N496" s="74"/>
      <c r="O496" s="81" t="s">
        <v>1207</v>
      </c>
      <c r="P496" s="83">
        <v>44460.326770833337</v>
      </c>
      <c r="Q496" s="81" t="s">
        <v>1324</v>
      </c>
      <c r="R496" s="81"/>
      <c r="S496" s="81"/>
      <c r="T496" s="81"/>
      <c r="U496" s="85" t="str">
        <f>HYPERLINK("https://pbs.twimg.com/media/E_xVJy2VQAQerFe.jpg")</f>
        <v>https://pbs.twimg.com/media/E_xVJy2VQAQerFe.jpg</v>
      </c>
      <c r="V496" s="85" t="str">
        <f>HYPERLINK("https://pbs.twimg.com/media/E_xVJy2VQAQerFe.jpg")</f>
        <v>https://pbs.twimg.com/media/E_xVJy2VQAQerFe.jpg</v>
      </c>
      <c r="W496" s="83">
        <v>44460.326770833337</v>
      </c>
      <c r="X496" s="89">
        <v>44460</v>
      </c>
      <c r="Y496" s="87" t="s">
        <v>2093</v>
      </c>
      <c r="Z496" s="85" t="str">
        <f>HYPERLINK("https://twitter.com/grace_saa/status/1440221898575515649")</f>
        <v>https://twitter.com/grace_saa/status/1440221898575515649</v>
      </c>
      <c r="AA496" s="81"/>
      <c r="AB496" s="81"/>
      <c r="AC496" s="87" t="s">
        <v>3017</v>
      </c>
      <c r="AD496" s="81"/>
      <c r="AE496" s="81" t="b">
        <v>0</v>
      </c>
      <c r="AF496" s="81">
        <v>0</v>
      </c>
      <c r="AG496" s="87" t="s">
        <v>3875</v>
      </c>
      <c r="AH496" s="81" t="b">
        <v>0</v>
      </c>
      <c r="AI496" s="81" t="s">
        <v>4092</v>
      </c>
      <c r="AJ496" s="81"/>
      <c r="AK496" s="87" t="s">
        <v>3875</v>
      </c>
      <c r="AL496" s="81" t="b">
        <v>0</v>
      </c>
      <c r="AM496" s="81">
        <v>321</v>
      </c>
      <c r="AN496" s="87" t="s">
        <v>3520</v>
      </c>
      <c r="AO496" s="87" t="s">
        <v>4109</v>
      </c>
      <c r="AP496" s="81" t="b">
        <v>0</v>
      </c>
      <c r="AQ496" s="87" t="s">
        <v>3520</v>
      </c>
      <c r="AR496" s="81" t="s">
        <v>179</v>
      </c>
      <c r="AS496" s="81">
        <v>0</v>
      </c>
      <c r="AT496" s="81">
        <v>0</v>
      </c>
      <c r="AU496" s="81"/>
      <c r="AV496" s="81"/>
      <c r="AW496" s="81"/>
      <c r="AX496" s="81"/>
      <c r="AY496" s="81"/>
      <c r="AZ496" s="81"/>
      <c r="BA496" s="81"/>
      <c r="BB496" s="81"/>
    </row>
    <row r="497" spans="1:54" x14ac:dyDescent="0.35">
      <c r="A497" s="66" t="s">
        <v>500</v>
      </c>
      <c r="B497" s="66" t="s">
        <v>910</v>
      </c>
      <c r="C497" s="67"/>
      <c r="D497" s="68"/>
      <c r="E497" s="69"/>
      <c r="F497" s="70"/>
      <c r="G497" s="67"/>
      <c r="H497" s="71"/>
      <c r="I497" s="72"/>
      <c r="J497" s="72"/>
      <c r="K497" s="36"/>
      <c r="L497" s="79"/>
      <c r="M497" s="79"/>
      <c r="N497" s="74"/>
      <c r="O497" s="81" t="s">
        <v>1205</v>
      </c>
      <c r="P497" s="83">
        <v>44460.326770833337</v>
      </c>
      <c r="Q497" s="81" t="s">
        <v>1324</v>
      </c>
      <c r="R497" s="81"/>
      <c r="S497" s="81"/>
      <c r="T497" s="81"/>
      <c r="U497" s="85" t="str">
        <f>HYPERLINK("https://pbs.twimg.com/media/E_xVJy2VQAQerFe.jpg")</f>
        <v>https://pbs.twimg.com/media/E_xVJy2VQAQerFe.jpg</v>
      </c>
      <c r="V497" s="85" t="str">
        <f>HYPERLINK("https://pbs.twimg.com/media/E_xVJy2VQAQerFe.jpg")</f>
        <v>https://pbs.twimg.com/media/E_xVJy2VQAQerFe.jpg</v>
      </c>
      <c r="W497" s="83">
        <v>44460.326770833337</v>
      </c>
      <c r="X497" s="89">
        <v>44460</v>
      </c>
      <c r="Y497" s="87" t="s">
        <v>2093</v>
      </c>
      <c r="Z497" s="85" t="str">
        <f>HYPERLINK("https://twitter.com/grace_saa/status/1440221898575515649")</f>
        <v>https://twitter.com/grace_saa/status/1440221898575515649</v>
      </c>
      <c r="AA497" s="81"/>
      <c r="AB497" s="81"/>
      <c r="AC497" s="87" t="s">
        <v>3017</v>
      </c>
      <c r="AD497" s="81"/>
      <c r="AE497" s="81" t="b">
        <v>0</v>
      </c>
      <c r="AF497" s="81">
        <v>0</v>
      </c>
      <c r="AG497" s="87" t="s">
        <v>3875</v>
      </c>
      <c r="AH497" s="81" t="b">
        <v>0</v>
      </c>
      <c r="AI497" s="81" t="s">
        <v>4092</v>
      </c>
      <c r="AJ497" s="81"/>
      <c r="AK497" s="87" t="s">
        <v>3875</v>
      </c>
      <c r="AL497" s="81" t="b">
        <v>0</v>
      </c>
      <c r="AM497" s="81">
        <v>321</v>
      </c>
      <c r="AN497" s="87" t="s">
        <v>3520</v>
      </c>
      <c r="AO497" s="87" t="s">
        <v>4109</v>
      </c>
      <c r="AP497" s="81" t="b">
        <v>0</v>
      </c>
      <c r="AQ497" s="87" t="s">
        <v>3520</v>
      </c>
      <c r="AR497" s="81" t="s">
        <v>179</v>
      </c>
      <c r="AS497" s="81">
        <v>0</v>
      </c>
      <c r="AT497" s="81">
        <v>0</v>
      </c>
      <c r="AU497" s="81"/>
      <c r="AV497" s="81"/>
      <c r="AW497" s="81"/>
      <c r="AX497" s="81"/>
      <c r="AY497" s="81"/>
      <c r="AZ497" s="81"/>
      <c r="BA497" s="81"/>
      <c r="BB497" s="81"/>
    </row>
    <row r="498" spans="1:54" x14ac:dyDescent="0.35">
      <c r="A498" s="66" t="s">
        <v>501</v>
      </c>
      <c r="B498" s="66" t="s">
        <v>1055</v>
      </c>
      <c r="C498" s="67"/>
      <c r="D498" s="68"/>
      <c r="E498" s="69"/>
      <c r="F498" s="70"/>
      <c r="G498" s="67"/>
      <c r="H498" s="71"/>
      <c r="I498" s="72"/>
      <c r="J498" s="72"/>
      <c r="K498" s="36"/>
      <c r="L498" s="79"/>
      <c r="M498" s="79"/>
      <c r="N498" s="74"/>
      <c r="O498" s="81" t="s">
        <v>1207</v>
      </c>
      <c r="P498" s="83">
        <v>44460.329594907409</v>
      </c>
      <c r="Q498" s="81" t="s">
        <v>1324</v>
      </c>
      <c r="R498" s="81"/>
      <c r="S498" s="81"/>
      <c r="T498" s="81"/>
      <c r="U498" s="85" t="str">
        <f>HYPERLINK("https://pbs.twimg.com/media/E_xVJy2VQAQerFe.jpg")</f>
        <v>https://pbs.twimg.com/media/E_xVJy2VQAQerFe.jpg</v>
      </c>
      <c r="V498" s="85" t="str">
        <f>HYPERLINK("https://pbs.twimg.com/media/E_xVJy2VQAQerFe.jpg")</f>
        <v>https://pbs.twimg.com/media/E_xVJy2VQAQerFe.jpg</v>
      </c>
      <c r="W498" s="83">
        <v>44460.329594907409</v>
      </c>
      <c r="X498" s="89">
        <v>44460</v>
      </c>
      <c r="Y498" s="87" t="s">
        <v>2094</v>
      </c>
      <c r="Z498" s="85" t="str">
        <f>HYPERLINK("https://twitter.com/cahngarit14/status/1440222923147513860")</f>
        <v>https://twitter.com/cahngarit14/status/1440222923147513860</v>
      </c>
      <c r="AA498" s="81"/>
      <c r="AB498" s="81"/>
      <c r="AC498" s="87" t="s">
        <v>3018</v>
      </c>
      <c r="AD498" s="81"/>
      <c r="AE498" s="81" t="b">
        <v>0</v>
      </c>
      <c r="AF498" s="81">
        <v>0</v>
      </c>
      <c r="AG498" s="87" t="s">
        <v>3875</v>
      </c>
      <c r="AH498" s="81" t="b">
        <v>0</v>
      </c>
      <c r="AI498" s="81" t="s">
        <v>4092</v>
      </c>
      <c r="AJ498" s="81"/>
      <c r="AK498" s="87" t="s">
        <v>3875</v>
      </c>
      <c r="AL498" s="81" t="b">
        <v>0</v>
      </c>
      <c r="AM498" s="81">
        <v>321</v>
      </c>
      <c r="AN498" s="87" t="s">
        <v>3520</v>
      </c>
      <c r="AO498" s="87" t="s">
        <v>4109</v>
      </c>
      <c r="AP498" s="81" t="b">
        <v>0</v>
      </c>
      <c r="AQ498" s="87" t="s">
        <v>3520</v>
      </c>
      <c r="AR498" s="81" t="s">
        <v>179</v>
      </c>
      <c r="AS498" s="81">
        <v>0</v>
      </c>
      <c r="AT498" s="81">
        <v>0</v>
      </c>
      <c r="AU498" s="81"/>
      <c r="AV498" s="81"/>
      <c r="AW498" s="81"/>
      <c r="AX498" s="81"/>
      <c r="AY498" s="81"/>
      <c r="AZ498" s="81"/>
      <c r="BA498" s="81"/>
      <c r="BB498" s="81"/>
    </row>
    <row r="499" spans="1:54" x14ac:dyDescent="0.35">
      <c r="A499" s="66" t="s">
        <v>501</v>
      </c>
      <c r="B499" s="66" t="s">
        <v>910</v>
      </c>
      <c r="C499" s="67"/>
      <c r="D499" s="68"/>
      <c r="E499" s="69"/>
      <c r="F499" s="70"/>
      <c r="G499" s="67"/>
      <c r="H499" s="71"/>
      <c r="I499" s="72"/>
      <c r="J499" s="72"/>
      <c r="K499" s="36"/>
      <c r="L499" s="79"/>
      <c r="M499" s="79"/>
      <c r="N499" s="74"/>
      <c r="O499" s="81" t="s">
        <v>1205</v>
      </c>
      <c r="P499" s="83">
        <v>44460.329594907409</v>
      </c>
      <c r="Q499" s="81" t="s">
        <v>1324</v>
      </c>
      <c r="R499" s="81"/>
      <c r="S499" s="81"/>
      <c r="T499" s="81"/>
      <c r="U499" s="85" t="str">
        <f>HYPERLINK("https://pbs.twimg.com/media/E_xVJy2VQAQerFe.jpg")</f>
        <v>https://pbs.twimg.com/media/E_xVJy2VQAQerFe.jpg</v>
      </c>
      <c r="V499" s="85" t="str">
        <f>HYPERLINK("https://pbs.twimg.com/media/E_xVJy2VQAQerFe.jpg")</f>
        <v>https://pbs.twimg.com/media/E_xVJy2VQAQerFe.jpg</v>
      </c>
      <c r="W499" s="83">
        <v>44460.329594907409</v>
      </c>
      <c r="X499" s="89">
        <v>44460</v>
      </c>
      <c r="Y499" s="87" t="s">
        <v>2094</v>
      </c>
      <c r="Z499" s="85" t="str">
        <f>HYPERLINK("https://twitter.com/cahngarit14/status/1440222923147513860")</f>
        <v>https://twitter.com/cahngarit14/status/1440222923147513860</v>
      </c>
      <c r="AA499" s="81"/>
      <c r="AB499" s="81"/>
      <c r="AC499" s="87" t="s">
        <v>3018</v>
      </c>
      <c r="AD499" s="81"/>
      <c r="AE499" s="81" t="b">
        <v>0</v>
      </c>
      <c r="AF499" s="81">
        <v>0</v>
      </c>
      <c r="AG499" s="87" t="s">
        <v>3875</v>
      </c>
      <c r="AH499" s="81" t="b">
        <v>0</v>
      </c>
      <c r="AI499" s="81" t="s">
        <v>4092</v>
      </c>
      <c r="AJ499" s="81"/>
      <c r="AK499" s="87" t="s">
        <v>3875</v>
      </c>
      <c r="AL499" s="81" t="b">
        <v>0</v>
      </c>
      <c r="AM499" s="81">
        <v>321</v>
      </c>
      <c r="AN499" s="87" t="s">
        <v>3520</v>
      </c>
      <c r="AO499" s="87" t="s">
        <v>4109</v>
      </c>
      <c r="AP499" s="81" t="b">
        <v>0</v>
      </c>
      <c r="AQ499" s="87" t="s">
        <v>3520</v>
      </c>
      <c r="AR499" s="81" t="s">
        <v>179</v>
      </c>
      <c r="AS499" s="81">
        <v>0</v>
      </c>
      <c r="AT499" s="81">
        <v>0</v>
      </c>
      <c r="AU499" s="81"/>
      <c r="AV499" s="81"/>
      <c r="AW499" s="81"/>
      <c r="AX499" s="81"/>
      <c r="AY499" s="81"/>
      <c r="AZ499" s="81"/>
      <c r="BA499" s="81"/>
      <c r="BB499" s="81"/>
    </row>
    <row r="500" spans="1:54" x14ac:dyDescent="0.35">
      <c r="A500" s="66" t="s">
        <v>502</v>
      </c>
      <c r="B500" s="66" t="s">
        <v>1055</v>
      </c>
      <c r="C500" s="67"/>
      <c r="D500" s="68"/>
      <c r="E500" s="69"/>
      <c r="F500" s="70"/>
      <c r="G500" s="67"/>
      <c r="H500" s="71"/>
      <c r="I500" s="72"/>
      <c r="J500" s="72"/>
      <c r="K500" s="36"/>
      <c r="L500" s="79"/>
      <c r="M500" s="79"/>
      <c r="N500" s="74"/>
      <c r="O500" s="81" t="s">
        <v>1207</v>
      </c>
      <c r="P500" s="83">
        <v>44460.33017361111</v>
      </c>
      <c r="Q500" s="81" t="s">
        <v>1324</v>
      </c>
      <c r="R500" s="81"/>
      <c r="S500" s="81"/>
      <c r="T500" s="81"/>
      <c r="U500" s="85" t="str">
        <f>HYPERLINK("https://pbs.twimg.com/media/E_xVJy2VQAQerFe.jpg")</f>
        <v>https://pbs.twimg.com/media/E_xVJy2VQAQerFe.jpg</v>
      </c>
      <c r="V500" s="85" t="str">
        <f>HYPERLINK("https://pbs.twimg.com/media/E_xVJy2VQAQerFe.jpg")</f>
        <v>https://pbs.twimg.com/media/E_xVJy2VQAQerFe.jpg</v>
      </c>
      <c r="W500" s="83">
        <v>44460.33017361111</v>
      </c>
      <c r="X500" s="89">
        <v>44460</v>
      </c>
      <c r="Y500" s="87" t="s">
        <v>2095</v>
      </c>
      <c r="Z500" s="85" t="str">
        <f>HYPERLINK("https://twitter.com/rudy30059411/status/1440223133529624581")</f>
        <v>https://twitter.com/rudy30059411/status/1440223133529624581</v>
      </c>
      <c r="AA500" s="81"/>
      <c r="AB500" s="81"/>
      <c r="AC500" s="87" t="s">
        <v>3019</v>
      </c>
      <c r="AD500" s="81"/>
      <c r="AE500" s="81" t="b">
        <v>0</v>
      </c>
      <c r="AF500" s="81">
        <v>0</v>
      </c>
      <c r="AG500" s="87" t="s">
        <v>3875</v>
      </c>
      <c r="AH500" s="81" t="b">
        <v>0</v>
      </c>
      <c r="AI500" s="81" t="s">
        <v>4092</v>
      </c>
      <c r="AJ500" s="81"/>
      <c r="AK500" s="87" t="s">
        <v>3875</v>
      </c>
      <c r="AL500" s="81" t="b">
        <v>0</v>
      </c>
      <c r="AM500" s="81">
        <v>321</v>
      </c>
      <c r="AN500" s="87" t="s">
        <v>3520</v>
      </c>
      <c r="AO500" s="87" t="s">
        <v>4110</v>
      </c>
      <c r="AP500" s="81" t="b">
        <v>0</v>
      </c>
      <c r="AQ500" s="87" t="s">
        <v>3520</v>
      </c>
      <c r="AR500" s="81" t="s">
        <v>179</v>
      </c>
      <c r="AS500" s="81">
        <v>0</v>
      </c>
      <c r="AT500" s="81">
        <v>0</v>
      </c>
      <c r="AU500" s="81"/>
      <c r="AV500" s="81"/>
      <c r="AW500" s="81"/>
      <c r="AX500" s="81"/>
      <c r="AY500" s="81"/>
      <c r="AZ500" s="81"/>
      <c r="BA500" s="81"/>
      <c r="BB500" s="81"/>
    </row>
    <row r="501" spans="1:54" x14ac:dyDescent="0.35">
      <c r="A501" s="66" t="s">
        <v>502</v>
      </c>
      <c r="B501" s="66" t="s">
        <v>910</v>
      </c>
      <c r="C501" s="67"/>
      <c r="D501" s="68"/>
      <c r="E501" s="69"/>
      <c r="F501" s="70"/>
      <c r="G501" s="67"/>
      <c r="H501" s="71"/>
      <c r="I501" s="72"/>
      <c r="J501" s="72"/>
      <c r="K501" s="36"/>
      <c r="L501" s="79"/>
      <c r="M501" s="79"/>
      <c r="N501" s="74"/>
      <c r="O501" s="81" t="s">
        <v>1205</v>
      </c>
      <c r="P501" s="83">
        <v>44460.33017361111</v>
      </c>
      <c r="Q501" s="81" t="s">
        <v>1324</v>
      </c>
      <c r="R501" s="81"/>
      <c r="S501" s="81"/>
      <c r="T501" s="81"/>
      <c r="U501" s="85" t="str">
        <f>HYPERLINK("https://pbs.twimg.com/media/E_xVJy2VQAQerFe.jpg")</f>
        <v>https://pbs.twimg.com/media/E_xVJy2VQAQerFe.jpg</v>
      </c>
      <c r="V501" s="85" t="str">
        <f>HYPERLINK("https://pbs.twimg.com/media/E_xVJy2VQAQerFe.jpg")</f>
        <v>https://pbs.twimg.com/media/E_xVJy2VQAQerFe.jpg</v>
      </c>
      <c r="W501" s="83">
        <v>44460.33017361111</v>
      </c>
      <c r="X501" s="89">
        <v>44460</v>
      </c>
      <c r="Y501" s="87" t="s">
        <v>2095</v>
      </c>
      <c r="Z501" s="85" t="str">
        <f>HYPERLINK("https://twitter.com/rudy30059411/status/1440223133529624581")</f>
        <v>https://twitter.com/rudy30059411/status/1440223133529624581</v>
      </c>
      <c r="AA501" s="81"/>
      <c r="AB501" s="81"/>
      <c r="AC501" s="87" t="s">
        <v>3019</v>
      </c>
      <c r="AD501" s="81"/>
      <c r="AE501" s="81" t="b">
        <v>0</v>
      </c>
      <c r="AF501" s="81">
        <v>0</v>
      </c>
      <c r="AG501" s="87" t="s">
        <v>3875</v>
      </c>
      <c r="AH501" s="81" t="b">
        <v>0</v>
      </c>
      <c r="AI501" s="81" t="s">
        <v>4092</v>
      </c>
      <c r="AJ501" s="81"/>
      <c r="AK501" s="87" t="s">
        <v>3875</v>
      </c>
      <c r="AL501" s="81" t="b">
        <v>0</v>
      </c>
      <c r="AM501" s="81">
        <v>321</v>
      </c>
      <c r="AN501" s="87" t="s">
        <v>3520</v>
      </c>
      <c r="AO501" s="87" t="s">
        <v>4110</v>
      </c>
      <c r="AP501" s="81" t="b">
        <v>0</v>
      </c>
      <c r="AQ501" s="87" t="s">
        <v>3520</v>
      </c>
      <c r="AR501" s="81" t="s">
        <v>179</v>
      </c>
      <c r="AS501" s="81">
        <v>0</v>
      </c>
      <c r="AT501" s="81">
        <v>0</v>
      </c>
      <c r="AU501" s="81"/>
      <c r="AV501" s="81"/>
      <c r="AW501" s="81"/>
      <c r="AX501" s="81"/>
      <c r="AY501" s="81"/>
      <c r="AZ501" s="81"/>
      <c r="BA501" s="81"/>
      <c r="BB501" s="81"/>
    </row>
    <row r="502" spans="1:54" x14ac:dyDescent="0.35">
      <c r="A502" s="66" t="s">
        <v>503</v>
      </c>
      <c r="B502" s="66" t="s">
        <v>1055</v>
      </c>
      <c r="C502" s="67"/>
      <c r="D502" s="68"/>
      <c r="E502" s="69"/>
      <c r="F502" s="70"/>
      <c r="G502" s="67"/>
      <c r="H502" s="71"/>
      <c r="I502" s="72"/>
      <c r="J502" s="72"/>
      <c r="K502" s="36"/>
      <c r="L502" s="79"/>
      <c r="M502" s="79"/>
      <c r="N502" s="74"/>
      <c r="O502" s="81" t="s">
        <v>1207</v>
      </c>
      <c r="P502" s="83">
        <v>44460.330277777779</v>
      </c>
      <c r="Q502" s="81" t="s">
        <v>1324</v>
      </c>
      <c r="R502" s="81"/>
      <c r="S502" s="81"/>
      <c r="T502" s="81"/>
      <c r="U502" s="85" t="str">
        <f>HYPERLINK("https://pbs.twimg.com/media/E_xVJy2VQAQerFe.jpg")</f>
        <v>https://pbs.twimg.com/media/E_xVJy2VQAQerFe.jpg</v>
      </c>
      <c r="V502" s="85" t="str">
        <f>HYPERLINK("https://pbs.twimg.com/media/E_xVJy2VQAQerFe.jpg")</f>
        <v>https://pbs.twimg.com/media/E_xVJy2VQAQerFe.jpg</v>
      </c>
      <c r="W502" s="83">
        <v>44460.330277777779</v>
      </c>
      <c r="X502" s="89">
        <v>44460</v>
      </c>
      <c r="Y502" s="87" t="s">
        <v>2096</v>
      </c>
      <c r="Z502" s="85" t="str">
        <f>HYPERLINK("https://twitter.com/ewink_tie/status/1440223170963804166")</f>
        <v>https://twitter.com/ewink_tie/status/1440223170963804166</v>
      </c>
      <c r="AA502" s="81"/>
      <c r="AB502" s="81"/>
      <c r="AC502" s="87" t="s">
        <v>3020</v>
      </c>
      <c r="AD502" s="81"/>
      <c r="AE502" s="81" t="b">
        <v>0</v>
      </c>
      <c r="AF502" s="81">
        <v>0</v>
      </c>
      <c r="AG502" s="87" t="s">
        <v>3875</v>
      </c>
      <c r="AH502" s="81" t="b">
        <v>0</v>
      </c>
      <c r="AI502" s="81" t="s">
        <v>4092</v>
      </c>
      <c r="AJ502" s="81"/>
      <c r="AK502" s="87" t="s">
        <v>3875</v>
      </c>
      <c r="AL502" s="81" t="b">
        <v>0</v>
      </c>
      <c r="AM502" s="81">
        <v>321</v>
      </c>
      <c r="AN502" s="87" t="s">
        <v>3520</v>
      </c>
      <c r="AO502" s="87" t="s">
        <v>4109</v>
      </c>
      <c r="AP502" s="81" t="b">
        <v>0</v>
      </c>
      <c r="AQ502" s="87" t="s">
        <v>3520</v>
      </c>
      <c r="AR502" s="81" t="s">
        <v>179</v>
      </c>
      <c r="AS502" s="81">
        <v>0</v>
      </c>
      <c r="AT502" s="81">
        <v>0</v>
      </c>
      <c r="AU502" s="81"/>
      <c r="AV502" s="81"/>
      <c r="AW502" s="81"/>
      <c r="AX502" s="81"/>
      <c r="AY502" s="81"/>
      <c r="AZ502" s="81"/>
      <c r="BA502" s="81"/>
      <c r="BB502" s="81"/>
    </row>
    <row r="503" spans="1:54" x14ac:dyDescent="0.35">
      <c r="A503" s="66" t="s">
        <v>503</v>
      </c>
      <c r="B503" s="66" t="s">
        <v>910</v>
      </c>
      <c r="C503" s="67"/>
      <c r="D503" s="68"/>
      <c r="E503" s="69"/>
      <c r="F503" s="70"/>
      <c r="G503" s="67"/>
      <c r="H503" s="71"/>
      <c r="I503" s="72"/>
      <c r="J503" s="72"/>
      <c r="K503" s="36"/>
      <c r="L503" s="79"/>
      <c r="M503" s="79"/>
      <c r="N503" s="74"/>
      <c r="O503" s="81" t="s">
        <v>1205</v>
      </c>
      <c r="P503" s="83">
        <v>44460.330277777779</v>
      </c>
      <c r="Q503" s="81" t="s">
        <v>1324</v>
      </c>
      <c r="R503" s="81"/>
      <c r="S503" s="81"/>
      <c r="T503" s="81"/>
      <c r="U503" s="85" t="str">
        <f>HYPERLINK("https://pbs.twimg.com/media/E_xVJy2VQAQerFe.jpg")</f>
        <v>https://pbs.twimg.com/media/E_xVJy2VQAQerFe.jpg</v>
      </c>
      <c r="V503" s="85" t="str">
        <f>HYPERLINK("https://pbs.twimg.com/media/E_xVJy2VQAQerFe.jpg")</f>
        <v>https://pbs.twimg.com/media/E_xVJy2VQAQerFe.jpg</v>
      </c>
      <c r="W503" s="83">
        <v>44460.330277777779</v>
      </c>
      <c r="X503" s="89">
        <v>44460</v>
      </c>
      <c r="Y503" s="87" t="s">
        <v>2096</v>
      </c>
      <c r="Z503" s="85" t="str">
        <f>HYPERLINK("https://twitter.com/ewink_tie/status/1440223170963804166")</f>
        <v>https://twitter.com/ewink_tie/status/1440223170963804166</v>
      </c>
      <c r="AA503" s="81"/>
      <c r="AB503" s="81"/>
      <c r="AC503" s="87" t="s">
        <v>3020</v>
      </c>
      <c r="AD503" s="81"/>
      <c r="AE503" s="81" t="b">
        <v>0</v>
      </c>
      <c r="AF503" s="81">
        <v>0</v>
      </c>
      <c r="AG503" s="87" t="s">
        <v>3875</v>
      </c>
      <c r="AH503" s="81" t="b">
        <v>0</v>
      </c>
      <c r="AI503" s="81" t="s">
        <v>4092</v>
      </c>
      <c r="AJ503" s="81"/>
      <c r="AK503" s="87" t="s">
        <v>3875</v>
      </c>
      <c r="AL503" s="81" t="b">
        <v>0</v>
      </c>
      <c r="AM503" s="81">
        <v>321</v>
      </c>
      <c r="AN503" s="87" t="s">
        <v>3520</v>
      </c>
      <c r="AO503" s="87" t="s">
        <v>4109</v>
      </c>
      <c r="AP503" s="81" t="b">
        <v>0</v>
      </c>
      <c r="AQ503" s="87" t="s">
        <v>3520</v>
      </c>
      <c r="AR503" s="81" t="s">
        <v>179</v>
      </c>
      <c r="AS503" s="81">
        <v>0</v>
      </c>
      <c r="AT503" s="81">
        <v>0</v>
      </c>
      <c r="AU503" s="81"/>
      <c r="AV503" s="81"/>
      <c r="AW503" s="81"/>
      <c r="AX503" s="81"/>
      <c r="AY503" s="81"/>
      <c r="AZ503" s="81"/>
      <c r="BA503" s="81"/>
      <c r="BB503" s="81"/>
    </row>
    <row r="504" spans="1:54" x14ac:dyDescent="0.35">
      <c r="A504" s="66" t="s">
        <v>504</v>
      </c>
      <c r="B504" s="66" t="s">
        <v>1055</v>
      </c>
      <c r="C504" s="67"/>
      <c r="D504" s="68"/>
      <c r="E504" s="69"/>
      <c r="F504" s="70"/>
      <c r="G504" s="67"/>
      <c r="H504" s="71"/>
      <c r="I504" s="72"/>
      <c r="J504" s="72"/>
      <c r="K504" s="36"/>
      <c r="L504" s="79"/>
      <c r="M504" s="79"/>
      <c r="N504" s="74"/>
      <c r="O504" s="81" t="s">
        <v>1207</v>
      </c>
      <c r="P504" s="83">
        <v>44460.330347222225</v>
      </c>
      <c r="Q504" s="81" t="s">
        <v>1324</v>
      </c>
      <c r="R504" s="81"/>
      <c r="S504" s="81"/>
      <c r="T504" s="81"/>
      <c r="U504" s="85" t="str">
        <f>HYPERLINK("https://pbs.twimg.com/media/E_xVJy2VQAQerFe.jpg")</f>
        <v>https://pbs.twimg.com/media/E_xVJy2VQAQerFe.jpg</v>
      </c>
      <c r="V504" s="85" t="str">
        <f>HYPERLINK("https://pbs.twimg.com/media/E_xVJy2VQAQerFe.jpg")</f>
        <v>https://pbs.twimg.com/media/E_xVJy2VQAQerFe.jpg</v>
      </c>
      <c r="W504" s="83">
        <v>44460.330347222225</v>
      </c>
      <c r="X504" s="89">
        <v>44460</v>
      </c>
      <c r="Y504" s="87" t="s">
        <v>2097</v>
      </c>
      <c r="Z504" s="85" t="str">
        <f>HYPERLINK("https://twitter.com/bennydjuwanda/status/1440223193503993865")</f>
        <v>https://twitter.com/bennydjuwanda/status/1440223193503993865</v>
      </c>
      <c r="AA504" s="81"/>
      <c r="AB504" s="81"/>
      <c r="AC504" s="87" t="s">
        <v>3021</v>
      </c>
      <c r="AD504" s="81"/>
      <c r="AE504" s="81" t="b">
        <v>0</v>
      </c>
      <c r="AF504" s="81">
        <v>0</v>
      </c>
      <c r="AG504" s="87" t="s">
        <v>3875</v>
      </c>
      <c r="AH504" s="81" t="b">
        <v>0</v>
      </c>
      <c r="AI504" s="81" t="s">
        <v>4092</v>
      </c>
      <c r="AJ504" s="81"/>
      <c r="AK504" s="87" t="s">
        <v>3875</v>
      </c>
      <c r="AL504" s="81" t="b">
        <v>0</v>
      </c>
      <c r="AM504" s="81">
        <v>321</v>
      </c>
      <c r="AN504" s="87" t="s">
        <v>3520</v>
      </c>
      <c r="AO504" s="87" t="s">
        <v>4109</v>
      </c>
      <c r="AP504" s="81" t="b">
        <v>0</v>
      </c>
      <c r="AQ504" s="87" t="s">
        <v>3520</v>
      </c>
      <c r="AR504" s="81" t="s">
        <v>179</v>
      </c>
      <c r="AS504" s="81">
        <v>0</v>
      </c>
      <c r="AT504" s="81">
        <v>0</v>
      </c>
      <c r="AU504" s="81"/>
      <c r="AV504" s="81"/>
      <c r="AW504" s="81"/>
      <c r="AX504" s="81"/>
      <c r="AY504" s="81"/>
      <c r="AZ504" s="81"/>
      <c r="BA504" s="81"/>
      <c r="BB504" s="81"/>
    </row>
    <row r="505" spans="1:54" x14ac:dyDescent="0.35">
      <c r="A505" s="66" t="s">
        <v>504</v>
      </c>
      <c r="B505" s="66" t="s">
        <v>910</v>
      </c>
      <c r="C505" s="67"/>
      <c r="D505" s="68"/>
      <c r="E505" s="69"/>
      <c r="F505" s="70"/>
      <c r="G505" s="67"/>
      <c r="H505" s="71"/>
      <c r="I505" s="72"/>
      <c r="J505" s="72"/>
      <c r="K505" s="36"/>
      <c r="L505" s="79"/>
      <c r="M505" s="79"/>
      <c r="N505" s="74"/>
      <c r="O505" s="81" t="s">
        <v>1205</v>
      </c>
      <c r="P505" s="83">
        <v>44460.330347222225</v>
      </c>
      <c r="Q505" s="81" t="s">
        <v>1324</v>
      </c>
      <c r="R505" s="81"/>
      <c r="S505" s="81"/>
      <c r="T505" s="81"/>
      <c r="U505" s="85" t="str">
        <f>HYPERLINK("https://pbs.twimg.com/media/E_xVJy2VQAQerFe.jpg")</f>
        <v>https://pbs.twimg.com/media/E_xVJy2VQAQerFe.jpg</v>
      </c>
      <c r="V505" s="85" t="str">
        <f>HYPERLINK("https://pbs.twimg.com/media/E_xVJy2VQAQerFe.jpg")</f>
        <v>https://pbs.twimg.com/media/E_xVJy2VQAQerFe.jpg</v>
      </c>
      <c r="W505" s="83">
        <v>44460.330347222225</v>
      </c>
      <c r="X505" s="89">
        <v>44460</v>
      </c>
      <c r="Y505" s="87" t="s">
        <v>2097</v>
      </c>
      <c r="Z505" s="85" t="str">
        <f>HYPERLINK("https://twitter.com/bennydjuwanda/status/1440223193503993865")</f>
        <v>https://twitter.com/bennydjuwanda/status/1440223193503993865</v>
      </c>
      <c r="AA505" s="81"/>
      <c r="AB505" s="81"/>
      <c r="AC505" s="87" t="s">
        <v>3021</v>
      </c>
      <c r="AD505" s="81"/>
      <c r="AE505" s="81" t="b">
        <v>0</v>
      </c>
      <c r="AF505" s="81">
        <v>0</v>
      </c>
      <c r="AG505" s="87" t="s">
        <v>3875</v>
      </c>
      <c r="AH505" s="81" t="b">
        <v>0</v>
      </c>
      <c r="AI505" s="81" t="s">
        <v>4092</v>
      </c>
      <c r="AJ505" s="81"/>
      <c r="AK505" s="87" t="s">
        <v>3875</v>
      </c>
      <c r="AL505" s="81" t="b">
        <v>0</v>
      </c>
      <c r="AM505" s="81">
        <v>321</v>
      </c>
      <c r="AN505" s="87" t="s">
        <v>3520</v>
      </c>
      <c r="AO505" s="87" t="s">
        <v>4109</v>
      </c>
      <c r="AP505" s="81" t="b">
        <v>0</v>
      </c>
      <c r="AQ505" s="87" t="s">
        <v>3520</v>
      </c>
      <c r="AR505" s="81" t="s">
        <v>179</v>
      </c>
      <c r="AS505" s="81">
        <v>0</v>
      </c>
      <c r="AT505" s="81">
        <v>0</v>
      </c>
      <c r="AU505" s="81"/>
      <c r="AV505" s="81"/>
      <c r="AW505" s="81"/>
      <c r="AX505" s="81"/>
      <c r="AY505" s="81"/>
      <c r="AZ505" s="81"/>
      <c r="BA505" s="81"/>
      <c r="BB505" s="81"/>
    </row>
    <row r="506" spans="1:54" x14ac:dyDescent="0.35">
      <c r="A506" s="66" t="s">
        <v>505</v>
      </c>
      <c r="B506" s="66" t="s">
        <v>1055</v>
      </c>
      <c r="C506" s="67"/>
      <c r="D506" s="68"/>
      <c r="E506" s="69"/>
      <c r="F506" s="70"/>
      <c r="G506" s="67"/>
      <c r="H506" s="71"/>
      <c r="I506" s="72"/>
      <c r="J506" s="72"/>
      <c r="K506" s="36"/>
      <c r="L506" s="79"/>
      <c r="M506" s="79"/>
      <c r="N506" s="74"/>
      <c r="O506" s="81" t="s">
        <v>1207</v>
      </c>
      <c r="P506" s="83">
        <v>44460.33189814815</v>
      </c>
      <c r="Q506" s="81" t="s">
        <v>1324</v>
      </c>
      <c r="R506" s="81"/>
      <c r="S506" s="81"/>
      <c r="T506" s="81"/>
      <c r="U506" s="85" t="str">
        <f>HYPERLINK("https://pbs.twimg.com/media/E_xVJy2VQAQerFe.jpg")</f>
        <v>https://pbs.twimg.com/media/E_xVJy2VQAQerFe.jpg</v>
      </c>
      <c r="V506" s="85" t="str">
        <f>HYPERLINK("https://pbs.twimg.com/media/E_xVJy2VQAQerFe.jpg")</f>
        <v>https://pbs.twimg.com/media/E_xVJy2VQAQerFe.jpg</v>
      </c>
      <c r="W506" s="83">
        <v>44460.33189814815</v>
      </c>
      <c r="X506" s="89">
        <v>44460</v>
      </c>
      <c r="Y506" s="87" t="s">
        <v>2098</v>
      </c>
      <c r="Z506" s="85" t="str">
        <f>HYPERLINK("https://twitter.com/gathot57987929/status/1440223756417310732")</f>
        <v>https://twitter.com/gathot57987929/status/1440223756417310732</v>
      </c>
      <c r="AA506" s="81"/>
      <c r="AB506" s="81"/>
      <c r="AC506" s="87" t="s">
        <v>3022</v>
      </c>
      <c r="AD506" s="81"/>
      <c r="AE506" s="81" t="b">
        <v>0</v>
      </c>
      <c r="AF506" s="81">
        <v>0</v>
      </c>
      <c r="AG506" s="87" t="s">
        <v>3875</v>
      </c>
      <c r="AH506" s="81" t="b">
        <v>0</v>
      </c>
      <c r="AI506" s="81" t="s">
        <v>4092</v>
      </c>
      <c r="AJ506" s="81"/>
      <c r="AK506" s="87" t="s">
        <v>3875</v>
      </c>
      <c r="AL506" s="81" t="b">
        <v>0</v>
      </c>
      <c r="AM506" s="81">
        <v>321</v>
      </c>
      <c r="AN506" s="87" t="s">
        <v>3520</v>
      </c>
      <c r="AO506" s="87" t="s">
        <v>4109</v>
      </c>
      <c r="AP506" s="81" t="b">
        <v>0</v>
      </c>
      <c r="AQ506" s="87" t="s">
        <v>3520</v>
      </c>
      <c r="AR506" s="81" t="s">
        <v>179</v>
      </c>
      <c r="AS506" s="81">
        <v>0</v>
      </c>
      <c r="AT506" s="81">
        <v>0</v>
      </c>
      <c r="AU506" s="81"/>
      <c r="AV506" s="81"/>
      <c r="AW506" s="81"/>
      <c r="AX506" s="81"/>
      <c r="AY506" s="81"/>
      <c r="AZ506" s="81"/>
      <c r="BA506" s="81"/>
      <c r="BB506" s="81"/>
    </row>
    <row r="507" spans="1:54" x14ac:dyDescent="0.35">
      <c r="A507" s="66" t="s">
        <v>505</v>
      </c>
      <c r="B507" s="66" t="s">
        <v>910</v>
      </c>
      <c r="C507" s="67"/>
      <c r="D507" s="68"/>
      <c r="E507" s="69"/>
      <c r="F507" s="70"/>
      <c r="G507" s="67"/>
      <c r="H507" s="71"/>
      <c r="I507" s="72"/>
      <c r="J507" s="72"/>
      <c r="K507" s="36"/>
      <c r="L507" s="79"/>
      <c r="M507" s="79"/>
      <c r="N507" s="74"/>
      <c r="O507" s="81" t="s">
        <v>1205</v>
      </c>
      <c r="P507" s="83">
        <v>44460.33189814815</v>
      </c>
      <c r="Q507" s="81" t="s">
        <v>1324</v>
      </c>
      <c r="R507" s="81"/>
      <c r="S507" s="81"/>
      <c r="T507" s="81"/>
      <c r="U507" s="85" t="str">
        <f>HYPERLINK("https://pbs.twimg.com/media/E_xVJy2VQAQerFe.jpg")</f>
        <v>https://pbs.twimg.com/media/E_xVJy2VQAQerFe.jpg</v>
      </c>
      <c r="V507" s="85" t="str">
        <f>HYPERLINK("https://pbs.twimg.com/media/E_xVJy2VQAQerFe.jpg")</f>
        <v>https://pbs.twimg.com/media/E_xVJy2VQAQerFe.jpg</v>
      </c>
      <c r="W507" s="83">
        <v>44460.33189814815</v>
      </c>
      <c r="X507" s="89">
        <v>44460</v>
      </c>
      <c r="Y507" s="87" t="s">
        <v>2098</v>
      </c>
      <c r="Z507" s="85" t="str">
        <f>HYPERLINK("https://twitter.com/gathot57987929/status/1440223756417310732")</f>
        <v>https://twitter.com/gathot57987929/status/1440223756417310732</v>
      </c>
      <c r="AA507" s="81"/>
      <c r="AB507" s="81"/>
      <c r="AC507" s="87" t="s">
        <v>3022</v>
      </c>
      <c r="AD507" s="81"/>
      <c r="AE507" s="81" t="b">
        <v>0</v>
      </c>
      <c r="AF507" s="81">
        <v>0</v>
      </c>
      <c r="AG507" s="87" t="s">
        <v>3875</v>
      </c>
      <c r="AH507" s="81" t="b">
        <v>0</v>
      </c>
      <c r="AI507" s="81" t="s">
        <v>4092</v>
      </c>
      <c r="AJ507" s="81"/>
      <c r="AK507" s="87" t="s">
        <v>3875</v>
      </c>
      <c r="AL507" s="81" t="b">
        <v>0</v>
      </c>
      <c r="AM507" s="81">
        <v>321</v>
      </c>
      <c r="AN507" s="87" t="s">
        <v>3520</v>
      </c>
      <c r="AO507" s="87" t="s">
        <v>4109</v>
      </c>
      <c r="AP507" s="81" t="b">
        <v>0</v>
      </c>
      <c r="AQ507" s="87" t="s">
        <v>3520</v>
      </c>
      <c r="AR507" s="81" t="s">
        <v>179</v>
      </c>
      <c r="AS507" s="81">
        <v>0</v>
      </c>
      <c r="AT507" s="81">
        <v>0</v>
      </c>
      <c r="AU507" s="81"/>
      <c r="AV507" s="81"/>
      <c r="AW507" s="81"/>
      <c r="AX507" s="81"/>
      <c r="AY507" s="81"/>
      <c r="AZ507" s="81"/>
      <c r="BA507" s="81"/>
      <c r="BB507" s="81"/>
    </row>
    <row r="508" spans="1:54" x14ac:dyDescent="0.35">
      <c r="A508" s="66" t="s">
        <v>506</v>
      </c>
      <c r="B508" s="66" t="s">
        <v>1055</v>
      </c>
      <c r="C508" s="67"/>
      <c r="D508" s="68"/>
      <c r="E508" s="69"/>
      <c r="F508" s="70"/>
      <c r="G508" s="67"/>
      <c r="H508" s="71"/>
      <c r="I508" s="72"/>
      <c r="J508" s="72"/>
      <c r="K508" s="36"/>
      <c r="L508" s="79"/>
      <c r="M508" s="79"/>
      <c r="N508" s="74"/>
      <c r="O508" s="81" t="s">
        <v>1207</v>
      </c>
      <c r="P508" s="83">
        <v>44460.332800925928</v>
      </c>
      <c r="Q508" s="81" t="s">
        <v>1324</v>
      </c>
      <c r="R508" s="81"/>
      <c r="S508" s="81"/>
      <c r="T508" s="81"/>
      <c r="U508" s="85" t="str">
        <f>HYPERLINK("https://pbs.twimg.com/media/E_xVJy2VQAQerFe.jpg")</f>
        <v>https://pbs.twimg.com/media/E_xVJy2VQAQerFe.jpg</v>
      </c>
      <c r="V508" s="85" t="str">
        <f>HYPERLINK("https://pbs.twimg.com/media/E_xVJy2VQAQerFe.jpg")</f>
        <v>https://pbs.twimg.com/media/E_xVJy2VQAQerFe.jpg</v>
      </c>
      <c r="W508" s="83">
        <v>44460.332800925928</v>
      </c>
      <c r="X508" s="89">
        <v>44460</v>
      </c>
      <c r="Y508" s="87" t="s">
        <v>2099</v>
      </c>
      <c r="Z508" s="85" t="str">
        <f>HYPERLINK("https://twitter.com/yoshyosh12/status/1440224084088942598")</f>
        <v>https://twitter.com/yoshyosh12/status/1440224084088942598</v>
      </c>
      <c r="AA508" s="81"/>
      <c r="AB508" s="81"/>
      <c r="AC508" s="87" t="s">
        <v>3023</v>
      </c>
      <c r="AD508" s="81"/>
      <c r="AE508" s="81" t="b">
        <v>0</v>
      </c>
      <c r="AF508" s="81">
        <v>0</v>
      </c>
      <c r="AG508" s="87" t="s">
        <v>3875</v>
      </c>
      <c r="AH508" s="81" t="b">
        <v>0</v>
      </c>
      <c r="AI508" s="81" t="s">
        <v>4092</v>
      </c>
      <c r="AJ508" s="81"/>
      <c r="AK508" s="87" t="s">
        <v>3875</v>
      </c>
      <c r="AL508" s="81" t="b">
        <v>0</v>
      </c>
      <c r="AM508" s="81">
        <v>321</v>
      </c>
      <c r="AN508" s="87" t="s">
        <v>3520</v>
      </c>
      <c r="AO508" s="87" t="s">
        <v>4111</v>
      </c>
      <c r="AP508" s="81" t="b">
        <v>0</v>
      </c>
      <c r="AQ508" s="87" t="s">
        <v>3520</v>
      </c>
      <c r="AR508" s="81" t="s">
        <v>179</v>
      </c>
      <c r="AS508" s="81">
        <v>0</v>
      </c>
      <c r="AT508" s="81">
        <v>0</v>
      </c>
      <c r="AU508" s="81"/>
      <c r="AV508" s="81"/>
      <c r="AW508" s="81"/>
      <c r="AX508" s="81"/>
      <c r="AY508" s="81"/>
      <c r="AZ508" s="81"/>
      <c r="BA508" s="81"/>
      <c r="BB508" s="81"/>
    </row>
    <row r="509" spans="1:54" x14ac:dyDescent="0.35">
      <c r="A509" s="66" t="s">
        <v>506</v>
      </c>
      <c r="B509" s="66" t="s">
        <v>910</v>
      </c>
      <c r="C509" s="67"/>
      <c r="D509" s="68"/>
      <c r="E509" s="69"/>
      <c r="F509" s="70"/>
      <c r="G509" s="67"/>
      <c r="H509" s="71"/>
      <c r="I509" s="72"/>
      <c r="J509" s="72"/>
      <c r="K509" s="36"/>
      <c r="L509" s="79"/>
      <c r="M509" s="79"/>
      <c r="N509" s="74"/>
      <c r="O509" s="81" t="s">
        <v>1205</v>
      </c>
      <c r="P509" s="83">
        <v>44460.332800925928</v>
      </c>
      <c r="Q509" s="81" t="s">
        <v>1324</v>
      </c>
      <c r="R509" s="81"/>
      <c r="S509" s="81"/>
      <c r="T509" s="81"/>
      <c r="U509" s="85" t="str">
        <f>HYPERLINK("https://pbs.twimg.com/media/E_xVJy2VQAQerFe.jpg")</f>
        <v>https://pbs.twimg.com/media/E_xVJy2VQAQerFe.jpg</v>
      </c>
      <c r="V509" s="85" t="str">
        <f>HYPERLINK("https://pbs.twimg.com/media/E_xVJy2VQAQerFe.jpg")</f>
        <v>https://pbs.twimg.com/media/E_xVJy2VQAQerFe.jpg</v>
      </c>
      <c r="W509" s="83">
        <v>44460.332800925928</v>
      </c>
      <c r="X509" s="89">
        <v>44460</v>
      </c>
      <c r="Y509" s="87" t="s">
        <v>2099</v>
      </c>
      <c r="Z509" s="85" t="str">
        <f>HYPERLINK("https://twitter.com/yoshyosh12/status/1440224084088942598")</f>
        <v>https://twitter.com/yoshyosh12/status/1440224084088942598</v>
      </c>
      <c r="AA509" s="81"/>
      <c r="AB509" s="81"/>
      <c r="AC509" s="87" t="s">
        <v>3023</v>
      </c>
      <c r="AD509" s="81"/>
      <c r="AE509" s="81" t="b">
        <v>0</v>
      </c>
      <c r="AF509" s="81">
        <v>0</v>
      </c>
      <c r="AG509" s="87" t="s">
        <v>3875</v>
      </c>
      <c r="AH509" s="81" t="b">
        <v>0</v>
      </c>
      <c r="AI509" s="81" t="s">
        <v>4092</v>
      </c>
      <c r="AJ509" s="81"/>
      <c r="AK509" s="87" t="s">
        <v>3875</v>
      </c>
      <c r="AL509" s="81" t="b">
        <v>0</v>
      </c>
      <c r="AM509" s="81">
        <v>321</v>
      </c>
      <c r="AN509" s="87" t="s">
        <v>3520</v>
      </c>
      <c r="AO509" s="87" t="s">
        <v>4111</v>
      </c>
      <c r="AP509" s="81" t="b">
        <v>0</v>
      </c>
      <c r="AQ509" s="87" t="s">
        <v>3520</v>
      </c>
      <c r="AR509" s="81" t="s">
        <v>179</v>
      </c>
      <c r="AS509" s="81">
        <v>0</v>
      </c>
      <c r="AT509" s="81">
        <v>0</v>
      </c>
      <c r="AU509" s="81"/>
      <c r="AV509" s="81"/>
      <c r="AW509" s="81"/>
      <c r="AX509" s="81"/>
      <c r="AY509" s="81"/>
      <c r="AZ509" s="81"/>
      <c r="BA509" s="81"/>
      <c r="BB509" s="81"/>
    </row>
    <row r="510" spans="1:54" x14ac:dyDescent="0.35">
      <c r="A510" s="66" t="s">
        <v>507</v>
      </c>
      <c r="B510" s="66" t="s">
        <v>1055</v>
      </c>
      <c r="C510" s="67"/>
      <c r="D510" s="68"/>
      <c r="E510" s="69"/>
      <c r="F510" s="70"/>
      <c r="G510" s="67"/>
      <c r="H510" s="71"/>
      <c r="I510" s="72"/>
      <c r="J510" s="72"/>
      <c r="K510" s="36"/>
      <c r="L510" s="79"/>
      <c r="M510" s="79"/>
      <c r="N510" s="74"/>
      <c r="O510" s="81" t="s">
        <v>1207</v>
      </c>
      <c r="P510" s="83">
        <v>44460.334004629629</v>
      </c>
      <c r="Q510" s="81" t="s">
        <v>1324</v>
      </c>
      <c r="R510" s="81"/>
      <c r="S510" s="81"/>
      <c r="T510" s="81"/>
      <c r="U510" s="85" t="str">
        <f>HYPERLINK("https://pbs.twimg.com/media/E_xVJy2VQAQerFe.jpg")</f>
        <v>https://pbs.twimg.com/media/E_xVJy2VQAQerFe.jpg</v>
      </c>
      <c r="V510" s="85" t="str">
        <f>HYPERLINK("https://pbs.twimg.com/media/E_xVJy2VQAQerFe.jpg")</f>
        <v>https://pbs.twimg.com/media/E_xVJy2VQAQerFe.jpg</v>
      </c>
      <c r="W510" s="83">
        <v>44460.334004629629</v>
      </c>
      <c r="X510" s="89">
        <v>44460</v>
      </c>
      <c r="Y510" s="87" t="s">
        <v>2100</v>
      </c>
      <c r="Z510" s="85" t="str">
        <f>HYPERLINK("https://twitter.com/hope4thebest6/status/1440224520481034243")</f>
        <v>https://twitter.com/hope4thebest6/status/1440224520481034243</v>
      </c>
      <c r="AA510" s="81"/>
      <c r="AB510" s="81"/>
      <c r="AC510" s="87" t="s">
        <v>3024</v>
      </c>
      <c r="AD510" s="81"/>
      <c r="AE510" s="81" t="b">
        <v>0</v>
      </c>
      <c r="AF510" s="81">
        <v>0</v>
      </c>
      <c r="AG510" s="87" t="s">
        <v>3875</v>
      </c>
      <c r="AH510" s="81" t="b">
        <v>0</v>
      </c>
      <c r="AI510" s="81" t="s">
        <v>4092</v>
      </c>
      <c r="AJ510" s="81"/>
      <c r="AK510" s="87" t="s">
        <v>3875</v>
      </c>
      <c r="AL510" s="81" t="b">
        <v>0</v>
      </c>
      <c r="AM510" s="81">
        <v>321</v>
      </c>
      <c r="AN510" s="87" t="s">
        <v>3520</v>
      </c>
      <c r="AO510" s="87" t="s">
        <v>4109</v>
      </c>
      <c r="AP510" s="81" t="b">
        <v>0</v>
      </c>
      <c r="AQ510" s="87" t="s">
        <v>3520</v>
      </c>
      <c r="AR510" s="81" t="s">
        <v>179</v>
      </c>
      <c r="AS510" s="81">
        <v>0</v>
      </c>
      <c r="AT510" s="81">
        <v>0</v>
      </c>
      <c r="AU510" s="81"/>
      <c r="AV510" s="81"/>
      <c r="AW510" s="81"/>
      <c r="AX510" s="81"/>
      <c r="AY510" s="81"/>
      <c r="AZ510" s="81"/>
      <c r="BA510" s="81"/>
      <c r="BB510" s="81"/>
    </row>
    <row r="511" spans="1:54" x14ac:dyDescent="0.35">
      <c r="A511" s="66" t="s">
        <v>507</v>
      </c>
      <c r="B511" s="66" t="s">
        <v>910</v>
      </c>
      <c r="C511" s="67"/>
      <c r="D511" s="68"/>
      <c r="E511" s="69"/>
      <c r="F511" s="70"/>
      <c r="G511" s="67"/>
      <c r="H511" s="71"/>
      <c r="I511" s="72"/>
      <c r="J511" s="72"/>
      <c r="K511" s="36"/>
      <c r="L511" s="79"/>
      <c r="M511" s="79"/>
      <c r="N511" s="74"/>
      <c r="O511" s="81" t="s">
        <v>1205</v>
      </c>
      <c r="P511" s="83">
        <v>44460.334004629629</v>
      </c>
      <c r="Q511" s="81" t="s">
        <v>1324</v>
      </c>
      <c r="R511" s="81"/>
      <c r="S511" s="81"/>
      <c r="T511" s="81"/>
      <c r="U511" s="85" t="str">
        <f>HYPERLINK("https://pbs.twimg.com/media/E_xVJy2VQAQerFe.jpg")</f>
        <v>https://pbs.twimg.com/media/E_xVJy2VQAQerFe.jpg</v>
      </c>
      <c r="V511" s="85" t="str">
        <f>HYPERLINK("https://pbs.twimg.com/media/E_xVJy2VQAQerFe.jpg")</f>
        <v>https://pbs.twimg.com/media/E_xVJy2VQAQerFe.jpg</v>
      </c>
      <c r="W511" s="83">
        <v>44460.334004629629</v>
      </c>
      <c r="X511" s="89">
        <v>44460</v>
      </c>
      <c r="Y511" s="87" t="s">
        <v>2100</v>
      </c>
      <c r="Z511" s="85" t="str">
        <f>HYPERLINK("https://twitter.com/hope4thebest6/status/1440224520481034243")</f>
        <v>https://twitter.com/hope4thebest6/status/1440224520481034243</v>
      </c>
      <c r="AA511" s="81"/>
      <c r="AB511" s="81"/>
      <c r="AC511" s="87" t="s">
        <v>3024</v>
      </c>
      <c r="AD511" s="81"/>
      <c r="AE511" s="81" t="b">
        <v>0</v>
      </c>
      <c r="AF511" s="81">
        <v>0</v>
      </c>
      <c r="AG511" s="87" t="s">
        <v>3875</v>
      </c>
      <c r="AH511" s="81" t="b">
        <v>0</v>
      </c>
      <c r="AI511" s="81" t="s">
        <v>4092</v>
      </c>
      <c r="AJ511" s="81"/>
      <c r="AK511" s="87" t="s">
        <v>3875</v>
      </c>
      <c r="AL511" s="81" t="b">
        <v>0</v>
      </c>
      <c r="AM511" s="81">
        <v>321</v>
      </c>
      <c r="AN511" s="87" t="s">
        <v>3520</v>
      </c>
      <c r="AO511" s="87" t="s">
        <v>4109</v>
      </c>
      <c r="AP511" s="81" t="b">
        <v>0</v>
      </c>
      <c r="AQ511" s="87" t="s">
        <v>3520</v>
      </c>
      <c r="AR511" s="81" t="s">
        <v>179</v>
      </c>
      <c r="AS511" s="81">
        <v>0</v>
      </c>
      <c r="AT511" s="81">
        <v>0</v>
      </c>
      <c r="AU511" s="81"/>
      <c r="AV511" s="81"/>
      <c r="AW511" s="81"/>
      <c r="AX511" s="81"/>
      <c r="AY511" s="81"/>
      <c r="AZ511" s="81"/>
      <c r="BA511" s="81"/>
      <c r="BB511" s="81"/>
    </row>
    <row r="512" spans="1:54" x14ac:dyDescent="0.35">
      <c r="A512" s="66" t="s">
        <v>508</v>
      </c>
      <c r="B512" s="66" t="s">
        <v>1055</v>
      </c>
      <c r="C512" s="67"/>
      <c r="D512" s="68"/>
      <c r="E512" s="69"/>
      <c r="F512" s="70"/>
      <c r="G512" s="67"/>
      <c r="H512" s="71"/>
      <c r="I512" s="72"/>
      <c r="J512" s="72"/>
      <c r="K512" s="36"/>
      <c r="L512" s="79"/>
      <c r="M512" s="79"/>
      <c r="N512" s="74"/>
      <c r="O512" s="81" t="s">
        <v>1207</v>
      </c>
      <c r="P512" s="83">
        <v>44460.340138888889</v>
      </c>
      <c r="Q512" s="81" t="s">
        <v>1324</v>
      </c>
      <c r="R512" s="81"/>
      <c r="S512" s="81"/>
      <c r="T512" s="81"/>
      <c r="U512" s="85" t="str">
        <f>HYPERLINK("https://pbs.twimg.com/media/E_xVJy2VQAQerFe.jpg")</f>
        <v>https://pbs.twimg.com/media/E_xVJy2VQAQerFe.jpg</v>
      </c>
      <c r="V512" s="85" t="str">
        <f>HYPERLINK("https://pbs.twimg.com/media/E_xVJy2VQAQerFe.jpg")</f>
        <v>https://pbs.twimg.com/media/E_xVJy2VQAQerFe.jpg</v>
      </c>
      <c r="W512" s="83">
        <v>44460.340138888889</v>
      </c>
      <c r="X512" s="89">
        <v>44460</v>
      </c>
      <c r="Y512" s="87" t="s">
        <v>2101</v>
      </c>
      <c r="Z512" s="85" t="str">
        <f>HYPERLINK("https://twitter.com/hendfry_gerard/status/1440226743701295113")</f>
        <v>https://twitter.com/hendfry_gerard/status/1440226743701295113</v>
      </c>
      <c r="AA512" s="81"/>
      <c r="AB512" s="81"/>
      <c r="AC512" s="87" t="s">
        <v>3025</v>
      </c>
      <c r="AD512" s="81"/>
      <c r="AE512" s="81" t="b">
        <v>0</v>
      </c>
      <c r="AF512" s="81">
        <v>0</v>
      </c>
      <c r="AG512" s="87" t="s">
        <v>3875</v>
      </c>
      <c r="AH512" s="81" t="b">
        <v>0</v>
      </c>
      <c r="AI512" s="81" t="s">
        <v>4092</v>
      </c>
      <c r="AJ512" s="81"/>
      <c r="AK512" s="87" t="s">
        <v>3875</v>
      </c>
      <c r="AL512" s="81" t="b">
        <v>0</v>
      </c>
      <c r="AM512" s="81">
        <v>321</v>
      </c>
      <c r="AN512" s="87" t="s">
        <v>3520</v>
      </c>
      <c r="AO512" s="87" t="s">
        <v>4109</v>
      </c>
      <c r="AP512" s="81" t="b">
        <v>0</v>
      </c>
      <c r="AQ512" s="87" t="s">
        <v>3520</v>
      </c>
      <c r="AR512" s="81" t="s">
        <v>179</v>
      </c>
      <c r="AS512" s="81">
        <v>0</v>
      </c>
      <c r="AT512" s="81">
        <v>0</v>
      </c>
      <c r="AU512" s="81"/>
      <c r="AV512" s="81"/>
      <c r="AW512" s="81"/>
      <c r="AX512" s="81"/>
      <c r="AY512" s="81"/>
      <c r="AZ512" s="81"/>
      <c r="BA512" s="81"/>
      <c r="BB512" s="81"/>
    </row>
    <row r="513" spans="1:54" x14ac:dyDescent="0.35">
      <c r="A513" s="66" t="s">
        <v>508</v>
      </c>
      <c r="B513" s="66" t="s">
        <v>910</v>
      </c>
      <c r="C513" s="67"/>
      <c r="D513" s="68"/>
      <c r="E513" s="69"/>
      <c r="F513" s="70"/>
      <c r="G513" s="67"/>
      <c r="H513" s="71"/>
      <c r="I513" s="72"/>
      <c r="J513" s="72"/>
      <c r="K513" s="36"/>
      <c r="L513" s="79"/>
      <c r="M513" s="79"/>
      <c r="N513" s="74"/>
      <c r="O513" s="81" t="s">
        <v>1205</v>
      </c>
      <c r="P513" s="83">
        <v>44460.340138888889</v>
      </c>
      <c r="Q513" s="81" t="s">
        <v>1324</v>
      </c>
      <c r="R513" s="81"/>
      <c r="S513" s="81"/>
      <c r="T513" s="81"/>
      <c r="U513" s="85" t="str">
        <f>HYPERLINK("https://pbs.twimg.com/media/E_xVJy2VQAQerFe.jpg")</f>
        <v>https://pbs.twimg.com/media/E_xVJy2VQAQerFe.jpg</v>
      </c>
      <c r="V513" s="85" t="str">
        <f>HYPERLINK("https://pbs.twimg.com/media/E_xVJy2VQAQerFe.jpg")</f>
        <v>https://pbs.twimg.com/media/E_xVJy2VQAQerFe.jpg</v>
      </c>
      <c r="W513" s="83">
        <v>44460.340138888889</v>
      </c>
      <c r="X513" s="89">
        <v>44460</v>
      </c>
      <c r="Y513" s="87" t="s">
        <v>2101</v>
      </c>
      <c r="Z513" s="85" t="str">
        <f>HYPERLINK("https://twitter.com/hendfry_gerard/status/1440226743701295113")</f>
        <v>https://twitter.com/hendfry_gerard/status/1440226743701295113</v>
      </c>
      <c r="AA513" s="81"/>
      <c r="AB513" s="81"/>
      <c r="AC513" s="87" t="s">
        <v>3025</v>
      </c>
      <c r="AD513" s="81"/>
      <c r="AE513" s="81" t="b">
        <v>0</v>
      </c>
      <c r="AF513" s="81">
        <v>0</v>
      </c>
      <c r="AG513" s="87" t="s">
        <v>3875</v>
      </c>
      <c r="AH513" s="81" t="b">
        <v>0</v>
      </c>
      <c r="AI513" s="81" t="s">
        <v>4092</v>
      </c>
      <c r="AJ513" s="81"/>
      <c r="AK513" s="87" t="s">
        <v>3875</v>
      </c>
      <c r="AL513" s="81" t="b">
        <v>0</v>
      </c>
      <c r="AM513" s="81">
        <v>321</v>
      </c>
      <c r="AN513" s="87" t="s">
        <v>3520</v>
      </c>
      <c r="AO513" s="87" t="s">
        <v>4109</v>
      </c>
      <c r="AP513" s="81" t="b">
        <v>0</v>
      </c>
      <c r="AQ513" s="87" t="s">
        <v>3520</v>
      </c>
      <c r="AR513" s="81" t="s">
        <v>179</v>
      </c>
      <c r="AS513" s="81">
        <v>0</v>
      </c>
      <c r="AT513" s="81">
        <v>0</v>
      </c>
      <c r="AU513" s="81"/>
      <c r="AV513" s="81"/>
      <c r="AW513" s="81"/>
      <c r="AX513" s="81"/>
      <c r="AY513" s="81"/>
      <c r="AZ513" s="81"/>
      <c r="BA513" s="81"/>
      <c r="BB513" s="81"/>
    </row>
    <row r="514" spans="1:54" x14ac:dyDescent="0.35">
      <c r="A514" s="66" t="s">
        <v>509</v>
      </c>
      <c r="B514" s="66" t="s">
        <v>1055</v>
      </c>
      <c r="C514" s="67"/>
      <c r="D514" s="68"/>
      <c r="E514" s="69"/>
      <c r="F514" s="70"/>
      <c r="G514" s="67"/>
      <c r="H514" s="71"/>
      <c r="I514" s="72"/>
      <c r="J514" s="72"/>
      <c r="K514" s="36"/>
      <c r="L514" s="79"/>
      <c r="M514" s="79"/>
      <c r="N514" s="74"/>
      <c r="O514" s="81" t="s">
        <v>1207</v>
      </c>
      <c r="P514" s="83">
        <v>44460.341469907406</v>
      </c>
      <c r="Q514" s="81" t="s">
        <v>1324</v>
      </c>
      <c r="R514" s="81"/>
      <c r="S514" s="81"/>
      <c r="T514" s="81"/>
      <c r="U514" s="85" t="str">
        <f>HYPERLINK("https://pbs.twimg.com/media/E_xVJy2VQAQerFe.jpg")</f>
        <v>https://pbs.twimg.com/media/E_xVJy2VQAQerFe.jpg</v>
      </c>
      <c r="V514" s="85" t="str">
        <f>HYPERLINK("https://pbs.twimg.com/media/E_xVJy2VQAQerFe.jpg")</f>
        <v>https://pbs.twimg.com/media/E_xVJy2VQAQerFe.jpg</v>
      </c>
      <c r="W514" s="83">
        <v>44460.341469907406</v>
      </c>
      <c r="X514" s="89">
        <v>44460</v>
      </c>
      <c r="Y514" s="87" t="s">
        <v>2102</v>
      </c>
      <c r="Z514" s="85" t="str">
        <f>HYPERLINK("https://twitter.com/pakde_gatot/status/1440227227266809866")</f>
        <v>https://twitter.com/pakde_gatot/status/1440227227266809866</v>
      </c>
      <c r="AA514" s="81"/>
      <c r="AB514" s="81"/>
      <c r="AC514" s="87" t="s">
        <v>3026</v>
      </c>
      <c r="AD514" s="81"/>
      <c r="AE514" s="81" t="b">
        <v>0</v>
      </c>
      <c r="AF514" s="81">
        <v>0</v>
      </c>
      <c r="AG514" s="87" t="s">
        <v>3875</v>
      </c>
      <c r="AH514" s="81" t="b">
        <v>0</v>
      </c>
      <c r="AI514" s="81" t="s">
        <v>4092</v>
      </c>
      <c r="AJ514" s="81"/>
      <c r="AK514" s="87" t="s">
        <v>3875</v>
      </c>
      <c r="AL514" s="81" t="b">
        <v>0</v>
      </c>
      <c r="AM514" s="81">
        <v>321</v>
      </c>
      <c r="AN514" s="87" t="s">
        <v>3520</v>
      </c>
      <c r="AO514" s="87" t="s">
        <v>4109</v>
      </c>
      <c r="AP514" s="81" t="b">
        <v>0</v>
      </c>
      <c r="AQ514" s="87" t="s">
        <v>3520</v>
      </c>
      <c r="AR514" s="81" t="s">
        <v>179</v>
      </c>
      <c r="AS514" s="81">
        <v>0</v>
      </c>
      <c r="AT514" s="81">
        <v>0</v>
      </c>
      <c r="AU514" s="81"/>
      <c r="AV514" s="81"/>
      <c r="AW514" s="81"/>
      <c r="AX514" s="81"/>
      <c r="AY514" s="81"/>
      <c r="AZ514" s="81"/>
      <c r="BA514" s="81"/>
      <c r="BB514" s="81"/>
    </row>
    <row r="515" spans="1:54" x14ac:dyDescent="0.35">
      <c r="A515" s="66" t="s">
        <v>509</v>
      </c>
      <c r="B515" s="66" t="s">
        <v>910</v>
      </c>
      <c r="C515" s="67"/>
      <c r="D515" s="68"/>
      <c r="E515" s="69"/>
      <c r="F515" s="70"/>
      <c r="G515" s="67"/>
      <c r="H515" s="71"/>
      <c r="I515" s="72"/>
      <c r="J515" s="72"/>
      <c r="K515" s="36"/>
      <c r="L515" s="79"/>
      <c r="M515" s="79"/>
      <c r="N515" s="74"/>
      <c r="O515" s="81" t="s">
        <v>1205</v>
      </c>
      <c r="P515" s="83">
        <v>44460.341469907406</v>
      </c>
      <c r="Q515" s="81" t="s">
        <v>1324</v>
      </c>
      <c r="R515" s="81"/>
      <c r="S515" s="81"/>
      <c r="T515" s="81"/>
      <c r="U515" s="85" t="str">
        <f>HYPERLINK("https://pbs.twimg.com/media/E_xVJy2VQAQerFe.jpg")</f>
        <v>https://pbs.twimg.com/media/E_xVJy2VQAQerFe.jpg</v>
      </c>
      <c r="V515" s="85" t="str">
        <f>HYPERLINK("https://pbs.twimg.com/media/E_xVJy2VQAQerFe.jpg")</f>
        <v>https://pbs.twimg.com/media/E_xVJy2VQAQerFe.jpg</v>
      </c>
      <c r="W515" s="83">
        <v>44460.341469907406</v>
      </c>
      <c r="X515" s="89">
        <v>44460</v>
      </c>
      <c r="Y515" s="87" t="s">
        <v>2102</v>
      </c>
      <c r="Z515" s="85" t="str">
        <f>HYPERLINK("https://twitter.com/pakde_gatot/status/1440227227266809866")</f>
        <v>https://twitter.com/pakde_gatot/status/1440227227266809866</v>
      </c>
      <c r="AA515" s="81"/>
      <c r="AB515" s="81"/>
      <c r="AC515" s="87" t="s">
        <v>3026</v>
      </c>
      <c r="AD515" s="81"/>
      <c r="AE515" s="81" t="b">
        <v>0</v>
      </c>
      <c r="AF515" s="81">
        <v>0</v>
      </c>
      <c r="AG515" s="87" t="s">
        <v>3875</v>
      </c>
      <c r="AH515" s="81" t="b">
        <v>0</v>
      </c>
      <c r="AI515" s="81" t="s">
        <v>4092</v>
      </c>
      <c r="AJ515" s="81"/>
      <c r="AK515" s="87" t="s">
        <v>3875</v>
      </c>
      <c r="AL515" s="81" t="b">
        <v>0</v>
      </c>
      <c r="AM515" s="81">
        <v>321</v>
      </c>
      <c r="AN515" s="87" t="s">
        <v>3520</v>
      </c>
      <c r="AO515" s="87" t="s">
        <v>4109</v>
      </c>
      <c r="AP515" s="81" t="b">
        <v>0</v>
      </c>
      <c r="AQ515" s="87" t="s">
        <v>3520</v>
      </c>
      <c r="AR515" s="81" t="s">
        <v>179</v>
      </c>
      <c r="AS515" s="81">
        <v>0</v>
      </c>
      <c r="AT515" s="81">
        <v>0</v>
      </c>
      <c r="AU515" s="81"/>
      <c r="AV515" s="81"/>
      <c r="AW515" s="81"/>
      <c r="AX515" s="81"/>
      <c r="AY515" s="81"/>
      <c r="AZ515" s="81"/>
      <c r="BA515" s="81"/>
      <c r="BB515" s="81"/>
    </row>
    <row r="516" spans="1:54" x14ac:dyDescent="0.35">
      <c r="A516" s="66" t="s">
        <v>510</v>
      </c>
      <c r="B516" s="66" t="s">
        <v>1055</v>
      </c>
      <c r="C516" s="67"/>
      <c r="D516" s="68"/>
      <c r="E516" s="69"/>
      <c r="F516" s="70"/>
      <c r="G516" s="67"/>
      <c r="H516" s="71"/>
      <c r="I516" s="72"/>
      <c r="J516" s="72"/>
      <c r="K516" s="36"/>
      <c r="L516" s="79"/>
      <c r="M516" s="79"/>
      <c r="N516" s="74"/>
      <c r="O516" s="81" t="s">
        <v>1207</v>
      </c>
      <c r="P516" s="83">
        <v>44460.344224537039</v>
      </c>
      <c r="Q516" s="81" t="s">
        <v>1324</v>
      </c>
      <c r="R516" s="81"/>
      <c r="S516" s="81"/>
      <c r="T516" s="81"/>
      <c r="U516" s="85" t="str">
        <f>HYPERLINK("https://pbs.twimg.com/media/E_xVJy2VQAQerFe.jpg")</f>
        <v>https://pbs.twimg.com/media/E_xVJy2VQAQerFe.jpg</v>
      </c>
      <c r="V516" s="85" t="str">
        <f>HYPERLINK("https://pbs.twimg.com/media/E_xVJy2VQAQerFe.jpg")</f>
        <v>https://pbs.twimg.com/media/E_xVJy2VQAQerFe.jpg</v>
      </c>
      <c r="W516" s="83">
        <v>44460.344224537039</v>
      </c>
      <c r="X516" s="89">
        <v>44460</v>
      </c>
      <c r="Y516" s="87" t="s">
        <v>2103</v>
      </c>
      <c r="Z516" s="85" t="str">
        <f>HYPERLINK("https://twitter.com/ardieithink/status/1440228226018668548")</f>
        <v>https://twitter.com/ardieithink/status/1440228226018668548</v>
      </c>
      <c r="AA516" s="81"/>
      <c r="AB516" s="81"/>
      <c r="AC516" s="87" t="s">
        <v>3027</v>
      </c>
      <c r="AD516" s="81"/>
      <c r="AE516" s="81" t="b">
        <v>0</v>
      </c>
      <c r="AF516" s="81">
        <v>0</v>
      </c>
      <c r="AG516" s="87" t="s">
        <v>3875</v>
      </c>
      <c r="AH516" s="81" t="b">
        <v>0</v>
      </c>
      <c r="AI516" s="81" t="s">
        <v>4092</v>
      </c>
      <c r="AJ516" s="81"/>
      <c r="AK516" s="87" t="s">
        <v>3875</v>
      </c>
      <c r="AL516" s="81" t="b">
        <v>0</v>
      </c>
      <c r="AM516" s="81">
        <v>321</v>
      </c>
      <c r="AN516" s="87" t="s">
        <v>3520</v>
      </c>
      <c r="AO516" s="87" t="s">
        <v>4109</v>
      </c>
      <c r="AP516" s="81" t="b">
        <v>0</v>
      </c>
      <c r="AQ516" s="87" t="s">
        <v>3520</v>
      </c>
      <c r="AR516" s="81" t="s">
        <v>179</v>
      </c>
      <c r="AS516" s="81">
        <v>0</v>
      </c>
      <c r="AT516" s="81">
        <v>0</v>
      </c>
      <c r="AU516" s="81"/>
      <c r="AV516" s="81"/>
      <c r="AW516" s="81"/>
      <c r="AX516" s="81"/>
      <c r="AY516" s="81"/>
      <c r="AZ516" s="81"/>
      <c r="BA516" s="81"/>
      <c r="BB516" s="81"/>
    </row>
    <row r="517" spans="1:54" x14ac:dyDescent="0.35">
      <c r="A517" s="66" t="s">
        <v>510</v>
      </c>
      <c r="B517" s="66" t="s">
        <v>910</v>
      </c>
      <c r="C517" s="67"/>
      <c r="D517" s="68"/>
      <c r="E517" s="69"/>
      <c r="F517" s="70"/>
      <c r="G517" s="67"/>
      <c r="H517" s="71"/>
      <c r="I517" s="72"/>
      <c r="J517" s="72"/>
      <c r="K517" s="36"/>
      <c r="L517" s="79"/>
      <c r="M517" s="79"/>
      <c r="N517" s="74"/>
      <c r="O517" s="81" t="s">
        <v>1205</v>
      </c>
      <c r="P517" s="83">
        <v>44460.344224537039</v>
      </c>
      <c r="Q517" s="81" t="s">
        <v>1324</v>
      </c>
      <c r="R517" s="81"/>
      <c r="S517" s="81"/>
      <c r="T517" s="81"/>
      <c r="U517" s="85" t="str">
        <f>HYPERLINK("https://pbs.twimg.com/media/E_xVJy2VQAQerFe.jpg")</f>
        <v>https://pbs.twimg.com/media/E_xVJy2VQAQerFe.jpg</v>
      </c>
      <c r="V517" s="85" t="str">
        <f>HYPERLINK("https://pbs.twimg.com/media/E_xVJy2VQAQerFe.jpg")</f>
        <v>https://pbs.twimg.com/media/E_xVJy2VQAQerFe.jpg</v>
      </c>
      <c r="W517" s="83">
        <v>44460.344224537039</v>
      </c>
      <c r="X517" s="89">
        <v>44460</v>
      </c>
      <c r="Y517" s="87" t="s">
        <v>2103</v>
      </c>
      <c r="Z517" s="85" t="str">
        <f>HYPERLINK("https://twitter.com/ardieithink/status/1440228226018668548")</f>
        <v>https://twitter.com/ardieithink/status/1440228226018668548</v>
      </c>
      <c r="AA517" s="81"/>
      <c r="AB517" s="81"/>
      <c r="AC517" s="87" t="s">
        <v>3027</v>
      </c>
      <c r="AD517" s="81"/>
      <c r="AE517" s="81" t="b">
        <v>0</v>
      </c>
      <c r="AF517" s="81">
        <v>0</v>
      </c>
      <c r="AG517" s="87" t="s">
        <v>3875</v>
      </c>
      <c r="AH517" s="81" t="b">
        <v>0</v>
      </c>
      <c r="AI517" s="81" t="s">
        <v>4092</v>
      </c>
      <c r="AJ517" s="81"/>
      <c r="AK517" s="87" t="s">
        <v>3875</v>
      </c>
      <c r="AL517" s="81" t="b">
        <v>0</v>
      </c>
      <c r="AM517" s="81">
        <v>321</v>
      </c>
      <c r="AN517" s="87" t="s">
        <v>3520</v>
      </c>
      <c r="AO517" s="87" t="s">
        <v>4109</v>
      </c>
      <c r="AP517" s="81" t="b">
        <v>0</v>
      </c>
      <c r="AQ517" s="87" t="s">
        <v>3520</v>
      </c>
      <c r="AR517" s="81" t="s">
        <v>179</v>
      </c>
      <c r="AS517" s="81">
        <v>0</v>
      </c>
      <c r="AT517" s="81">
        <v>0</v>
      </c>
      <c r="AU517" s="81"/>
      <c r="AV517" s="81"/>
      <c r="AW517" s="81"/>
      <c r="AX517" s="81"/>
      <c r="AY517" s="81"/>
      <c r="AZ517" s="81"/>
      <c r="BA517" s="81"/>
      <c r="BB517" s="81"/>
    </row>
    <row r="518" spans="1:54" x14ac:dyDescent="0.35">
      <c r="A518" s="66" t="s">
        <v>511</v>
      </c>
      <c r="B518" s="66" t="s">
        <v>1055</v>
      </c>
      <c r="C518" s="67"/>
      <c r="D518" s="68"/>
      <c r="E518" s="69"/>
      <c r="F518" s="70"/>
      <c r="G518" s="67"/>
      <c r="H518" s="71"/>
      <c r="I518" s="72"/>
      <c r="J518" s="72"/>
      <c r="K518" s="36"/>
      <c r="L518" s="79"/>
      <c r="M518" s="79"/>
      <c r="N518" s="74"/>
      <c r="O518" s="81" t="s">
        <v>1207</v>
      </c>
      <c r="P518" s="83">
        <v>44460.349710648145</v>
      </c>
      <c r="Q518" s="81" t="s">
        <v>1324</v>
      </c>
      <c r="R518" s="81"/>
      <c r="S518" s="81"/>
      <c r="T518" s="81"/>
      <c r="U518" s="85" t="str">
        <f>HYPERLINK("https://pbs.twimg.com/media/E_xVJy2VQAQerFe.jpg")</f>
        <v>https://pbs.twimg.com/media/E_xVJy2VQAQerFe.jpg</v>
      </c>
      <c r="V518" s="85" t="str">
        <f>HYPERLINK("https://pbs.twimg.com/media/E_xVJy2VQAQerFe.jpg")</f>
        <v>https://pbs.twimg.com/media/E_xVJy2VQAQerFe.jpg</v>
      </c>
      <c r="W518" s="83">
        <v>44460.349710648145</v>
      </c>
      <c r="X518" s="89">
        <v>44460</v>
      </c>
      <c r="Y518" s="87" t="s">
        <v>2104</v>
      </c>
      <c r="Z518" s="85" t="str">
        <f>HYPERLINK("https://twitter.com/teguh19699297/status/1440230211174363143")</f>
        <v>https://twitter.com/teguh19699297/status/1440230211174363143</v>
      </c>
      <c r="AA518" s="81"/>
      <c r="AB518" s="81"/>
      <c r="AC518" s="87" t="s">
        <v>3028</v>
      </c>
      <c r="AD518" s="81"/>
      <c r="AE518" s="81" t="b">
        <v>0</v>
      </c>
      <c r="AF518" s="81">
        <v>0</v>
      </c>
      <c r="AG518" s="87" t="s">
        <v>3875</v>
      </c>
      <c r="AH518" s="81" t="b">
        <v>0</v>
      </c>
      <c r="AI518" s="81" t="s">
        <v>4092</v>
      </c>
      <c r="AJ518" s="81"/>
      <c r="AK518" s="87" t="s">
        <v>3875</v>
      </c>
      <c r="AL518" s="81" t="b">
        <v>0</v>
      </c>
      <c r="AM518" s="81">
        <v>321</v>
      </c>
      <c r="AN518" s="87" t="s">
        <v>3520</v>
      </c>
      <c r="AO518" s="87" t="s">
        <v>4111</v>
      </c>
      <c r="AP518" s="81" t="b">
        <v>0</v>
      </c>
      <c r="AQ518" s="87" t="s">
        <v>3520</v>
      </c>
      <c r="AR518" s="81" t="s">
        <v>179</v>
      </c>
      <c r="AS518" s="81">
        <v>0</v>
      </c>
      <c r="AT518" s="81">
        <v>0</v>
      </c>
      <c r="AU518" s="81"/>
      <c r="AV518" s="81"/>
      <c r="AW518" s="81"/>
      <c r="AX518" s="81"/>
      <c r="AY518" s="81"/>
      <c r="AZ518" s="81"/>
      <c r="BA518" s="81"/>
      <c r="BB518" s="81"/>
    </row>
    <row r="519" spans="1:54" x14ac:dyDescent="0.35">
      <c r="A519" s="66" t="s">
        <v>511</v>
      </c>
      <c r="B519" s="66" t="s">
        <v>910</v>
      </c>
      <c r="C519" s="67"/>
      <c r="D519" s="68"/>
      <c r="E519" s="69"/>
      <c r="F519" s="70"/>
      <c r="G519" s="67"/>
      <c r="H519" s="71"/>
      <c r="I519" s="72"/>
      <c r="J519" s="72"/>
      <c r="K519" s="36"/>
      <c r="L519" s="79"/>
      <c r="M519" s="79"/>
      <c r="N519" s="74"/>
      <c r="O519" s="81" t="s">
        <v>1205</v>
      </c>
      <c r="P519" s="83">
        <v>44460.349710648145</v>
      </c>
      <c r="Q519" s="81" t="s">
        <v>1324</v>
      </c>
      <c r="R519" s="81"/>
      <c r="S519" s="81"/>
      <c r="T519" s="81"/>
      <c r="U519" s="85" t="str">
        <f>HYPERLINK("https://pbs.twimg.com/media/E_xVJy2VQAQerFe.jpg")</f>
        <v>https://pbs.twimg.com/media/E_xVJy2VQAQerFe.jpg</v>
      </c>
      <c r="V519" s="85" t="str">
        <f>HYPERLINK("https://pbs.twimg.com/media/E_xVJy2VQAQerFe.jpg")</f>
        <v>https://pbs.twimg.com/media/E_xVJy2VQAQerFe.jpg</v>
      </c>
      <c r="W519" s="83">
        <v>44460.349710648145</v>
      </c>
      <c r="X519" s="89">
        <v>44460</v>
      </c>
      <c r="Y519" s="87" t="s">
        <v>2104</v>
      </c>
      <c r="Z519" s="85" t="str">
        <f>HYPERLINK("https://twitter.com/teguh19699297/status/1440230211174363143")</f>
        <v>https://twitter.com/teguh19699297/status/1440230211174363143</v>
      </c>
      <c r="AA519" s="81"/>
      <c r="AB519" s="81"/>
      <c r="AC519" s="87" t="s">
        <v>3028</v>
      </c>
      <c r="AD519" s="81"/>
      <c r="AE519" s="81" t="b">
        <v>0</v>
      </c>
      <c r="AF519" s="81">
        <v>0</v>
      </c>
      <c r="AG519" s="87" t="s">
        <v>3875</v>
      </c>
      <c r="AH519" s="81" t="b">
        <v>0</v>
      </c>
      <c r="AI519" s="81" t="s">
        <v>4092</v>
      </c>
      <c r="AJ519" s="81"/>
      <c r="AK519" s="87" t="s">
        <v>3875</v>
      </c>
      <c r="AL519" s="81" t="b">
        <v>0</v>
      </c>
      <c r="AM519" s="81">
        <v>321</v>
      </c>
      <c r="AN519" s="87" t="s">
        <v>3520</v>
      </c>
      <c r="AO519" s="87" t="s">
        <v>4111</v>
      </c>
      <c r="AP519" s="81" t="b">
        <v>0</v>
      </c>
      <c r="AQ519" s="87" t="s">
        <v>3520</v>
      </c>
      <c r="AR519" s="81" t="s">
        <v>179</v>
      </c>
      <c r="AS519" s="81">
        <v>0</v>
      </c>
      <c r="AT519" s="81">
        <v>0</v>
      </c>
      <c r="AU519" s="81"/>
      <c r="AV519" s="81"/>
      <c r="AW519" s="81"/>
      <c r="AX519" s="81"/>
      <c r="AY519" s="81"/>
      <c r="AZ519" s="81"/>
      <c r="BA519" s="81"/>
      <c r="BB519" s="81"/>
    </row>
    <row r="520" spans="1:54" x14ac:dyDescent="0.35">
      <c r="A520" s="66" t="s">
        <v>512</v>
      </c>
      <c r="B520" s="66" t="s">
        <v>1055</v>
      </c>
      <c r="C520" s="67"/>
      <c r="D520" s="68"/>
      <c r="E520" s="69"/>
      <c r="F520" s="70"/>
      <c r="G520" s="67"/>
      <c r="H520" s="71"/>
      <c r="I520" s="72"/>
      <c r="J520" s="72"/>
      <c r="K520" s="36"/>
      <c r="L520" s="79"/>
      <c r="M520" s="79"/>
      <c r="N520" s="74"/>
      <c r="O520" s="81" t="s">
        <v>1207</v>
      </c>
      <c r="P520" s="83">
        <v>44460.350231481483</v>
      </c>
      <c r="Q520" s="81" t="s">
        <v>1324</v>
      </c>
      <c r="R520" s="81"/>
      <c r="S520" s="81"/>
      <c r="T520" s="81"/>
      <c r="U520" s="85" t="str">
        <f>HYPERLINK("https://pbs.twimg.com/media/E_xVJy2VQAQerFe.jpg")</f>
        <v>https://pbs.twimg.com/media/E_xVJy2VQAQerFe.jpg</v>
      </c>
      <c r="V520" s="85" t="str">
        <f>HYPERLINK("https://pbs.twimg.com/media/E_xVJy2VQAQerFe.jpg")</f>
        <v>https://pbs.twimg.com/media/E_xVJy2VQAQerFe.jpg</v>
      </c>
      <c r="W520" s="83">
        <v>44460.350231481483</v>
      </c>
      <c r="X520" s="89">
        <v>44460</v>
      </c>
      <c r="Y520" s="87" t="s">
        <v>2105</v>
      </c>
      <c r="Z520" s="85" t="str">
        <f>HYPERLINK("https://twitter.com/jhoe80/status/1440230399200817158")</f>
        <v>https://twitter.com/jhoe80/status/1440230399200817158</v>
      </c>
      <c r="AA520" s="81"/>
      <c r="AB520" s="81"/>
      <c r="AC520" s="87" t="s">
        <v>3029</v>
      </c>
      <c r="AD520" s="81"/>
      <c r="AE520" s="81" t="b">
        <v>0</v>
      </c>
      <c r="AF520" s="81">
        <v>0</v>
      </c>
      <c r="AG520" s="87" t="s">
        <v>3875</v>
      </c>
      <c r="AH520" s="81" t="b">
        <v>0</v>
      </c>
      <c r="AI520" s="81" t="s">
        <v>4092</v>
      </c>
      <c r="AJ520" s="81"/>
      <c r="AK520" s="87" t="s">
        <v>3875</v>
      </c>
      <c r="AL520" s="81" t="b">
        <v>0</v>
      </c>
      <c r="AM520" s="81">
        <v>321</v>
      </c>
      <c r="AN520" s="87" t="s">
        <v>3520</v>
      </c>
      <c r="AO520" s="87" t="s">
        <v>4109</v>
      </c>
      <c r="AP520" s="81" t="b">
        <v>0</v>
      </c>
      <c r="AQ520" s="87" t="s">
        <v>3520</v>
      </c>
      <c r="AR520" s="81" t="s">
        <v>179</v>
      </c>
      <c r="AS520" s="81">
        <v>0</v>
      </c>
      <c r="AT520" s="81">
        <v>0</v>
      </c>
      <c r="AU520" s="81"/>
      <c r="AV520" s="81"/>
      <c r="AW520" s="81"/>
      <c r="AX520" s="81"/>
      <c r="AY520" s="81"/>
      <c r="AZ520" s="81"/>
      <c r="BA520" s="81"/>
      <c r="BB520" s="81"/>
    </row>
    <row r="521" spans="1:54" x14ac:dyDescent="0.35">
      <c r="A521" s="66" t="s">
        <v>512</v>
      </c>
      <c r="B521" s="66" t="s">
        <v>910</v>
      </c>
      <c r="C521" s="67"/>
      <c r="D521" s="68"/>
      <c r="E521" s="69"/>
      <c r="F521" s="70"/>
      <c r="G521" s="67"/>
      <c r="H521" s="71"/>
      <c r="I521" s="72"/>
      <c r="J521" s="72"/>
      <c r="K521" s="36"/>
      <c r="L521" s="79"/>
      <c r="M521" s="79"/>
      <c r="N521" s="74"/>
      <c r="O521" s="81" t="s">
        <v>1205</v>
      </c>
      <c r="P521" s="83">
        <v>44460.350231481483</v>
      </c>
      <c r="Q521" s="81" t="s">
        <v>1324</v>
      </c>
      <c r="R521" s="81"/>
      <c r="S521" s="81"/>
      <c r="T521" s="81"/>
      <c r="U521" s="85" t="str">
        <f>HYPERLINK("https://pbs.twimg.com/media/E_xVJy2VQAQerFe.jpg")</f>
        <v>https://pbs.twimg.com/media/E_xVJy2VQAQerFe.jpg</v>
      </c>
      <c r="V521" s="85" t="str">
        <f>HYPERLINK("https://pbs.twimg.com/media/E_xVJy2VQAQerFe.jpg")</f>
        <v>https://pbs.twimg.com/media/E_xVJy2VQAQerFe.jpg</v>
      </c>
      <c r="W521" s="83">
        <v>44460.350231481483</v>
      </c>
      <c r="X521" s="89">
        <v>44460</v>
      </c>
      <c r="Y521" s="87" t="s">
        <v>2105</v>
      </c>
      <c r="Z521" s="85" t="str">
        <f>HYPERLINK("https://twitter.com/jhoe80/status/1440230399200817158")</f>
        <v>https://twitter.com/jhoe80/status/1440230399200817158</v>
      </c>
      <c r="AA521" s="81"/>
      <c r="AB521" s="81"/>
      <c r="AC521" s="87" t="s">
        <v>3029</v>
      </c>
      <c r="AD521" s="81"/>
      <c r="AE521" s="81" t="b">
        <v>0</v>
      </c>
      <c r="AF521" s="81">
        <v>0</v>
      </c>
      <c r="AG521" s="87" t="s">
        <v>3875</v>
      </c>
      <c r="AH521" s="81" t="b">
        <v>0</v>
      </c>
      <c r="AI521" s="81" t="s">
        <v>4092</v>
      </c>
      <c r="AJ521" s="81"/>
      <c r="AK521" s="87" t="s">
        <v>3875</v>
      </c>
      <c r="AL521" s="81" t="b">
        <v>0</v>
      </c>
      <c r="AM521" s="81">
        <v>321</v>
      </c>
      <c r="AN521" s="87" t="s">
        <v>3520</v>
      </c>
      <c r="AO521" s="87" t="s">
        <v>4109</v>
      </c>
      <c r="AP521" s="81" t="b">
        <v>0</v>
      </c>
      <c r="AQ521" s="87" t="s">
        <v>3520</v>
      </c>
      <c r="AR521" s="81" t="s">
        <v>179</v>
      </c>
      <c r="AS521" s="81">
        <v>0</v>
      </c>
      <c r="AT521" s="81">
        <v>0</v>
      </c>
      <c r="AU521" s="81"/>
      <c r="AV521" s="81"/>
      <c r="AW521" s="81"/>
      <c r="AX521" s="81"/>
      <c r="AY521" s="81"/>
      <c r="AZ521" s="81"/>
      <c r="BA521" s="81"/>
      <c r="BB521" s="81"/>
    </row>
    <row r="522" spans="1:54" x14ac:dyDescent="0.35">
      <c r="A522" s="66" t="s">
        <v>513</v>
      </c>
      <c r="B522" s="66" t="s">
        <v>1055</v>
      </c>
      <c r="C522" s="67"/>
      <c r="D522" s="68"/>
      <c r="E522" s="69"/>
      <c r="F522" s="70"/>
      <c r="G522" s="67"/>
      <c r="H522" s="71"/>
      <c r="I522" s="72"/>
      <c r="J522" s="72"/>
      <c r="K522" s="36"/>
      <c r="L522" s="79"/>
      <c r="M522" s="79"/>
      <c r="N522" s="74"/>
      <c r="O522" s="81" t="s">
        <v>1207</v>
      </c>
      <c r="P522" s="83">
        <v>44460.350798611114</v>
      </c>
      <c r="Q522" s="81" t="s">
        <v>1324</v>
      </c>
      <c r="R522" s="81"/>
      <c r="S522" s="81"/>
      <c r="T522" s="81"/>
      <c r="U522" s="85" t="str">
        <f>HYPERLINK("https://pbs.twimg.com/media/E_xVJy2VQAQerFe.jpg")</f>
        <v>https://pbs.twimg.com/media/E_xVJy2VQAQerFe.jpg</v>
      </c>
      <c r="V522" s="85" t="str">
        <f>HYPERLINK("https://pbs.twimg.com/media/E_xVJy2VQAQerFe.jpg")</f>
        <v>https://pbs.twimg.com/media/E_xVJy2VQAQerFe.jpg</v>
      </c>
      <c r="W522" s="83">
        <v>44460.350798611114</v>
      </c>
      <c r="X522" s="89">
        <v>44460</v>
      </c>
      <c r="Y522" s="87" t="s">
        <v>2106</v>
      </c>
      <c r="Z522" s="85" t="str">
        <f>HYPERLINK("https://twitter.com/d3v1s4_r3y4l/status/1440230607850668039")</f>
        <v>https://twitter.com/d3v1s4_r3y4l/status/1440230607850668039</v>
      </c>
      <c r="AA522" s="81"/>
      <c r="AB522" s="81"/>
      <c r="AC522" s="87" t="s">
        <v>3030</v>
      </c>
      <c r="AD522" s="81"/>
      <c r="AE522" s="81" t="b">
        <v>0</v>
      </c>
      <c r="AF522" s="81">
        <v>0</v>
      </c>
      <c r="AG522" s="87" t="s">
        <v>3875</v>
      </c>
      <c r="AH522" s="81" t="b">
        <v>0</v>
      </c>
      <c r="AI522" s="81" t="s">
        <v>4092</v>
      </c>
      <c r="AJ522" s="81"/>
      <c r="AK522" s="87" t="s">
        <v>3875</v>
      </c>
      <c r="AL522" s="81" t="b">
        <v>0</v>
      </c>
      <c r="AM522" s="81">
        <v>321</v>
      </c>
      <c r="AN522" s="87" t="s">
        <v>3520</v>
      </c>
      <c r="AO522" s="87" t="s">
        <v>4109</v>
      </c>
      <c r="AP522" s="81" t="b">
        <v>0</v>
      </c>
      <c r="AQ522" s="87" t="s">
        <v>3520</v>
      </c>
      <c r="AR522" s="81" t="s">
        <v>179</v>
      </c>
      <c r="AS522" s="81">
        <v>0</v>
      </c>
      <c r="AT522" s="81">
        <v>0</v>
      </c>
      <c r="AU522" s="81"/>
      <c r="AV522" s="81"/>
      <c r="AW522" s="81"/>
      <c r="AX522" s="81"/>
      <c r="AY522" s="81"/>
      <c r="AZ522" s="81"/>
      <c r="BA522" s="81"/>
      <c r="BB522" s="81"/>
    </row>
    <row r="523" spans="1:54" x14ac:dyDescent="0.35">
      <c r="A523" s="66" t="s">
        <v>513</v>
      </c>
      <c r="B523" s="66" t="s">
        <v>910</v>
      </c>
      <c r="C523" s="67"/>
      <c r="D523" s="68"/>
      <c r="E523" s="69"/>
      <c r="F523" s="70"/>
      <c r="G523" s="67"/>
      <c r="H523" s="71"/>
      <c r="I523" s="72"/>
      <c r="J523" s="72"/>
      <c r="K523" s="36"/>
      <c r="L523" s="79"/>
      <c r="M523" s="79"/>
      <c r="N523" s="74"/>
      <c r="O523" s="81" t="s">
        <v>1205</v>
      </c>
      <c r="P523" s="83">
        <v>44460.350798611114</v>
      </c>
      <c r="Q523" s="81" t="s">
        <v>1324</v>
      </c>
      <c r="R523" s="81"/>
      <c r="S523" s="81"/>
      <c r="T523" s="81"/>
      <c r="U523" s="85" t="str">
        <f>HYPERLINK("https://pbs.twimg.com/media/E_xVJy2VQAQerFe.jpg")</f>
        <v>https://pbs.twimg.com/media/E_xVJy2VQAQerFe.jpg</v>
      </c>
      <c r="V523" s="85" t="str">
        <f>HYPERLINK("https://pbs.twimg.com/media/E_xVJy2VQAQerFe.jpg")</f>
        <v>https://pbs.twimg.com/media/E_xVJy2VQAQerFe.jpg</v>
      </c>
      <c r="W523" s="83">
        <v>44460.350798611114</v>
      </c>
      <c r="X523" s="89">
        <v>44460</v>
      </c>
      <c r="Y523" s="87" t="s">
        <v>2106</v>
      </c>
      <c r="Z523" s="85" t="str">
        <f>HYPERLINK("https://twitter.com/d3v1s4_r3y4l/status/1440230607850668039")</f>
        <v>https://twitter.com/d3v1s4_r3y4l/status/1440230607850668039</v>
      </c>
      <c r="AA523" s="81"/>
      <c r="AB523" s="81"/>
      <c r="AC523" s="87" t="s">
        <v>3030</v>
      </c>
      <c r="AD523" s="81"/>
      <c r="AE523" s="81" t="b">
        <v>0</v>
      </c>
      <c r="AF523" s="81">
        <v>0</v>
      </c>
      <c r="AG523" s="87" t="s">
        <v>3875</v>
      </c>
      <c r="AH523" s="81" t="b">
        <v>0</v>
      </c>
      <c r="AI523" s="81" t="s">
        <v>4092</v>
      </c>
      <c r="AJ523" s="81"/>
      <c r="AK523" s="87" t="s">
        <v>3875</v>
      </c>
      <c r="AL523" s="81" t="b">
        <v>0</v>
      </c>
      <c r="AM523" s="81">
        <v>321</v>
      </c>
      <c r="AN523" s="87" t="s">
        <v>3520</v>
      </c>
      <c r="AO523" s="87" t="s">
        <v>4109</v>
      </c>
      <c r="AP523" s="81" t="b">
        <v>0</v>
      </c>
      <c r="AQ523" s="87" t="s">
        <v>3520</v>
      </c>
      <c r="AR523" s="81" t="s">
        <v>179</v>
      </c>
      <c r="AS523" s="81">
        <v>0</v>
      </c>
      <c r="AT523" s="81">
        <v>0</v>
      </c>
      <c r="AU523" s="81"/>
      <c r="AV523" s="81"/>
      <c r="AW523" s="81"/>
      <c r="AX523" s="81"/>
      <c r="AY523" s="81"/>
      <c r="AZ523" s="81"/>
      <c r="BA523" s="81"/>
      <c r="BB523" s="81"/>
    </row>
    <row r="524" spans="1:54" x14ac:dyDescent="0.35">
      <c r="A524" s="66" t="s">
        <v>514</v>
      </c>
      <c r="B524" s="66" t="s">
        <v>1055</v>
      </c>
      <c r="C524" s="67"/>
      <c r="D524" s="68"/>
      <c r="E524" s="69"/>
      <c r="F524" s="70"/>
      <c r="G524" s="67"/>
      <c r="H524" s="71"/>
      <c r="I524" s="72"/>
      <c r="J524" s="72"/>
      <c r="K524" s="36"/>
      <c r="L524" s="79"/>
      <c r="M524" s="79"/>
      <c r="N524" s="74"/>
      <c r="O524" s="81" t="s">
        <v>1207</v>
      </c>
      <c r="P524" s="83">
        <v>44460.353402777779</v>
      </c>
      <c r="Q524" s="81" t="s">
        <v>1324</v>
      </c>
      <c r="R524" s="81"/>
      <c r="S524" s="81"/>
      <c r="T524" s="81"/>
      <c r="U524" s="85" t="str">
        <f>HYPERLINK("https://pbs.twimg.com/media/E_xVJy2VQAQerFe.jpg")</f>
        <v>https://pbs.twimg.com/media/E_xVJy2VQAQerFe.jpg</v>
      </c>
      <c r="V524" s="85" t="str">
        <f>HYPERLINK("https://pbs.twimg.com/media/E_xVJy2VQAQerFe.jpg")</f>
        <v>https://pbs.twimg.com/media/E_xVJy2VQAQerFe.jpg</v>
      </c>
      <c r="W524" s="83">
        <v>44460.353402777779</v>
      </c>
      <c r="X524" s="89">
        <v>44460</v>
      </c>
      <c r="Y524" s="87" t="s">
        <v>2107</v>
      </c>
      <c r="Z524" s="85" t="str">
        <f>HYPERLINK("https://twitter.com/nugroho99036078/status/1440231548578504708")</f>
        <v>https://twitter.com/nugroho99036078/status/1440231548578504708</v>
      </c>
      <c r="AA524" s="81"/>
      <c r="AB524" s="81"/>
      <c r="AC524" s="87" t="s">
        <v>3031</v>
      </c>
      <c r="AD524" s="81"/>
      <c r="AE524" s="81" t="b">
        <v>0</v>
      </c>
      <c r="AF524" s="81">
        <v>0</v>
      </c>
      <c r="AG524" s="87" t="s">
        <v>3875</v>
      </c>
      <c r="AH524" s="81" t="b">
        <v>0</v>
      </c>
      <c r="AI524" s="81" t="s">
        <v>4092</v>
      </c>
      <c r="AJ524" s="81"/>
      <c r="AK524" s="87" t="s">
        <v>3875</v>
      </c>
      <c r="AL524" s="81" t="b">
        <v>0</v>
      </c>
      <c r="AM524" s="81">
        <v>321</v>
      </c>
      <c r="AN524" s="87" t="s">
        <v>3520</v>
      </c>
      <c r="AO524" s="87" t="s">
        <v>4109</v>
      </c>
      <c r="AP524" s="81" t="b">
        <v>0</v>
      </c>
      <c r="AQ524" s="87" t="s">
        <v>3520</v>
      </c>
      <c r="AR524" s="81" t="s">
        <v>179</v>
      </c>
      <c r="AS524" s="81">
        <v>0</v>
      </c>
      <c r="AT524" s="81">
        <v>0</v>
      </c>
      <c r="AU524" s="81"/>
      <c r="AV524" s="81"/>
      <c r="AW524" s="81"/>
      <c r="AX524" s="81"/>
      <c r="AY524" s="81"/>
      <c r="AZ524" s="81"/>
      <c r="BA524" s="81"/>
      <c r="BB524" s="81"/>
    </row>
    <row r="525" spans="1:54" x14ac:dyDescent="0.35">
      <c r="A525" s="66" t="s">
        <v>514</v>
      </c>
      <c r="B525" s="66" t="s">
        <v>910</v>
      </c>
      <c r="C525" s="67"/>
      <c r="D525" s="68"/>
      <c r="E525" s="69"/>
      <c r="F525" s="70"/>
      <c r="G525" s="67"/>
      <c r="H525" s="71"/>
      <c r="I525" s="72"/>
      <c r="J525" s="72"/>
      <c r="K525" s="36"/>
      <c r="L525" s="79"/>
      <c r="M525" s="79"/>
      <c r="N525" s="74"/>
      <c r="O525" s="81" t="s">
        <v>1205</v>
      </c>
      <c r="P525" s="83">
        <v>44460.353402777779</v>
      </c>
      <c r="Q525" s="81" t="s">
        <v>1324</v>
      </c>
      <c r="R525" s="81"/>
      <c r="S525" s="81"/>
      <c r="T525" s="81"/>
      <c r="U525" s="85" t="str">
        <f>HYPERLINK("https://pbs.twimg.com/media/E_xVJy2VQAQerFe.jpg")</f>
        <v>https://pbs.twimg.com/media/E_xVJy2VQAQerFe.jpg</v>
      </c>
      <c r="V525" s="85" t="str">
        <f>HYPERLINK("https://pbs.twimg.com/media/E_xVJy2VQAQerFe.jpg")</f>
        <v>https://pbs.twimg.com/media/E_xVJy2VQAQerFe.jpg</v>
      </c>
      <c r="W525" s="83">
        <v>44460.353402777779</v>
      </c>
      <c r="X525" s="89">
        <v>44460</v>
      </c>
      <c r="Y525" s="87" t="s">
        <v>2107</v>
      </c>
      <c r="Z525" s="85" t="str">
        <f>HYPERLINK("https://twitter.com/nugroho99036078/status/1440231548578504708")</f>
        <v>https://twitter.com/nugroho99036078/status/1440231548578504708</v>
      </c>
      <c r="AA525" s="81"/>
      <c r="AB525" s="81"/>
      <c r="AC525" s="87" t="s">
        <v>3031</v>
      </c>
      <c r="AD525" s="81"/>
      <c r="AE525" s="81" t="b">
        <v>0</v>
      </c>
      <c r="AF525" s="81">
        <v>0</v>
      </c>
      <c r="AG525" s="87" t="s">
        <v>3875</v>
      </c>
      <c r="AH525" s="81" t="b">
        <v>0</v>
      </c>
      <c r="AI525" s="81" t="s">
        <v>4092</v>
      </c>
      <c r="AJ525" s="81"/>
      <c r="AK525" s="87" t="s">
        <v>3875</v>
      </c>
      <c r="AL525" s="81" t="b">
        <v>0</v>
      </c>
      <c r="AM525" s="81">
        <v>321</v>
      </c>
      <c r="AN525" s="87" t="s">
        <v>3520</v>
      </c>
      <c r="AO525" s="87" t="s">
        <v>4109</v>
      </c>
      <c r="AP525" s="81" t="b">
        <v>0</v>
      </c>
      <c r="AQ525" s="87" t="s">
        <v>3520</v>
      </c>
      <c r="AR525" s="81" t="s">
        <v>179</v>
      </c>
      <c r="AS525" s="81">
        <v>0</v>
      </c>
      <c r="AT525" s="81">
        <v>0</v>
      </c>
      <c r="AU525" s="81"/>
      <c r="AV525" s="81"/>
      <c r="AW525" s="81"/>
      <c r="AX525" s="81"/>
      <c r="AY525" s="81"/>
      <c r="AZ525" s="81"/>
      <c r="BA525" s="81"/>
      <c r="BB525" s="81"/>
    </row>
    <row r="526" spans="1:54" x14ac:dyDescent="0.35">
      <c r="A526" s="66" t="s">
        <v>515</v>
      </c>
      <c r="B526" s="66" t="s">
        <v>1055</v>
      </c>
      <c r="C526" s="67"/>
      <c r="D526" s="68"/>
      <c r="E526" s="69"/>
      <c r="F526" s="70"/>
      <c r="G526" s="67"/>
      <c r="H526" s="71"/>
      <c r="I526" s="72"/>
      <c r="J526" s="72"/>
      <c r="K526" s="36"/>
      <c r="L526" s="79"/>
      <c r="M526" s="79"/>
      <c r="N526" s="74"/>
      <c r="O526" s="81" t="s">
        <v>1207</v>
      </c>
      <c r="P526" s="83">
        <v>44460.356851851851</v>
      </c>
      <c r="Q526" s="81" t="s">
        <v>1324</v>
      </c>
      <c r="R526" s="81"/>
      <c r="S526" s="81"/>
      <c r="T526" s="81"/>
      <c r="U526" s="85" t="str">
        <f>HYPERLINK("https://pbs.twimg.com/media/E_xVJy2VQAQerFe.jpg")</f>
        <v>https://pbs.twimg.com/media/E_xVJy2VQAQerFe.jpg</v>
      </c>
      <c r="V526" s="85" t="str">
        <f>HYPERLINK("https://pbs.twimg.com/media/E_xVJy2VQAQerFe.jpg")</f>
        <v>https://pbs.twimg.com/media/E_xVJy2VQAQerFe.jpg</v>
      </c>
      <c r="W526" s="83">
        <v>44460.356851851851</v>
      </c>
      <c r="X526" s="89">
        <v>44460</v>
      </c>
      <c r="Y526" s="87" t="s">
        <v>2108</v>
      </c>
      <c r="Z526" s="85" t="str">
        <f>HYPERLINK("https://twitter.com/rbslgn/status/1440232802146873344")</f>
        <v>https://twitter.com/rbslgn/status/1440232802146873344</v>
      </c>
      <c r="AA526" s="81"/>
      <c r="AB526" s="81"/>
      <c r="AC526" s="87" t="s">
        <v>3032</v>
      </c>
      <c r="AD526" s="81"/>
      <c r="AE526" s="81" t="b">
        <v>0</v>
      </c>
      <c r="AF526" s="81">
        <v>0</v>
      </c>
      <c r="AG526" s="87" t="s">
        <v>3875</v>
      </c>
      <c r="AH526" s="81" t="b">
        <v>0</v>
      </c>
      <c r="AI526" s="81" t="s">
        <v>4092</v>
      </c>
      <c r="AJ526" s="81"/>
      <c r="AK526" s="87" t="s">
        <v>3875</v>
      </c>
      <c r="AL526" s="81" t="b">
        <v>0</v>
      </c>
      <c r="AM526" s="81">
        <v>321</v>
      </c>
      <c r="AN526" s="87" t="s">
        <v>3520</v>
      </c>
      <c r="AO526" s="87" t="s">
        <v>4109</v>
      </c>
      <c r="AP526" s="81" t="b">
        <v>0</v>
      </c>
      <c r="AQ526" s="87" t="s">
        <v>3520</v>
      </c>
      <c r="AR526" s="81" t="s">
        <v>179</v>
      </c>
      <c r="AS526" s="81">
        <v>0</v>
      </c>
      <c r="AT526" s="81">
        <v>0</v>
      </c>
      <c r="AU526" s="81"/>
      <c r="AV526" s="81"/>
      <c r="AW526" s="81"/>
      <c r="AX526" s="81"/>
      <c r="AY526" s="81"/>
      <c r="AZ526" s="81"/>
      <c r="BA526" s="81"/>
      <c r="BB526" s="81"/>
    </row>
    <row r="527" spans="1:54" x14ac:dyDescent="0.35">
      <c r="A527" s="66" t="s">
        <v>515</v>
      </c>
      <c r="B527" s="66" t="s">
        <v>910</v>
      </c>
      <c r="C527" s="67"/>
      <c r="D527" s="68"/>
      <c r="E527" s="69"/>
      <c r="F527" s="70"/>
      <c r="G527" s="67"/>
      <c r="H527" s="71"/>
      <c r="I527" s="72"/>
      <c r="J527" s="72"/>
      <c r="K527" s="36"/>
      <c r="L527" s="79"/>
      <c r="M527" s="79"/>
      <c r="N527" s="74"/>
      <c r="O527" s="81" t="s">
        <v>1205</v>
      </c>
      <c r="P527" s="83">
        <v>44460.356851851851</v>
      </c>
      <c r="Q527" s="81" t="s">
        <v>1324</v>
      </c>
      <c r="R527" s="81"/>
      <c r="S527" s="81"/>
      <c r="T527" s="81"/>
      <c r="U527" s="85" t="str">
        <f>HYPERLINK("https://pbs.twimg.com/media/E_xVJy2VQAQerFe.jpg")</f>
        <v>https://pbs.twimg.com/media/E_xVJy2VQAQerFe.jpg</v>
      </c>
      <c r="V527" s="85" t="str">
        <f>HYPERLINK("https://pbs.twimg.com/media/E_xVJy2VQAQerFe.jpg")</f>
        <v>https://pbs.twimg.com/media/E_xVJy2VQAQerFe.jpg</v>
      </c>
      <c r="W527" s="83">
        <v>44460.356851851851</v>
      </c>
      <c r="X527" s="89">
        <v>44460</v>
      </c>
      <c r="Y527" s="87" t="s">
        <v>2108</v>
      </c>
      <c r="Z527" s="85" t="str">
        <f>HYPERLINK("https://twitter.com/rbslgn/status/1440232802146873344")</f>
        <v>https://twitter.com/rbslgn/status/1440232802146873344</v>
      </c>
      <c r="AA527" s="81"/>
      <c r="AB527" s="81"/>
      <c r="AC527" s="87" t="s">
        <v>3032</v>
      </c>
      <c r="AD527" s="81"/>
      <c r="AE527" s="81" t="b">
        <v>0</v>
      </c>
      <c r="AF527" s="81">
        <v>0</v>
      </c>
      <c r="AG527" s="87" t="s">
        <v>3875</v>
      </c>
      <c r="AH527" s="81" t="b">
        <v>0</v>
      </c>
      <c r="AI527" s="81" t="s">
        <v>4092</v>
      </c>
      <c r="AJ527" s="81"/>
      <c r="AK527" s="87" t="s">
        <v>3875</v>
      </c>
      <c r="AL527" s="81" t="b">
        <v>0</v>
      </c>
      <c r="AM527" s="81">
        <v>321</v>
      </c>
      <c r="AN527" s="87" t="s">
        <v>3520</v>
      </c>
      <c r="AO527" s="87" t="s">
        <v>4109</v>
      </c>
      <c r="AP527" s="81" t="b">
        <v>0</v>
      </c>
      <c r="AQ527" s="87" t="s">
        <v>3520</v>
      </c>
      <c r="AR527" s="81" t="s">
        <v>179</v>
      </c>
      <c r="AS527" s="81">
        <v>0</v>
      </c>
      <c r="AT527" s="81">
        <v>0</v>
      </c>
      <c r="AU527" s="81"/>
      <c r="AV527" s="81"/>
      <c r="AW527" s="81"/>
      <c r="AX527" s="81"/>
      <c r="AY527" s="81"/>
      <c r="AZ527" s="81"/>
      <c r="BA527" s="81"/>
      <c r="BB527" s="81"/>
    </row>
    <row r="528" spans="1:54" x14ac:dyDescent="0.35">
      <c r="A528" s="66" t="s">
        <v>516</v>
      </c>
      <c r="B528" s="66" t="s">
        <v>1055</v>
      </c>
      <c r="C528" s="67"/>
      <c r="D528" s="68"/>
      <c r="E528" s="69"/>
      <c r="F528" s="70"/>
      <c r="G528" s="67"/>
      <c r="H528" s="71"/>
      <c r="I528" s="72"/>
      <c r="J528" s="72"/>
      <c r="K528" s="36"/>
      <c r="L528" s="79"/>
      <c r="M528" s="79"/>
      <c r="N528" s="74"/>
      <c r="O528" s="81" t="s">
        <v>1207</v>
      </c>
      <c r="P528" s="83">
        <v>44460.369930555556</v>
      </c>
      <c r="Q528" s="81" t="s">
        <v>1324</v>
      </c>
      <c r="R528" s="81"/>
      <c r="S528" s="81"/>
      <c r="T528" s="81"/>
      <c r="U528" s="85" t="str">
        <f>HYPERLINK("https://pbs.twimg.com/media/E_xVJy2VQAQerFe.jpg")</f>
        <v>https://pbs.twimg.com/media/E_xVJy2VQAQerFe.jpg</v>
      </c>
      <c r="V528" s="85" t="str">
        <f>HYPERLINK("https://pbs.twimg.com/media/E_xVJy2VQAQerFe.jpg")</f>
        <v>https://pbs.twimg.com/media/E_xVJy2VQAQerFe.jpg</v>
      </c>
      <c r="W528" s="83">
        <v>44460.369930555556</v>
      </c>
      <c r="X528" s="89">
        <v>44460</v>
      </c>
      <c r="Y528" s="87" t="s">
        <v>2109</v>
      </c>
      <c r="Z528" s="85" t="str">
        <f>HYPERLINK("https://twitter.com/bangben26616216/status/1440237539579682829")</f>
        <v>https://twitter.com/bangben26616216/status/1440237539579682829</v>
      </c>
      <c r="AA528" s="81"/>
      <c r="AB528" s="81"/>
      <c r="AC528" s="87" t="s">
        <v>3033</v>
      </c>
      <c r="AD528" s="81"/>
      <c r="AE528" s="81" t="b">
        <v>0</v>
      </c>
      <c r="AF528" s="81">
        <v>0</v>
      </c>
      <c r="AG528" s="87" t="s">
        <v>3875</v>
      </c>
      <c r="AH528" s="81" t="b">
        <v>0</v>
      </c>
      <c r="AI528" s="81" t="s">
        <v>4092</v>
      </c>
      <c r="AJ528" s="81"/>
      <c r="AK528" s="87" t="s">
        <v>3875</v>
      </c>
      <c r="AL528" s="81" t="b">
        <v>0</v>
      </c>
      <c r="AM528" s="81">
        <v>321</v>
      </c>
      <c r="AN528" s="87" t="s">
        <v>3520</v>
      </c>
      <c r="AO528" s="87" t="s">
        <v>4109</v>
      </c>
      <c r="AP528" s="81" t="b">
        <v>0</v>
      </c>
      <c r="AQ528" s="87" t="s">
        <v>3520</v>
      </c>
      <c r="AR528" s="81" t="s">
        <v>179</v>
      </c>
      <c r="AS528" s="81">
        <v>0</v>
      </c>
      <c r="AT528" s="81">
        <v>0</v>
      </c>
      <c r="AU528" s="81"/>
      <c r="AV528" s="81"/>
      <c r="AW528" s="81"/>
      <c r="AX528" s="81"/>
      <c r="AY528" s="81"/>
      <c r="AZ528" s="81"/>
      <c r="BA528" s="81"/>
      <c r="BB528" s="81"/>
    </row>
    <row r="529" spans="1:54" x14ac:dyDescent="0.35">
      <c r="A529" s="66" t="s">
        <v>516</v>
      </c>
      <c r="B529" s="66" t="s">
        <v>910</v>
      </c>
      <c r="C529" s="67"/>
      <c r="D529" s="68"/>
      <c r="E529" s="69"/>
      <c r="F529" s="70"/>
      <c r="G529" s="67"/>
      <c r="H529" s="71"/>
      <c r="I529" s="72"/>
      <c r="J529" s="72"/>
      <c r="K529" s="36"/>
      <c r="L529" s="79"/>
      <c r="M529" s="79"/>
      <c r="N529" s="74"/>
      <c r="O529" s="81" t="s">
        <v>1205</v>
      </c>
      <c r="P529" s="83">
        <v>44460.369930555556</v>
      </c>
      <c r="Q529" s="81" t="s">
        <v>1324</v>
      </c>
      <c r="R529" s="81"/>
      <c r="S529" s="81"/>
      <c r="T529" s="81"/>
      <c r="U529" s="85" t="str">
        <f>HYPERLINK("https://pbs.twimg.com/media/E_xVJy2VQAQerFe.jpg")</f>
        <v>https://pbs.twimg.com/media/E_xVJy2VQAQerFe.jpg</v>
      </c>
      <c r="V529" s="85" t="str">
        <f>HYPERLINK("https://pbs.twimg.com/media/E_xVJy2VQAQerFe.jpg")</f>
        <v>https://pbs.twimg.com/media/E_xVJy2VQAQerFe.jpg</v>
      </c>
      <c r="W529" s="83">
        <v>44460.369930555556</v>
      </c>
      <c r="X529" s="89">
        <v>44460</v>
      </c>
      <c r="Y529" s="87" t="s">
        <v>2109</v>
      </c>
      <c r="Z529" s="85" t="str">
        <f>HYPERLINK("https://twitter.com/bangben26616216/status/1440237539579682829")</f>
        <v>https://twitter.com/bangben26616216/status/1440237539579682829</v>
      </c>
      <c r="AA529" s="81"/>
      <c r="AB529" s="81"/>
      <c r="AC529" s="87" t="s">
        <v>3033</v>
      </c>
      <c r="AD529" s="81"/>
      <c r="AE529" s="81" t="b">
        <v>0</v>
      </c>
      <c r="AF529" s="81">
        <v>0</v>
      </c>
      <c r="AG529" s="87" t="s">
        <v>3875</v>
      </c>
      <c r="AH529" s="81" t="b">
        <v>0</v>
      </c>
      <c r="AI529" s="81" t="s">
        <v>4092</v>
      </c>
      <c r="AJ529" s="81"/>
      <c r="AK529" s="87" t="s">
        <v>3875</v>
      </c>
      <c r="AL529" s="81" t="b">
        <v>0</v>
      </c>
      <c r="AM529" s="81">
        <v>321</v>
      </c>
      <c r="AN529" s="87" t="s">
        <v>3520</v>
      </c>
      <c r="AO529" s="87" t="s">
        <v>4109</v>
      </c>
      <c r="AP529" s="81" t="b">
        <v>0</v>
      </c>
      <c r="AQ529" s="87" t="s">
        <v>3520</v>
      </c>
      <c r="AR529" s="81" t="s">
        <v>179</v>
      </c>
      <c r="AS529" s="81">
        <v>0</v>
      </c>
      <c r="AT529" s="81">
        <v>0</v>
      </c>
      <c r="AU529" s="81"/>
      <c r="AV529" s="81"/>
      <c r="AW529" s="81"/>
      <c r="AX529" s="81"/>
      <c r="AY529" s="81"/>
      <c r="AZ529" s="81"/>
      <c r="BA529" s="81"/>
      <c r="BB529" s="81"/>
    </row>
    <row r="530" spans="1:54" x14ac:dyDescent="0.35">
      <c r="A530" s="66" t="s">
        <v>517</v>
      </c>
      <c r="B530" s="66" t="s">
        <v>1055</v>
      </c>
      <c r="C530" s="67"/>
      <c r="D530" s="68"/>
      <c r="E530" s="69"/>
      <c r="F530" s="70"/>
      <c r="G530" s="67"/>
      <c r="H530" s="71"/>
      <c r="I530" s="72"/>
      <c r="J530" s="72"/>
      <c r="K530" s="36"/>
      <c r="L530" s="79"/>
      <c r="M530" s="79"/>
      <c r="N530" s="74"/>
      <c r="O530" s="81" t="s">
        <v>1207</v>
      </c>
      <c r="P530" s="83">
        <v>44460.372650462959</v>
      </c>
      <c r="Q530" s="81" t="s">
        <v>1324</v>
      </c>
      <c r="R530" s="81"/>
      <c r="S530" s="81"/>
      <c r="T530" s="81"/>
      <c r="U530" s="85" t="str">
        <f>HYPERLINK("https://pbs.twimg.com/media/E_xVJy2VQAQerFe.jpg")</f>
        <v>https://pbs.twimg.com/media/E_xVJy2VQAQerFe.jpg</v>
      </c>
      <c r="V530" s="85" t="str">
        <f>HYPERLINK("https://pbs.twimg.com/media/E_xVJy2VQAQerFe.jpg")</f>
        <v>https://pbs.twimg.com/media/E_xVJy2VQAQerFe.jpg</v>
      </c>
      <c r="W530" s="83">
        <v>44460.372650462959</v>
      </c>
      <c r="X530" s="89">
        <v>44460</v>
      </c>
      <c r="Y530" s="87" t="s">
        <v>2110</v>
      </c>
      <c r="Z530" s="85" t="str">
        <f>HYPERLINK("https://twitter.com/meng_1234567/status/1440238524339396611")</f>
        <v>https://twitter.com/meng_1234567/status/1440238524339396611</v>
      </c>
      <c r="AA530" s="81"/>
      <c r="AB530" s="81"/>
      <c r="AC530" s="87" t="s">
        <v>3034</v>
      </c>
      <c r="AD530" s="81"/>
      <c r="AE530" s="81" t="b">
        <v>0</v>
      </c>
      <c r="AF530" s="81">
        <v>0</v>
      </c>
      <c r="AG530" s="87" t="s">
        <v>3875</v>
      </c>
      <c r="AH530" s="81" t="b">
        <v>0</v>
      </c>
      <c r="AI530" s="81" t="s">
        <v>4092</v>
      </c>
      <c r="AJ530" s="81"/>
      <c r="AK530" s="87" t="s">
        <v>3875</v>
      </c>
      <c r="AL530" s="81" t="b">
        <v>0</v>
      </c>
      <c r="AM530" s="81">
        <v>321</v>
      </c>
      <c r="AN530" s="87" t="s">
        <v>3520</v>
      </c>
      <c r="AO530" s="87" t="s">
        <v>4111</v>
      </c>
      <c r="AP530" s="81" t="b">
        <v>0</v>
      </c>
      <c r="AQ530" s="87" t="s">
        <v>3520</v>
      </c>
      <c r="AR530" s="81" t="s">
        <v>179</v>
      </c>
      <c r="AS530" s="81">
        <v>0</v>
      </c>
      <c r="AT530" s="81">
        <v>0</v>
      </c>
      <c r="AU530" s="81"/>
      <c r="AV530" s="81"/>
      <c r="AW530" s="81"/>
      <c r="AX530" s="81"/>
      <c r="AY530" s="81"/>
      <c r="AZ530" s="81"/>
      <c r="BA530" s="81"/>
      <c r="BB530" s="81"/>
    </row>
    <row r="531" spans="1:54" x14ac:dyDescent="0.35">
      <c r="A531" s="66" t="s">
        <v>517</v>
      </c>
      <c r="B531" s="66" t="s">
        <v>910</v>
      </c>
      <c r="C531" s="67"/>
      <c r="D531" s="68"/>
      <c r="E531" s="69"/>
      <c r="F531" s="70"/>
      <c r="G531" s="67"/>
      <c r="H531" s="71"/>
      <c r="I531" s="72"/>
      <c r="J531" s="72"/>
      <c r="K531" s="36"/>
      <c r="L531" s="79"/>
      <c r="M531" s="79"/>
      <c r="N531" s="74"/>
      <c r="O531" s="81" t="s">
        <v>1205</v>
      </c>
      <c r="P531" s="83">
        <v>44460.372650462959</v>
      </c>
      <c r="Q531" s="81" t="s">
        <v>1324</v>
      </c>
      <c r="R531" s="81"/>
      <c r="S531" s="81"/>
      <c r="T531" s="81"/>
      <c r="U531" s="85" t="str">
        <f>HYPERLINK("https://pbs.twimg.com/media/E_xVJy2VQAQerFe.jpg")</f>
        <v>https://pbs.twimg.com/media/E_xVJy2VQAQerFe.jpg</v>
      </c>
      <c r="V531" s="85" t="str">
        <f>HYPERLINK("https://pbs.twimg.com/media/E_xVJy2VQAQerFe.jpg")</f>
        <v>https://pbs.twimg.com/media/E_xVJy2VQAQerFe.jpg</v>
      </c>
      <c r="W531" s="83">
        <v>44460.372650462959</v>
      </c>
      <c r="X531" s="89">
        <v>44460</v>
      </c>
      <c r="Y531" s="87" t="s">
        <v>2110</v>
      </c>
      <c r="Z531" s="85" t="str">
        <f>HYPERLINK("https://twitter.com/meng_1234567/status/1440238524339396611")</f>
        <v>https://twitter.com/meng_1234567/status/1440238524339396611</v>
      </c>
      <c r="AA531" s="81"/>
      <c r="AB531" s="81"/>
      <c r="AC531" s="87" t="s">
        <v>3034</v>
      </c>
      <c r="AD531" s="81"/>
      <c r="AE531" s="81" t="b">
        <v>0</v>
      </c>
      <c r="AF531" s="81">
        <v>0</v>
      </c>
      <c r="AG531" s="87" t="s">
        <v>3875</v>
      </c>
      <c r="AH531" s="81" t="b">
        <v>0</v>
      </c>
      <c r="AI531" s="81" t="s">
        <v>4092</v>
      </c>
      <c r="AJ531" s="81"/>
      <c r="AK531" s="87" t="s">
        <v>3875</v>
      </c>
      <c r="AL531" s="81" t="b">
        <v>0</v>
      </c>
      <c r="AM531" s="81">
        <v>321</v>
      </c>
      <c r="AN531" s="87" t="s">
        <v>3520</v>
      </c>
      <c r="AO531" s="87" t="s">
        <v>4111</v>
      </c>
      <c r="AP531" s="81" t="b">
        <v>0</v>
      </c>
      <c r="AQ531" s="87" t="s">
        <v>3520</v>
      </c>
      <c r="AR531" s="81" t="s">
        <v>179</v>
      </c>
      <c r="AS531" s="81">
        <v>0</v>
      </c>
      <c r="AT531" s="81">
        <v>0</v>
      </c>
      <c r="AU531" s="81"/>
      <c r="AV531" s="81"/>
      <c r="AW531" s="81"/>
      <c r="AX531" s="81"/>
      <c r="AY531" s="81"/>
      <c r="AZ531" s="81"/>
      <c r="BA531" s="81"/>
      <c r="BB531" s="81"/>
    </row>
    <row r="532" spans="1:54" x14ac:dyDescent="0.35">
      <c r="A532" s="66" t="s">
        <v>518</v>
      </c>
      <c r="B532" s="66" t="s">
        <v>1055</v>
      </c>
      <c r="C532" s="67"/>
      <c r="D532" s="68"/>
      <c r="E532" s="69"/>
      <c r="F532" s="70"/>
      <c r="G532" s="67"/>
      <c r="H532" s="71"/>
      <c r="I532" s="72"/>
      <c r="J532" s="72"/>
      <c r="K532" s="36"/>
      <c r="L532" s="79"/>
      <c r="M532" s="79"/>
      <c r="N532" s="74"/>
      <c r="O532" s="81" t="s">
        <v>1207</v>
      </c>
      <c r="P532" s="83">
        <v>44460.374756944446</v>
      </c>
      <c r="Q532" s="81" t="s">
        <v>1324</v>
      </c>
      <c r="R532" s="81"/>
      <c r="S532" s="81"/>
      <c r="T532" s="81"/>
      <c r="U532" s="85" t="str">
        <f>HYPERLINK("https://pbs.twimg.com/media/E_xVJy2VQAQerFe.jpg")</f>
        <v>https://pbs.twimg.com/media/E_xVJy2VQAQerFe.jpg</v>
      </c>
      <c r="V532" s="85" t="str">
        <f>HYPERLINK("https://pbs.twimg.com/media/E_xVJy2VQAQerFe.jpg")</f>
        <v>https://pbs.twimg.com/media/E_xVJy2VQAQerFe.jpg</v>
      </c>
      <c r="W532" s="83">
        <v>44460.374756944446</v>
      </c>
      <c r="X532" s="89">
        <v>44460</v>
      </c>
      <c r="Y532" s="87" t="s">
        <v>2111</v>
      </c>
      <c r="Z532" s="85" t="str">
        <f>HYPERLINK("https://twitter.com/qutu_qupret/status/1440239287945949193")</f>
        <v>https://twitter.com/qutu_qupret/status/1440239287945949193</v>
      </c>
      <c r="AA532" s="81"/>
      <c r="AB532" s="81"/>
      <c r="AC532" s="87" t="s">
        <v>3035</v>
      </c>
      <c r="AD532" s="81"/>
      <c r="AE532" s="81" t="b">
        <v>0</v>
      </c>
      <c r="AF532" s="81">
        <v>0</v>
      </c>
      <c r="AG532" s="87" t="s">
        <v>3875</v>
      </c>
      <c r="AH532" s="81" t="b">
        <v>0</v>
      </c>
      <c r="AI532" s="81" t="s">
        <v>4092</v>
      </c>
      <c r="AJ532" s="81"/>
      <c r="AK532" s="87" t="s">
        <v>3875</v>
      </c>
      <c r="AL532" s="81" t="b">
        <v>0</v>
      </c>
      <c r="AM532" s="81">
        <v>321</v>
      </c>
      <c r="AN532" s="87" t="s">
        <v>3520</v>
      </c>
      <c r="AO532" s="87" t="s">
        <v>4109</v>
      </c>
      <c r="AP532" s="81" t="b">
        <v>0</v>
      </c>
      <c r="AQ532" s="87" t="s">
        <v>3520</v>
      </c>
      <c r="AR532" s="81" t="s">
        <v>179</v>
      </c>
      <c r="AS532" s="81">
        <v>0</v>
      </c>
      <c r="AT532" s="81">
        <v>0</v>
      </c>
      <c r="AU532" s="81"/>
      <c r="AV532" s="81"/>
      <c r="AW532" s="81"/>
      <c r="AX532" s="81"/>
      <c r="AY532" s="81"/>
      <c r="AZ532" s="81"/>
      <c r="BA532" s="81"/>
      <c r="BB532" s="81"/>
    </row>
    <row r="533" spans="1:54" x14ac:dyDescent="0.35">
      <c r="A533" s="66" t="s">
        <v>518</v>
      </c>
      <c r="B533" s="66" t="s">
        <v>910</v>
      </c>
      <c r="C533" s="67"/>
      <c r="D533" s="68"/>
      <c r="E533" s="69"/>
      <c r="F533" s="70"/>
      <c r="G533" s="67"/>
      <c r="H533" s="71"/>
      <c r="I533" s="72"/>
      <c r="J533" s="72"/>
      <c r="K533" s="36"/>
      <c r="L533" s="79"/>
      <c r="M533" s="79"/>
      <c r="N533" s="74"/>
      <c r="O533" s="81" t="s">
        <v>1205</v>
      </c>
      <c r="P533" s="83">
        <v>44460.374756944446</v>
      </c>
      <c r="Q533" s="81" t="s">
        <v>1324</v>
      </c>
      <c r="R533" s="81"/>
      <c r="S533" s="81"/>
      <c r="T533" s="81"/>
      <c r="U533" s="85" t="str">
        <f>HYPERLINK("https://pbs.twimg.com/media/E_xVJy2VQAQerFe.jpg")</f>
        <v>https://pbs.twimg.com/media/E_xVJy2VQAQerFe.jpg</v>
      </c>
      <c r="V533" s="85" t="str">
        <f>HYPERLINK("https://pbs.twimg.com/media/E_xVJy2VQAQerFe.jpg")</f>
        <v>https://pbs.twimg.com/media/E_xVJy2VQAQerFe.jpg</v>
      </c>
      <c r="W533" s="83">
        <v>44460.374756944446</v>
      </c>
      <c r="X533" s="89">
        <v>44460</v>
      </c>
      <c r="Y533" s="87" t="s">
        <v>2111</v>
      </c>
      <c r="Z533" s="85" t="str">
        <f>HYPERLINK("https://twitter.com/qutu_qupret/status/1440239287945949193")</f>
        <v>https://twitter.com/qutu_qupret/status/1440239287945949193</v>
      </c>
      <c r="AA533" s="81"/>
      <c r="AB533" s="81"/>
      <c r="AC533" s="87" t="s">
        <v>3035</v>
      </c>
      <c r="AD533" s="81"/>
      <c r="AE533" s="81" t="b">
        <v>0</v>
      </c>
      <c r="AF533" s="81">
        <v>0</v>
      </c>
      <c r="AG533" s="87" t="s">
        <v>3875</v>
      </c>
      <c r="AH533" s="81" t="b">
        <v>0</v>
      </c>
      <c r="AI533" s="81" t="s">
        <v>4092</v>
      </c>
      <c r="AJ533" s="81"/>
      <c r="AK533" s="87" t="s">
        <v>3875</v>
      </c>
      <c r="AL533" s="81" t="b">
        <v>0</v>
      </c>
      <c r="AM533" s="81">
        <v>321</v>
      </c>
      <c r="AN533" s="87" t="s">
        <v>3520</v>
      </c>
      <c r="AO533" s="87" t="s">
        <v>4109</v>
      </c>
      <c r="AP533" s="81" t="b">
        <v>0</v>
      </c>
      <c r="AQ533" s="87" t="s">
        <v>3520</v>
      </c>
      <c r="AR533" s="81" t="s">
        <v>179</v>
      </c>
      <c r="AS533" s="81">
        <v>0</v>
      </c>
      <c r="AT533" s="81">
        <v>0</v>
      </c>
      <c r="AU533" s="81"/>
      <c r="AV533" s="81"/>
      <c r="AW533" s="81"/>
      <c r="AX533" s="81"/>
      <c r="AY533" s="81"/>
      <c r="AZ533" s="81"/>
      <c r="BA533" s="81"/>
      <c r="BB533" s="81"/>
    </row>
    <row r="534" spans="1:54" x14ac:dyDescent="0.35">
      <c r="A534" s="66" t="s">
        <v>519</v>
      </c>
      <c r="B534" s="66" t="s">
        <v>1055</v>
      </c>
      <c r="C534" s="67"/>
      <c r="D534" s="68"/>
      <c r="E534" s="69"/>
      <c r="F534" s="70"/>
      <c r="G534" s="67"/>
      <c r="H534" s="71"/>
      <c r="I534" s="72"/>
      <c r="J534" s="72"/>
      <c r="K534" s="36"/>
      <c r="L534" s="79"/>
      <c r="M534" s="79"/>
      <c r="N534" s="74"/>
      <c r="O534" s="81" t="s">
        <v>1207</v>
      </c>
      <c r="P534" s="83">
        <v>44460.375902777778</v>
      </c>
      <c r="Q534" s="81" t="s">
        <v>1324</v>
      </c>
      <c r="R534" s="81"/>
      <c r="S534" s="81"/>
      <c r="T534" s="81"/>
      <c r="U534" s="85" t="str">
        <f>HYPERLINK("https://pbs.twimg.com/media/E_xVJy2VQAQerFe.jpg")</f>
        <v>https://pbs.twimg.com/media/E_xVJy2VQAQerFe.jpg</v>
      </c>
      <c r="V534" s="85" t="str">
        <f>HYPERLINK("https://pbs.twimg.com/media/E_xVJy2VQAQerFe.jpg")</f>
        <v>https://pbs.twimg.com/media/E_xVJy2VQAQerFe.jpg</v>
      </c>
      <c r="W534" s="83">
        <v>44460.375902777778</v>
      </c>
      <c r="X534" s="89">
        <v>44460</v>
      </c>
      <c r="Y534" s="87" t="s">
        <v>2112</v>
      </c>
      <c r="Z534" s="85" t="str">
        <f>HYPERLINK("https://twitter.com/bendoll02708591/status/1440239702909472772")</f>
        <v>https://twitter.com/bendoll02708591/status/1440239702909472772</v>
      </c>
      <c r="AA534" s="81"/>
      <c r="AB534" s="81"/>
      <c r="AC534" s="87" t="s">
        <v>3036</v>
      </c>
      <c r="AD534" s="81"/>
      <c r="AE534" s="81" t="b">
        <v>0</v>
      </c>
      <c r="AF534" s="81">
        <v>0</v>
      </c>
      <c r="AG534" s="87" t="s">
        <v>3875</v>
      </c>
      <c r="AH534" s="81" t="b">
        <v>0</v>
      </c>
      <c r="AI534" s="81" t="s">
        <v>4092</v>
      </c>
      <c r="AJ534" s="81"/>
      <c r="AK534" s="87" t="s">
        <v>3875</v>
      </c>
      <c r="AL534" s="81" t="b">
        <v>0</v>
      </c>
      <c r="AM534" s="81">
        <v>321</v>
      </c>
      <c r="AN534" s="87" t="s">
        <v>3520</v>
      </c>
      <c r="AO534" s="87" t="s">
        <v>4109</v>
      </c>
      <c r="AP534" s="81" t="b">
        <v>0</v>
      </c>
      <c r="AQ534" s="87" t="s">
        <v>3520</v>
      </c>
      <c r="AR534" s="81" t="s">
        <v>179</v>
      </c>
      <c r="AS534" s="81">
        <v>0</v>
      </c>
      <c r="AT534" s="81">
        <v>0</v>
      </c>
      <c r="AU534" s="81"/>
      <c r="AV534" s="81"/>
      <c r="AW534" s="81"/>
      <c r="AX534" s="81"/>
      <c r="AY534" s="81"/>
      <c r="AZ534" s="81"/>
      <c r="BA534" s="81"/>
      <c r="BB534" s="81"/>
    </row>
    <row r="535" spans="1:54" x14ac:dyDescent="0.35">
      <c r="A535" s="66" t="s">
        <v>519</v>
      </c>
      <c r="B535" s="66" t="s">
        <v>910</v>
      </c>
      <c r="C535" s="67"/>
      <c r="D535" s="68"/>
      <c r="E535" s="69"/>
      <c r="F535" s="70"/>
      <c r="G535" s="67"/>
      <c r="H535" s="71"/>
      <c r="I535" s="72"/>
      <c r="J535" s="72"/>
      <c r="K535" s="36"/>
      <c r="L535" s="79"/>
      <c r="M535" s="79"/>
      <c r="N535" s="74"/>
      <c r="O535" s="81" t="s">
        <v>1205</v>
      </c>
      <c r="P535" s="83">
        <v>44460.375902777778</v>
      </c>
      <c r="Q535" s="81" t="s">
        <v>1324</v>
      </c>
      <c r="R535" s="81"/>
      <c r="S535" s="81"/>
      <c r="T535" s="81"/>
      <c r="U535" s="85" t="str">
        <f>HYPERLINK("https://pbs.twimg.com/media/E_xVJy2VQAQerFe.jpg")</f>
        <v>https://pbs.twimg.com/media/E_xVJy2VQAQerFe.jpg</v>
      </c>
      <c r="V535" s="85" t="str">
        <f>HYPERLINK("https://pbs.twimg.com/media/E_xVJy2VQAQerFe.jpg")</f>
        <v>https://pbs.twimg.com/media/E_xVJy2VQAQerFe.jpg</v>
      </c>
      <c r="W535" s="83">
        <v>44460.375902777778</v>
      </c>
      <c r="X535" s="89">
        <v>44460</v>
      </c>
      <c r="Y535" s="87" t="s">
        <v>2112</v>
      </c>
      <c r="Z535" s="85" t="str">
        <f>HYPERLINK("https://twitter.com/bendoll02708591/status/1440239702909472772")</f>
        <v>https://twitter.com/bendoll02708591/status/1440239702909472772</v>
      </c>
      <c r="AA535" s="81"/>
      <c r="AB535" s="81"/>
      <c r="AC535" s="87" t="s">
        <v>3036</v>
      </c>
      <c r="AD535" s="81"/>
      <c r="AE535" s="81" t="b">
        <v>0</v>
      </c>
      <c r="AF535" s="81">
        <v>0</v>
      </c>
      <c r="AG535" s="87" t="s">
        <v>3875</v>
      </c>
      <c r="AH535" s="81" t="b">
        <v>0</v>
      </c>
      <c r="AI535" s="81" t="s">
        <v>4092</v>
      </c>
      <c r="AJ535" s="81"/>
      <c r="AK535" s="87" t="s">
        <v>3875</v>
      </c>
      <c r="AL535" s="81" t="b">
        <v>0</v>
      </c>
      <c r="AM535" s="81">
        <v>321</v>
      </c>
      <c r="AN535" s="87" t="s">
        <v>3520</v>
      </c>
      <c r="AO535" s="87" t="s">
        <v>4109</v>
      </c>
      <c r="AP535" s="81" t="b">
        <v>0</v>
      </c>
      <c r="AQ535" s="87" t="s">
        <v>3520</v>
      </c>
      <c r="AR535" s="81" t="s">
        <v>179</v>
      </c>
      <c r="AS535" s="81">
        <v>0</v>
      </c>
      <c r="AT535" s="81">
        <v>0</v>
      </c>
      <c r="AU535" s="81"/>
      <c r="AV535" s="81"/>
      <c r="AW535" s="81"/>
      <c r="AX535" s="81"/>
      <c r="AY535" s="81"/>
      <c r="AZ535" s="81"/>
      <c r="BA535" s="81"/>
      <c r="BB535" s="81"/>
    </row>
    <row r="536" spans="1:54" x14ac:dyDescent="0.35">
      <c r="A536" s="66" t="s">
        <v>520</v>
      </c>
      <c r="B536" s="66" t="s">
        <v>1055</v>
      </c>
      <c r="C536" s="67"/>
      <c r="D536" s="68"/>
      <c r="E536" s="69"/>
      <c r="F536" s="70"/>
      <c r="G536" s="67"/>
      <c r="H536" s="71"/>
      <c r="I536" s="72"/>
      <c r="J536" s="72"/>
      <c r="K536" s="36"/>
      <c r="L536" s="79"/>
      <c r="M536" s="79"/>
      <c r="N536" s="74"/>
      <c r="O536" s="81" t="s">
        <v>1207</v>
      </c>
      <c r="P536" s="83">
        <v>44460.381516203706</v>
      </c>
      <c r="Q536" s="81" t="s">
        <v>1324</v>
      </c>
      <c r="R536" s="81"/>
      <c r="S536" s="81"/>
      <c r="T536" s="81"/>
      <c r="U536" s="85" t="str">
        <f>HYPERLINK("https://pbs.twimg.com/media/E_xVJy2VQAQerFe.jpg")</f>
        <v>https://pbs.twimg.com/media/E_xVJy2VQAQerFe.jpg</v>
      </c>
      <c r="V536" s="85" t="str">
        <f>HYPERLINK("https://pbs.twimg.com/media/E_xVJy2VQAQerFe.jpg")</f>
        <v>https://pbs.twimg.com/media/E_xVJy2VQAQerFe.jpg</v>
      </c>
      <c r="W536" s="83">
        <v>44460.381516203706</v>
      </c>
      <c r="X536" s="89">
        <v>44460</v>
      </c>
      <c r="Y536" s="87" t="s">
        <v>2113</v>
      </c>
      <c r="Z536" s="85" t="str">
        <f>HYPERLINK("https://twitter.com/tobatsaat/status/1440241739055329287")</f>
        <v>https://twitter.com/tobatsaat/status/1440241739055329287</v>
      </c>
      <c r="AA536" s="81"/>
      <c r="AB536" s="81"/>
      <c r="AC536" s="87" t="s">
        <v>3037</v>
      </c>
      <c r="AD536" s="81"/>
      <c r="AE536" s="81" t="b">
        <v>0</v>
      </c>
      <c r="AF536" s="81">
        <v>0</v>
      </c>
      <c r="AG536" s="87" t="s">
        <v>3875</v>
      </c>
      <c r="AH536" s="81" t="b">
        <v>0</v>
      </c>
      <c r="AI536" s="81" t="s">
        <v>4092</v>
      </c>
      <c r="AJ536" s="81"/>
      <c r="AK536" s="87" t="s">
        <v>3875</v>
      </c>
      <c r="AL536" s="81" t="b">
        <v>0</v>
      </c>
      <c r="AM536" s="81">
        <v>321</v>
      </c>
      <c r="AN536" s="87" t="s">
        <v>3520</v>
      </c>
      <c r="AO536" s="87" t="s">
        <v>4109</v>
      </c>
      <c r="AP536" s="81" t="b">
        <v>0</v>
      </c>
      <c r="AQ536" s="87" t="s">
        <v>3520</v>
      </c>
      <c r="AR536" s="81" t="s">
        <v>179</v>
      </c>
      <c r="AS536" s="81">
        <v>0</v>
      </c>
      <c r="AT536" s="81">
        <v>0</v>
      </c>
      <c r="AU536" s="81"/>
      <c r="AV536" s="81"/>
      <c r="AW536" s="81"/>
      <c r="AX536" s="81"/>
      <c r="AY536" s="81"/>
      <c r="AZ536" s="81"/>
      <c r="BA536" s="81"/>
      <c r="BB536" s="81"/>
    </row>
    <row r="537" spans="1:54" x14ac:dyDescent="0.35">
      <c r="A537" s="66" t="s">
        <v>520</v>
      </c>
      <c r="B537" s="66" t="s">
        <v>910</v>
      </c>
      <c r="C537" s="67"/>
      <c r="D537" s="68"/>
      <c r="E537" s="69"/>
      <c r="F537" s="70"/>
      <c r="G537" s="67"/>
      <c r="H537" s="71"/>
      <c r="I537" s="72"/>
      <c r="J537" s="72"/>
      <c r="K537" s="36"/>
      <c r="L537" s="79"/>
      <c r="M537" s="79"/>
      <c r="N537" s="74"/>
      <c r="O537" s="81" t="s">
        <v>1205</v>
      </c>
      <c r="P537" s="83">
        <v>44460.381516203706</v>
      </c>
      <c r="Q537" s="81" t="s">
        <v>1324</v>
      </c>
      <c r="R537" s="81"/>
      <c r="S537" s="81"/>
      <c r="T537" s="81"/>
      <c r="U537" s="85" t="str">
        <f>HYPERLINK("https://pbs.twimg.com/media/E_xVJy2VQAQerFe.jpg")</f>
        <v>https://pbs.twimg.com/media/E_xVJy2VQAQerFe.jpg</v>
      </c>
      <c r="V537" s="85" t="str">
        <f>HYPERLINK("https://pbs.twimg.com/media/E_xVJy2VQAQerFe.jpg")</f>
        <v>https://pbs.twimg.com/media/E_xVJy2VQAQerFe.jpg</v>
      </c>
      <c r="W537" s="83">
        <v>44460.381516203706</v>
      </c>
      <c r="X537" s="89">
        <v>44460</v>
      </c>
      <c r="Y537" s="87" t="s">
        <v>2113</v>
      </c>
      <c r="Z537" s="85" t="str">
        <f>HYPERLINK("https://twitter.com/tobatsaat/status/1440241739055329287")</f>
        <v>https://twitter.com/tobatsaat/status/1440241739055329287</v>
      </c>
      <c r="AA537" s="81"/>
      <c r="AB537" s="81"/>
      <c r="AC537" s="87" t="s">
        <v>3037</v>
      </c>
      <c r="AD537" s="81"/>
      <c r="AE537" s="81" t="b">
        <v>0</v>
      </c>
      <c r="AF537" s="81">
        <v>0</v>
      </c>
      <c r="AG537" s="87" t="s">
        <v>3875</v>
      </c>
      <c r="AH537" s="81" t="b">
        <v>0</v>
      </c>
      <c r="AI537" s="81" t="s">
        <v>4092</v>
      </c>
      <c r="AJ537" s="81"/>
      <c r="AK537" s="87" t="s">
        <v>3875</v>
      </c>
      <c r="AL537" s="81" t="b">
        <v>0</v>
      </c>
      <c r="AM537" s="81">
        <v>321</v>
      </c>
      <c r="AN537" s="87" t="s">
        <v>3520</v>
      </c>
      <c r="AO537" s="87" t="s">
        <v>4109</v>
      </c>
      <c r="AP537" s="81" t="b">
        <v>0</v>
      </c>
      <c r="AQ537" s="87" t="s">
        <v>3520</v>
      </c>
      <c r="AR537" s="81" t="s">
        <v>179</v>
      </c>
      <c r="AS537" s="81">
        <v>0</v>
      </c>
      <c r="AT537" s="81">
        <v>0</v>
      </c>
      <c r="AU537" s="81"/>
      <c r="AV537" s="81"/>
      <c r="AW537" s="81"/>
      <c r="AX537" s="81"/>
      <c r="AY537" s="81"/>
      <c r="AZ537" s="81"/>
      <c r="BA537" s="81"/>
      <c r="BB537" s="81"/>
    </row>
    <row r="538" spans="1:54" x14ac:dyDescent="0.35">
      <c r="A538" s="66" t="s">
        <v>521</v>
      </c>
      <c r="B538" s="66" t="s">
        <v>1055</v>
      </c>
      <c r="C538" s="67"/>
      <c r="D538" s="68"/>
      <c r="E538" s="69"/>
      <c r="F538" s="70"/>
      <c r="G538" s="67"/>
      <c r="H538" s="71"/>
      <c r="I538" s="72"/>
      <c r="J538" s="72"/>
      <c r="K538" s="36"/>
      <c r="L538" s="79"/>
      <c r="M538" s="79"/>
      <c r="N538" s="74"/>
      <c r="O538" s="81" t="s">
        <v>1207</v>
      </c>
      <c r="P538" s="83">
        <v>44460.386643518519</v>
      </c>
      <c r="Q538" s="81" t="s">
        <v>1324</v>
      </c>
      <c r="R538" s="81"/>
      <c r="S538" s="81"/>
      <c r="T538" s="81"/>
      <c r="U538" s="85" t="str">
        <f>HYPERLINK("https://pbs.twimg.com/media/E_xVJy2VQAQerFe.jpg")</f>
        <v>https://pbs.twimg.com/media/E_xVJy2VQAQerFe.jpg</v>
      </c>
      <c r="V538" s="85" t="str">
        <f>HYPERLINK("https://pbs.twimg.com/media/E_xVJy2VQAQerFe.jpg")</f>
        <v>https://pbs.twimg.com/media/E_xVJy2VQAQerFe.jpg</v>
      </c>
      <c r="W538" s="83">
        <v>44460.386643518519</v>
      </c>
      <c r="X538" s="89">
        <v>44460</v>
      </c>
      <c r="Y538" s="87" t="s">
        <v>2114</v>
      </c>
      <c r="Z538" s="85" t="str">
        <f>HYPERLINK("https://twitter.com/ujkomar/status/1440243598037962756")</f>
        <v>https://twitter.com/ujkomar/status/1440243598037962756</v>
      </c>
      <c r="AA538" s="81"/>
      <c r="AB538" s="81"/>
      <c r="AC538" s="87" t="s">
        <v>3038</v>
      </c>
      <c r="AD538" s="81"/>
      <c r="AE538" s="81" t="b">
        <v>0</v>
      </c>
      <c r="AF538" s="81">
        <v>0</v>
      </c>
      <c r="AG538" s="87" t="s">
        <v>3875</v>
      </c>
      <c r="AH538" s="81" t="b">
        <v>0</v>
      </c>
      <c r="AI538" s="81" t="s">
        <v>4092</v>
      </c>
      <c r="AJ538" s="81"/>
      <c r="AK538" s="87" t="s">
        <v>3875</v>
      </c>
      <c r="AL538" s="81" t="b">
        <v>0</v>
      </c>
      <c r="AM538" s="81">
        <v>321</v>
      </c>
      <c r="AN538" s="87" t="s">
        <v>3520</v>
      </c>
      <c r="AO538" s="87" t="s">
        <v>4109</v>
      </c>
      <c r="AP538" s="81" t="b">
        <v>0</v>
      </c>
      <c r="AQ538" s="87" t="s">
        <v>3520</v>
      </c>
      <c r="AR538" s="81" t="s">
        <v>179</v>
      </c>
      <c r="AS538" s="81">
        <v>0</v>
      </c>
      <c r="AT538" s="81">
        <v>0</v>
      </c>
      <c r="AU538" s="81"/>
      <c r="AV538" s="81"/>
      <c r="AW538" s="81"/>
      <c r="AX538" s="81"/>
      <c r="AY538" s="81"/>
      <c r="AZ538" s="81"/>
      <c r="BA538" s="81"/>
      <c r="BB538" s="81"/>
    </row>
    <row r="539" spans="1:54" x14ac:dyDescent="0.35">
      <c r="A539" s="66" t="s">
        <v>521</v>
      </c>
      <c r="B539" s="66" t="s">
        <v>910</v>
      </c>
      <c r="C539" s="67"/>
      <c r="D539" s="68"/>
      <c r="E539" s="69"/>
      <c r="F539" s="70"/>
      <c r="G539" s="67"/>
      <c r="H539" s="71"/>
      <c r="I539" s="72"/>
      <c r="J539" s="72"/>
      <c r="K539" s="36"/>
      <c r="L539" s="79"/>
      <c r="M539" s="79"/>
      <c r="N539" s="74"/>
      <c r="O539" s="81" t="s">
        <v>1205</v>
      </c>
      <c r="P539" s="83">
        <v>44460.386643518519</v>
      </c>
      <c r="Q539" s="81" t="s">
        <v>1324</v>
      </c>
      <c r="R539" s="81"/>
      <c r="S539" s="81"/>
      <c r="T539" s="81"/>
      <c r="U539" s="85" t="str">
        <f>HYPERLINK("https://pbs.twimg.com/media/E_xVJy2VQAQerFe.jpg")</f>
        <v>https://pbs.twimg.com/media/E_xVJy2VQAQerFe.jpg</v>
      </c>
      <c r="V539" s="85" t="str">
        <f>HYPERLINK("https://pbs.twimg.com/media/E_xVJy2VQAQerFe.jpg")</f>
        <v>https://pbs.twimg.com/media/E_xVJy2VQAQerFe.jpg</v>
      </c>
      <c r="W539" s="83">
        <v>44460.386643518519</v>
      </c>
      <c r="X539" s="89">
        <v>44460</v>
      </c>
      <c r="Y539" s="87" t="s">
        <v>2114</v>
      </c>
      <c r="Z539" s="85" t="str">
        <f>HYPERLINK("https://twitter.com/ujkomar/status/1440243598037962756")</f>
        <v>https://twitter.com/ujkomar/status/1440243598037962756</v>
      </c>
      <c r="AA539" s="81"/>
      <c r="AB539" s="81"/>
      <c r="AC539" s="87" t="s">
        <v>3038</v>
      </c>
      <c r="AD539" s="81"/>
      <c r="AE539" s="81" t="b">
        <v>0</v>
      </c>
      <c r="AF539" s="81">
        <v>0</v>
      </c>
      <c r="AG539" s="87" t="s">
        <v>3875</v>
      </c>
      <c r="AH539" s="81" t="b">
        <v>0</v>
      </c>
      <c r="AI539" s="81" t="s">
        <v>4092</v>
      </c>
      <c r="AJ539" s="81"/>
      <c r="AK539" s="87" t="s">
        <v>3875</v>
      </c>
      <c r="AL539" s="81" t="b">
        <v>0</v>
      </c>
      <c r="AM539" s="81">
        <v>321</v>
      </c>
      <c r="AN539" s="87" t="s">
        <v>3520</v>
      </c>
      <c r="AO539" s="87" t="s">
        <v>4109</v>
      </c>
      <c r="AP539" s="81" t="b">
        <v>0</v>
      </c>
      <c r="AQ539" s="87" t="s">
        <v>3520</v>
      </c>
      <c r="AR539" s="81" t="s">
        <v>179</v>
      </c>
      <c r="AS539" s="81">
        <v>0</v>
      </c>
      <c r="AT539" s="81">
        <v>0</v>
      </c>
      <c r="AU539" s="81"/>
      <c r="AV539" s="81"/>
      <c r="AW539" s="81"/>
      <c r="AX539" s="81"/>
      <c r="AY539" s="81"/>
      <c r="AZ539" s="81"/>
      <c r="BA539" s="81"/>
      <c r="BB539" s="81"/>
    </row>
    <row r="540" spans="1:54" x14ac:dyDescent="0.35">
      <c r="A540" s="66" t="s">
        <v>522</v>
      </c>
      <c r="B540" s="66" t="s">
        <v>1055</v>
      </c>
      <c r="C540" s="67"/>
      <c r="D540" s="68"/>
      <c r="E540" s="69"/>
      <c r="F540" s="70"/>
      <c r="G540" s="67"/>
      <c r="H540" s="71"/>
      <c r="I540" s="72"/>
      <c r="J540" s="72"/>
      <c r="K540" s="36"/>
      <c r="L540" s="79"/>
      <c r="M540" s="79"/>
      <c r="N540" s="74"/>
      <c r="O540" s="81" t="s">
        <v>1207</v>
      </c>
      <c r="P540" s="83">
        <v>44460.389386574076</v>
      </c>
      <c r="Q540" s="81" t="s">
        <v>1324</v>
      </c>
      <c r="R540" s="81"/>
      <c r="S540" s="81"/>
      <c r="T540" s="81"/>
      <c r="U540" s="85" t="str">
        <f>HYPERLINK("https://pbs.twimg.com/media/E_xVJy2VQAQerFe.jpg")</f>
        <v>https://pbs.twimg.com/media/E_xVJy2VQAQerFe.jpg</v>
      </c>
      <c r="V540" s="85" t="str">
        <f>HYPERLINK("https://pbs.twimg.com/media/E_xVJy2VQAQerFe.jpg")</f>
        <v>https://pbs.twimg.com/media/E_xVJy2VQAQerFe.jpg</v>
      </c>
      <c r="W540" s="83">
        <v>44460.389386574076</v>
      </c>
      <c r="X540" s="89">
        <v>44460</v>
      </c>
      <c r="Y540" s="87" t="s">
        <v>2115</v>
      </c>
      <c r="Z540" s="85" t="str">
        <f>HYPERLINK("https://twitter.com/edyss05/status/1440244590833909771")</f>
        <v>https://twitter.com/edyss05/status/1440244590833909771</v>
      </c>
      <c r="AA540" s="81"/>
      <c r="AB540" s="81"/>
      <c r="AC540" s="87" t="s">
        <v>3039</v>
      </c>
      <c r="AD540" s="81"/>
      <c r="AE540" s="81" t="b">
        <v>0</v>
      </c>
      <c r="AF540" s="81">
        <v>0</v>
      </c>
      <c r="AG540" s="87" t="s">
        <v>3875</v>
      </c>
      <c r="AH540" s="81" t="b">
        <v>0</v>
      </c>
      <c r="AI540" s="81" t="s">
        <v>4092</v>
      </c>
      <c r="AJ540" s="81"/>
      <c r="AK540" s="87" t="s">
        <v>3875</v>
      </c>
      <c r="AL540" s="81" t="b">
        <v>0</v>
      </c>
      <c r="AM540" s="81">
        <v>321</v>
      </c>
      <c r="AN540" s="87" t="s">
        <v>3520</v>
      </c>
      <c r="AO540" s="87" t="s">
        <v>4110</v>
      </c>
      <c r="AP540" s="81" t="b">
        <v>0</v>
      </c>
      <c r="AQ540" s="87" t="s">
        <v>3520</v>
      </c>
      <c r="AR540" s="81" t="s">
        <v>179</v>
      </c>
      <c r="AS540" s="81">
        <v>0</v>
      </c>
      <c r="AT540" s="81">
        <v>0</v>
      </c>
      <c r="AU540" s="81"/>
      <c r="AV540" s="81"/>
      <c r="AW540" s="81"/>
      <c r="AX540" s="81"/>
      <c r="AY540" s="81"/>
      <c r="AZ540" s="81"/>
      <c r="BA540" s="81"/>
      <c r="BB540" s="81"/>
    </row>
    <row r="541" spans="1:54" x14ac:dyDescent="0.35">
      <c r="A541" s="66" t="s">
        <v>522</v>
      </c>
      <c r="B541" s="66" t="s">
        <v>910</v>
      </c>
      <c r="C541" s="67"/>
      <c r="D541" s="68"/>
      <c r="E541" s="69"/>
      <c r="F541" s="70"/>
      <c r="G541" s="67"/>
      <c r="H541" s="71"/>
      <c r="I541" s="72"/>
      <c r="J541" s="72"/>
      <c r="K541" s="36"/>
      <c r="L541" s="79"/>
      <c r="M541" s="79"/>
      <c r="N541" s="74"/>
      <c r="O541" s="81" t="s">
        <v>1205</v>
      </c>
      <c r="P541" s="83">
        <v>44460.389386574076</v>
      </c>
      <c r="Q541" s="81" t="s">
        <v>1324</v>
      </c>
      <c r="R541" s="81"/>
      <c r="S541" s="81"/>
      <c r="T541" s="81"/>
      <c r="U541" s="85" t="str">
        <f>HYPERLINK("https://pbs.twimg.com/media/E_xVJy2VQAQerFe.jpg")</f>
        <v>https://pbs.twimg.com/media/E_xVJy2VQAQerFe.jpg</v>
      </c>
      <c r="V541" s="85" t="str">
        <f>HYPERLINK("https://pbs.twimg.com/media/E_xVJy2VQAQerFe.jpg")</f>
        <v>https://pbs.twimg.com/media/E_xVJy2VQAQerFe.jpg</v>
      </c>
      <c r="W541" s="83">
        <v>44460.389386574076</v>
      </c>
      <c r="X541" s="89">
        <v>44460</v>
      </c>
      <c r="Y541" s="87" t="s">
        <v>2115</v>
      </c>
      <c r="Z541" s="85" t="str">
        <f>HYPERLINK("https://twitter.com/edyss05/status/1440244590833909771")</f>
        <v>https://twitter.com/edyss05/status/1440244590833909771</v>
      </c>
      <c r="AA541" s="81"/>
      <c r="AB541" s="81"/>
      <c r="AC541" s="87" t="s">
        <v>3039</v>
      </c>
      <c r="AD541" s="81"/>
      <c r="AE541" s="81" t="b">
        <v>0</v>
      </c>
      <c r="AF541" s="81">
        <v>0</v>
      </c>
      <c r="AG541" s="87" t="s">
        <v>3875</v>
      </c>
      <c r="AH541" s="81" t="b">
        <v>0</v>
      </c>
      <c r="AI541" s="81" t="s">
        <v>4092</v>
      </c>
      <c r="AJ541" s="81"/>
      <c r="AK541" s="87" t="s">
        <v>3875</v>
      </c>
      <c r="AL541" s="81" t="b">
        <v>0</v>
      </c>
      <c r="AM541" s="81">
        <v>321</v>
      </c>
      <c r="AN541" s="87" t="s">
        <v>3520</v>
      </c>
      <c r="AO541" s="87" t="s">
        <v>4110</v>
      </c>
      <c r="AP541" s="81" t="b">
        <v>0</v>
      </c>
      <c r="AQ541" s="87" t="s">
        <v>3520</v>
      </c>
      <c r="AR541" s="81" t="s">
        <v>179</v>
      </c>
      <c r="AS541" s="81">
        <v>0</v>
      </c>
      <c r="AT541" s="81">
        <v>0</v>
      </c>
      <c r="AU541" s="81"/>
      <c r="AV541" s="81"/>
      <c r="AW541" s="81"/>
      <c r="AX541" s="81"/>
      <c r="AY541" s="81"/>
      <c r="AZ541" s="81"/>
      <c r="BA541" s="81"/>
      <c r="BB541" s="81"/>
    </row>
    <row r="542" spans="1:54" x14ac:dyDescent="0.35">
      <c r="A542" s="66" t="s">
        <v>523</v>
      </c>
      <c r="B542" s="66" t="s">
        <v>1055</v>
      </c>
      <c r="C542" s="67"/>
      <c r="D542" s="68"/>
      <c r="E542" s="69"/>
      <c r="F542" s="70"/>
      <c r="G542" s="67"/>
      <c r="H542" s="71"/>
      <c r="I542" s="72"/>
      <c r="J542" s="72"/>
      <c r="K542" s="36"/>
      <c r="L542" s="79"/>
      <c r="M542" s="79"/>
      <c r="N542" s="74"/>
      <c r="O542" s="81" t="s">
        <v>1207</v>
      </c>
      <c r="P542" s="83">
        <v>44460.389652777776</v>
      </c>
      <c r="Q542" s="81" t="s">
        <v>1324</v>
      </c>
      <c r="R542" s="81"/>
      <c r="S542" s="81"/>
      <c r="T542" s="81"/>
      <c r="U542" s="85" t="str">
        <f>HYPERLINK("https://pbs.twimg.com/media/E_xVJy2VQAQerFe.jpg")</f>
        <v>https://pbs.twimg.com/media/E_xVJy2VQAQerFe.jpg</v>
      </c>
      <c r="V542" s="85" t="str">
        <f>HYPERLINK("https://pbs.twimg.com/media/E_xVJy2VQAQerFe.jpg")</f>
        <v>https://pbs.twimg.com/media/E_xVJy2VQAQerFe.jpg</v>
      </c>
      <c r="W542" s="83">
        <v>44460.389652777776</v>
      </c>
      <c r="X542" s="89">
        <v>44460</v>
      </c>
      <c r="Y542" s="87" t="s">
        <v>2116</v>
      </c>
      <c r="Z542" s="85" t="str">
        <f>HYPERLINK("https://twitter.com/benny_moewi/status/1440244688372436998")</f>
        <v>https://twitter.com/benny_moewi/status/1440244688372436998</v>
      </c>
      <c r="AA542" s="81"/>
      <c r="AB542" s="81"/>
      <c r="AC542" s="87" t="s">
        <v>3040</v>
      </c>
      <c r="AD542" s="81"/>
      <c r="AE542" s="81" t="b">
        <v>0</v>
      </c>
      <c r="AF542" s="81">
        <v>0</v>
      </c>
      <c r="AG542" s="87" t="s">
        <v>3875</v>
      </c>
      <c r="AH542" s="81" t="b">
        <v>0</v>
      </c>
      <c r="AI542" s="81" t="s">
        <v>4092</v>
      </c>
      <c r="AJ542" s="81"/>
      <c r="AK542" s="87" t="s">
        <v>3875</v>
      </c>
      <c r="AL542" s="81" t="b">
        <v>0</v>
      </c>
      <c r="AM542" s="81">
        <v>321</v>
      </c>
      <c r="AN542" s="87" t="s">
        <v>3520</v>
      </c>
      <c r="AO542" s="87" t="s">
        <v>4109</v>
      </c>
      <c r="AP542" s="81" t="b">
        <v>0</v>
      </c>
      <c r="AQ542" s="87" t="s">
        <v>3520</v>
      </c>
      <c r="AR542" s="81" t="s">
        <v>179</v>
      </c>
      <c r="AS542" s="81">
        <v>0</v>
      </c>
      <c r="AT542" s="81">
        <v>0</v>
      </c>
      <c r="AU542" s="81"/>
      <c r="AV542" s="81"/>
      <c r="AW542" s="81"/>
      <c r="AX542" s="81"/>
      <c r="AY542" s="81"/>
      <c r="AZ542" s="81"/>
      <c r="BA542" s="81"/>
      <c r="BB542" s="81"/>
    </row>
    <row r="543" spans="1:54" x14ac:dyDescent="0.35">
      <c r="A543" s="66" t="s">
        <v>523</v>
      </c>
      <c r="B543" s="66" t="s">
        <v>910</v>
      </c>
      <c r="C543" s="67"/>
      <c r="D543" s="68"/>
      <c r="E543" s="69"/>
      <c r="F543" s="70"/>
      <c r="G543" s="67"/>
      <c r="H543" s="71"/>
      <c r="I543" s="72"/>
      <c r="J543" s="72"/>
      <c r="K543" s="36"/>
      <c r="L543" s="79"/>
      <c r="M543" s="79"/>
      <c r="N543" s="74"/>
      <c r="O543" s="81" t="s">
        <v>1205</v>
      </c>
      <c r="P543" s="83">
        <v>44460.389652777776</v>
      </c>
      <c r="Q543" s="81" t="s">
        <v>1324</v>
      </c>
      <c r="R543" s="81"/>
      <c r="S543" s="81"/>
      <c r="T543" s="81"/>
      <c r="U543" s="85" t="str">
        <f>HYPERLINK("https://pbs.twimg.com/media/E_xVJy2VQAQerFe.jpg")</f>
        <v>https://pbs.twimg.com/media/E_xVJy2VQAQerFe.jpg</v>
      </c>
      <c r="V543" s="85" t="str">
        <f>HYPERLINK("https://pbs.twimg.com/media/E_xVJy2VQAQerFe.jpg")</f>
        <v>https://pbs.twimg.com/media/E_xVJy2VQAQerFe.jpg</v>
      </c>
      <c r="W543" s="83">
        <v>44460.389652777776</v>
      </c>
      <c r="X543" s="89">
        <v>44460</v>
      </c>
      <c r="Y543" s="87" t="s">
        <v>2116</v>
      </c>
      <c r="Z543" s="85" t="str">
        <f>HYPERLINK("https://twitter.com/benny_moewi/status/1440244688372436998")</f>
        <v>https://twitter.com/benny_moewi/status/1440244688372436998</v>
      </c>
      <c r="AA543" s="81"/>
      <c r="AB543" s="81"/>
      <c r="AC543" s="87" t="s">
        <v>3040</v>
      </c>
      <c r="AD543" s="81"/>
      <c r="AE543" s="81" t="b">
        <v>0</v>
      </c>
      <c r="AF543" s="81">
        <v>0</v>
      </c>
      <c r="AG543" s="87" t="s">
        <v>3875</v>
      </c>
      <c r="AH543" s="81" t="b">
        <v>0</v>
      </c>
      <c r="AI543" s="81" t="s">
        <v>4092</v>
      </c>
      <c r="AJ543" s="81"/>
      <c r="AK543" s="87" t="s">
        <v>3875</v>
      </c>
      <c r="AL543" s="81" t="b">
        <v>0</v>
      </c>
      <c r="AM543" s="81">
        <v>321</v>
      </c>
      <c r="AN543" s="87" t="s">
        <v>3520</v>
      </c>
      <c r="AO543" s="87" t="s">
        <v>4109</v>
      </c>
      <c r="AP543" s="81" t="b">
        <v>0</v>
      </c>
      <c r="AQ543" s="87" t="s">
        <v>3520</v>
      </c>
      <c r="AR543" s="81" t="s">
        <v>179</v>
      </c>
      <c r="AS543" s="81">
        <v>0</v>
      </c>
      <c r="AT543" s="81">
        <v>0</v>
      </c>
      <c r="AU543" s="81"/>
      <c r="AV543" s="81"/>
      <c r="AW543" s="81"/>
      <c r="AX543" s="81"/>
      <c r="AY543" s="81"/>
      <c r="AZ543" s="81"/>
      <c r="BA543" s="81"/>
      <c r="BB543" s="81"/>
    </row>
    <row r="544" spans="1:54" x14ac:dyDescent="0.35">
      <c r="A544" s="66" t="s">
        <v>524</v>
      </c>
      <c r="B544" s="66" t="s">
        <v>1055</v>
      </c>
      <c r="C544" s="67"/>
      <c r="D544" s="68"/>
      <c r="E544" s="69"/>
      <c r="F544" s="70"/>
      <c r="G544" s="67"/>
      <c r="H544" s="71"/>
      <c r="I544" s="72"/>
      <c r="J544" s="72"/>
      <c r="K544" s="36"/>
      <c r="L544" s="79"/>
      <c r="M544" s="79"/>
      <c r="N544" s="74"/>
      <c r="O544" s="81" t="s">
        <v>1207</v>
      </c>
      <c r="P544" s="83">
        <v>44460.398854166669</v>
      </c>
      <c r="Q544" s="81" t="s">
        <v>1324</v>
      </c>
      <c r="R544" s="81"/>
      <c r="S544" s="81"/>
      <c r="T544" s="81"/>
      <c r="U544" s="85" t="str">
        <f>HYPERLINK("https://pbs.twimg.com/media/E_xVJy2VQAQerFe.jpg")</f>
        <v>https://pbs.twimg.com/media/E_xVJy2VQAQerFe.jpg</v>
      </c>
      <c r="V544" s="85" t="str">
        <f>HYPERLINK("https://pbs.twimg.com/media/E_xVJy2VQAQerFe.jpg")</f>
        <v>https://pbs.twimg.com/media/E_xVJy2VQAQerFe.jpg</v>
      </c>
      <c r="W544" s="83">
        <v>44460.398854166669</v>
      </c>
      <c r="X544" s="89">
        <v>44460</v>
      </c>
      <c r="Y544" s="87" t="s">
        <v>2117</v>
      </c>
      <c r="Z544" s="85" t="str">
        <f>HYPERLINK("https://twitter.com/hadisang70/status/1440248022508589066")</f>
        <v>https://twitter.com/hadisang70/status/1440248022508589066</v>
      </c>
      <c r="AA544" s="81"/>
      <c r="AB544" s="81"/>
      <c r="AC544" s="87" t="s">
        <v>3041</v>
      </c>
      <c r="AD544" s="81"/>
      <c r="AE544" s="81" t="b">
        <v>0</v>
      </c>
      <c r="AF544" s="81">
        <v>0</v>
      </c>
      <c r="AG544" s="87" t="s">
        <v>3875</v>
      </c>
      <c r="AH544" s="81" t="b">
        <v>0</v>
      </c>
      <c r="AI544" s="81" t="s">
        <v>4092</v>
      </c>
      <c r="AJ544" s="81"/>
      <c r="AK544" s="87" t="s">
        <v>3875</v>
      </c>
      <c r="AL544" s="81" t="b">
        <v>0</v>
      </c>
      <c r="AM544" s="81">
        <v>321</v>
      </c>
      <c r="AN544" s="87" t="s">
        <v>3520</v>
      </c>
      <c r="AO544" s="87" t="s">
        <v>4109</v>
      </c>
      <c r="AP544" s="81" t="b">
        <v>0</v>
      </c>
      <c r="AQ544" s="87" t="s">
        <v>3520</v>
      </c>
      <c r="AR544" s="81" t="s">
        <v>179</v>
      </c>
      <c r="AS544" s="81">
        <v>0</v>
      </c>
      <c r="AT544" s="81">
        <v>0</v>
      </c>
      <c r="AU544" s="81"/>
      <c r="AV544" s="81"/>
      <c r="AW544" s="81"/>
      <c r="AX544" s="81"/>
      <c r="AY544" s="81"/>
      <c r="AZ544" s="81"/>
      <c r="BA544" s="81"/>
      <c r="BB544" s="81"/>
    </row>
    <row r="545" spans="1:54" x14ac:dyDescent="0.35">
      <c r="A545" s="66" t="s">
        <v>524</v>
      </c>
      <c r="B545" s="66" t="s">
        <v>910</v>
      </c>
      <c r="C545" s="67"/>
      <c r="D545" s="68"/>
      <c r="E545" s="69"/>
      <c r="F545" s="70"/>
      <c r="G545" s="67"/>
      <c r="H545" s="71"/>
      <c r="I545" s="72"/>
      <c r="J545" s="72"/>
      <c r="K545" s="36"/>
      <c r="L545" s="79"/>
      <c r="M545" s="79"/>
      <c r="N545" s="74"/>
      <c r="O545" s="81" t="s">
        <v>1205</v>
      </c>
      <c r="P545" s="83">
        <v>44460.398854166669</v>
      </c>
      <c r="Q545" s="81" t="s">
        <v>1324</v>
      </c>
      <c r="R545" s="81"/>
      <c r="S545" s="81"/>
      <c r="T545" s="81"/>
      <c r="U545" s="85" t="str">
        <f>HYPERLINK("https://pbs.twimg.com/media/E_xVJy2VQAQerFe.jpg")</f>
        <v>https://pbs.twimg.com/media/E_xVJy2VQAQerFe.jpg</v>
      </c>
      <c r="V545" s="85" t="str">
        <f>HYPERLINK("https://pbs.twimg.com/media/E_xVJy2VQAQerFe.jpg")</f>
        <v>https://pbs.twimg.com/media/E_xVJy2VQAQerFe.jpg</v>
      </c>
      <c r="W545" s="83">
        <v>44460.398854166669</v>
      </c>
      <c r="X545" s="89">
        <v>44460</v>
      </c>
      <c r="Y545" s="87" t="s">
        <v>2117</v>
      </c>
      <c r="Z545" s="85" t="str">
        <f>HYPERLINK("https://twitter.com/hadisang70/status/1440248022508589066")</f>
        <v>https://twitter.com/hadisang70/status/1440248022508589066</v>
      </c>
      <c r="AA545" s="81"/>
      <c r="AB545" s="81"/>
      <c r="AC545" s="87" t="s">
        <v>3041</v>
      </c>
      <c r="AD545" s="81"/>
      <c r="AE545" s="81" t="b">
        <v>0</v>
      </c>
      <c r="AF545" s="81">
        <v>0</v>
      </c>
      <c r="AG545" s="87" t="s">
        <v>3875</v>
      </c>
      <c r="AH545" s="81" t="b">
        <v>0</v>
      </c>
      <c r="AI545" s="81" t="s">
        <v>4092</v>
      </c>
      <c r="AJ545" s="81"/>
      <c r="AK545" s="87" t="s">
        <v>3875</v>
      </c>
      <c r="AL545" s="81" t="b">
        <v>0</v>
      </c>
      <c r="AM545" s="81">
        <v>321</v>
      </c>
      <c r="AN545" s="87" t="s">
        <v>3520</v>
      </c>
      <c r="AO545" s="87" t="s">
        <v>4109</v>
      </c>
      <c r="AP545" s="81" t="b">
        <v>0</v>
      </c>
      <c r="AQ545" s="87" t="s">
        <v>3520</v>
      </c>
      <c r="AR545" s="81" t="s">
        <v>179</v>
      </c>
      <c r="AS545" s="81">
        <v>0</v>
      </c>
      <c r="AT545" s="81">
        <v>0</v>
      </c>
      <c r="AU545" s="81"/>
      <c r="AV545" s="81"/>
      <c r="AW545" s="81"/>
      <c r="AX545" s="81"/>
      <c r="AY545" s="81"/>
      <c r="AZ545" s="81"/>
      <c r="BA545" s="81"/>
      <c r="BB545" s="81"/>
    </row>
    <row r="546" spans="1:54" x14ac:dyDescent="0.35">
      <c r="A546" s="66" t="s">
        <v>525</v>
      </c>
      <c r="B546" s="66" t="s">
        <v>1055</v>
      </c>
      <c r="C546" s="67"/>
      <c r="D546" s="68"/>
      <c r="E546" s="69"/>
      <c r="F546" s="70"/>
      <c r="G546" s="67"/>
      <c r="H546" s="71"/>
      <c r="I546" s="72"/>
      <c r="J546" s="72"/>
      <c r="K546" s="36"/>
      <c r="L546" s="79"/>
      <c r="M546" s="79"/>
      <c r="N546" s="74"/>
      <c r="O546" s="81" t="s">
        <v>1207</v>
      </c>
      <c r="P546" s="83">
        <v>44460.40184027778</v>
      </c>
      <c r="Q546" s="81" t="s">
        <v>1324</v>
      </c>
      <c r="R546" s="81"/>
      <c r="S546" s="81"/>
      <c r="T546" s="81"/>
      <c r="U546" s="85" t="str">
        <f>HYPERLINK("https://pbs.twimg.com/media/E_xVJy2VQAQerFe.jpg")</f>
        <v>https://pbs.twimg.com/media/E_xVJy2VQAQerFe.jpg</v>
      </c>
      <c r="V546" s="85" t="str">
        <f>HYPERLINK("https://pbs.twimg.com/media/E_xVJy2VQAQerFe.jpg")</f>
        <v>https://pbs.twimg.com/media/E_xVJy2VQAQerFe.jpg</v>
      </c>
      <c r="W546" s="83">
        <v>44460.40184027778</v>
      </c>
      <c r="X546" s="89">
        <v>44460</v>
      </c>
      <c r="Y546" s="87" t="s">
        <v>2118</v>
      </c>
      <c r="Z546" s="85" t="str">
        <f>HYPERLINK("https://twitter.com/fajarfirhadi/status/1440249103842086912")</f>
        <v>https://twitter.com/fajarfirhadi/status/1440249103842086912</v>
      </c>
      <c r="AA546" s="81"/>
      <c r="AB546" s="81"/>
      <c r="AC546" s="87" t="s">
        <v>3042</v>
      </c>
      <c r="AD546" s="81"/>
      <c r="AE546" s="81" t="b">
        <v>0</v>
      </c>
      <c r="AF546" s="81">
        <v>0</v>
      </c>
      <c r="AG546" s="87" t="s">
        <v>3875</v>
      </c>
      <c r="AH546" s="81" t="b">
        <v>0</v>
      </c>
      <c r="AI546" s="81" t="s">
        <v>4092</v>
      </c>
      <c r="AJ546" s="81"/>
      <c r="AK546" s="87" t="s">
        <v>3875</v>
      </c>
      <c r="AL546" s="81" t="b">
        <v>0</v>
      </c>
      <c r="AM546" s="81">
        <v>321</v>
      </c>
      <c r="AN546" s="87" t="s">
        <v>3520</v>
      </c>
      <c r="AO546" s="87" t="s">
        <v>4109</v>
      </c>
      <c r="AP546" s="81" t="b">
        <v>0</v>
      </c>
      <c r="AQ546" s="87" t="s">
        <v>3520</v>
      </c>
      <c r="AR546" s="81" t="s">
        <v>179</v>
      </c>
      <c r="AS546" s="81">
        <v>0</v>
      </c>
      <c r="AT546" s="81">
        <v>0</v>
      </c>
      <c r="AU546" s="81"/>
      <c r="AV546" s="81"/>
      <c r="AW546" s="81"/>
      <c r="AX546" s="81"/>
      <c r="AY546" s="81"/>
      <c r="AZ546" s="81"/>
      <c r="BA546" s="81"/>
      <c r="BB546" s="81"/>
    </row>
    <row r="547" spans="1:54" x14ac:dyDescent="0.35">
      <c r="A547" s="66" t="s">
        <v>525</v>
      </c>
      <c r="B547" s="66" t="s">
        <v>910</v>
      </c>
      <c r="C547" s="67"/>
      <c r="D547" s="68"/>
      <c r="E547" s="69"/>
      <c r="F547" s="70"/>
      <c r="G547" s="67"/>
      <c r="H547" s="71"/>
      <c r="I547" s="72"/>
      <c r="J547" s="72"/>
      <c r="K547" s="36"/>
      <c r="L547" s="79"/>
      <c r="M547" s="79"/>
      <c r="N547" s="74"/>
      <c r="O547" s="81" t="s">
        <v>1205</v>
      </c>
      <c r="P547" s="83">
        <v>44460.40184027778</v>
      </c>
      <c r="Q547" s="81" t="s">
        <v>1324</v>
      </c>
      <c r="R547" s="81"/>
      <c r="S547" s="81"/>
      <c r="T547" s="81"/>
      <c r="U547" s="85" t="str">
        <f>HYPERLINK("https://pbs.twimg.com/media/E_xVJy2VQAQerFe.jpg")</f>
        <v>https://pbs.twimg.com/media/E_xVJy2VQAQerFe.jpg</v>
      </c>
      <c r="V547" s="85" t="str">
        <f>HYPERLINK("https://pbs.twimg.com/media/E_xVJy2VQAQerFe.jpg")</f>
        <v>https://pbs.twimg.com/media/E_xVJy2VQAQerFe.jpg</v>
      </c>
      <c r="W547" s="83">
        <v>44460.40184027778</v>
      </c>
      <c r="X547" s="89">
        <v>44460</v>
      </c>
      <c r="Y547" s="87" t="s">
        <v>2118</v>
      </c>
      <c r="Z547" s="85" t="str">
        <f>HYPERLINK("https://twitter.com/fajarfirhadi/status/1440249103842086912")</f>
        <v>https://twitter.com/fajarfirhadi/status/1440249103842086912</v>
      </c>
      <c r="AA547" s="81"/>
      <c r="AB547" s="81"/>
      <c r="AC547" s="87" t="s">
        <v>3042</v>
      </c>
      <c r="AD547" s="81"/>
      <c r="AE547" s="81" t="b">
        <v>0</v>
      </c>
      <c r="AF547" s="81">
        <v>0</v>
      </c>
      <c r="AG547" s="87" t="s">
        <v>3875</v>
      </c>
      <c r="AH547" s="81" t="b">
        <v>0</v>
      </c>
      <c r="AI547" s="81" t="s">
        <v>4092</v>
      </c>
      <c r="AJ547" s="81"/>
      <c r="AK547" s="87" t="s">
        <v>3875</v>
      </c>
      <c r="AL547" s="81" t="b">
        <v>0</v>
      </c>
      <c r="AM547" s="81">
        <v>321</v>
      </c>
      <c r="AN547" s="87" t="s">
        <v>3520</v>
      </c>
      <c r="AO547" s="87" t="s">
        <v>4109</v>
      </c>
      <c r="AP547" s="81" t="b">
        <v>0</v>
      </c>
      <c r="AQ547" s="87" t="s">
        <v>3520</v>
      </c>
      <c r="AR547" s="81" t="s">
        <v>179</v>
      </c>
      <c r="AS547" s="81">
        <v>0</v>
      </c>
      <c r="AT547" s="81">
        <v>0</v>
      </c>
      <c r="AU547" s="81"/>
      <c r="AV547" s="81"/>
      <c r="AW547" s="81"/>
      <c r="AX547" s="81"/>
      <c r="AY547" s="81"/>
      <c r="AZ547" s="81"/>
      <c r="BA547" s="81"/>
      <c r="BB547" s="81"/>
    </row>
    <row r="548" spans="1:54" x14ac:dyDescent="0.35">
      <c r="A548" s="66" t="s">
        <v>526</v>
      </c>
      <c r="B548" s="66" t="s">
        <v>1055</v>
      </c>
      <c r="C548" s="67"/>
      <c r="D548" s="68"/>
      <c r="E548" s="69"/>
      <c r="F548" s="70"/>
      <c r="G548" s="67"/>
      <c r="H548" s="71"/>
      <c r="I548" s="72"/>
      <c r="J548" s="72"/>
      <c r="K548" s="36"/>
      <c r="L548" s="79"/>
      <c r="M548" s="79"/>
      <c r="N548" s="74"/>
      <c r="O548" s="81" t="s">
        <v>1207</v>
      </c>
      <c r="P548" s="83">
        <v>44460.402986111112</v>
      </c>
      <c r="Q548" s="81" t="s">
        <v>1324</v>
      </c>
      <c r="R548" s="81"/>
      <c r="S548" s="81"/>
      <c r="T548" s="81"/>
      <c r="U548" s="85" t="str">
        <f>HYPERLINK("https://pbs.twimg.com/media/E_xVJy2VQAQerFe.jpg")</f>
        <v>https://pbs.twimg.com/media/E_xVJy2VQAQerFe.jpg</v>
      </c>
      <c r="V548" s="85" t="str">
        <f>HYPERLINK("https://pbs.twimg.com/media/E_xVJy2VQAQerFe.jpg")</f>
        <v>https://pbs.twimg.com/media/E_xVJy2VQAQerFe.jpg</v>
      </c>
      <c r="W548" s="83">
        <v>44460.402986111112</v>
      </c>
      <c r="X548" s="89">
        <v>44460</v>
      </c>
      <c r="Y548" s="87" t="s">
        <v>2119</v>
      </c>
      <c r="Z548" s="85" t="str">
        <f>HYPERLINK("https://twitter.com/to_w3lly/status/1440249517287215112")</f>
        <v>https://twitter.com/to_w3lly/status/1440249517287215112</v>
      </c>
      <c r="AA548" s="81"/>
      <c r="AB548" s="81"/>
      <c r="AC548" s="87" t="s">
        <v>3043</v>
      </c>
      <c r="AD548" s="81"/>
      <c r="AE548" s="81" t="b">
        <v>0</v>
      </c>
      <c r="AF548" s="81">
        <v>0</v>
      </c>
      <c r="AG548" s="87" t="s">
        <v>3875</v>
      </c>
      <c r="AH548" s="81" t="b">
        <v>0</v>
      </c>
      <c r="AI548" s="81" t="s">
        <v>4092</v>
      </c>
      <c r="AJ548" s="81"/>
      <c r="AK548" s="87" t="s">
        <v>3875</v>
      </c>
      <c r="AL548" s="81" t="b">
        <v>0</v>
      </c>
      <c r="AM548" s="81">
        <v>321</v>
      </c>
      <c r="AN548" s="87" t="s">
        <v>3520</v>
      </c>
      <c r="AO548" s="87" t="s">
        <v>4109</v>
      </c>
      <c r="AP548" s="81" t="b">
        <v>0</v>
      </c>
      <c r="AQ548" s="87" t="s">
        <v>3520</v>
      </c>
      <c r="AR548" s="81" t="s">
        <v>179</v>
      </c>
      <c r="AS548" s="81">
        <v>0</v>
      </c>
      <c r="AT548" s="81">
        <v>0</v>
      </c>
      <c r="AU548" s="81"/>
      <c r="AV548" s="81"/>
      <c r="AW548" s="81"/>
      <c r="AX548" s="81"/>
      <c r="AY548" s="81"/>
      <c r="AZ548" s="81"/>
      <c r="BA548" s="81"/>
      <c r="BB548" s="81"/>
    </row>
    <row r="549" spans="1:54" x14ac:dyDescent="0.35">
      <c r="A549" s="66" t="s">
        <v>526</v>
      </c>
      <c r="B549" s="66" t="s">
        <v>910</v>
      </c>
      <c r="C549" s="67"/>
      <c r="D549" s="68"/>
      <c r="E549" s="69"/>
      <c r="F549" s="70"/>
      <c r="G549" s="67"/>
      <c r="H549" s="71"/>
      <c r="I549" s="72"/>
      <c r="J549" s="72"/>
      <c r="K549" s="36"/>
      <c r="L549" s="79"/>
      <c r="M549" s="79"/>
      <c r="N549" s="74"/>
      <c r="O549" s="81" t="s">
        <v>1205</v>
      </c>
      <c r="P549" s="83">
        <v>44460.402986111112</v>
      </c>
      <c r="Q549" s="81" t="s">
        <v>1324</v>
      </c>
      <c r="R549" s="81"/>
      <c r="S549" s="81"/>
      <c r="T549" s="81"/>
      <c r="U549" s="85" t="str">
        <f>HYPERLINK("https://pbs.twimg.com/media/E_xVJy2VQAQerFe.jpg")</f>
        <v>https://pbs.twimg.com/media/E_xVJy2VQAQerFe.jpg</v>
      </c>
      <c r="V549" s="85" t="str">
        <f>HYPERLINK("https://pbs.twimg.com/media/E_xVJy2VQAQerFe.jpg")</f>
        <v>https://pbs.twimg.com/media/E_xVJy2VQAQerFe.jpg</v>
      </c>
      <c r="W549" s="83">
        <v>44460.402986111112</v>
      </c>
      <c r="X549" s="89">
        <v>44460</v>
      </c>
      <c r="Y549" s="87" t="s">
        <v>2119</v>
      </c>
      <c r="Z549" s="85" t="str">
        <f>HYPERLINK("https://twitter.com/to_w3lly/status/1440249517287215112")</f>
        <v>https://twitter.com/to_w3lly/status/1440249517287215112</v>
      </c>
      <c r="AA549" s="81"/>
      <c r="AB549" s="81"/>
      <c r="AC549" s="87" t="s">
        <v>3043</v>
      </c>
      <c r="AD549" s="81"/>
      <c r="AE549" s="81" t="b">
        <v>0</v>
      </c>
      <c r="AF549" s="81">
        <v>0</v>
      </c>
      <c r="AG549" s="87" t="s">
        <v>3875</v>
      </c>
      <c r="AH549" s="81" t="b">
        <v>0</v>
      </c>
      <c r="AI549" s="81" t="s">
        <v>4092</v>
      </c>
      <c r="AJ549" s="81"/>
      <c r="AK549" s="87" t="s">
        <v>3875</v>
      </c>
      <c r="AL549" s="81" t="b">
        <v>0</v>
      </c>
      <c r="AM549" s="81">
        <v>321</v>
      </c>
      <c r="AN549" s="87" t="s">
        <v>3520</v>
      </c>
      <c r="AO549" s="87" t="s">
        <v>4109</v>
      </c>
      <c r="AP549" s="81" t="b">
        <v>0</v>
      </c>
      <c r="AQ549" s="87" t="s">
        <v>3520</v>
      </c>
      <c r="AR549" s="81" t="s">
        <v>179</v>
      </c>
      <c r="AS549" s="81">
        <v>0</v>
      </c>
      <c r="AT549" s="81">
        <v>0</v>
      </c>
      <c r="AU549" s="81"/>
      <c r="AV549" s="81"/>
      <c r="AW549" s="81"/>
      <c r="AX549" s="81"/>
      <c r="AY549" s="81"/>
      <c r="AZ549" s="81"/>
      <c r="BA549" s="81"/>
      <c r="BB549" s="81"/>
    </row>
    <row r="550" spans="1:54" x14ac:dyDescent="0.35">
      <c r="A550" s="66" t="s">
        <v>527</v>
      </c>
      <c r="B550" s="66" t="s">
        <v>1055</v>
      </c>
      <c r="C550" s="67"/>
      <c r="D550" s="68"/>
      <c r="E550" s="69"/>
      <c r="F550" s="70"/>
      <c r="G550" s="67"/>
      <c r="H550" s="71"/>
      <c r="I550" s="72"/>
      <c r="J550" s="72"/>
      <c r="K550" s="36"/>
      <c r="L550" s="79"/>
      <c r="M550" s="79"/>
      <c r="N550" s="74"/>
      <c r="O550" s="81" t="s">
        <v>1207</v>
      </c>
      <c r="P550" s="83">
        <v>44460.403645833336</v>
      </c>
      <c r="Q550" s="81" t="s">
        <v>1324</v>
      </c>
      <c r="R550" s="81"/>
      <c r="S550" s="81"/>
      <c r="T550" s="81"/>
      <c r="U550" s="85" t="str">
        <f>HYPERLINK("https://pbs.twimg.com/media/E_xVJy2VQAQerFe.jpg")</f>
        <v>https://pbs.twimg.com/media/E_xVJy2VQAQerFe.jpg</v>
      </c>
      <c r="V550" s="85" t="str">
        <f>HYPERLINK("https://pbs.twimg.com/media/E_xVJy2VQAQerFe.jpg")</f>
        <v>https://pbs.twimg.com/media/E_xVJy2VQAQerFe.jpg</v>
      </c>
      <c r="W550" s="83">
        <v>44460.403645833336</v>
      </c>
      <c r="X550" s="89">
        <v>44460</v>
      </c>
      <c r="Y550" s="87" t="s">
        <v>2120</v>
      </c>
      <c r="Z550" s="85" t="str">
        <f>HYPERLINK("https://twitter.com/didy_40/status/1440249755896999945")</f>
        <v>https://twitter.com/didy_40/status/1440249755896999945</v>
      </c>
      <c r="AA550" s="81"/>
      <c r="AB550" s="81"/>
      <c r="AC550" s="87" t="s">
        <v>3044</v>
      </c>
      <c r="AD550" s="81"/>
      <c r="AE550" s="81" t="b">
        <v>0</v>
      </c>
      <c r="AF550" s="81">
        <v>0</v>
      </c>
      <c r="AG550" s="87" t="s">
        <v>3875</v>
      </c>
      <c r="AH550" s="81" t="b">
        <v>0</v>
      </c>
      <c r="AI550" s="81" t="s">
        <v>4092</v>
      </c>
      <c r="AJ550" s="81"/>
      <c r="AK550" s="87" t="s">
        <v>3875</v>
      </c>
      <c r="AL550" s="81" t="b">
        <v>0</v>
      </c>
      <c r="AM550" s="81">
        <v>321</v>
      </c>
      <c r="AN550" s="87" t="s">
        <v>3520</v>
      </c>
      <c r="AO550" s="87" t="s">
        <v>4109</v>
      </c>
      <c r="AP550" s="81" t="b">
        <v>0</v>
      </c>
      <c r="AQ550" s="87" t="s">
        <v>3520</v>
      </c>
      <c r="AR550" s="81" t="s">
        <v>179</v>
      </c>
      <c r="AS550" s="81">
        <v>0</v>
      </c>
      <c r="AT550" s="81">
        <v>0</v>
      </c>
      <c r="AU550" s="81"/>
      <c r="AV550" s="81"/>
      <c r="AW550" s="81"/>
      <c r="AX550" s="81"/>
      <c r="AY550" s="81"/>
      <c r="AZ550" s="81"/>
      <c r="BA550" s="81"/>
      <c r="BB550" s="81"/>
    </row>
    <row r="551" spans="1:54" x14ac:dyDescent="0.35">
      <c r="A551" s="66" t="s">
        <v>527</v>
      </c>
      <c r="B551" s="66" t="s">
        <v>910</v>
      </c>
      <c r="C551" s="67"/>
      <c r="D551" s="68"/>
      <c r="E551" s="69"/>
      <c r="F551" s="70"/>
      <c r="G551" s="67"/>
      <c r="H551" s="71"/>
      <c r="I551" s="72"/>
      <c r="J551" s="72"/>
      <c r="K551" s="36"/>
      <c r="L551" s="79"/>
      <c r="M551" s="79"/>
      <c r="N551" s="74"/>
      <c r="O551" s="81" t="s">
        <v>1205</v>
      </c>
      <c r="P551" s="83">
        <v>44460.403645833336</v>
      </c>
      <c r="Q551" s="81" t="s">
        <v>1324</v>
      </c>
      <c r="R551" s="81"/>
      <c r="S551" s="81"/>
      <c r="T551" s="81"/>
      <c r="U551" s="85" t="str">
        <f>HYPERLINK("https://pbs.twimg.com/media/E_xVJy2VQAQerFe.jpg")</f>
        <v>https://pbs.twimg.com/media/E_xVJy2VQAQerFe.jpg</v>
      </c>
      <c r="V551" s="85" t="str">
        <f>HYPERLINK("https://pbs.twimg.com/media/E_xVJy2VQAQerFe.jpg")</f>
        <v>https://pbs.twimg.com/media/E_xVJy2VQAQerFe.jpg</v>
      </c>
      <c r="W551" s="83">
        <v>44460.403645833336</v>
      </c>
      <c r="X551" s="89">
        <v>44460</v>
      </c>
      <c r="Y551" s="87" t="s">
        <v>2120</v>
      </c>
      <c r="Z551" s="85" t="str">
        <f>HYPERLINK("https://twitter.com/didy_40/status/1440249755896999945")</f>
        <v>https://twitter.com/didy_40/status/1440249755896999945</v>
      </c>
      <c r="AA551" s="81"/>
      <c r="AB551" s="81"/>
      <c r="AC551" s="87" t="s">
        <v>3044</v>
      </c>
      <c r="AD551" s="81"/>
      <c r="AE551" s="81" t="b">
        <v>0</v>
      </c>
      <c r="AF551" s="81">
        <v>0</v>
      </c>
      <c r="AG551" s="87" t="s">
        <v>3875</v>
      </c>
      <c r="AH551" s="81" t="b">
        <v>0</v>
      </c>
      <c r="AI551" s="81" t="s">
        <v>4092</v>
      </c>
      <c r="AJ551" s="81"/>
      <c r="AK551" s="87" t="s">
        <v>3875</v>
      </c>
      <c r="AL551" s="81" t="b">
        <v>0</v>
      </c>
      <c r="AM551" s="81">
        <v>321</v>
      </c>
      <c r="AN551" s="87" t="s">
        <v>3520</v>
      </c>
      <c r="AO551" s="87" t="s">
        <v>4109</v>
      </c>
      <c r="AP551" s="81" t="b">
        <v>0</v>
      </c>
      <c r="AQ551" s="87" t="s">
        <v>3520</v>
      </c>
      <c r="AR551" s="81" t="s">
        <v>179</v>
      </c>
      <c r="AS551" s="81">
        <v>0</v>
      </c>
      <c r="AT551" s="81">
        <v>0</v>
      </c>
      <c r="AU551" s="81"/>
      <c r="AV551" s="81"/>
      <c r="AW551" s="81"/>
      <c r="AX551" s="81"/>
      <c r="AY551" s="81"/>
      <c r="AZ551" s="81"/>
      <c r="BA551" s="81"/>
      <c r="BB551" s="81"/>
    </row>
    <row r="552" spans="1:54" x14ac:dyDescent="0.35">
      <c r="A552" s="66" t="s">
        <v>528</v>
      </c>
      <c r="B552" s="66" t="s">
        <v>1055</v>
      </c>
      <c r="C552" s="67"/>
      <c r="D552" s="68"/>
      <c r="E552" s="69"/>
      <c r="F552" s="70"/>
      <c r="G552" s="67"/>
      <c r="H552" s="71"/>
      <c r="I552" s="72"/>
      <c r="J552" s="72"/>
      <c r="K552" s="36"/>
      <c r="L552" s="79"/>
      <c r="M552" s="79"/>
      <c r="N552" s="74"/>
      <c r="O552" s="81" t="s">
        <v>1207</v>
      </c>
      <c r="P552" s="83">
        <v>44460.404699074075</v>
      </c>
      <c r="Q552" s="81" t="s">
        <v>1324</v>
      </c>
      <c r="R552" s="81"/>
      <c r="S552" s="81"/>
      <c r="T552" s="81"/>
      <c r="U552" s="85" t="str">
        <f>HYPERLINK("https://pbs.twimg.com/media/E_xVJy2VQAQerFe.jpg")</f>
        <v>https://pbs.twimg.com/media/E_xVJy2VQAQerFe.jpg</v>
      </c>
      <c r="V552" s="85" t="str">
        <f>HYPERLINK("https://pbs.twimg.com/media/E_xVJy2VQAQerFe.jpg")</f>
        <v>https://pbs.twimg.com/media/E_xVJy2VQAQerFe.jpg</v>
      </c>
      <c r="W552" s="83">
        <v>44460.404699074075</v>
      </c>
      <c r="X552" s="89">
        <v>44460</v>
      </c>
      <c r="Y552" s="87" t="s">
        <v>2121</v>
      </c>
      <c r="Z552" s="85" t="str">
        <f>HYPERLINK("https://twitter.com/rohmansyahsuja1/status/1440250139935793154")</f>
        <v>https://twitter.com/rohmansyahsuja1/status/1440250139935793154</v>
      </c>
      <c r="AA552" s="81"/>
      <c r="AB552" s="81"/>
      <c r="AC552" s="87" t="s">
        <v>3045</v>
      </c>
      <c r="AD552" s="81"/>
      <c r="AE552" s="81" t="b">
        <v>0</v>
      </c>
      <c r="AF552" s="81">
        <v>0</v>
      </c>
      <c r="AG552" s="87" t="s">
        <v>3875</v>
      </c>
      <c r="AH552" s="81" t="b">
        <v>0</v>
      </c>
      <c r="AI552" s="81" t="s">
        <v>4092</v>
      </c>
      <c r="AJ552" s="81"/>
      <c r="AK552" s="87" t="s">
        <v>3875</v>
      </c>
      <c r="AL552" s="81" t="b">
        <v>0</v>
      </c>
      <c r="AM552" s="81">
        <v>321</v>
      </c>
      <c r="AN552" s="87" t="s">
        <v>3520</v>
      </c>
      <c r="AO552" s="87" t="s">
        <v>4109</v>
      </c>
      <c r="AP552" s="81" t="b">
        <v>0</v>
      </c>
      <c r="AQ552" s="87" t="s">
        <v>3520</v>
      </c>
      <c r="AR552" s="81" t="s">
        <v>179</v>
      </c>
      <c r="AS552" s="81">
        <v>0</v>
      </c>
      <c r="AT552" s="81">
        <v>0</v>
      </c>
      <c r="AU552" s="81"/>
      <c r="AV552" s="81"/>
      <c r="AW552" s="81"/>
      <c r="AX552" s="81"/>
      <c r="AY552" s="81"/>
      <c r="AZ552" s="81"/>
      <c r="BA552" s="81"/>
      <c r="BB552" s="81"/>
    </row>
    <row r="553" spans="1:54" x14ac:dyDescent="0.35">
      <c r="A553" s="66" t="s">
        <v>528</v>
      </c>
      <c r="B553" s="66" t="s">
        <v>910</v>
      </c>
      <c r="C553" s="67"/>
      <c r="D553" s="68"/>
      <c r="E553" s="69"/>
      <c r="F553" s="70"/>
      <c r="G553" s="67"/>
      <c r="H553" s="71"/>
      <c r="I553" s="72"/>
      <c r="J553" s="72"/>
      <c r="K553" s="36"/>
      <c r="L553" s="79"/>
      <c r="M553" s="79"/>
      <c r="N553" s="74"/>
      <c r="O553" s="81" t="s">
        <v>1205</v>
      </c>
      <c r="P553" s="83">
        <v>44460.404699074075</v>
      </c>
      <c r="Q553" s="81" t="s">
        <v>1324</v>
      </c>
      <c r="R553" s="81"/>
      <c r="S553" s="81"/>
      <c r="T553" s="81"/>
      <c r="U553" s="85" t="str">
        <f>HYPERLINK("https://pbs.twimg.com/media/E_xVJy2VQAQerFe.jpg")</f>
        <v>https://pbs.twimg.com/media/E_xVJy2VQAQerFe.jpg</v>
      </c>
      <c r="V553" s="85" t="str">
        <f>HYPERLINK("https://pbs.twimg.com/media/E_xVJy2VQAQerFe.jpg")</f>
        <v>https://pbs.twimg.com/media/E_xVJy2VQAQerFe.jpg</v>
      </c>
      <c r="W553" s="83">
        <v>44460.404699074075</v>
      </c>
      <c r="X553" s="89">
        <v>44460</v>
      </c>
      <c r="Y553" s="87" t="s">
        <v>2121</v>
      </c>
      <c r="Z553" s="85" t="str">
        <f>HYPERLINK("https://twitter.com/rohmansyahsuja1/status/1440250139935793154")</f>
        <v>https://twitter.com/rohmansyahsuja1/status/1440250139935793154</v>
      </c>
      <c r="AA553" s="81"/>
      <c r="AB553" s="81"/>
      <c r="AC553" s="87" t="s">
        <v>3045</v>
      </c>
      <c r="AD553" s="81"/>
      <c r="AE553" s="81" t="b">
        <v>0</v>
      </c>
      <c r="AF553" s="81">
        <v>0</v>
      </c>
      <c r="AG553" s="87" t="s">
        <v>3875</v>
      </c>
      <c r="AH553" s="81" t="b">
        <v>0</v>
      </c>
      <c r="AI553" s="81" t="s">
        <v>4092</v>
      </c>
      <c r="AJ553" s="81"/>
      <c r="AK553" s="87" t="s">
        <v>3875</v>
      </c>
      <c r="AL553" s="81" t="b">
        <v>0</v>
      </c>
      <c r="AM553" s="81">
        <v>321</v>
      </c>
      <c r="AN553" s="87" t="s">
        <v>3520</v>
      </c>
      <c r="AO553" s="87" t="s">
        <v>4109</v>
      </c>
      <c r="AP553" s="81" t="b">
        <v>0</v>
      </c>
      <c r="AQ553" s="87" t="s">
        <v>3520</v>
      </c>
      <c r="AR553" s="81" t="s">
        <v>179</v>
      </c>
      <c r="AS553" s="81">
        <v>0</v>
      </c>
      <c r="AT553" s="81">
        <v>0</v>
      </c>
      <c r="AU553" s="81"/>
      <c r="AV553" s="81"/>
      <c r="AW553" s="81"/>
      <c r="AX553" s="81"/>
      <c r="AY553" s="81"/>
      <c r="AZ553" s="81"/>
      <c r="BA553" s="81"/>
      <c r="BB553" s="81"/>
    </row>
    <row r="554" spans="1:54" x14ac:dyDescent="0.35">
      <c r="A554" s="66" t="s">
        <v>529</v>
      </c>
      <c r="B554" s="66" t="s">
        <v>1055</v>
      </c>
      <c r="C554" s="67"/>
      <c r="D554" s="68"/>
      <c r="E554" s="69"/>
      <c r="F554" s="70"/>
      <c r="G554" s="67"/>
      <c r="H554" s="71"/>
      <c r="I554" s="72"/>
      <c r="J554" s="72"/>
      <c r="K554" s="36"/>
      <c r="L554" s="79"/>
      <c r="M554" s="79"/>
      <c r="N554" s="74"/>
      <c r="O554" s="81" t="s">
        <v>1207</v>
      </c>
      <c r="P554" s="83">
        <v>44460.405601851853</v>
      </c>
      <c r="Q554" s="81" t="s">
        <v>1324</v>
      </c>
      <c r="R554" s="81"/>
      <c r="S554" s="81"/>
      <c r="T554" s="81"/>
      <c r="U554" s="85" t="str">
        <f>HYPERLINK("https://pbs.twimg.com/media/E_xVJy2VQAQerFe.jpg")</f>
        <v>https://pbs.twimg.com/media/E_xVJy2VQAQerFe.jpg</v>
      </c>
      <c r="V554" s="85" t="str">
        <f>HYPERLINK("https://pbs.twimg.com/media/E_xVJy2VQAQerFe.jpg")</f>
        <v>https://pbs.twimg.com/media/E_xVJy2VQAQerFe.jpg</v>
      </c>
      <c r="W554" s="83">
        <v>44460.405601851853</v>
      </c>
      <c r="X554" s="89">
        <v>44460</v>
      </c>
      <c r="Y554" s="87" t="s">
        <v>2122</v>
      </c>
      <c r="Z554" s="85" t="str">
        <f>HYPERLINK("https://twitter.com/aliusma83109423/status/1440250465078308877")</f>
        <v>https://twitter.com/aliusma83109423/status/1440250465078308877</v>
      </c>
      <c r="AA554" s="81"/>
      <c r="AB554" s="81"/>
      <c r="AC554" s="87" t="s">
        <v>3046</v>
      </c>
      <c r="AD554" s="81"/>
      <c r="AE554" s="81" t="b">
        <v>0</v>
      </c>
      <c r="AF554" s="81">
        <v>0</v>
      </c>
      <c r="AG554" s="87" t="s">
        <v>3875</v>
      </c>
      <c r="AH554" s="81" t="b">
        <v>0</v>
      </c>
      <c r="AI554" s="81" t="s">
        <v>4092</v>
      </c>
      <c r="AJ554" s="81"/>
      <c r="AK554" s="87" t="s">
        <v>3875</v>
      </c>
      <c r="AL554" s="81" t="b">
        <v>0</v>
      </c>
      <c r="AM554" s="81">
        <v>321</v>
      </c>
      <c r="AN554" s="87" t="s">
        <v>3520</v>
      </c>
      <c r="AO554" s="87" t="s">
        <v>4109</v>
      </c>
      <c r="AP554" s="81" t="b">
        <v>0</v>
      </c>
      <c r="AQ554" s="87" t="s">
        <v>3520</v>
      </c>
      <c r="AR554" s="81" t="s">
        <v>179</v>
      </c>
      <c r="AS554" s="81">
        <v>0</v>
      </c>
      <c r="AT554" s="81">
        <v>0</v>
      </c>
      <c r="AU554" s="81"/>
      <c r="AV554" s="81"/>
      <c r="AW554" s="81"/>
      <c r="AX554" s="81"/>
      <c r="AY554" s="81"/>
      <c r="AZ554" s="81"/>
      <c r="BA554" s="81"/>
      <c r="BB554" s="81"/>
    </row>
    <row r="555" spans="1:54" x14ac:dyDescent="0.35">
      <c r="A555" s="66" t="s">
        <v>529</v>
      </c>
      <c r="B555" s="66" t="s">
        <v>910</v>
      </c>
      <c r="C555" s="67"/>
      <c r="D555" s="68"/>
      <c r="E555" s="69"/>
      <c r="F555" s="70"/>
      <c r="G555" s="67"/>
      <c r="H555" s="71"/>
      <c r="I555" s="72"/>
      <c r="J555" s="72"/>
      <c r="K555" s="36"/>
      <c r="L555" s="79"/>
      <c r="M555" s="79"/>
      <c r="N555" s="74"/>
      <c r="O555" s="81" t="s">
        <v>1205</v>
      </c>
      <c r="P555" s="83">
        <v>44460.405601851853</v>
      </c>
      <c r="Q555" s="81" t="s">
        <v>1324</v>
      </c>
      <c r="R555" s="81"/>
      <c r="S555" s="81"/>
      <c r="T555" s="81"/>
      <c r="U555" s="85" t="str">
        <f>HYPERLINK("https://pbs.twimg.com/media/E_xVJy2VQAQerFe.jpg")</f>
        <v>https://pbs.twimg.com/media/E_xVJy2VQAQerFe.jpg</v>
      </c>
      <c r="V555" s="85" t="str">
        <f>HYPERLINK("https://pbs.twimg.com/media/E_xVJy2VQAQerFe.jpg")</f>
        <v>https://pbs.twimg.com/media/E_xVJy2VQAQerFe.jpg</v>
      </c>
      <c r="W555" s="83">
        <v>44460.405601851853</v>
      </c>
      <c r="X555" s="89">
        <v>44460</v>
      </c>
      <c r="Y555" s="87" t="s">
        <v>2122</v>
      </c>
      <c r="Z555" s="85" t="str">
        <f>HYPERLINK("https://twitter.com/aliusma83109423/status/1440250465078308877")</f>
        <v>https://twitter.com/aliusma83109423/status/1440250465078308877</v>
      </c>
      <c r="AA555" s="81"/>
      <c r="AB555" s="81"/>
      <c r="AC555" s="87" t="s">
        <v>3046</v>
      </c>
      <c r="AD555" s="81"/>
      <c r="AE555" s="81" t="b">
        <v>0</v>
      </c>
      <c r="AF555" s="81">
        <v>0</v>
      </c>
      <c r="AG555" s="87" t="s">
        <v>3875</v>
      </c>
      <c r="AH555" s="81" t="b">
        <v>0</v>
      </c>
      <c r="AI555" s="81" t="s">
        <v>4092</v>
      </c>
      <c r="AJ555" s="81"/>
      <c r="AK555" s="87" t="s">
        <v>3875</v>
      </c>
      <c r="AL555" s="81" t="b">
        <v>0</v>
      </c>
      <c r="AM555" s="81">
        <v>321</v>
      </c>
      <c r="AN555" s="87" t="s">
        <v>3520</v>
      </c>
      <c r="AO555" s="87" t="s">
        <v>4109</v>
      </c>
      <c r="AP555" s="81" t="b">
        <v>0</v>
      </c>
      <c r="AQ555" s="87" t="s">
        <v>3520</v>
      </c>
      <c r="AR555" s="81" t="s">
        <v>179</v>
      </c>
      <c r="AS555" s="81">
        <v>0</v>
      </c>
      <c r="AT555" s="81">
        <v>0</v>
      </c>
      <c r="AU555" s="81"/>
      <c r="AV555" s="81"/>
      <c r="AW555" s="81"/>
      <c r="AX555" s="81"/>
      <c r="AY555" s="81"/>
      <c r="AZ555" s="81"/>
      <c r="BA555" s="81"/>
      <c r="BB555" s="81"/>
    </row>
    <row r="556" spans="1:54" x14ac:dyDescent="0.35">
      <c r="A556" s="66" t="s">
        <v>530</v>
      </c>
      <c r="B556" s="66" t="s">
        <v>530</v>
      </c>
      <c r="C556" s="67"/>
      <c r="D556" s="68"/>
      <c r="E556" s="69"/>
      <c r="F556" s="70"/>
      <c r="G556" s="67"/>
      <c r="H556" s="71"/>
      <c r="I556" s="72"/>
      <c r="J556" s="72"/>
      <c r="K556" s="36"/>
      <c r="L556" s="79"/>
      <c r="M556" s="79"/>
      <c r="N556" s="74"/>
      <c r="O556" s="81" t="s">
        <v>179</v>
      </c>
      <c r="P556" s="83">
        <v>44460.407152777778</v>
      </c>
      <c r="Q556" s="81" t="s">
        <v>1342</v>
      </c>
      <c r="R556" s="81"/>
      <c r="S556" s="81"/>
      <c r="T556" s="87" t="s">
        <v>1767</v>
      </c>
      <c r="U556" s="85" t="str">
        <f>HYPERLINK("https://pbs.twimg.com/media/E_zMrQGVgAId6He.jpg")</f>
        <v>https://pbs.twimg.com/media/E_zMrQGVgAId6He.jpg</v>
      </c>
      <c r="V556" s="85" t="str">
        <f>HYPERLINK("https://pbs.twimg.com/media/E_zMrQGVgAId6He.jpg")</f>
        <v>https://pbs.twimg.com/media/E_zMrQGVgAId6He.jpg</v>
      </c>
      <c r="W556" s="83">
        <v>44460.407152777778</v>
      </c>
      <c r="X556" s="89">
        <v>44460</v>
      </c>
      <c r="Y556" s="87" t="s">
        <v>2123</v>
      </c>
      <c r="Z556" s="85" t="str">
        <f>HYPERLINK("https://twitter.com/halopolsekraman/status/1440251027194740745")</f>
        <v>https://twitter.com/halopolsekraman/status/1440251027194740745</v>
      </c>
      <c r="AA556" s="81"/>
      <c r="AB556" s="81"/>
      <c r="AC556" s="87" t="s">
        <v>3047</v>
      </c>
      <c r="AD556" s="81"/>
      <c r="AE556" s="81" t="b">
        <v>0</v>
      </c>
      <c r="AF556" s="81">
        <v>0</v>
      </c>
      <c r="AG556" s="87" t="s">
        <v>3875</v>
      </c>
      <c r="AH556" s="81" t="b">
        <v>0</v>
      </c>
      <c r="AI556" s="81" t="s">
        <v>4092</v>
      </c>
      <c r="AJ556" s="81"/>
      <c r="AK556" s="87" t="s">
        <v>3875</v>
      </c>
      <c r="AL556" s="81" t="b">
        <v>0</v>
      </c>
      <c r="AM556" s="81">
        <v>0</v>
      </c>
      <c r="AN556" s="87" t="s">
        <v>3875</v>
      </c>
      <c r="AO556" s="87" t="s">
        <v>4109</v>
      </c>
      <c r="AP556" s="81" t="b">
        <v>0</v>
      </c>
      <c r="AQ556" s="87" t="s">
        <v>3047</v>
      </c>
      <c r="AR556" s="81" t="s">
        <v>179</v>
      </c>
      <c r="AS556" s="81">
        <v>0</v>
      </c>
      <c r="AT556" s="81">
        <v>0</v>
      </c>
      <c r="AU556" s="81"/>
      <c r="AV556" s="81"/>
      <c r="AW556" s="81"/>
      <c r="AX556" s="81"/>
      <c r="AY556" s="81"/>
      <c r="AZ556" s="81"/>
      <c r="BA556" s="81"/>
      <c r="BB556" s="81"/>
    </row>
    <row r="557" spans="1:54" x14ac:dyDescent="0.35">
      <c r="A557" s="66" t="s">
        <v>531</v>
      </c>
      <c r="B557" s="66" t="s">
        <v>1055</v>
      </c>
      <c r="C557" s="67"/>
      <c r="D557" s="68"/>
      <c r="E557" s="69"/>
      <c r="F557" s="70"/>
      <c r="G557" s="67"/>
      <c r="H557" s="71"/>
      <c r="I557" s="72"/>
      <c r="J557" s="72"/>
      <c r="K557" s="36"/>
      <c r="L557" s="79"/>
      <c r="M557" s="79"/>
      <c r="N557" s="74"/>
      <c r="O557" s="81" t="s">
        <v>1207</v>
      </c>
      <c r="P557" s="83">
        <v>44460.407789351855</v>
      </c>
      <c r="Q557" s="81" t="s">
        <v>1324</v>
      </c>
      <c r="R557" s="81"/>
      <c r="S557" s="81"/>
      <c r="T557" s="81"/>
      <c r="U557" s="85" t="str">
        <f>HYPERLINK("https://pbs.twimg.com/media/E_xVJy2VQAQerFe.jpg")</f>
        <v>https://pbs.twimg.com/media/E_xVJy2VQAQerFe.jpg</v>
      </c>
      <c r="V557" s="85" t="str">
        <f>HYPERLINK("https://pbs.twimg.com/media/E_xVJy2VQAQerFe.jpg")</f>
        <v>https://pbs.twimg.com/media/E_xVJy2VQAQerFe.jpg</v>
      </c>
      <c r="W557" s="83">
        <v>44460.407789351855</v>
      </c>
      <c r="X557" s="89">
        <v>44460</v>
      </c>
      <c r="Y557" s="87" t="s">
        <v>2124</v>
      </c>
      <c r="Z557" s="85" t="str">
        <f>HYPERLINK("https://twitter.com/budiatnogr/status/1440251259181694976")</f>
        <v>https://twitter.com/budiatnogr/status/1440251259181694976</v>
      </c>
      <c r="AA557" s="81"/>
      <c r="AB557" s="81"/>
      <c r="AC557" s="87" t="s">
        <v>3048</v>
      </c>
      <c r="AD557" s="81"/>
      <c r="AE557" s="81" t="b">
        <v>0</v>
      </c>
      <c r="AF557" s="81">
        <v>0</v>
      </c>
      <c r="AG557" s="87" t="s">
        <v>3875</v>
      </c>
      <c r="AH557" s="81" t="b">
        <v>0</v>
      </c>
      <c r="AI557" s="81" t="s">
        <v>4092</v>
      </c>
      <c r="AJ557" s="81"/>
      <c r="AK557" s="87" t="s">
        <v>3875</v>
      </c>
      <c r="AL557" s="81" t="b">
        <v>0</v>
      </c>
      <c r="AM557" s="81">
        <v>321</v>
      </c>
      <c r="AN557" s="87" t="s">
        <v>3520</v>
      </c>
      <c r="AO557" s="87" t="s">
        <v>4109</v>
      </c>
      <c r="AP557" s="81" t="b">
        <v>0</v>
      </c>
      <c r="AQ557" s="87" t="s">
        <v>3520</v>
      </c>
      <c r="AR557" s="81" t="s">
        <v>179</v>
      </c>
      <c r="AS557" s="81">
        <v>0</v>
      </c>
      <c r="AT557" s="81">
        <v>0</v>
      </c>
      <c r="AU557" s="81"/>
      <c r="AV557" s="81"/>
      <c r="AW557" s="81"/>
      <c r="AX557" s="81"/>
      <c r="AY557" s="81"/>
      <c r="AZ557" s="81"/>
      <c r="BA557" s="81"/>
      <c r="BB557" s="81"/>
    </row>
    <row r="558" spans="1:54" x14ac:dyDescent="0.35">
      <c r="A558" s="66" t="s">
        <v>531</v>
      </c>
      <c r="B558" s="66" t="s">
        <v>910</v>
      </c>
      <c r="C558" s="67"/>
      <c r="D558" s="68"/>
      <c r="E558" s="69"/>
      <c r="F558" s="70"/>
      <c r="G558" s="67"/>
      <c r="H558" s="71"/>
      <c r="I558" s="72"/>
      <c r="J558" s="72"/>
      <c r="K558" s="36"/>
      <c r="L558" s="79"/>
      <c r="M558" s="79"/>
      <c r="N558" s="74"/>
      <c r="O558" s="81" t="s">
        <v>1205</v>
      </c>
      <c r="P558" s="83">
        <v>44460.407789351855</v>
      </c>
      <c r="Q558" s="81" t="s">
        <v>1324</v>
      </c>
      <c r="R558" s="81"/>
      <c r="S558" s="81"/>
      <c r="T558" s="81"/>
      <c r="U558" s="85" t="str">
        <f>HYPERLINK("https://pbs.twimg.com/media/E_xVJy2VQAQerFe.jpg")</f>
        <v>https://pbs.twimg.com/media/E_xVJy2VQAQerFe.jpg</v>
      </c>
      <c r="V558" s="85" t="str">
        <f>HYPERLINK("https://pbs.twimg.com/media/E_xVJy2VQAQerFe.jpg")</f>
        <v>https://pbs.twimg.com/media/E_xVJy2VQAQerFe.jpg</v>
      </c>
      <c r="W558" s="83">
        <v>44460.407789351855</v>
      </c>
      <c r="X558" s="89">
        <v>44460</v>
      </c>
      <c r="Y558" s="87" t="s">
        <v>2124</v>
      </c>
      <c r="Z558" s="85" t="str">
        <f>HYPERLINK("https://twitter.com/budiatnogr/status/1440251259181694976")</f>
        <v>https://twitter.com/budiatnogr/status/1440251259181694976</v>
      </c>
      <c r="AA558" s="81"/>
      <c r="AB558" s="81"/>
      <c r="AC558" s="87" t="s">
        <v>3048</v>
      </c>
      <c r="AD558" s="81"/>
      <c r="AE558" s="81" t="b">
        <v>0</v>
      </c>
      <c r="AF558" s="81">
        <v>0</v>
      </c>
      <c r="AG558" s="87" t="s">
        <v>3875</v>
      </c>
      <c r="AH558" s="81" t="b">
        <v>0</v>
      </c>
      <c r="AI558" s="81" t="s">
        <v>4092</v>
      </c>
      <c r="AJ558" s="81"/>
      <c r="AK558" s="87" t="s">
        <v>3875</v>
      </c>
      <c r="AL558" s="81" t="b">
        <v>0</v>
      </c>
      <c r="AM558" s="81">
        <v>321</v>
      </c>
      <c r="AN558" s="87" t="s">
        <v>3520</v>
      </c>
      <c r="AO558" s="87" t="s">
        <v>4109</v>
      </c>
      <c r="AP558" s="81" t="b">
        <v>0</v>
      </c>
      <c r="AQ558" s="87" t="s">
        <v>3520</v>
      </c>
      <c r="AR558" s="81" t="s">
        <v>179</v>
      </c>
      <c r="AS558" s="81">
        <v>0</v>
      </c>
      <c r="AT558" s="81">
        <v>0</v>
      </c>
      <c r="AU558" s="81"/>
      <c r="AV558" s="81"/>
      <c r="AW558" s="81"/>
      <c r="AX558" s="81"/>
      <c r="AY558" s="81"/>
      <c r="AZ558" s="81"/>
      <c r="BA558" s="81"/>
      <c r="BB558" s="81"/>
    </row>
    <row r="559" spans="1:54" x14ac:dyDescent="0.35">
      <c r="A559" s="66" t="s">
        <v>532</v>
      </c>
      <c r="B559" s="66" t="s">
        <v>532</v>
      </c>
      <c r="C559" s="67"/>
      <c r="D559" s="68"/>
      <c r="E559" s="69"/>
      <c r="F559" s="70"/>
      <c r="G559" s="67"/>
      <c r="H559" s="71"/>
      <c r="I559" s="72"/>
      <c r="J559" s="72"/>
      <c r="K559" s="36"/>
      <c r="L559" s="79"/>
      <c r="M559" s="79"/>
      <c r="N559" s="74"/>
      <c r="O559" s="81" t="s">
        <v>179</v>
      </c>
      <c r="P559" s="83">
        <v>44460.407835648148</v>
      </c>
      <c r="Q559" s="81" t="s">
        <v>1343</v>
      </c>
      <c r="R559" s="81"/>
      <c r="S559" s="81"/>
      <c r="T559" s="81"/>
      <c r="U559" s="81"/>
      <c r="V559" s="85" t="str">
        <f>HYPERLINK("https://pbs.twimg.com/profile_images/378800000803979541/c5cd25e4c0e67f03fb89529ebceb7eaf_normal.jpeg")</f>
        <v>https://pbs.twimg.com/profile_images/378800000803979541/c5cd25e4c0e67f03fb89529ebceb7eaf_normal.jpeg</v>
      </c>
      <c r="W559" s="83">
        <v>44460.407835648148</v>
      </c>
      <c r="X559" s="89">
        <v>44460</v>
      </c>
      <c r="Y559" s="87" t="s">
        <v>2125</v>
      </c>
      <c r="Z559" s="85" t="str">
        <f>HYPERLINK("https://twitter.com/lokerbumncpns/status/1440251278118965262")</f>
        <v>https://twitter.com/lokerbumncpns/status/1440251278118965262</v>
      </c>
      <c r="AA559" s="81"/>
      <c r="AB559" s="81"/>
      <c r="AC559" s="87" t="s">
        <v>3049</v>
      </c>
      <c r="AD559" s="81"/>
      <c r="AE559" s="81" t="b">
        <v>0</v>
      </c>
      <c r="AF559" s="81">
        <v>0</v>
      </c>
      <c r="AG559" s="87" t="s">
        <v>3875</v>
      </c>
      <c r="AH559" s="81" t="b">
        <v>0</v>
      </c>
      <c r="AI559" s="81" t="s">
        <v>4092</v>
      </c>
      <c r="AJ559" s="81"/>
      <c r="AK559" s="87" t="s">
        <v>3875</v>
      </c>
      <c r="AL559" s="81" t="b">
        <v>0</v>
      </c>
      <c r="AM559" s="81">
        <v>0</v>
      </c>
      <c r="AN559" s="87" t="s">
        <v>3875</v>
      </c>
      <c r="AO559" s="87" t="s">
        <v>4123</v>
      </c>
      <c r="AP559" s="81" t="b">
        <v>0</v>
      </c>
      <c r="AQ559" s="87" t="s">
        <v>3049</v>
      </c>
      <c r="AR559" s="81" t="s">
        <v>179</v>
      </c>
      <c r="AS559" s="81">
        <v>0</v>
      </c>
      <c r="AT559" s="81">
        <v>0</v>
      </c>
      <c r="AU559" s="81"/>
      <c r="AV559" s="81"/>
      <c r="AW559" s="81"/>
      <c r="AX559" s="81"/>
      <c r="AY559" s="81"/>
      <c r="AZ559" s="81"/>
      <c r="BA559" s="81"/>
      <c r="BB559" s="81"/>
    </row>
    <row r="560" spans="1:54" x14ac:dyDescent="0.35">
      <c r="A560" s="66" t="s">
        <v>533</v>
      </c>
      <c r="B560" s="66" t="s">
        <v>1055</v>
      </c>
      <c r="C560" s="67"/>
      <c r="D560" s="68"/>
      <c r="E560" s="69"/>
      <c r="F560" s="70"/>
      <c r="G560" s="67"/>
      <c r="H560" s="71"/>
      <c r="I560" s="72"/>
      <c r="J560" s="72"/>
      <c r="K560" s="36"/>
      <c r="L560" s="79"/>
      <c r="M560" s="79"/>
      <c r="N560" s="74"/>
      <c r="O560" s="81" t="s">
        <v>1207</v>
      </c>
      <c r="P560" s="83">
        <v>44460.408402777779</v>
      </c>
      <c r="Q560" s="81" t="s">
        <v>1324</v>
      </c>
      <c r="R560" s="81"/>
      <c r="S560" s="81"/>
      <c r="T560" s="81"/>
      <c r="U560" s="85" t="str">
        <f>HYPERLINK("https://pbs.twimg.com/media/E_xVJy2VQAQerFe.jpg")</f>
        <v>https://pbs.twimg.com/media/E_xVJy2VQAQerFe.jpg</v>
      </c>
      <c r="V560" s="85" t="str">
        <f>HYPERLINK("https://pbs.twimg.com/media/E_xVJy2VQAQerFe.jpg")</f>
        <v>https://pbs.twimg.com/media/E_xVJy2VQAQerFe.jpg</v>
      </c>
      <c r="W560" s="83">
        <v>44460.408402777779</v>
      </c>
      <c r="X560" s="89">
        <v>44460</v>
      </c>
      <c r="Y560" s="87" t="s">
        <v>2126</v>
      </c>
      <c r="Z560" s="85" t="str">
        <f>HYPERLINK("https://twitter.com/ndaru_wardani/status/1440251483115585540")</f>
        <v>https://twitter.com/ndaru_wardani/status/1440251483115585540</v>
      </c>
      <c r="AA560" s="81"/>
      <c r="AB560" s="81"/>
      <c r="AC560" s="87" t="s">
        <v>3050</v>
      </c>
      <c r="AD560" s="81"/>
      <c r="AE560" s="81" t="b">
        <v>0</v>
      </c>
      <c r="AF560" s="81">
        <v>0</v>
      </c>
      <c r="AG560" s="87" t="s">
        <v>3875</v>
      </c>
      <c r="AH560" s="81" t="b">
        <v>0</v>
      </c>
      <c r="AI560" s="81" t="s">
        <v>4092</v>
      </c>
      <c r="AJ560" s="81"/>
      <c r="AK560" s="87" t="s">
        <v>3875</v>
      </c>
      <c r="AL560" s="81" t="b">
        <v>0</v>
      </c>
      <c r="AM560" s="81">
        <v>321</v>
      </c>
      <c r="AN560" s="87" t="s">
        <v>3520</v>
      </c>
      <c r="AO560" s="87" t="s">
        <v>4109</v>
      </c>
      <c r="AP560" s="81" t="b">
        <v>0</v>
      </c>
      <c r="AQ560" s="87" t="s">
        <v>3520</v>
      </c>
      <c r="AR560" s="81" t="s">
        <v>179</v>
      </c>
      <c r="AS560" s="81">
        <v>0</v>
      </c>
      <c r="AT560" s="81">
        <v>0</v>
      </c>
      <c r="AU560" s="81"/>
      <c r="AV560" s="81"/>
      <c r="AW560" s="81"/>
      <c r="AX560" s="81"/>
      <c r="AY560" s="81"/>
      <c r="AZ560" s="81"/>
      <c r="BA560" s="81"/>
      <c r="BB560" s="81"/>
    </row>
    <row r="561" spans="1:54" x14ac:dyDescent="0.35">
      <c r="A561" s="66" t="s">
        <v>533</v>
      </c>
      <c r="B561" s="66" t="s">
        <v>910</v>
      </c>
      <c r="C561" s="67"/>
      <c r="D561" s="68"/>
      <c r="E561" s="69"/>
      <c r="F561" s="70"/>
      <c r="G561" s="67"/>
      <c r="H561" s="71"/>
      <c r="I561" s="72"/>
      <c r="J561" s="72"/>
      <c r="K561" s="36"/>
      <c r="L561" s="79"/>
      <c r="M561" s="79"/>
      <c r="N561" s="74"/>
      <c r="O561" s="81" t="s">
        <v>1205</v>
      </c>
      <c r="P561" s="83">
        <v>44460.408402777779</v>
      </c>
      <c r="Q561" s="81" t="s">
        <v>1324</v>
      </c>
      <c r="R561" s="81"/>
      <c r="S561" s="81"/>
      <c r="T561" s="81"/>
      <c r="U561" s="85" t="str">
        <f>HYPERLINK("https://pbs.twimg.com/media/E_xVJy2VQAQerFe.jpg")</f>
        <v>https://pbs.twimg.com/media/E_xVJy2VQAQerFe.jpg</v>
      </c>
      <c r="V561" s="85" t="str">
        <f>HYPERLINK("https://pbs.twimg.com/media/E_xVJy2VQAQerFe.jpg")</f>
        <v>https://pbs.twimg.com/media/E_xVJy2VQAQerFe.jpg</v>
      </c>
      <c r="W561" s="83">
        <v>44460.408402777779</v>
      </c>
      <c r="X561" s="89">
        <v>44460</v>
      </c>
      <c r="Y561" s="87" t="s">
        <v>2126</v>
      </c>
      <c r="Z561" s="85" t="str">
        <f>HYPERLINK("https://twitter.com/ndaru_wardani/status/1440251483115585540")</f>
        <v>https://twitter.com/ndaru_wardani/status/1440251483115585540</v>
      </c>
      <c r="AA561" s="81"/>
      <c r="AB561" s="81"/>
      <c r="AC561" s="87" t="s">
        <v>3050</v>
      </c>
      <c r="AD561" s="81"/>
      <c r="AE561" s="81" t="b">
        <v>0</v>
      </c>
      <c r="AF561" s="81">
        <v>0</v>
      </c>
      <c r="AG561" s="87" t="s">
        <v>3875</v>
      </c>
      <c r="AH561" s="81" t="b">
        <v>0</v>
      </c>
      <c r="AI561" s="81" t="s">
        <v>4092</v>
      </c>
      <c r="AJ561" s="81"/>
      <c r="AK561" s="87" t="s">
        <v>3875</v>
      </c>
      <c r="AL561" s="81" t="b">
        <v>0</v>
      </c>
      <c r="AM561" s="81">
        <v>321</v>
      </c>
      <c r="AN561" s="87" t="s">
        <v>3520</v>
      </c>
      <c r="AO561" s="87" t="s">
        <v>4109</v>
      </c>
      <c r="AP561" s="81" t="b">
        <v>0</v>
      </c>
      <c r="AQ561" s="87" t="s">
        <v>3520</v>
      </c>
      <c r="AR561" s="81" t="s">
        <v>179</v>
      </c>
      <c r="AS561" s="81">
        <v>0</v>
      </c>
      <c r="AT561" s="81">
        <v>0</v>
      </c>
      <c r="AU561" s="81"/>
      <c r="AV561" s="81"/>
      <c r="AW561" s="81"/>
      <c r="AX561" s="81"/>
      <c r="AY561" s="81"/>
      <c r="AZ561" s="81"/>
      <c r="BA561" s="81"/>
      <c r="BB561" s="81"/>
    </row>
    <row r="562" spans="1:54" x14ac:dyDescent="0.35">
      <c r="A562" s="66" t="s">
        <v>534</v>
      </c>
      <c r="B562" s="66" t="s">
        <v>1067</v>
      </c>
      <c r="C562" s="67"/>
      <c r="D562" s="68"/>
      <c r="E562" s="69"/>
      <c r="F562" s="70"/>
      <c r="G562" s="67"/>
      <c r="H562" s="71"/>
      <c r="I562" s="72"/>
      <c r="J562" s="72"/>
      <c r="K562" s="36"/>
      <c r="L562" s="79"/>
      <c r="M562" s="79"/>
      <c r="N562" s="74"/>
      <c r="O562" s="81" t="s">
        <v>1208</v>
      </c>
      <c r="P562" s="83">
        <v>44460.410567129627</v>
      </c>
      <c r="Q562" s="81" t="s">
        <v>1344</v>
      </c>
      <c r="R562" s="81"/>
      <c r="S562" s="81"/>
      <c r="T562" s="81"/>
      <c r="U562" s="81"/>
      <c r="V562" s="85" t="str">
        <f>HYPERLINK("https://pbs.twimg.com/profile_images/1430523490755485701/F-KzASZz_normal.jpg")</f>
        <v>https://pbs.twimg.com/profile_images/1430523490755485701/F-KzASZz_normal.jpg</v>
      </c>
      <c r="W562" s="83">
        <v>44460.410567129627</v>
      </c>
      <c r="X562" s="89">
        <v>44460</v>
      </c>
      <c r="Y562" s="87" t="s">
        <v>2127</v>
      </c>
      <c r="Z562" s="85" t="str">
        <f>HYPERLINK("https://twitter.com/_____sasa/status/1440252267798532109")</f>
        <v>https://twitter.com/_____sasa/status/1440252267798532109</v>
      </c>
      <c r="AA562" s="81"/>
      <c r="AB562" s="81"/>
      <c r="AC562" s="87" t="s">
        <v>3051</v>
      </c>
      <c r="AD562" s="87" t="s">
        <v>3707</v>
      </c>
      <c r="AE562" s="81" t="b">
        <v>0</v>
      </c>
      <c r="AF562" s="81">
        <v>0</v>
      </c>
      <c r="AG562" s="87" t="s">
        <v>3941</v>
      </c>
      <c r="AH562" s="81" t="b">
        <v>0</v>
      </c>
      <c r="AI562" s="81" t="s">
        <v>4092</v>
      </c>
      <c r="AJ562" s="81"/>
      <c r="AK562" s="87" t="s">
        <v>3875</v>
      </c>
      <c r="AL562" s="81" t="b">
        <v>0</v>
      </c>
      <c r="AM562" s="81">
        <v>0</v>
      </c>
      <c r="AN562" s="87" t="s">
        <v>3875</v>
      </c>
      <c r="AO562" s="87" t="s">
        <v>4109</v>
      </c>
      <c r="AP562" s="81" t="b">
        <v>0</v>
      </c>
      <c r="AQ562" s="87" t="s">
        <v>3707</v>
      </c>
      <c r="AR562" s="81" t="s">
        <v>179</v>
      </c>
      <c r="AS562" s="81">
        <v>0</v>
      </c>
      <c r="AT562" s="81">
        <v>0</v>
      </c>
      <c r="AU562" s="81"/>
      <c r="AV562" s="81"/>
      <c r="AW562" s="81"/>
      <c r="AX562" s="81"/>
      <c r="AY562" s="81"/>
      <c r="AZ562" s="81"/>
      <c r="BA562" s="81"/>
      <c r="BB562" s="81"/>
    </row>
    <row r="563" spans="1:54" x14ac:dyDescent="0.35">
      <c r="A563" s="66" t="s">
        <v>535</v>
      </c>
      <c r="B563" s="66" t="s">
        <v>1055</v>
      </c>
      <c r="C563" s="67"/>
      <c r="D563" s="68"/>
      <c r="E563" s="69"/>
      <c r="F563" s="70"/>
      <c r="G563" s="67"/>
      <c r="H563" s="71"/>
      <c r="I563" s="72"/>
      <c r="J563" s="72"/>
      <c r="K563" s="36"/>
      <c r="L563" s="79"/>
      <c r="M563" s="79"/>
      <c r="N563" s="74"/>
      <c r="O563" s="81" t="s">
        <v>1207</v>
      </c>
      <c r="P563" s="83">
        <v>44460.411724537036</v>
      </c>
      <c r="Q563" s="81" t="s">
        <v>1324</v>
      </c>
      <c r="R563" s="81"/>
      <c r="S563" s="81"/>
      <c r="T563" s="81"/>
      <c r="U563" s="85" t="str">
        <f>HYPERLINK("https://pbs.twimg.com/media/E_xVJy2VQAQerFe.jpg")</f>
        <v>https://pbs.twimg.com/media/E_xVJy2VQAQerFe.jpg</v>
      </c>
      <c r="V563" s="85" t="str">
        <f>HYPERLINK("https://pbs.twimg.com/media/E_xVJy2VQAQerFe.jpg")</f>
        <v>https://pbs.twimg.com/media/E_xVJy2VQAQerFe.jpg</v>
      </c>
      <c r="W563" s="83">
        <v>44460.411724537036</v>
      </c>
      <c r="X563" s="89">
        <v>44460</v>
      </c>
      <c r="Y563" s="87" t="s">
        <v>2128</v>
      </c>
      <c r="Z563" s="85" t="str">
        <f>HYPERLINK("https://twitter.com/tehmanispanas4/status/1440252683533783055")</f>
        <v>https://twitter.com/tehmanispanas4/status/1440252683533783055</v>
      </c>
      <c r="AA563" s="81"/>
      <c r="AB563" s="81"/>
      <c r="AC563" s="87" t="s">
        <v>3052</v>
      </c>
      <c r="AD563" s="81"/>
      <c r="AE563" s="81" t="b">
        <v>0</v>
      </c>
      <c r="AF563" s="81">
        <v>0</v>
      </c>
      <c r="AG563" s="87" t="s">
        <v>3875</v>
      </c>
      <c r="AH563" s="81" t="b">
        <v>0</v>
      </c>
      <c r="AI563" s="81" t="s">
        <v>4092</v>
      </c>
      <c r="AJ563" s="81"/>
      <c r="AK563" s="87" t="s">
        <v>3875</v>
      </c>
      <c r="AL563" s="81" t="b">
        <v>0</v>
      </c>
      <c r="AM563" s="81">
        <v>321</v>
      </c>
      <c r="AN563" s="87" t="s">
        <v>3520</v>
      </c>
      <c r="AO563" s="87" t="s">
        <v>4110</v>
      </c>
      <c r="AP563" s="81" t="b">
        <v>0</v>
      </c>
      <c r="AQ563" s="87" t="s">
        <v>3520</v>
      </c>
      <c r="AR563" s="81" t="s">
        <v>179</v>
      </c>
      <c r="AS563" s="81">
        <v>0</v>
      </c>
      <c r="AT563" s="81">
        <v>0</v>
      </c>
      <c r="AU563" s="81"/>
      <c r="AV563" s="81"/>
      <c r="AW563" s="81"/>
      <c r="AX563" s="81"/>
      <c r="AY563" s="81"/>
      <c r="AZ563" s="81"/>
      <c r="BA563" s="81"/>
      <c r="BB563" s="81"/>
    </row>
    <row r="564" spans="1:54" x14ac:dyDescent="0.35">
      <c r="A564" s="66" t="s">
        <v>535</v>
      </c>
      <c r="B564" s="66" t="s">
        <v>910</v>
      </c>
      <c r="C564" s="67"/>
      <c r="D564" s="68"/>
      <c r="E564" s="69"/>
      <c r="F564" s="70"/>
      <c r="G564" s="67"/>
      <c r="H564" s="71"/>
      <c r="I564" s="72"/>
      <c r="J564" s="72"/>
      <c r="K564" s="36"/>
      <c r="L564" s="79"/>
      <c r="M564" s="79"/>
      <c r="N564" s="74"/>
      <c r="O564" s="81" t="s">
        <v>1205</v>
      </c>
      <c r="P564" s="83">
        <v>44460.411724537036</v>
      </c>
      <c r="Q564" s="81" t="s">
        <v>1324</v>
      </c>
      <c r="R564" s="81"/>
      <c r="S564" s="81"/>
      <c r="T564" s="81"/>
      <c r="U564" s="85" t="str">
        <f>HYPERLINK("https://pbs.twimg.com/media/E_xVJy2VQAQerFe.jpg")</f>
        <v>https://pbs.twimg.com/media/E_xVJy2VQAQerFe.jpg</v>
      </c>
      <c r="V564" s="85" t="str">
        <f>HYPERLINK("https://pbs.twimg.com/media/E_xVJy2VQAQerFe.jpg")</f>
        <v>https://pbs.twimg.com/media/E_xVJy2VQAQerFe.jpg</v>
      </c>
      <c r="W564" s="83">
        <v>44460.411724537036</v>
      </c>
      <c r="X564" s="89">
        <v>44460</v>
      </c>
      <c r="Y564" s="87" t="s">
        <v>2128</v>
      </c>
      <c r="Z564" s="85" t="str">
        <f>HYPERLINK("https://twitter.com/tehmanispanas4/status/1440252683533783055")</f>
        <v>https://twitter.com/tehmanispanas4/status/1440252683533783055</v>
      </c>
      <c r="AA564" s="81"/>
      <c r="AB564" s="81"/>
      <c r="AC564" s="87" t="s">
        <v>3052</v>
      </c>
      <c r="AD564" s="81"/>
      <c r="AE564" s="81" t="b">
        <v>0</v>
      </c>
      <c r="AF564" s="81">
        <v>0</v>
      </c>
      <c r="AG564" s="87" t="s">
        <v>3875</v>
      </c>
      <c r="AH564" s="81" t="b">
        <v>0</v>
      </c>
      <c r="AI564" s="81" t="s">
        <v>4092</v>
      </c>
      <c r="AJ564" s="81"/>
      <c r="AK564" s="87" t="s">
        <v>3875</v>
      </c>
      <c r="AL564" s="81" t="b">
        <v>0</v>
      </c>
      <c r="AM564" s="81">
        <v>321</v>
      </c>
      <c r="AN564" s="87" t="s">
        <v>3520</v>
      </c>
      <c r="AO564" s="87" t="s">
        <v>4110</v>
      </c>
      <c r="AP564" s="81" t="b">
        <v>0</v>
      </c>
      <c r="AQ564" s="87" t="s">
        <v>3520</v>
      </c>
      <c r="AR564" s="81" t="s">
        <v>179</v>
      </c>
      <c r="AS564" s="81">
        <v>0</v>
      </c>
      <c r="AT564" s="81">
        <v>0</v>
      </c>
      <c r="AU564" s="81"/>
      <c r="AV564" s="81"/>
      <c r="AW564" s="81"/>
      <c r="AX564" s="81"/>
      <c r="AY564" s="81"/>
      <c r="AZ564" s="81"/>
      <c r="BA564" s="81"/>
      <c r="BB564" s="81"/>
    </row>
    <row r="565" spans="1:54" x14ac:dyDescent="0.35">
      <c r="A565" s="66" t="s">
        <v>536</v>
      </c>
      <c r="B565" s="66" t="s">
        <v>1055</v>
      </c>
      <c r="C565" s="67"/>
      <c r="D565" s="68"/>
      <c r="E565" s="69"/>
      <c r="F565" s="70"/>
      <c r="G565" s="67"/>
      <c r="H565" s="71"/>
      <c r="I565" s="72"/>
      <c r="J565" s="72"/>
      <c r="K565" s="36"/>
      <c r="L565" s="79"/>
      <c r="M565" s="79"/>
      <c r="N565" s="74"/>
      <c r="O565" s="81" t="s">
        <v>1207</v>
      </c>
      <c r="P565" s="83">
        <v>44460.411851851852</v>
      </c>
      <c r="Q565" s="81" t="s">
        <v>1324</v>
      </c>
      <c r="R565" s="81"/>
      <c r="S565" s="81"/>
      <c r="T565" s="81"/>
      <c r="U565" s="85" t="str">
        <f>HYPERLINK("https://pbs.twimg.com/media/E_xVJy2VQAQerFe.jpg")</f>
        <v>https://pbs.twimg.com/media/E_xVJy2VQAQerFe.jpg</v>
      </c>
      <c r="V565" s="85" t="str">
        <f>HYPERLINK("https://pbs.twimg.com/media/E_xVJy2VQAQerFe.jpg")</f>
        <v>https://pbs.twimg.com/media/E_xVJy2VQAQerFe.jpg</v>
      </c>
      <c r="W565" s="83">
        <v>44460.411851851852</v>
      </c>
      <c r="X565" s="89">
        <v>44460</v>
      </c>
      <c r="Y565" s="87" t="s">
        <v>2129</v>
      </c>
      <c r="Z565" s="85" t="str">
        <f>HYPERLINK("https://twitter.com/budipra87870630/status/1440252731722125320")</f>
        <v>https://twitter.com/budipra87870630/status/1440252731722125320</v>
      </c>
      <c r="AA565" s="81"/>
      <c r="AB565" s="81"/>
      <c r="AC565" s="87" t="s">
        <v>3053</v>
      </c>
      <c r="AD565" s="81"/>
      <c r="AE565" s="81" t="b">
        <v>0</v>
      </c>
      <c r="AF565" s="81">
        <v>0</v>
      </c>
      <c r="AG565" s="87" t="s">
        <v>3875</v>
      </c>
      <c r="AH565" s="81" t="b">
        <v>0</v>
      </c>
      <c r="AI565" s="81" t="s">
        <v>4092</v>
      </c>
      <c r="AJ565" s="81"/>
      <c r="AK565" s="87" t="s">
        <v>3875</v>
      </c>
      <c r="AL565" s="81" t="b">
        <v>0</v>
      </c>
      <c r="AM565" s="81">
        <v>321</v>
      </c>
      <c r="AN565" s="87" t="s">
        <v>3520</v>
      </c>
      <c r="AO565" s="87" t="s">
        <v>4109</v>
      </c>
      <c r="AP565" s="81" t="b">
        <v>0</v>
      </c>
      <c r="AQ565" s="87" t="s">
        <v>3520</v>
      </c>
      <c r="AR565" s="81" t="s">
        <v>179</v>
      </c>
      <c r="AS565" s="81">
        <v>0</v>
      </c>
      <c r="AT565" s="81">
        <v>0</v>
      </c>
      <c r="AU565" s="81"/>
      <c r="AV565" s="81"/>
      <c r="AW565" s="81"/>
      <c r="AX565" s="81"/>
      <c r="AY565" s="81"/>
      <c r="AZ565" s="81"/>
      <c r="BA565" s="81"/>
      <c r="BB565" s="81"/>
    </row>
    <row r="566" spans="1:54" x14ac:dyDescent="0.35">
      <c r="A566" s="66" t="s">
        <v>536</v>
      </c>
      <c r="B566" s="66" t="s">
        <v>910</v>
      </c>
      <c r="C566" s="67"/>
      <c r="D566" s="68"/>
      <c r="E566" s="69"/>
      <c r="F566" s="70"/>
      <c r="G566" s="67"/>
      <c r="H566" s="71"/>
      <c r="I566" s="72"/>
      <c r="J566" s="72"/>
      <c r="K566" s="36"/>
      <c r="L566" s="79"/>
      <c r="M566" s="79"/>
      <c r="N566" s="74"/>
      <c r="O566" s="81" t="s">
        <v>1205</v>
      </c>
      <c r="P566" s="83">
        <v>44460.411851851852</v>
      </c>
      <c r="Q566" s="81" t="s">
        <v>1324</v>
      </c>
      <c r="R566" s="81"/>
      <c r="S566" s="81"/>
      <c r="T566" s="81"/>
      <c r="U566" s="85" t="str">
        <f>HYPERLINK("https://pbs.twimg.com/media/E_xVJy2VQAQerFe.jpg")</f>
        <v>https://pbs.twimg.com/media/E_xVJy2VQAQerFe.jpg</v>
      </c>
      <c r="V566" s="85" t="str">
        <f>HYPERLINK("https://pbs.twimg.com/media/E_xVJy2VQAQerFe.jpg")</f>
        <v>https://pbs.twimg.com/media/E_xVJy2VQAQerFe.jpg</v>
      </c>
      <c r="W566" s="83">
        <v>44460.411851851852</v>
      </c>
      <c r="X566" s="89">
        <v>44460</v>
      </c>
      <c r="Y566" s="87" t="s">
        <v>2129</v>
      </c>
      <c r="Z566" s="85" t="str">
        <f>HYPERLINK("https://twitter.com/budipra87870630/status/1440252731722125320")</f>
        <v>https://twitter.com/budipra87870630/status/1440252731722125320</v>
      </c>
      <c r="AA566" s="81"/>
      <c r="AB566" s="81"/>
      <c r="AC566" s="87" t="s">
        <v>3053</v>
      </c>
      <c r="AD566" s="81"/>
      <c r="AE566" s="81" t="b">
        <v>0</v>
      </c>
      <c r="AF566" s="81">
        <v>0</v>
      </c>
      <c r="AG566" s="87" t="s">
        <v>3875</v>
      </c>
      <c r="AH566" s="81" t="b">
        <v>0</v>
      </c>
      <c r="AI566" s="81" t="s">
        <v>4092</v>
      </c>
      <c r="AJ566" s="81"/>
      <c r="AK566" s="87" t="s">
        <v>3875</v>
      </c>
      <c r="AL566" s="81" t="b">
        <v>0</v>
      </c>
      <c r="AM566" s="81">
        <v>321</v>
      </c>
      <c r="AN566" s="87" t="s">
        <v>3520</v>
      </c>
      <c r="AO566" s="87" t="s">
        <v>4109</v>
      </c>
      <c r="AP566" s="81" t="b">
        <v>0</v>
      </c>
      <c r="AQ566" s="87" t="s">
        <v>3520</v>
      </c>
      <c r="AR566" s="81" t="s">
        <v>179</v>
      </c>
      <c r="AS566" s="81">
        <v>0</v>
      </c>
      <c r="AT566" s="81">
        <v>0</v>
      </c>
      <c r="AU566" s="81"/>
      <c r="AV566" s="81"/>
      <c r="AW566" s="81"/>
      <c r="AX566" s="81"/>
      <c r="AY566" s="81"/>
      <c r="AZ566" s="81"/>
      <c r="BA566" s="81"/>
      <c r="BB566" s="81"/>
    </row>
    <row r="567" spans="1:54" x14ac:dyDescent="0.35">
      <c r="A567" s="66" t="s">
        <v>537</v>
      </c>
      <c r="B567" s="66" t="s">
        <v>1055</v>
      </c>
      <c r="C567" s="67"/>
      <c r="D567" s="68"/>
      <c r="E567" s="69"/>
      <c r="F567" s="70"/>
      <c r="G567" s="67"/>
      <c r="H567" s="71"/>
      <c r="I567" s="72"/>
      <c r="J567" s="72"/>
      <c r="K567" s="36"/>
      <c r="L567" s="79"/>
      <c r="M567" s="79"/>
      <c r="N567" s="74"/>
      <c r="O567" s="81" t="s">
        <v>1207</v>
      </c>
      <c r="P567" s="83">
        <v>44460.414363425924</v>
      </c>
      <c r="Q567" s="81" t="s">
        <v>1324</v>
      </c>
      <c r="R567" s="81"/>
      <c r="S567" s="81"/>
      <c r="T567" s="81"/>
      <c r="U567" s="85" t="str">
        <f>HYPERLINK("https://pbs.twimg.com/media/E_xVJy2VQAQerFe.jpg")</f>
        <v>https://pbs.twimg.com/media/E_xVJy2VQAQerFe.jpg</v>
      </c>
      <c r="V567" s="85" t="str">
        <f>HYPERLINK("https://pbs.twimg.com/media/E_xVJy2VQAQerFe.jpg")</f>
        <v>https://pbs.twimg.com/media/E_xVJy2VQAQerFe.jpg</v>
      </c>
      <c r="W567" s="83">
        <v>44460.414363425924</v>
      </c>
      <c r="X567" s="89">
        <v>44460</v>
      </c>
      <c r="Y567" s="87" t="s">
        <v>2130</v>
      </c>
      <c r="Z567" s="85" t="str">
        <f>HYPERLINK("https://twitter.com/daodibn/status/1440253642456535041")</f>
        <v>https://twitter.com/daodibn/status/1440253642456535041</v>
      </c>
      <c r="AA567" s="81"/>
      <c r="AB567" s="81"/>
      <c r="AC567" s="87" t="s">
        <v>3054</v>
      </c>
      <c r="AD567" s="81"/>
      <c r="AE567" s="81" t="b">
        <v>0</v>
      </c>
      <c r="AF567" s="81">
        <v>0</v>
      </c>
      <c r="AG567" s="87" t="s">
        <v>3875</v>
      </c>
      <c r="AH567" s="81" t="b">
        <v>0</v>
      </c>
      <c r="AI567" s="81" t="s">
        <v>4092</v>
      </c>
      <c r="AJ567" s="81"/>
      <c r="AK567" s="87" t="s">
        <v>3875</v>
      </c>
      <c r="AL567" s="81" t="b">
        <v>0</v>
      </c>
      <c r="AM567" s="81">
        <v>321</v>
      </c>
      <c r="AN567" s="87" t="s">
        <v>3520</v>
      </c>
      <c r="AO567" s="87" t="s">
        <v>4109</v>
      </c>
      <c r="AP567" s="81" t="b">
        <v>0</v>
      </c>
      <c r="AQ567" s="87" t="s">
        <v>3520</v>
      </c>
      <c r="AR567" s="81" t="s">
        <v>179</v>
      </c>
      <c r="AS567" s="81">
        <v>0</v>
      </c>
      <c r="AT567" s="81">
        <v>0</v>
      </c>
      <c r="AU567" s="81"/>
      <c r="AV567" s="81"/>
      <c r="AW567" s="81"/>
      <c r="AX567" s="81"/>
      <c r="AY567" s="81"/>
      <c r="AZ567" s="81"/>
      <c r="BA567" s="81"/>
      <c r="BB567" s="81"/>
    </row>
    <row r="568" spans="1:54" x14ac:dyDescent="0.35">
      <c r="A568" s="66" t="s">
        <v>537</v>
      </c>
      <c r="B568" s="66" t="s">
        <v>910</v>
      </c>
      <c r="C568" s="67"/>
      <c r="D568" s="68"/>
      <c r="E568" s="69"/>
      <c r="F568" s="70"/>
      <c r="G568" s="67"/>
      <c r="H568" s="71"/>
      <c r="I568" s="72"/>
      <c r="J568" s="72"/>
      <c r="K568" s="36"/>
      <c r="L568" s="79"/>
      <c r="M568" s="79"/>
      <c r="N568" s="74"/>
      <c r="O568" s="81" t="s">
        <v>1205</v>
      </c>
      <c r="P568" s="83">
        <v>44460.414363425924</v>
      </c>
      <c r="Q568" s="81" t="s">
        <v>1324</v>
      </c>
      <c r="R568" s="81"/>
      <c r="S568" s="81"/>
      <c r="T568" s="81"/>
      <c r="U568" s="85" t="str">
        <f>HYPERLINK("https://pbs.twimg.com/media/E_xVJy2VQAQerFe.jpg")</f>
        <v>https://pbs.twimg.com/media/E_xVJy2VQAQerFe.jpg</v>
      </c>
      <c r="V568" s="85" t="str">
        <f>HYPERLINK("https://pbs.twimg.com/media/E_xVJy2VQAQerFe.jpg")</f>
        <v>https://pbs.twimg.com/media/E_xVJy2VQAQerFe.jpg</v>
      </c>
      <c r="W568" s="83">
        <v>44460.414363425924</v>
      </c>
      <c r="X568" s="89">
        <v>44460</v>
      </c>
      <c r="Y568" s="87" t="s">
        <v>2130</v>
      </c>
      <c r="Z568" s="85" t="str">
        <f>HYPERLINK("https://twitter.com/daodibn/status/1440253642456535041")</f>
        <v>https://twitter.com/daodibn/status/1440253642456535041</v>
      </c>
      <c r="AA568" s="81"/>
      <c r="AB568" s="81"/>
      <c r="AC568" s="87" t="s">
        <v>3054</v>
      </c>
      <c r="AD568" s="81"/>
      <c r="AE568" s="81" t="b">
        <v>0</v>
      </c>
      <c r="AF568" s="81">
        <v>0</v>
      </c>
      <c r="AG568" s="87" t="s">
        <v>3875</v>
      </c>
      <c r="AH568" s="81" t="b">
        <v>0</v>
      </c>
      <c r="AI568" s="81" t="s">
        <v>4092</v>
      </c>
      <c r="AJ568" s="81"/>
      <c r="AK568" s="87" t="s">
        <v>3875</v>
      </c>
      <c r="AL568" s="81" t="b">
        <v>0</v>
      </c>
      <c r="AM568" s="81">
        <v>321</v>
      </c>
      <c r="AN568" s="87" t="s">
        <v>3520</v>
      </c>
      <c r="AO568" s="87" t="s">
        <v>4109</v>
      </c>
      <c r="AP568" s="81" t="b">
        <v>0</v>
      </c>
      <c r="AQ568" s="87" t="s">
        <v>3520</v>
      </c>
      <c r="AR568" s="81" t="s">
        <v>179</v>
      </c>
      <c r="AS568" s="81">
        <v>0</v>
      </c>
      <c r="AT568" s="81">
        <v>0</v>
      </c>
      <c r="AU568" s="81"/>
      <c r="AV568" s="81"/>
      <c r="AW568" s="81"/>
      <c r="AX568" s="81"/>
      <c r="AY568" s="81"/>
      <c r="AZ568" s="81"/>
      <c r="BA568" s="81"/>
      <c r="BB568" s="81"/>
    </row>
    <row r="569" spans="1:54" x14ac:dyDescent="0.35">
      <c r="A569" s="66" t="s">
        <v>538</v>
      </c>
      <c r="B569" s="66" t="s">
        <v>1055</v>
      </c>
      <c r="C569" s="67"/>
      <c r="D569" s="68"/>
      <c r="E569" s="69"/>
      <c r="F569" s="70"/>
      <c r="G569" s="67"/>
      <c r="H569" s="71"/>
      <c r="I569" s="72"/>
      <c r="J569" s="72"/>
      <c r="K569" s="36"/>
      <c r="L569" s="79"/>
      <c r="M569" s="79"/>
      <c r="N569" s="74"/>
      <c r="O569" s="81" t="s">
        <v>1207</v>
      </c>
      <c r="P569" s="83">
        <v>44460.416574074072</v>
      </c>
      <c r="Q569" s="81" t="s">
        <v>1324</v>
      </c>
      <c r="R569" s="81"/>
      <c r="S569" s="81"/>
      <c r="T569" s="81"/>
      <c r="U569" s="85" t="str">
        <f>HYPERLINK("https://pbs.twimg.com/media/E_xVJy2VQAQerFe.jpg")</f>
        <v>https://pbs.twimg.com/media/E_xVJy2VQAQerFe.jpg</v>
      </c>
      <c r="V569" s="85" t="str">
        <f>HYPERLINK("https://pbs.twimg.com/media/E_xVJy2VQAQerFe.jpg")</f>
        <v>https://pbs.twimg.com/media/E_xVJy2VQAQerFe.jpg</v>
      </c>
      <c r="W569" s="83">
        <v>44460.416574074072</v>
      </c>
      <c r="X569" s="89">
        <v>44460</v>
      </c>
      <c r="Y569" s="87" t="s">
        <v>2131</v>
      </c>
      <c r="Z569" s="85" t="str">
        <f>HYPERLINK("https://twitter.com/sumaryo80184182/status/1440254444743004162")</f>
        <v>https://twitter.com/sumaryo80184182/status/1440254444743004162</v>
      </c>
      <c r="AA569" s="81"/>
      <c r="AB569" s="81"/>
      <c r="AC569" s="87" t="s">
        <v>3055</v>
      </c>
      <c r="AD569" s="81"/>
      <c r="AE569" s="81" t="b">
        <v>0</v>
      </c>
      <c r="AF569" s="81">
        <v>0</v>
      </c>
      <c r="AG569" s="87" t="s">
        <v>3875</v>
      </c>
      <c r="AH569" s="81" t="b">
        <v>0</v>
      </c>
      <c r="AI569" s="81" t="s">
        <v>4092</v>
      </c>
      <c r="AJ569" s="81"/>
      <c r="AK569" s="87" t="s">
        <v>3875</v>
      </c>
      <c r="AL569" s="81" t="b">
        <v>0</v>
      </c>
      <c r="AM569" s="81">
        <v>321</v>
      </c>
      <c r="AN569" s="87" t="s">
        <v>3520</v>
      </c>
      <c r="AO569" s="87" t="s">
        <v>4109</v>
      </c>
      <c r="AP569" s="81" t="b">
        <v>0</v>
      </c>
      <c r="AQ569" s="87" t="s">
        <v>3520</v>
      </c>
      <c r="AR569" s="81" t="s">
        <v>179</v>
      </c>
      <c r="AS569" s="81">
        <v>0</v>
      </c>
      <c r="AT569" s="81">
        <v>0</v>
      </c>
      <c r="AU569" s="81"/>
      <c r="AV569" s="81"/>
      <c r="AW569" s="81"/>
      <c r="AX569" s="81"/>
      <c r="AY569" s="81"/>
      <c r="AZ569" s="81"/>
      <c r="BA569" s="81"/>
      <c r="BB569" s="81"/>
    </row>
    <row r="570" spans="1:54" x14ac:dyDescent="0.35">
      <c r="A570" s="66" t="s">
        <v>538</v>
      </c>
      <c r="B570" s="66" t="s">
        <v>910</v>
      </c>
      <c r="C570" s="67"/>
      <c r="D570" s="68"/>
      <c r="E570" s="69"/>
      <c r="F570" s="70"/>
      <c r="G570" s="67"/>
      <c r="H570" s="71"/>
      <c r="I570" s="72"/>
      <c r="J570" s="72"/>
      <c r="K570" s="36"/>
      <c r="L570" s="79"/>
      <c r="M570" s="79"/>
      <c r="N570" s="74"/>
      <c r="O570" s="81" t="s">
        <v>1205</v>
      </c>
      <c r="P570" s="83">
        <v>44460.416574074072</v>
      </c>
      <c r="Q570" s="81" t="s">
        <v>1324</v>
      </c>
      <c r="R570" s="81"/>
      <c r="S570" s="81"/>
      <c r="T570" s="81"/>
      <c r="U570" s="85" t="str">
        <f>HYPERLINK("https://pbs.twimg.com/media/E_xVJy2VQAQerFe.jpg")</f>
        <v>https://pbs.twimg.com/media/E_xVJy2VQAQerFe.jpg</v>
      </c>
      <c r="V570" s="85" t="str">
        <f>HYPERLINK("https://pbs.twimg.com/media/E_xVJy2VQAQerFe.jpg")</f>
        <v>https://pbs.twimg.com/media/E_xVJy2VQAQerFe.jpg</v>
      </c>
      <c r="W570" s="83">
        <v>44460.416574074072</v>
      </c>
      <c r="X570" s="89">
        <v>44460</v>
      </c>
      <c r="Y570" s="87" t="s">
        <v>2131</v>
      </c>
      <c r="Z570" s="85" t="str">
        <f>HYPERLINK("https://twitter.com/sumaryo80184182/status/1440254444743004162")</f>
        <v>https://twitter.com/sumaryo80184182/status/1440254444743004162</v>
      </c>
      <c r="AA570" s="81"/>
      <c r="AB570" s="81"/>
      <c r="AC570" s="87" t="s">
        <v>3055</v>
      </c>
      <c r="AD570" s="81"/>
      <c r="AE570" s="81" t="b">
        <v>0</v>
      </c>
      <c r="AF570" s="81">
        <v>0</v>
      </c>
      <c r="AG570" s="87" t="s">
        <v>3875</v>
      </c>
      <c r="AH570" s="81" t="b">
        <v>0</v>
      </c>
      <c r="AI570" s="81" t="s">
        <v>4092</v>
      </c>
      <c r="AJ570" s="81"/>
      <c r="AK570" s="87" t="s">
        <v>3875</v>
      </c>
      <c r="AL570" s="81" t="b">
        <v>0</v>
      </c>
      <c r="AM570" s="81">
        <v>321</v>
      </c>
      <c r="AN570" s="87" t="s">
        <v>3520</v>
      </c>
      <c r="AO570" s="87" t="s">
        <v>4109</v>
      </c>
      <c r="AP570" s="81" t="b">
        <v>0</v>
      </c>
      <c r="AQ570" s="87" t="s">
        <v>3520</v>
      </c>
      <c r="AR570" s="81" t="s">
        <v>179</v>
      </c>
      <c r="AS570" s="81">
        <v>0</v>
      </c>
      <c r="AT570" s="81">
        <v>0</v>
      </c>
      <c r="AU570" s="81"/>
      <c r="AV570" s="81"/>
      <c r="AW570" s="81"/>
      <c r="AX570" s="81"/>
      <c r="AY570" s="81"/>
      <c r="AZ570" s="81"/>
      <c r="BA570" s="81"/>
      <c r="BB570" s="81"/>
    </row>
    <row r="571" spans="1:54" x14ac:dyDescent="0.35">
      <c r="A571" s="66" t="s">
        <v>539</v>
      </c>
      <c r="B571" s="66" t="s">
        <v>1055</v>
      </c>
      <c r="C571" s="67"/>
      <c r="D571" s="68"/>
      <c r="E571" s="69"/>
      <c r="F571" s="70"/>
      <c r="G571" s="67"/>
      <c r="H571" s="71"/>
      <c r="I571" s="72"/>
      <c r="J571" s="72"/>
      <c r="K571" s="36"/>
      <c r="L571" s="79"/>
      <c r="M571" s="79"/>
      <c r="N571" s="74"/>
      <c r="O571" s="81" t="s">
        <v>1207</v>
      </c>
      <c r="P571" s="83">
        <v>44460.418055555558</v>
      </c>
      <c r="Q571" s="81" t="s">
        <v>1324</v>
      </c>
      <c r="R571" s="81"/>
      <c r="S571" s="81"/>
      <c r="T571" s="81"/>
      <c r="U571" s="85" t="str">
        <f>HYPERLINK("https://pbs.twimg.com/media/E_xVJy2VQAQerFe.jpg")</f>
        <v>https://pbs.twimg.com/media/E_xVJy2VQAQerFe.jpg</v>
      </c>
      <c r="V571" s="85" t="str">
        <f>HYPERLINK("https://pbs.twimg.com/media/E_xVJy2VQAQerFe.jpg")</f>
        <v>https://pbs.twimg.com/media/E_xVJy2VQAQerFe.jpg</v>
      </c>
      <c r="W571" s="83">
        <v>44460.418055555558</v>
      </c>
      <c r="X571" s="89">
        <v>44460</v>
      </c>
      <c r="Y571" s="87" t="s">
        <v>2132</v>
      </c>
      <c r="Z571" s="85" t="str">
        <f>HYPERLINK("https://twitter.com/rich146754/status/1440254981366448140")</f>
        <v>https://twitter.com/rich146754/status/1440254981366448140</v>
      </c>
      <c r="AA571" s="81"/>
      <c r="AB571" s="81"/>
      <c r="AC571" s="87" t="s">
        <v>3056</v>
      </c>
      <c r="AD571" s="81"/>
      <c r="AE571" s="81" t="b">
        <v>0</v>
      </c>
      <c r="AF571" s="81">
        <v>0</v>
      </c>
      <c r="AG571" s="87" t="s">
        <v>3875</v>
      </c>
      <c r="AH571" s="81" t="b">
        <v>0</v>
      </c>
      <c r="AI571" s="81" t="s">
        <v>4092</v>
      </c>
      <c r="AJ571" s="81"/>
      <c r="AK571" s="87" t="s">
        <v>3875</v>
      </c>
      <c r="AL571" s="81" t="b">
        <v>0</v>
      </c>
      <c r="AM571" s="81">
        <v>321</v>
      </c>
      <c r="AN571" s="87" t="s">
        <v>3520</v>
      </c>
      <c r="AO571" s="87" t="s">
        <v>4109</v>
      </c>
      <c r="AP571" s="81" t="b">
        <v>0</v>
      </c>
      <c r="AQ571" s="87" t="s">
        <v>3520</v>
      </c>
      <c r="AR571" s="81" t="s">
        <v>179</v>
      </c>
      <c r="AS571" s="81">
        <v>0</v>
      </c>
      <c r="AT571" s="81">
        <v>0</v>
      </c>
      <c r="AU571" s="81"/>
      <c r="AV571" s="81"/>
      <c r="AW571" s="81"/>
      <c r="AX571" s="81"/>
      <c r="AY571" s="81"/>
      <c r="AZ571" s="81"/>
      <c r="BA571" s="81"/>
      <c r="BB571" s="81"/>
    </row>
    <row r="572" spans="1:54" x14ac:dyDescent="0.35">
      <c r="A572" s="66" t="s">
        <v>539</v>
      </c>
      <c r="B572" s="66" t="s">
        <v>910</v>
      </c>
      <c r="C572" s="67"/>
      <c r="D572" s="68"/>
      <c r="E572" s="69"/>
      <c r="F572" s="70"/>
      <c r="G572" s="67"/>
      <c r="H572" s="71"/>
      <c r="I572" s="72"/>
      <c r="J572" s="72"/>
      <c r="K572" s="36"/>
      <c r="L572" s="79"/>
      <c r="M572" s="79"/>
      <c r="N572" s="74"/>
      <c r="O572" s="81" t="s">
        <v>1205</v>
      </c>
      <c r="P572" s="83">
        <v>44460.418055555558</v>
      </c>
      <c r="Q572" s="81" t="s">
        <v>1324</v>
      </c>
      <c r="R572" s="81"/>
      <c r="S572" s="81"/>
      <c r="T572" s="81"/>
      <c r="U572" s="85" t="str">
        <f>HYPERLINK("https://pbs.twimg.com/media/E_xVJy2VQAQerFe.jpg")</f>
        <v>https://pbs.twimg.com/media/E_xVJy2VQAQerFe.jpg</v>
      </c>
      <c r="V572" s="85" t="str">
        <f>HYPERLINK("https://pbs.twimg.com/media/E_xVJy2VQAQerFe.jpg")</f>
        <v>https://pbs.twimg.com/media/E_xVJy2VQAQerFe.jpg</v>
      </c>
      <c r="W572" s="83">
        <v>44460.418055555558</v>
      </c>
      <c r="X572" s="89">
        <v>44460</v>
      </c>
      <c r="Y572" s="87" t="s">
        <v>2132</v>
      </c>
      <c r="Z572" s="85" t="str">
        <f>HYPERLINK("https://twitter.com/rich146754/status/1440254981366448140")</f>
        <v>https://twitter.com/rich146754/status/1440254981366448140</v>
      </c>
      <c r="AA572" s="81"/>
      <c r="AB572" s="81"/>
      <c r="AC572" s="87" t="s">
        <v>3056</v>
      </c>
      <c r="AD572" s="81"/>
      <c r="AE572" s="81" t="b">
        <v>0</v>
      </c>
      <c r="AF572" s="81">
        <v>0</v>
      </c>
      <c r="AG572" s="87" t="s">
        <v>3875</v>
      </c>
      <c r="AH572" s="81" t="b">
        <v>0</v>
      </c>
      <c r="AI572" s="81" t="s">
        <v>4092</v>
      </c>
      <c r="AJ572" s="81"/>
      <c r="AK572" s="87" t="s">
        <v>3875</v>
      </c>
      <c r="AL572" s="81" t="b">
        <v>0</v>
      </c>
      <c r="AM572" s="81">
        <v>321</v>
      </c>
      <c r="AN572" s="87" t="s">
        <v>3520</v>
      </c>
      <c r="AO572" s="87" t="s">
        <v>4109</v>
      </c>
      <c r="AP572" s="81" t="b">
        <v>0</v>
      </c>
      <c r="AQ572" s="87" t="s">
        <v>3520</v>
      </c>
      <c r="AR572" s="81" t="s">
        <v>179</v>
      </c>
      <c r="AS572" s="81">
        <v>0</v>
      </c>
      <c r="AT572" s="81">
        <v>0</v>
      </c>
      <c r="AU572" s="81"/>
      <c r="AV572" s="81"/>
      <c r="AW572" s="81"/>
      <c r="AX572" s="81"/>
      <c r="AY572" s="81"/>
      <c r="AZ572" s="81"/>
      <c r="BA572" s="81"/>
      <c r="BB572" s="81"/>
    </row>
    <row r="573" spans="1:54" x14ac:dyDescent="0.35">
      <c r="A573" s="66" t="s">
        <v>540</v>
      </c>
      <c r="B573" s="66" t="s">
        <v>1055</v>
      </c>
      <c r="C573" s="67"/>
      <c r="D573" s="68"/>
      <c r="E573" s="69"/>
      <c r="F573" s="70"/>
      <c r="G573" s="67"/>
      <c r="H573" s="71"/>
      <c r="I573" s="72"/>
      <c r="J573" s="72"/>
      <c r="K573" s="36"/>
      <c r="L573" s="79"/>
      <c r="M573" s="79"/>
      <c r="N573" s="74"/>
      <c r="O573" s="81" t="s">
        <v>1207</v>
      </c>
      <c r="P573" s="83">
        <v>44460.420659722222</v>
      </c>
      <c r="Q573" s="81" t="s">
        <v>1324</v>
      </c>
      <c r="R573" s="81"/>
      <c r="S573" s="81"/>
      <c r="T573" s="81"/>
      <c r="U573" s="85" t="str">
        <f>HYPERLINK("https://pbs.twimg.com/media/E_xVJy2VQAQerFe.jpg")</f>
        <v>https://pbs.twimg.com/media/E_xVJy2VQAQerFe.jpg</v>
      </c>
      <c r="V573" s="85" t="str">
        <f>HYPERLINK("https://pbs.twimg.com/media/E_xVJy2VQAQerFe.jpg")</f>
        <v>https://pbs.twimg.com/media/E_xVJy2VQAQerFe.jpg</v>
      </c>
      <c r="W573" s="83">
        <v>44460.420659722222</v>
      </c>
      <c r="X573" s="89">
        <v>44460</v>
      </c>
      <c r="Y573" s="87" t="s">
        <v>2133</v>
      </c>
      <c r="Z573" s="85" t="str">
        <f>HYPERLINK("https://twitter.com/gusary/status/1440255921620336647")</f>
        <v>https://twitter.com/gusary/status/1440255921620336647</v>
      </c>
      <c r="AA573" s="81"/>
      <c r="AB573" s="81"/>
      <c r="AC573" s="87" t="s">
        <v>3057</v>
      </c>
      <c r="AD573" s="81"/>
      <c r="AE573" s="81" t="b">
        <v>0</v>
      </c>
      <c r="AF573" s="81">
        <v>0</v>
      </c>
      <c r="AG573" s="87" t="s">
        <v>3875</v>
      </c>
      <c r="AH573" s="81" t="b">
        <v>0</v>
      </c>
      <c r="AI573" s="81" t="s">
        <v>4092</v>
      </c>
      <c r="AJ573" s="81"/>
      <c r="AK573" s="87" t="s">
        <v>3875</v>
      </c>
      <c r="AL573" s="81" t="b">
        <v>0</v>
      </c>
      <c r="AM573" s="81">
        <v>321</v>
      </c>
      <c r="AN573" s="87" t="s">
        <v>3520</v>
      </c>
      <c r="AO573" s="87" t="s">
        <v>4110</v>
      </c>
      <c r="AP573" s="81" t="b">
        <v>0</v>
      </c>
      <c r="AQ573" s="87" t="s">
        <v>3520</v>
      </c>
      <c r="AR573" s="81" t="s">
        <v>179</v>
      </c>
      <c r="AS573" s="81">
        <v>0</v>
      </c>
      <c r="AT573" s="81">
        <v>0</v>
      </c>
      <c r="AU573" s="81"/>
      <c r="AV573" s="81"/>
      <c r="AW573" s="81"/>
      <c r="AX573" s="81"/>
      <c r="AY573" s="81"/>
      <c r="AZ573" s="81"/>
      <c r="BA573" s="81"/>
      <c r="BB573" s="81"/>
    </row>
    <row r="574" spans="1:54" x14ac:dyDescent="0.35">
      <c r="A574" s="66" t="s">
        <v>540</v>
      </c>
      <c r="B574" s="66" t="s">
        <v>910</v>
      </c>
      <c r="C574" s="67"/>
      <c r="D574" s="68"/>
      <c r="E574" s="69"/>
      <c r="F574" s="70"/>
      <c r="G574" s="67"/>
      <c r="H574" s="71"/>
      <c r="I574" s="72"/>
      <c r="J574" s="72"/>
      <c r="K574" s="36"/>
      <c r="L574" s="79"/>
      <c r="M574" s="79"/>
      <c r="N574" s="74"/>
      <c r="O574" s="81" t="s">
        <v>1205</v>
      </c>
      <c r="P574" s="83">
        <v>44460.420659722222</v>
      </c>
      <c r="Q574" s="81" t="s">
        <v>1324</v>
      </c>
      <c r="R574" s="81"/>
      <c r="S574" s="81"/>
      <c r="T574" s="81"/>
      <c r="U574" s="85" t="str">
        <f>HYPERLINK("https://pbs.twimg.com/media/E_xVJy2VQAQerFe.jpg")</f>
        <v>https://pbs.twimg.com/media/E_xVJy2VQAQerFe.jpg</v>
      </c>
      <c r="V574" s="85" t="str">
        <f>HYPERLINK("https://pbs.twimg.com/media/E_xVJy2VQAQerFe.jpg")</f>
        <v>https://pbs.twimg.com/media/E_xVJy2VQAQerFe.jpg</v>
      </c>
      <c r="W574" s="83">
        <v>44460.420659722222</v>
      </c>
      <c r="X574" s="89">
        <v>44460</v>
      </c>
      <c r="Y574" s="87" t="s">
        <v>2133</v>
      </c>
      <c r="Z574" s="85" t="str">
        <f>HYPERLINK("https://twitter.com/gusary/status/1440255921620336647")</f>
        <v>https://twitter.com/gusary/status/1440255921620336647</v>
      </c>
      <c r="AA574" s="81"/>
      <c r="AB574" s="81"/>
      <c r="AC574" s="87" t="s">
        <v>3057</v>
      </c>
      <c r="AD574" s="81"/>
      <c r="AE574" s="81" t="b">
        <v>0</v>
      </c>
      <c r="AF574" s="81">
        <v>0</v>
      </c>
      <c r="AG574" s="87" t="s">
        <v>3875</v>
      </c>
      <c r="AH574" s="81" t="b">
        <v>0</v>
      </c>
      <c r="AI574" s="81" t="s">
        <v>4092</v>
      </c>
      <c r="AJ574" s="81"/>
      <c r="AK574" s="87" t="s">
        <v>3875</v>
      </c>
      <c r="AL574" s="81" t="b">
        <v>0</v>
      </c>
      <c r="AM574" s="81">
        <v>321</v>
      </c>
      <c r="AN574" s="87" t="s">
        <v>3520</v>
      </c>
      <c r="AO574" s="87" t="s">
        <v>4110</v>
      </c>
      <c r="AP574" s="81" t="b">
        <v>0</v>
      </c>
      <c r="AQ574" s="87" t="s">
        <v>3520</v>
      </c>
      <c r="AR574" s="81" t="s">
        <v>179</v>
      </c>
      <c r="AS574" s="81">
        <v>0</v>
      </c>
      <c r="AT574" s="81">
        <v>0</v>
      </c>
      <c r="AU574" s="81"/>
      <c r="AV574" s="81"/>
      <c r="AW574" s="81"/>
      <c r="AX574" s="81"/>
      <c r="AY574" s="81"/>
      <c r="AZ574" s="81"/>
      <c r="BA574" s="81"/>
      <c r="BB574" s="81"/>
    </row>
    <row r="575" spans="1:54" x14ac:dyDescent="0.35">
      <c r="A575" s="66" t="s">
        <v>541</v>
      </c>
      <c r="B575" s="66" t="s">
        <v>1055</v>
      </c>
      <c r="C575" s="67"/>
      <c r="D575" s="68"/>
      <c r="E575" s="69"/>
      <c r="F575" s="70"/>
      <c r="G575" s="67"/>
      <c r="H575" s="71"/>
      <c r="I575" s="72"/>
      <c r="J575" s="72"/>
      <c r="K575" s="36"/>
      <c r="L575" s="79"/>
      <c r="M575" s="79"/>
      <c r="N575" s="74"/>
      <c r="O575" s="81" t="s">
        <v>1207</v>
      </c>
      <c r="P575" s="83">
        <v>44460.420914351853</v>
      </c>
      <c r="Q575" s="81" t="s">
        <v>1324</v>
      </c>
      <c r="R575" s="81"/>
      <c r="S575" s="81"/>
      <c r="T575" s="81"/>
      <c r="U575" s="85" t="str">
        <f>HYPERLINK("https://pbs.twimg.com/media/E_xVJy2VQAQerFe.jpg")</f>
        <v>https://pbs.twimg.com/media/E_xVJy2VQAQerFe.jpg</v>
      </c>
      <c r="V575" s="85" t="str">
        <f>HYPERLINK("https://pbs.twimg.com/media/E_xVJy2VQAQerFe.jpg")</f>
        <v>https://pbs.twimg.com/media/E_xVJy2VQAQerFe.jpg</v>
      </c>
      <c r="W575" s="83">
        <v>44460.420914351853</v>
      </c>
      <c r="X575" s="89">
        <v>44460</v>
      </c>
      <c r="Y575" s="87" t="s">
        <v>2134</v>
      </c>
      <c r="Z575" s="85" t="str">
        <f>HYPERLINK("https://twitter.com/kevinfhyl_/status/1440256016940109835")</f>
        <v>https://twitter.com/kevinfhyl_/status/1440256016940109835</v>
      </c>
      <c r="AA575" s="81"/>
      <c r="AB575" s="81"/>
      <c r="AC575" s="87" t="s">
        <v>3058</v>
      </c>
      <c r="AD575" s="81"/>
      <c r="AE575" s="81" t="b">
        <v>0</v>
      </c>
      <c r="AF575" s="81">
        <v>0</v>
      </c>
      <c r="AG575" s="87" t="s">
        <v>3875</v>
      </c>
      <c r="AH575" s="81" t="b">
        <v>0</v>
      </c>
      <c r="AI575" s="81" t="s">
        <v>4092</v>
      </c>
      <c r="AJ575" s="81"/>
      <c r="AK575" s="87" t="s">
        <v>3875</v>
      </c>
      <c r="AL575" s="81" t="b">
        <v>0</v>
      </c>
      <c r="AM575" s="81">
        <v>321</v>
      </c>
      <c r="AN575" s="87" t="s">
        <v>3520</v>
      </c>
      <c r="AO575" s="87" t="s">
        <v>4109</v>
      </c>
      <c r="AP575" s="81" t="b">
        <v>0</v>
      </c>
      <c r="AQ575" s="87" t="s">
        <v>3520</v>
      </c>
      <c r="AR575" s="81" t="s">
        <v>179</v>
      </c>
      <c r="AS575" s="81">
        <v>0</v>
      </c>
      <c r="AT575" s="81">
        <v>0</v>
      </c>
      <c r="AU575" s="81"/>
      <c r="AV575" s="81"/>
      <c r="AW575" s="81"/>
      <c r="AX575" s="81"/>
      <c r="AY575" s="81"/>
      <c r="AZ575" s="81"/>
      <c r="BA575" s="81"/>
      <c r="BB575" s="81"/>
    </row>
    <row r="576" spans="1:54" x14ac:dyDescent="0.35">
      <c r="A576" s="66" t="s">
        <v>541</v>
      </c>
      <c r="B576" s="66" t="s">
        <v>910</v>
      </c>
      <c r="C576" s="67"/>
      <c r="D576" s="68"/>
      <c r="E576" s="69"/>
      <c r="F576" s="70"/>
      <c r="G576" s="67"/>
      <c r="H576" s="71"/>
      <c r="I576" s="72"/>
      <c r="J576" s="72"/>
      <c r="K576" s="36"/>
      <c r="L576" s="79"/>
      <c r="M576" s="79"/>
      <c r="N576" s="74"/>
      <c r="O576" s="81" t="s">
        <v>1205</v>
      </c>
      <c r="P576" s="83">
        <v>44460.420914351853</v>
      </c>
      <c r="Q576" s="81" t="s">
        <v>1324</v>
      </c>
      <c r="R576" s="81"/>
      <c r="S576" s="81"/>
      <c r="T576" s="81"/>
      <c r="U576" s="85" t="str">
        <f>HYPERLINK("https://pbs.twimg.com/media/E_xVJy2VQAQerFe.jpg")</f>
        <v>https://pbs.twimg.com/media/E_xVJy2VQAQerFe.jpg</v>
      </c>
      <c r="V576" s="85" t="str">
        <f>HYPERLINK("https://pbs.twimg.com/media/E_xVJy2VQAQerFe.jpg")</f>
        <v>https://pbs.twimg.com/media/E_xVJy2VQAQerFe.jpg</v>
      </c>
      <c r="W576" s="83">
        <v>44460.420914351853</v>
      </c>
      <c r="X576" s="89">
        <v>44460</v>
      </c>
      <c r="Y576" s="87" t="s">
        <v>2134</v>
      </c>
      <c r="Z576" s="85" t="str">
        <f>HYPERLINK("https://twitter.com/kevinfhyl_/status/1440256016940109835")</f>
        <v>https://twitter.com/kevinfhyl_/status/1440256016940109835</v>
      </c>
      <c r="AA576" s="81"/>
      <c r="AB576" s="81"/>
      <c r="AC576" s="87" t="s">
        <v>3058</v>
      </c>
      <c r="AD576" s="81"/>
      <c r="AE576" s="81" t="b">
        <v>0</v>
      </c>
      <c r="AF576" s="81">
        <v>0</v>
      </c>
      <c r="AG576" s="87" t="s">
        <v>3875</v>
      </c>
      <c r="AH576" s="81" t="b">
        <v>0</v>
      </c>
      <c r="AI576" s="81" t="s">
        <v>4092</v>
      </c>
      <c r="AJ576" s="81"/>
      <c r="AK576" s="87" t="s">
        <v>3875</v>
      </c>
      <c r="AL576" s="81" t="b">
        <v>0</v>
      </c>
      <c r="AM576" s="81">
        <v>321</v>
      </c>
      <c r="AN576" s="87" t="s">
        <v>3520</v>
      </c>
      <c r="AO576" s="87" t="s">
        <v>4109</v>
      </c>
      <c r="AP576" s="81" t="b">
        <v>0</v>
      </c>
      <c r="AQ576" s="87" t="s">
        <v>3520</v>
      </c>
      <c r="AR576" s="81" t="s">
        <v>179</v>
      </c>
      <c r="AS576" s="81">
        <v>0</v>
      </c>
      <c r="AT576" s="81">
        <v>0</v>
      </c>
      <c r="AU576" s="81"/>
      <c r="AV576" s="81"/>
      <c r="AW576" s="81"/>
      <c r="AX576" s="81"/>
      <c r="AY576" s="81"/>
      <c r="AZ576" s="81"/>
      <c r="BA576" s="81"/>
      <c r="BB576" s="81"/>
    </row>
    <row r="577" spans="1:54" x14ac:dyDescent="0.35">
      <c r="A577" s="66" t="s">
        <v>542</v>
      </c>
      <c r="B577" s="66" t="s">
        <v>1055</v>
      </c>
      <c r="C577" s="67"/>
      <c r="D577" s="68"/>
      <c r="E577" s="69"/>
      <c r="F577" s="70"/>
      <c r="G577" s="67"/>
      <c r="H577" s="71"/>
      <c r="I577" s="72"/>
      <c r="J577" s="72"/>
      <c r="K577" s="36"/>
      <c r="L577" s="79"/>
      <c r="M577" s="79"/>
      <c r="N577" s="74"/>
      <c r="O577" s="81" t="s">
        <v>1207</v>
      </c>
      <c r="P577" s="83">
        <v>44460.422094907408</v>
      </c>
      <c r="Q577" s="81" t="s">
        <v>1324</v>
      </c>
      <c r="R577" s="81"/>
      <c r="S577" s="81"/>
      <c r="T577" s="81"/>
      <c r="U577" s="85" t="str">
        <f>HYPERLINK("https://pbs.twimg.com/media/E_xVJy2VQAQerFe.jpg")</f>
        <v>https://pbs.twimg.com/media/E_xVJy2VQAQerFe.jpg</v>
      </c>
      <c r="V577" s="85" t="str">
        <f>HYPERLINK("https://pbs.twimg.com/media/E_xVJy2VQAQerFe.jpg")</f>
        <v>https://pbs.twimg.com/media/E_xVJy2VQAQerFe.jpg</v>
      </c>
      <c r="W577" s="83">
        <v>44460.422094907408</v>
      </c>
      <c r="X577" s="89">
        <v>44460</v>
      </c>
      <c r="Y577" s="87" t="s">
        <v>2135</v>
      </c>
      <c r="Z577" s="85" t="str">
        <f>HYPERLINK("https://twitter.com/februuuzz/status/1440256443555332100")</f>
        <v>https://twitter.com/februuuzz/status/1440256443555332100</v>
      </c>
      <c r="AA577" s="81"/>
      <c r="AB577" s="81"/>
      <c r="AC577" s="87" t="s">
        <v>3059</v>
      </c>
      <c r="AD577" s="81"/>
      <c r="AE577" s="81" t="b">
        <v>0</v>
      </c>
      <c r="AF577" s="81">
        <v>0</v>
      </c>
      <c r="AG577" s="87" t="s">
        <v>3875</v>
      </c>
      <c r="AH577" s="81" t="b">
        <v>0</v>
      </c>
      <c r="AI577" s="81" t="s">
        <v>4092</v>
      </c>
      <c r="AJ577" s="81"/>
      <c r="AK577" s="87" t="s">
        <v>3875</v>
      </c>
      <c r="AL577" s="81" t="b">
        <v>0</v>
      </c>
      <c r="AM577" s="81">
        <v>321</v>
      </c>
      <c r="AN577" s="87" t="s">
        <v>3520</v>
      </c>
      <c r="AO577" s="87" t="s">
        <v>4109</v>
      </c>
      <c r="AP577" s="81" t="b">
        <v>0</v>
      </c>
      <c r="AQ577" s="87" t="s">
        <v>3520</v>
      </c>
      <c r="AR577" s="81" t="s">
        <v>179</v>
      </c>
      <c r="AS577" s="81">
        <v>0</v>
      </c>
      <c r="AT577" s="81">
        <v>0</v>
      </c>
      <c r="AU577" s="81"/>
      <c r="AV577" s="81"/>
      <c r="AW577" s="81"/>
      <c r="AX577" s="81"/>
      <c r="AY577" s="81"/>
      <c r="AZ577" s="81"/>
      <c r="BA577" s="81"/>
      <c r="BB577" s="81"/>
    </row>
    <row r="578" spans="1:54" x14ac:dyDescent="0.35">
      <c r="A578" s="66" t="s">
        <v>542</v>
      </c>
      <c r="B578" s="66" t="s">
        <v>910</v>
      </c>
      <c r="C578" s="67"/>
      <c r="D578" s="68"/>
      <c r="E578" s="69"/>
      <c r="F578" s="70"/>
      <c r="G578" s="67"/>
      <c r="H578" s="71"/>
      <c r="I578" s="72"/>
      <c r="J578" s="72"/>
      <c r="K578" s="36"/>
      <c r="L578" s="79"/>
      <c r="M578" s="79"/>
      <c r="N578" s="74"/>
      <c r="O578" s="81" t="s">
        <v>1205</v>
      </c>
      <c r="P578" s="83">
        <v>44460.422094907408</v>
      </c>
      <c r="Q578" s="81" t="s">
        <v>1324</v>
      </c>
      <c r="R578" s="81"/>
      <c r="S578" s="81"/>
      <c r="T578" s="81"/>
      <c r="U578" s="85" t="str">
        <f>HYPERLINK("https://pbs.twimg.com/media/E_xVJy2VQAQerFe.jpg")</f>
        <v>https://pbs.twimg.com/media/E_xVJy2VQAQerFe.jpg</v>
      </c>
      <c r="V578" s="85" t="str">
        <f>HYPERLINK("https://pbs.twimg.com/media/E_xVJy2VQAQerFe.jpg")</f>
        <v>https://pbs.twimg.com/media/E_xVJy2VQAQerFe.jpg</v>
      </c>
      <c r="W578" s="83">
        <v>44460.422094907408</v>
      </c>
      <c r="X578" s="89">
        <v>44460</v>
      </c>
      <c r="Y578" s="87" t="s">
        <v>2135</v>
      </c>
      <c r="Z578" s="85" t="str">
        <f>HYPERLINK("https://twitter.com/februuuzz/status/1440256443555332100")</f>
        <v>https://twitter.com/februuuzz/status/1440256443555332100</v>
      </c>
      <c r="AA578" s="81"/>
      <c r="AB578" s="81"/>
      <c r="AC578" s="87" t="s">
        <v>3059</v>
      </c>
      <c r="AD578" s="81"/>
      <c r="AE578" s="81" t="b">
        <v>0</v>
      </c>
      <c r="AF578" s="81">
        <v>0</v>
      </c>
      <c r="AG578" s="87" t="s">
        <v>3875</v>
      </c>
      <c r="AH578" s="81" t="b">
        <v>0</v>
      </c>
      <c r="AI578" s="81" t="s">
        <v>4092</v>
      </c>
      <c r="AJ578" s="81"/>
      <c r="AK578" s="87" t="s">
        <v>3875</v>
      </c>
      <c r="AL578" s="81" t="b">
        <v>0</v>
      </c>
      <c r="AM578" s="81">
        <v>321</v>
      </c>
      <c r="AN578" s="87" t="s">
        <v>3520</v>
      </c>
      <c r="AO578" s="87" t="s">
        <v>4109</v>
      </c>
      <c r="AP578" s="81" t="b">
        <v>0</v>
      </c>
      <c r="AQ578" s="87" t="s">
        <v>3520</v>
      </c>
      <c r="AR578" s="81" t="s">
        <v>179</v>
      </c>
      <c r="AS578" s="81">
        <v>0</v>
      </c>
      <c r="AT578" s="81">
        <v>0</v>
      </c>
      <c r="AU578" s="81"/>
      <c r="AV578" s="81"/>
      <c r="AW578" s="81"/>
      <c r="AX578" s="81"/>
      <c r="AY578" s="81"/>
      <c r="AZ578" s="81"/>
      <c r="BA578" s="81"/>
      <c r="BB578" s="81"/>
    </row>
    <row r="579" spans="1:54" x14ac:dyDescent="0.35">
      <c r="A579" s="66" t="s">
        <v>543</v>
      </c>
      <c r="B579" s="66" t="s">
        <v>1055</v>
      </c>
      <c r="C579" s="67"/>
      <c r="D579" s="68"/>
      <c r="E579" s="69"/>
      <c r="F579" s="70"/>
      <c r="G579" s="67"/>
      <c r="H579" s="71"/>
      <c r="I579" s="72"/>
      <c r="J579" s="72"/>
      <c r="K579" s="36"/>
      <c r="L579" s="79"/>
      <c r="M579" s="79"/>
      <c r="N579" s="74"/>
      <c r="O579" s="81" t="s">
        <v>1207</v>
      </c>
      <c r="P579" s="83">
        <v>44460.422465277778</v>
      </c>
      <c r="Q579" s="81" t="s">
        <v>1324</v>
      </c>
      <c r="R579" s="81"/>
      <c r="S579" s="81"/>
      <c r="T579" s="81"/>
      <c r="U579" s="85" t="str">
        <f>HYPERLINK("https://pbs.twimg.com/media/E_xVJy2VQAQerFe.jpg")</f>
        <v>https://pbs.twimg.com/media/E_xVJy2VQAQerFe.jpg</v>
      </c>
      <c r="V579" s="85" t="str">
        <f>HYPERLINK("https://pbs.twimg.com/media/E_xVJy2VQAQerFe.jpg")</f>
        <v>https://pbs.twimg.com/media/E_xVJy2VQAQerFe.jpg</v>
      </c>
      <c r="W579" s="83">
        <v>44460.422465277778</v>
      </c>
      <c r="X579" s="89">
        <v>44460</v>
      </c>
      <c r="Y579" s="87" t="s">
        <v>2136</v>
      </c>
      <c r="Z579" s="85" t="str">
        <f>HYPERLINK("https://twitter.com/meispm/status/1440256577148108809")</f>
        <v>https://twitter.com/meispm/status/1440256577148108809</v>
      </c>
      <c r="AA579" s="81"/>
      <c r="AB579" s="81"/>
      <c r="AC579" s="87" t="s">
        <v>3060</v>
      </c>
      <c r="AD579" s="81"/>
      <c r="AE579" s="81" t="b">
        <v>0</v>
      </c>
      <c r="AF579" s="81">
        <v>0</v>
      </c>
      <c r="AG579" s="87" t="s">
        <v>3875</v>
      </c>
      <c r="AH579" s="81" t="b">
        <v>0</v>
      </c>
      <c r="AI579" s="81" t="s">
        <v>4092</v>
      </c>
      <c r="AJ579" s="81"/>
      <c r="AK579" s="87" t="s">
        <v>3875</v>
      </c>
      <c r="AL579" s="81" t="b">
        <v>0</v>
      </c>
      <c r="AM579" s="81">
        <v>321</v>
      </c>
      <c r="AN579" s="87" t="s">
        <v>3520</v>
      </c>
      <c r="AO579" s="87" t="s">
        <v>4109</v>
      </c>
      <c r="AP579" s="81" t="b">
        <v>0</v>
      </c>
      <c r="AQ579" s="87" t="s">
        <v>3520</v>
      </c>
      <c r="AR579" s="81" t="s">
        <v>179</v>
      </c>
      <c r="AS579" s="81">
        <v>0</v>
      </c>
      <c r="AT579" s="81">
        <v>0</v>
      </c>
      <c r="AU579" s="81"/>
      <c r="AV579" s="81"/>
      <c r="AW579" s="81"/>
      <c r="AX579" s="81"/>
      <c r="AY579" s="81"/>
      <c r="AZ579" s="81"/>
      <c r="BA579" s="81"/>
      <c r="BB579" s="81"/>
    </row>
    <row r="580" spans="1:54" x14ac:dyDescent="0.35">
      <c r="A580" s="66" t="s">
        <v>543</v>
      </c>
      <c r="B580" s="66" t="s">
        <v>910</v>
      </c>
      <c r="C580" s="67"/>
      <c r="D580" s="68"/>
      <c r="E580" s="69"/>
      <c r="F580" s="70"/>
      <c r="G580" s="67"/>
      <c r="H580" s="71"/>
      <c r="I580" s="72"/>
      <c r="J580" s="72"/>
      <c r="K580" s="36"/>
      <c r="L580" s="79"/>
      <c r="M580" s="79"/>
      <c r="N580" s="74"/>
      <c r="O580" s="81" t="s">
        <v>1205</v>
      </c>
      <c r="P580" s="83">
        <v>44460.422465277778</v>
      </c>
      <c r="Q580" s="81" t="s">
        <v>1324</v>
      </c>
      <c r="R580" s="81"/>
      <c r="S580" s="81"/>
      <c r="T580" s="81"/>
      <c r="U580" s="85" t="str">
        <f>HYPERLINK("https://pbs.twimg.com/media/E_xVJy2VQAQerFe.jpg")</f>
        <v>https://pbs.twimg.com/media/E_xVJy2VQAQerFe.jpg</v>
      </c>
      <c r="V580" s="85" t="str">
        <f>HYPERLINK("https://pbs.twimg.com/media/E_xVJy2VQAQerFe.jpg")</f>
        <v>https://pbs.twimg.com/media/E_xVJy2VQAQerFe.jpg</v>
      </c>
      <c r="W580" s="83">
        <v>44460.422465277778</v>
      </c>
      <c r="X580" s="89">
        <v>44460</v>
      </c>
      <c r="Y580" s="87" t="s">
        <v>2136</v>
      </c>
      <c r="Z580" s="85" t="str">
        <f>HYPERLINK("https://twitter.com/meispm/status/1440256577148108809")</f>
        <v>https://twitter.com/meispm/status/1440256577148108809</v>
      </c>
      <c r="AA580" s="81"/>
      <c r="AB580" s="81"/>
      <c r="AC580" s="87" t="s">
        <v>3060</v>
      </c>
      <c r="AD580" s="81"/>
      <c r="AE580" s="81" t="b">
        <v>0</v>
      </c>
      <c r="AF580" s="81">
        <v>0</v>
      </c>
      <c r="AG580" s="87" t="s">
        <v>3875</v>
      </c>
      <c r="AH580" s="81" t="b">
        <v>0</v>
      </c>
      <c r="AI580" s="81" t="s">
        <v>4092</v>
      </c>
      <c r="AJ580" s="81"/>
      <c r="AK580" s="87" t="s">
        <v>3875</v>
      </c>
      <c r="AL580" s="81" t="b">
        <v>0</v>
      </c>
      <c r="AM580" s="81">
        <v>321</v>
      </c>
      <c r="AN580" s="87" t="s">
        <v>3520</v>
      </c>
      <c r="AO580" s="87" t="s">
        <v>4109</v>
      </c>
      <c r="AP580" s="81" t="b">
        <v>0</v>
      </c>
      <c r="AQ580" s="87" t="s">
        <v>3520</v>
      </c>
      <c r="AR580" s="81" t="s">
        <v>179</v>
      </c>
      <c r="AS580" s="81">
        <v>0</v>
      </c>
      <c r="AT580" s="81">
        <v>0</v>
      </c>
      <c r="AU580" s="81"/>
      <c r="AV580" s="81"/>
      <c r="AW580" s="81"/>
      <c r="AX580" s="81"/>
      <c r="AY580" s="81"/>
      <c r="AZ580" s="81"/>
      <c r="BA580" s="81"/>
      <c r="BB580" s="81"/>
    </row>
    <row r="581" spans="1:54" x14ac:dyDescent="0.35">
      <c r="A581" s="66" t="s">
        <v>544</v>
      </c>
      <c r="B581" s="66" t="s">
        <v>1055</v>
      </c>
      <c r="C581" s="67"/>
      <c r="D581" s="68"/>
      <c r="E581" s="69"/>
      <c r="F581" s="70"/>
      <c r="G581" s="67"/>
      <c r="H581" s="71"/>
      <c r="I581" s="72"/>
      <c r="J581" s="72"/>
      <c r="K581" s="36"/>
      <c r="L581" s="79"/>
      <c r="M581" s="79"/>
      <c r="N581" s="74"/>
      <c r="O581" s="81" t="s">
        <v>1207</v>
      </c>
      <c r="P581" s="83">
        <v>44460.424212962964</v>
      </c>
      <c r="Q581" s="81" t="s">
        <v>1324</v>
      </c>
      <c r="R581" s="81"/>
      <c r="S581" s="81"/>
      <c r="T581" s="81"/>
      <c r="U581" s="85" t="str">
        <f>HYPERLINK("https://pbs.twimg.com/media/E_xVJy2VQAQerFe.jpg")</f>
        <v>https://pbs.twimg.com/media/E_xVJy2VQAQerFe.jpg</v>
      </c>
      <c r="V581" s="85" t="str">
        <f>HYPERLINK("https://pbs.twimg.com/media/E_xVJy2VQAQerFe.jpg")</f>
        <v>https://pbs.twimg.com/media/E_xVJy2VQAQerFe.jpg</v>
      </c>
      <c r="W581" s="83">
        <v>44460.424212962964</v>
      </c>
      <c r="X581" s="89">
        <v>44460</v>
      </c>
      <c r="Y581" s="87" t="s">
        <v>2137</v>
      </c>
      <c r="Z581" s="85" t="str">
        <f>HYPERLINK("https://twitter.com/ciput84725571/status/1440257210412527620")</f>
        <v>https://twitter.com/ciput84725571/status/1440257210412527620</v>
      </c>
      <c r="AA581" s="81"/>
      <c r="AB581" s="81"/>
      <c r="AC581" s="87" t="s">
        <v>3061</v>
      </c>
      <c r="AD581" s="81"/>
      <c r="AE581" s="81" t="b">
        <v>0</v>
      </c>
      <c r="AF581" s="81">
        <v>0</v>
      </c>
      <c r="AG581" s="87" t="s">
        <v>3875</v>
      </c>
      <c r="AH581" s="81" t="b">
        <v>0</v>
      </c>
      <c r="AI581" s="81" t="s">
        <v>4092</v>
      </c>
      <c r="AJ581" s="81"/>
      <c r="AK581" s="87" t="s">
        <v>3875</v>
      </c>
      <c r="AL581" s="81" t="b">
        <v>0</v>
      </c>
      <c r="AM581" s="81">
        <v>321</v>
      </c>
      <c r="AN581" s="87" t="s">
        <v>3520</v>
      </c>
      <c r="AO581" s="87" t="s">
        <v>4109</v>
      </c>
      <c r="AP581" s="81" t="b">
        <v>0</v>
      </c>
      <c r="AQ581" s="87" t="s">
        <v>3520</v>
      </c>
      <c r="AR581" s="81" t="s">
        <v>179</v>
      </c>
      <c r="AS581" s="81">
        <v>0</v>
      </c>
      <c r="AT581" s="81">
        <v>0</v>
      </c>
      <c r="AU581" s="81"/>
      <c r="AV581" s="81"/>
      <c r="AW581" s="81"/>
      <c r="AX581" s="81"/>
      <c r="AY581" s="81"/>
      <c r="AZ581" s="81"/>
      <c r="BA581" s="81"/>
      <c r="BB581" s="81"/>
    </row>
    <row r="582" spans="1:54" x14ac:dyDescent="0.35">
      <c r="A582" s="66" t="s">
        <v>544</v>
      </c>
      <c r="B582" s="66" t="s">
        <v>910</v>
      </c>
      <c r="C582" s="67"/>
      <c r="D582" s="68"/>
      <c r="E582" s="69"/>
      <c r="F582" s="70"/>
      <c r="G582" s="67"/>
      <c r="H582" s="71"/>
      <c r="I582" s="72"/>
      <c r="J582" s="72"/>
      <c r="K582" s="36"/>
      <c r="L582" s="79"/>
      <c r="M582" s="79"/>
      <c r="N582" s="74"/>
      <c r="O582" s="81" t="s">
        <v>1205</v>
      </c>
      <c r="P582" s="83">
        <v>44460.424212962964</v>
      </c>
      <c r="Q582" s="81" t="s">
        <v>1324</v>
      </c>
      <c r="R582" s="81"/>
      <c r="S582" s="81"/>
      <c r="T582" s="81"/>
      <c r="U582" s="85" t="str">
        <f>HYPERLINK("https://pbs.twimg.com/media/E_xVJy2VQAQerFe.jpg")</f>
        <v>https://pbs.twimg.com/media/E_xVJy2VQAQerFe.jpg</v>
      </c>
      <c r="V582" s="85" t="str">
        <f>HYPERLINK("https://pbs.twimg.com/media/E_xVJy2VQAQerFe.jpg")</f>
        <v>https://pbs.twimg.com/media/E_xVJy2VQAQerFe.jpg</v>
      </c>
      <c r="W582" s="83">
        <v>44460.424212962964</v>
      </c>
      <c r="X582" s="89">
        <v>44460</v>
      </c>
      <c r="Y582" s="87" t="s">
        <v>2137</v>
      </c>
      <c r="Z582" s="85" t="str">
        <f>HYPERLINK("https://twitter.com/ciput84725571/status/1440257210412527620")</f>
        <v>https://twitter.com/ciput84725571/status/1440257210412527620</v>
      </c>
      <c r="AA582" s="81"/>
      <c r="AB582" s="81"/>
      <c r="AC582" s="87" t="s">
        <v>3061</v>
      </c>
      <c r="AD582" s="81"/>
      <c r="AE582" s="81" t="b">
        <v>0</v>
      </c>
      <c r="AF582" s="81">
        <v>0</v>
      </c>
      <c r="AG582" s="87" t="s">
        <v>3875</v>
      </c>
      <c r="AH582" s="81" t="b">
        <v>0</v>
      </c>
      <c r="AI582" s="81" t="s">
        <v>4092</v>
      </c>
      <c r="AJ582" s="81"/>
      <c r="AK582" s="87" t="s">
        <v>3875</v>
      </c>
      <c r="AL582" s="81" t="b">
        <v>0</v>
      </c>
      <c r="AM582" s="81">
        <v>321</v>
      </c>
      <c r="AN582" s="87" t="s">
        <v>3520</v>
      </c>
      <c r="AO582" s="87" t="s">
        <v>4109</v>
      </c>
      <c r="AP582" s="81" t="b">
        <v>0</v>
      </c>
      <c r="AQ582" s="87" t="s">
        <v>3520</v>
      </c>
      <c r="AR582" s="81" t="s">
        <v>179</v>
      </c>
      <c r="AS582" s="81">
        <v>0</v>
      </c>
      <c r="AT582" s="81">
        <v>0</v>
      </c>
      <c r="AU582" s="81"/>
      <c r="AV582" s="81"/>
      <c r="AW582" s="81"/>
      <c r="AX582" s="81"/>
      <c r="AY582" s="81"/>
      <c r="AZ582" s="81"/>
      <c r="BA582" s="81"/>
      <c r="BB582" s="81"/>
    </row>
    <row r="583" spans="1:54" x14ac:dyDescent="0.35">
      <c r="A583" s="66" t="s">
        <v>545</v>
      </c>
      <c r="B583" s="66" t="s">
        <v>1068</v>
      </c>
      <c r="C583" s="67"/>
      <c r="D583" s="68"/>
      <c r="E583" s="69"/>
      <c r="F583" s="70"/>
      <c r="G583" s="67"/>
      <c r="H583" s="71"/>
      <c r="I583" s="72"/>
      <c r="J583" s="72"/>
      <c r="K583" s="36"/>
      <c r="L583" s="79"/>
      <c r="M583" s="79"/>
      <c r="N583" s="74"/>
      <c r="O583" s="81" t="s">
        <v>1208</v>
      </c>
      <c r="P583" s="83">
        <v>44460.424803240741</v>
      </c>
      <c r="Q583" s="81" t="s">
        <v>1345</v>
      </c>
      <c r="R583" s="81"/>
      <c r="S583" s="81"/>
      <c r="T583" s="81"/>
      <c r="U583" s="81"/>
      <c r="V583" s="85" t="str">
        <f>HYPERLINK("https://pbs.twimg.com/profile_images/1442465755992231940/4-Ib_f4n_normal.jpg")</f>
        <v>https://pbs.twimg.com/profile_images/1442465755992231940/4-Ib_f4n_normal.jpg</v>
      </c>
      <c r="W583" s="83">
        <v>44460.424803240741</v>
      </c>
      <c r="X583" s="89">
        <v>44460</v>
      </c>
      <c r="Y583" s="87" t="s">
        <v>2138</v>
      </c>
      <c r="Z583" s="85" t="str">
        <f>HYPERLINK("https://twitter.com/cinuuuul/status/1440257427035734018")</f>
        <v>https://twitter.com/cinuuuul/status/1440257427035734018</v>
      </c>
      <c r="AA583" s="81"/>
      <c r="AB583" s="81"/>
      <c r="AC583" s="87" t="s">
        <v>3062</v>
      </c>
      <c r="AD583" s="87" t="s">
        <v>3708</v>
      </c>
      <c r="AE583" s="81" t="b">
        <v>0</v>
      </c>
      <c r="AF583" s="81">
        <v>0</v>
      </c>
      <c r="AG583" s="87" t="s">
        <v>3942</v>
      </c>
      <c r="AH583" s="81" t="b">
        <v>0</v>
      </c>
      <c r="AI583" s="81" t="s">
        <v>4092</v>
      </c>
      <c r="AJ583" s="81"/>
      <c r="AK583" s="87" t="s">
        <v>3875</v>
      </c>
      <c r="AL583" s="81" t="b">
        <v>0</v>
      </c>
      <c r="AM583" s="81">
        <v>0</v>
      </c>
      <c r="AN583" s="87" t="s">
        <v>3875</v>
      </c>
      <c r="AO583" s="87" t="s">
        <v>4109</v>
      </c>
      <c r="AP583" s="81" t="b">
        <v>0</v>
      </c>
      <c r="AQ583" s="87" t="s">
        <v>3708</v>
      </c>
      <c r="AR583" s="81" t="s">
        <v>179</v>
      </c>
      <c r="AS583" s="81">
        <v>0</v>
      </c>
      <c r="AT583" s="81">
        <v>0</v>
      </c>
      <c r="AU583" s="81"/>
      <c r="AV583" s="81"/>
      <c r="AW583" s="81"/>
      <c r="AX583" s="81"/>
      <c r="AY583" s="81"/>
      <c r="AZ583" s="81"/>
      <c r="BA583" s="81"/>
      <c r="BB583" s="81"/>
    </row>
    <row r="584" spans="1:54" x14ac:dyDescent="0.35">
      <c r="A584" s="66" t="s">
        <v>546</v>
      </c>
      <c r="B584" s="66" t="s">
        <v>1055</v>
      </c>
      <c r="C584" s="67"/>
      <c r="D584" s="68"/>
      <c r="E584" s="69"/>
      <c r="F584" s="70"/>
      <c r="G584" s="67"/>
      <c r="H584" s="71"/>
      <c r="I584" s="72"/>
      <c r="J584" s="72"/>
      <c r="K584" s="36"/>
      <c r="L584" s="79"/>
      <c r="M584" s="79"/>
      <c r="N584" s="74"/>
      <c r="O584" s="81" t="s">
        <v>1207</v>
      </c>
      <c r="P584" s="83">
        <v>44460.425810185188</v>
      </c>
      <c r="Q584" s="81" t="s">
        <v>1324</v>
      </c>
      <c r="R584" s="81"/>
      <c r="S584" s="81"/>
      <c r="T584" s="81"/>
      <c r="U584" s="85" t="str">
        <f>HYPERLINK("https://pbs.twimg.com/media/E_xVJy2VQAQerFe.jpg")</f>
        <v>https://pbs.twimg.com/media/E_xVJy2VQAQerFe.jpg</v>
      </c>
      <c r="V584" s="85" t="str">
        <f>HYPERLINK("https://pbs.twimg.com/media/E_xVJy2VQAQerFe.jpg")</f>
        <v>https://pbs.twimg.com/media/E_xVJy2VQAQerFe.jpg</v>
      </c>
      <c r="W584" s="83">
        <v>44460.425810185188</v>
      </c>
      <c r="X584" s="89">
        <v>44460</v>
      </c>
      <c r="Y584" s="87" t="s">
        <v>2139</v>
      </c>
      <c r="Z584" s="85" t="str">
        <f>HYPERLINK("https://twitter.com/cassarekayasa/status/1440257790698688515")</f>
        <v>https://twitter.com/cassarekayasa/status/1440257790698688515</v>
      </c>
      <c r="AA584" s="81"/>
      <c r="AB584" s="81"/>
      <c r="AC584" s="87" t="s">
        <v>3063</v>
      </c>
      <c r="AD584" s="81"/>
      <c r="AE584" s="81" t="b">
        <v>0</v>
      </c>
      <c r="AF584" s="81">
        <v>0</v>
      </c>
      <c r="AG584" s="87" t="s">
        <v>3875</v>
      </c>
      <c r="AH584" s="81" t="b">
        <v>0</v>
      </c>
      <c r="AI584" s="81" t="s">
        <v>4092</v>
      </c>
      <c r="AJ584" s="81"/>
      <c r="AK584" s="87" t="s">
        <v>3875</v>
      </c>
      <c r="AL584" s="81" t="b">
        <v>0</v>
      </c>
      <c r="AM584" s="81">
        <v>321</v>
      </c>
      <c r="AN584" s="87" t="s">
        <v>3520</v>
      </c>
      <c r="AO584" s="87" t="s">
        <v>4111</v>
      </c>
      <c r="AP584" s="81" t="b">
        <v>0</v>
      </c>
      <c r="AQ584" s="87" t="s">
        <v>3520</v>
      </c>
      <c r="AR584" s="81" t="s">
        <v>179</v>
      </c>
      <c r="AS584" s="81">
        <v>0</v>
      </c>
      <c r="AT584" s="81">
        <v>0</v>
      </c>
      <c r="AU584" s="81"/>
      <c r="AV584" s="81"/>
      <c r="AW584" s="81"/>
      <c r="AX584" s="81"/>
      <c r="AY584" s="81"/>
      <c r="AZ584" s="81"/>
      <c r="BA584" s="81"/>
      <c r="BB584" s="81"/>
    </row>
    <row r="585" spans="1:54" x14ac:dyDescent="0.35">
      <c r="A585" s="66" t="s">
        <v>546</v>
      </c>
      <c r="B585" s="66" t="s">
        <v>910</v>
      </c>
      <c r="C585" s="67"/>
      <c r="D585" s="68"/>
      <c r="E585" s="69"/>
      <c r="F585" s="70"/>
      <c r="G585" s="67"/>
      <c r="H585" s="71"/>
      <c r="I585" s="72"/>
      <c r="J585" s="72"/>
      <c r="K585" s="36"/>
      <c r="L585" s="79"/>
      <c r="M585" s="79"/>
      <c r="N585" s="74"/>
      <c r="O585" s="81" t="s">
        <v>1205</v>
      </c>
      <c r="P585" s="83">
        <v>44460.425810185188</v>
      </c>
      <c r="Q585" s="81" t="s">
        <v>1324</v>
      </c>
      <c r="R585" s="81"/>
      <c r="S585" s="81"/>
      <c r="T585" s="81"/>
      <c r="U585" s="85" t="str">
        <f>HYPERLINK("https://pbs.twimg.com/media/E_xVJy2VQAQerFe.jpg")</f>
        <v>https://pbs.twimg.com/media/E_xVJy2VQAQerFe.jpg</v>
      </c>
      <c r="V585" s="85" t="str">
        <f>HYPERLINK("https://pbs.twimg.com/media/E_xVJy2VQAQerFe.jpg")</f>
        <v>https://pbs.twimg.com/media/E_xVJy2VQAQerFe.jpg</v>
      </c>
      <c r="W585" s="83">
        <v>44460.425810185188</v>
      </c>
      <c r="X585" s="89">
        <v>44460</v>
      </c>
      <c r="Y585" s="87" t="s">
        <v>2139</v>
      </c>
      <c r="Z585" s="85" t="str">
        <f>HYPERLINK("https://twitter.com/cassarekayasa/status/1440257790698688515")</f>
        <v>https://twitter.com/cassarekayasa/status/1440257790698688515</v>
      </c>
      <c r="AA585" s="81"/>
      <c r="AB585" s="81"/>
      <c r="AC585" s="87" t="s">
        <v>3063</v>
      </c>
      <c r="AD585" s="81"/>
      <c r="AE585" s="81" t="b">
        <v>0</v>
      </c>
      <c r="AF585" s="81">
        <v>0</v>
      </c>
      <c r="AG585" s="87" t="s">
        <v>3875</v>
      </c>
      <c r="AH585" s="81" t="b">
        <v>0</v>
      </c>
      <c r="AI585" s="81" t="s">
        <v>4092</v>
      </c>
      <c r="AJ585" s="81"/>
      <c r="AK585" s="87" t="s">
        <v>3875</v>
      </c>
      <c r="AL585" s="81" t="b">
        <v>0</v>
      </c>
      <c r="AM585" s="81">
        <v>321</v>
      </c>
      <c r="AN585" s="87" t="s">
        <v>3520</v>
      </c>
      <c r="AO585" s="87" t="s">
        <v>4111</v>
      </c>
      <c r="AP585" s="81" t="b">
        <v>0</v>
      </c>
      <c r="AQ585" s="87" t="s">
        <v>3520</v>
      </c>
      <c r="AR585" s="81" t="s">
        <v>179</v>
      </c>
      <c r="AS585" s="81">
        <v>0</v>
      </c>
      <c r="AT585" s="81">
        <v>0</v>
      </c>
      <c r="AU585" s="81"/>
      <c r="AV585" s="81"/>
      <c r="AW585" s="81"/>
      <c r="AX585" s="81"/>
      <c r="AY585" s="81"/>
      <c r="AZ585" s="81"/>
      <c r="BA585" s="81"/>
      <c r="BB585" s="81"/>
    </row>
    <row r="586" spans="1:54" x14ac:dyDescent="0.35">
      <c r="A586" s="66" t="s">
        <v>547</v>
      </c>
      <c r="B586" s="66" t="s">
        <v>1055</v>
      </c>
      <c r="C586" s="67"/>
      <c r="D586" s="68"/>
      <c r="E586" s="69"/>
      <c r="F586" s="70"/>
      <c r="G586" s="67"/>
      <c r="H586" s="71"/>
      <c r="I586" s="72"/>
      <c r="J586" s="72"/>
      <c r="K586" s="36"/>
      <c r="L586" s="79"/>
      <c r="M586" s="79"/>
      <c r="N586" s="74"/>
      <c r="O586" s="81" t="s">
        <v>1207</v>
      </c>
      <c r="P586" s="83">
        <v>44460.432581018518</v>
      </c>
      <c r="Q586" s="81" t="s">
        <v>1324</v>
      </c>
      <c r="R586" s="81"/>
      <c r="S586" s="81"/>
      <c r="T586" s="81"/>
      <c r="U586" s="85" t="str">
        <f>HYPERLINK("https://pbs.twimg.com/media/E_xVJy2VQAQerFe.jpg")</f>
        <v>https://pbs.twimg.com/media/E_xVJy2VQAQerFe.jpg</v>
      </c>
      <c r="V586" s="85" t="str">
        <f>HYPERLINK("https://pbs.twimg.com/media/E_xVJy2VQAQerFe.jpg")</f>
        <v>https://pbs.twimg.com/media/E_xVJy2VQAQerFe.jpg</v>
      </c>
      <c r="W586" s="83">
        <v>44460.432581018518</v>
      </c>
      <c r="X586" s="89">
        <v>44460</v>
      </c>
      <c r="Y586" s="87" t="s">
        <v>2140</v>
      </c>
      <c r="Z586" s="85" t="str">
        <f>HYPERLINK("https://twitter.com/arif_fcr/status/1440260242411905026")</f>
        <v>https://twitter.com/arif_fcr/status/1440260242411905026</v>
      </c>
      <c r="AA586" s="81"/>
      <c r="AB586" s="81"/>
      <c r="AC586" s="87" t="s">
        <v>3064</v>
      </c>
      <c r="AD586" s="81"/>
      <c r="AE586" s="81" t="b">
        <v>0</v>
      </c>
      <c r="AF586" s="81">
        <v>0</v>
      </c>
      <c r="AG586" s="87" t="s">
        <v>3875</v>
      </c>
      <c r="AH586" s="81" t="b">
        <v>0</v>
      </c>
      <c r="AI586" s="81" t="s">
        <v>4092</v>
      </c>
      <c r="AJ586" s="81"/>
      <c r="AK586" s="87" t="s">
        <v>3875</v>
      </c>
      <c r="AL586" s="81" t="b">
        <v>0</v>
      </c>
      <c r="AM586" s="81">
        <v>321</v>
      </c>
      <c r="AN586" s="87" t="s">
        <v>3520</v>
      </c>
      <c r="AO586" s="87" t="s">
        <v>4109</v>
      </c>
      <c r="AP586" s="81" t="b">
        <v>0</v>
      </c>
      <c r="AQ586" s="87" t="s">
        <v>3520</v>
      </c>
      <c r="AR586" s="81" t="s">
        <v>179</v>
      </c>
      <c r="AS586" s="81">
        <v>0</v>
      </c>
      <c r="AT586" s="81">
        <v>0</v>
      </c>
      <c r="AU586" s="81"/>
      <c r="AV586" s="81"/>
      <c r="AW586" s="81"/>
      <c r="AX586" s="81"/>
      <c r="AY586" s="81"/>
      <c r="AZ586" s="81"/>
      <c r="BA586" s="81"/>
      <c r="BB586" s="81"/>
    </row>
    <row r="587" spans="1:54" x14ac:dyDescent="0.35">
      <c r="A587" s="66" t="s">
        <v>547</v>
      </c>
      <c r="B587" s="66" t="s">
        <v>910</v>
      </c>
      <c r="C587" s="67"/>
      <c r="D587" s="68"/>
      <c r="E587" s="69"/>
      <c r="F587" s="70"/>
      <c r="G587" s="67"/>
      <c r="H587" s="71"/>
      <c r="I587" s="72"/>
      <c r="J587" s="72"/>
      <c r="K587" s="36"/>
      <c r="L587" s="79"/>
      <c r="M587" s="79"/>
      <c r="N587" s="74"/>
      <c r="O587" s="81" t="s">
        <v>1205</v>
      </c>
      <c r="P587" s="83">
        <v>44460.432581018518</v>
      </c>
      <c r="Q587" s="81" t="s">
        <v>1324</v>
      </c>
      <c r="R587" s="81"/>
      <c r="S587" s="81"/>
      <c r="T587" s="81"/>
      <c r="U587" s="85" t="str">
        <f>HYPERLINK("https://pbs.twimg.com/media/E_xVJy2VQAQerFe.jpg")</f>
        <v>https://pbs.twimg.com/media/E_xVJy2VQAQerFe.jpg</v>
      </c>
      <c r="V587" s="85" t="str">
        <f>HYPERLINK("https://pbs.twimg.com/media/E_xVJy2VQAQerFe.jpg")</f>
        <v>https://pbs.twimg.com/media/E_xVJy2VQAQerFe.jpg</v>
      </c>
      <c r="W587" s="83">
        <v>44460.432581018518</v>
      </c>
      <c r="X587" s="89">
        <v>44460</v>
      </c>
      <c r="Y587" s="87" t="s">
        <v>2140</v>
      </c>
      <c r="Z587" s="85" t="str">
        <f>HYPERLINK("https://twitter.com/arif_fcr/status/1440260242411905026")</f>
        <v>https://twitter.com/arif_fcr/status/1440260242411905026</v>
      </c>
      <c r="AA587" s="81"/>
      <c r="AB587" s="81"/>
      <c r="AC587" s="87" t="s">
        <v>3064</v>
      </c>
      <c r="AD587" s="81"/>
      <c r="AE587" s="81" t="b">
        <v>0</v>
      </c>
      <c r="AF587" s="81">
        <v>0</v>
      </c>
      <c r="AG587" s="87" t="s">
        <v>3875</v>
      </c>
      <c r="AH587" s="81" t="b">
        <v>0</v>
      </c>
      <c r="AI587" s="81" t="s">
        <v>4092</v>
      </c>
      <c r="AJ587" s="81"/>
      <c r="AK587" s="87" t="s">
        <v>3875</v>
      </c>
      <c r="AL587" s="81" t="b">
        <v>0</v>
      </c>
      <c r="AM587" s="81">
        <v>321</v>
      </c>
      <c r="AN587" s="87" t="s">
        <v>3520</v>
      </c>
      <c r="AO587" s="87" t="s">
        <v>4109</v>
      </c>
      <c r="AP587" s="81" t="b">
        <v>0</v>
      </c>
      <c r="AQ587" s="87" t="s">
        <v>3520</v>
      </c>
      <c r="AR587" s="81" t="s">
        <v>179</v>
      </c>
      <c r="AS587" s="81">
        <v>0</v>
      </c>
      <c r="AT587" s="81">
        <v>0</v>
      </c>
      <c r="AU587" s="81"/>
      <c r="AV587" s="81"/>
      <c r="AW587" s="81"/>
      <c r="AX587" s="81"/>
      <c r="AY587" s="81"/>
      <c r="AZ587" s="81"/>
      <c r="BA587" s="81"/>
      <c r="BB587" s="81"/>
    </row>
    <row r="588" spans="1:54" x14ac:dyDescent="0.35">
      <c r="A588" s="66" t="s">
        <v>548</v>
      </c>
      <c r="B588" s="66" t="s">
        <v>1055</v>
      </c>
      <c r="C588" s="67"/>
      <c r="D588" s="68"/>
      <c r="E588" s="69"/>
      <c r="F588" s="70"/>
      <c r="G588" s="67"/>
      <c r="H588" s="71"/>
      <c r="I588" s="72"/>
      <c r="J588" s="72"/>
      <c r="K588" s="36"/>
      <c r="L588" s="79"/>
      <c r="M588" s="79"/>
      <c r="N588" s="74"/>
      <c r="O588" s="81" t="s">
        <v>1207</v>
      </c>
      <c r="P588" s="83">
        <v>44460.43645833333</v>
      </c>
      <c r="Q588" s="81" t="s">
        <v>1324</v>
      </c>
      <c r="R588" s="81"/>
      <c r="S588" s="81"/>
      <c r="T588" s="81"/>
      <c r="U588" s="85" t="str">
        <f>HYPERLINK("https://pbs.twimg.com/media/E_xVJy2VQAQerFe.jpg")</f>
        <v>https://pbs.twimg.com/media/E_xVJy2VQAQerFe.jpg</v>
      </c>
      <c r="V588" s="85" t="str">
        <f>HYPERLINK("https://pbs.twimg.com/media/E_xVJy2VQAQerFe.jpg")</f>
        <v>https://pbs.twimg.com/media/E_xVJy2VQAQerFe.jpg</v>
      </c>
      <c r="W588" s="83">
        <v>44460.43645833333</v>
      </c>
      <c r="X588" s="89">
        <v>44460</v>
      </c>
      <c r="Y588" s="87" t="s">
        <v>2141</v>
      </c>
      <c r="Z588" s="85" t="str">
        <f>HYPERLINK("https://twitter.com/affanusman/status/1440261650192371724")</f>
        <v>https://twitter.com/affanusman/status/1440261650192371724</v>
      </c>
      <c r="AA588" s="81"/>
      <c r="AB588" s="81"/>
      <c r="AC588" s="87" t="s">
        <v>3065</v>
      </c>
      <c r="AD588" s="81"/>
      <c r="AE588" s="81" t="b">
        <v>0</v>
      </c>
      <c r="AF588" s="81">
        <v>0</v>
      </c>
      <c r="AG588" s="87" t="s">
        <v>3875</v>
      </c>
      <c r="AH588" s="81" t="b">
        <v>0</v>
      </c>
      <c r="AI588" s="81" t="s">
        <v>4092</v>
      </c>
      <c r="AJ588" s="81"/>
      <c r="AK588" s="87" t="s">
        <v>3875</v>
      </c>
      <c r="AL588" s="81" t="b">
        <v>0</v>
      </c>
      <c r="AM588" s="81">
        <v>321</v>
      </c>
      <c r="AN588" s="87" t="s">
        <v>3520</v>
      </c>
      <c r="AO588" s="87" t="s">
        <v>4109</v>
      </c>
      <c r="AP588" s="81" t="b">
        <v>0</v>
      </c>
      <c r="AQ588" s="87" t="s">
        <v>3520</v>
      </c>
      <c r="AR588" s="81" t="s">
        <v>179</v>
      </c>
      <c r="AS588" s="81">
        <v>0</v>
      </c>
      <c r="AT588" s="81">
        <v>0</v>
      </c>
      <c r="AU588" s="81"/>
      <c r="AV588" s="81"/>
      <c r="AW588" s="81"/>
      <c r="AX588" s="81"/>
      <c r="AY588" s="81"/>
      <c r="AZ588" s="81"/>
      <c r="BA588" s="81"/>
      <c r="BB588" s="81"/>
    </row>
    <row r="589" spans="1:54" x14ac:dyDescent="0.35">
      <c r="A589" s="66" t="s">
        <v>548</v>
      </c>
      <c r="B589" s="66" t="s">
        <v>910</v>
      </c>
      <c r="C589" s="67"/>
      <c r="D589" s="68"/>
      <c r="E589" s="69"/>
      <c r="F589" s="70"/>
      <c r="G589" s="67"/>
      <c r="H589" s="71"/>
      <c r="I589" s="72"/>
      <c r="J589" s="72"/>
      <c r="K589" s="36"/>
      <c r="L589" s="79"/>
      <c r="M589" s="79"/>
      <c r="N589" s="74"/>
      <c r="O589" s="81" t="s">
        <v>1205</v>
      </c>
      <c r="P589" s="83">
        <v>44460.43645833333</v>
      </c>
      <c r="Q589" s="81" t="s">
        <v>1324</v>
      </c>
      <c r="R589" s="81"/>
      <c r="S589" s="81"/>
      <c r="T589" s="81"/>
      <c r="U589" s="85" t="str">
        <f>HYPERLINK("https://pbs.twimg.com/media/E_xVJy2VQAQerFe.jpg")</f>
        <v>https://pbs.twimg.com/media/E_xVJy2VQAQerFe.jpg</v>
      </c>
      <c r="V589" s="85" t="str">
        <f>HYPERLINK("https://pbs.twimg.com/media/E_xVJy2VQAQerFe.jpg")</f>
        <v>https://pbs.twimg.com/media/E_xVJy2VQAQerFe.jpg</v>
      </c>
      <c r="W589" s="83">
        <v>44460.43645833333</v>
      </c>
      <c r="X589" s="89">
        <v>44460</v>
      </c>
      <c r="Y589" s="87" t="s">
        <v>2141</v>
      </c>
      <c r="Z589" s="85" t="str">
        <f>HYPERLINK("https://twitter.com/affanusman/status/1440261650192371724")</f>
        <v>https://twitter.com/affanusman/status/1440261650192371724</v>
      </c>
      <c r="AA589" s="81"/>
      <c r="AB589" s="81"/>
      <c r="AC589" s="87" t="s">
        <v>3065</v>
      </c>
      <c r="AD589" s="81"/>
      <c r="AE589" s="81" t="b">
        <v>0</v>
      </c>
      <c r="AF589" s="81">
        <v>0</v>
      </c>
      <c r="AG589" s="87" t="s">
        <v>3875</v>
      </c>
      <c r="AH589" s="81" t="b">
        <v>0</v>
      </c>
      <c r="AI589" s="81" t="s">
        <v>4092</v>
      </c>
      <c r="AJ589" s="81"/>
      <c r="AK589" s="87" t="s">
        <v>3875</v>
      </c>
      <c r="AL589" s="81" t="b">
        <v>0</v>
      </c>
      <c r="AM589" s="81">
        <v>321</v>
      </c>
      <c r="AN589" s="87" t="s">
        <v>3520</v>
      </c>
      <c r="AO589" s="87" t="s">
        <v>4109</v>
      </c>
      <c r="AP589" s="81" t="b">
        <v>0</v>
      </c>
      <c r="AQ589" s="87" t="s">
        <v>3520</v>
      </c>
      <c r="AR589" s="81" t="s">
        <v>179</v>
      </c>
      <c r="AS589" s="81">
        <v>0</v>
      </c>
      <c r="AT589" s="81">
        <v>0</v>
      </c>
      <c r="AU589" s="81"/>
      <c r="AV589" s="81"/>
      <c r="AW589" s="81"/>
      <c r="AX589" s="81"/>
      <c r="AY589" s="81"/>
      <c r="AZ589" s="81"/>
      <c r="BA589" s="81"/>
      <c r="BB589" s="81"/>
    </row>
    <row r="590" spans="1:54" x14ac:dyDescent="0.35">
      <c r="A590" s="66" t="s">
        <v>549</v>
      </c>
      <c r="B590" s="66" t="s">
        <v>1055</v>
      </c>
      <c r="C590" s="67"/>
      <c r="D590" s="68"/>
      <c r="E590" s="69"/>
      <c r="F590" s="70"/>
      <c r="G590" s="67"/>
      <c r="H590" s="71"/>
      <c r="I590" s="72"/>
      <c r="J590" s="72"/>
      <c r="K590" s="36"/>
      <c r="L590" s="79"/>
      <c r="M590" s="79"/>
      <c r="N590" s="74"/>
      <c r="O590" s="81" t="s">
        <v>1207</v>
      </c>
      <c r="P590" s="83">
        <v>44460.438692129632</v>
      </c>
      <c r="Q590" s="81" t="s">
        <v>1324</v>
      </c>
      <c r="R590" s="81"/>
      <c r="S590" s="81"/>
      <c r="T590" s="81"/>
      <c r="U590" s="85" t="str">
        <f>HYPERLINK("https://pbs.twimg.com/media/E_xVJy2VQAQerFe.jpg")</f>
        <v>https://pbs.twimg.com/media/E_xVJy2VQAQerFe.jpg</v>
      </c>
      <c r="V590" s="85" t="str">
        <f>HYPERLINK("https://pbs.twimg.com/media/E_xVJy2VQAQerFe.jpg")</f>
        <v>https://pbs.twimg.com/media/E_xVJy2VQAQerFe.jpg</v>
      </c>
      <c r="W590" s="83">
        <v>44460.438692129632</v>
      </c>
      <c r="X590" s="89">
        <v>44460</v>
      </c>
      <c r="Y590" s="87" t="s">
        <v>2142</v>
      </c>
      <c r="Z590" s="85" t="str">
        <f>HYPERLINK("https://twitter.com/tumim_urim/status/1440262459554631696")</f>
        <v>https://twitter.com/tumim_urim/status/1440262459554631696</v>
      </c>
      <c r="AA590" s="81"/>
      <c r="AB590" s="81"/>
      <c r="AC590" s="87" t="s">
        <v>3066</v>
      </c>
      <c r="AD590" s="81"/>
      <c r="AE590" s="81" t="b">
        <v>0</v>
      </c>
      <c r="AF590" s="81">
        <v>0</v>
      </c>
      <c r="AG590" s="87" t="s">
        <v>3875</v>
      </c>
      <c r="AH590" s="81" t="b">
        <v>0</v>
      </c>
      <c r="AI590" s="81" t="s">
        <v>4092</v>
      </c>
      <c r="AJ590" s="81"/>
      <c r="AK590" s="87" t="s">
        <v>3875</v>
      </c>
      <c r="AL590" s="81" t="b">
        <v>0</v>
      </c>
      <c r="AM590" s="81">
        <v>321</v>
      </c>
      <c r="AN590" s="87" t="s">
        <v>3520</v>
      </c>
      <c r="AO590" s="87" t="s">
        <v>4109</v>
      </c>
      <c r="AP590" s="81" t="b">
        <v>0</v>
      </c>
      <c r="AQ590" s="87" t="s">
        <v>3520</v>
      </c>
      <c r="AR590" s="81" t="s">
        <v>179</v>
      </c>
      <c r="AS590" s="81">
        <v>0</v>
      </c>
      <c r="AT590" s="81">
        <v>0</v>
      </c>
      <c r="AU590" s="81"/>
      <c r="AV590" s="81"/>
      <c r="AW590" s="81"/>
      <c r="AX590" s="81"/>
      <c r="AY590" s="81"/>
      <c r="AZ590" s="81"/>
      <c r="BA590" s="81"/>
      <c r="BB590" s="81"/>
    </row>
    <row r="591" spans="1:54" x14ac:dyDescent="0.35">
      <c r="A591" s="66" t="s">
        <v>549</v>
      </c>
      <c r="B591" s="66" t="s">
        <v>910</v>
      </c>
      <c r="C591" s="67"/>
      <c r="D591" s="68"/>
      <c r="E591" s="69"/>
      <c r="F591" s="70"/>
      <c r="G591" s="67"/>
      <c r="H591" s="71"/>
      <c r="I591" s="72"/>
      <c r="J591" s="72"/>
      <c r="K591" s="36"/>
      <c r="L591" s="79"/>
      <c r="M591" s="79"/>
      <c r="N591" s="74"/>
      <c r="O591" s="81" t="s">
        <v>1205</v>
      </c>
      <c r="P591" s="83">
        <v>44460.438692129632</v>
      </c>
      <c r="Q591" s="81" t="s">
        <v>1324</v>
      </c>
      <c r="R591" s="81"/>
      <c r="S591" s="81"/>
      <c r="T591" s="81"/>
      <c r="U591" s="85" t="str">
        <f>HYPERLINK("https://pbs.twimg.com/media/E_xVJy2VQAQerFe.jpg")</f>
        <v>https://pbs.twimg.com/media/E_xVJy2VQAQerFe.jpg</v>
      </c>
      <c r="V591" s="85" t="str">
        <f>HYPERLINK("https://pbs.twimg.com/media/E_xVJy2VQAQerFe.jpg")</f>
        <v>https://pbs.twimg.com/media/E_xVJy2VQAQerFe.jpg</v>
      </c>
      <c r="W591" s="83">
        <v>44460.438692129632</v>
      </c>
      <c r="X591" s="89">
        <v>44460</v>
      </c>
      <c r="Y591" s="87" t="s">
        <v>2142</v>
      </c>
      <c r="Z591" s="85" t="str">
        <f>HYPERLINK("https://twitter.com/tumim_urim/status/1440262459554631696")</f>
        <v>https://twitter.com/tumim_urim/status/1440262459554631696</v>
      </c>
      <c r="AA591" s="81"/>
      <c r="AB591" s="81"/>
      <c r="AC591" s="87" t="s">
        <v>3066</v>
      </c>
      <c r="AD591" s="81"/>
      <c r="AE591" s="81" t="b">
        <v>0</v>
      </c>
      <c r="AF591" s="81">
        <v>0</v>
      </c>
      <c r="AG591" s="87" t="s">
        <v>3875</v>
      </c>
      <c r="AH591" s="81" t="b">
        <v>0</v>
      </c>
      <c r="AI591" s="81" t="s">
        <v>4092</v>
      </c>
      <c r="AJ591" s="81"/>
      <c r="AK591" s="87" t="s">
        <v>3875</v>
      </c>
      <c r="AL591" s="81" t="b">
        <v>0</v>
      </c>
      <c r="AM591" s="81">
        <v>321</v>
      </c>
      <c r="AN591" s="87" t="s">
        <v>3520</v>
      </c>
      <c r="AO591" s="87" t="s">
        <v>4109</v>
      </c>
      <c r="AP591" s="81" t="b">
        <v>0</v>
      </c>
      <c r="AQ591" s="87" t="s">
        <v>3520</v>
      </c>
      <c r="AR591" s="81" t="s">
        <v>179</v>
      </c>
      <c r="AS591" s="81">
        <v>0</v>
      </c>
      <c r="AT591" s="81">
        <v>0</v>
      </c>
      <c r="AU591" s="81"/>
      <c r="AV591" s="81"/>
      <c r="AW591" s="81"/>
      <c r="AX591" s="81"/>
      <c r="AY591" s="81"/>
      <c r="AZ591" s="81"/>
      <c r="BA591" s="81"/>
      <c r="BB591" s="81"/>
    </row>
    <row r="592" spans="1:54" x14ac:dyDescent="0.35">
      <c r="A592" s="66" t="s">
        <v>550</v>
      </c>
      <c r="B592" s="66" t="s">
        <v>1055</v>
      </c>
      <c r="C592" s="67"/>
      <c r="D592" s="68"/>
      <c r="E592" s="69"/>
      <c r="F592" s="70"/>
      <c r="G592" s="67"/>
      <c r="H592" s="71"/>
      <c r="I592" s="72"/>
      <c r="J592" s="72"/>
      <c r="K592" s="36"/>
      <c r="L592" s="79"/>
      <c r="M592" s="79"/>
      <c r="N592" s="74"/>
      <c r="O592" s="81" t="s">
        <v>1207</v>
      </c>
      <c r="P592" s="83">
        <v>44460.444398148145</v>
      </c>
      <c r="Q592" s="81" t="s">
        <v>1324</v>
      </c>
      <c r="R592" s="81"/>
      <c r="S592" s="81"/>
      <c r="T592" s="81"/>
      <c r="U592" s="85" t="str">
        <f>HYPERLINK("https://pbs.twimg.com/media/E_xVJy2VQAQerFe.jpg")</f>
        <v>https://pbs.twimg.com/media/E_xVJy2VQAQerFe.jpg</v>
      </c>
      <c r="V592" s="85" t="str">
        <f>HYPERLINK("https://pbs.twimg.com/media/E_xVJy2VQAQerFe.jpg")</f>
        <v>https://pbs.twimg.com/media/E_xVJy2VQAQerFe.jpg</v>
      </c>
      <c r="W592" s="83">
        <v>44460.444398148145</v>
      </c>
      <c r="X592" s="89">
        <v>44460</v>
      </c>
      <c r="Y592" s="87" t="s">
        <v>2143</v>
      </c>
      <c r="Z592" s="85" t="str">
        <f>HYPERLINK("https://twitter.com/terpojoks/status/1440264524490174474")</f>
        <v>https://twitter.com/terpojoks/status/1440264524490174474</v>
      </c>
      <c r="AA592" s="81"/>
      <c r="AB592" s="81"/>
      <c r="AC592" s="87" t="s">
        <v>3067</v>
      </c>
      <c r="AD592" s="81"/>
      <c r="AE592" s="81" t="b">
        <v>0</v>
      </c>
      <c r="AF592" s="81">
        <v>0</v>
      </c>
      <c r="AG592" s="87" t="s">
        <v>3875</v>
      </c>
      <c r="AH592" s="81" t="b">
        <v>0</v>
      </c>
      <c r="AI592" s="81" t="s">
        <v>4092</v>
      </c>
      <c r="AJ592" s="81"/>
      <c r="AK592" s="87" t="s">
        <v>3875</v>
      </c>
      <c r="AL592" s="81" t="b">
        <v>0</v>
      </c>
      <c r="AM592" s="81">
        <v>321</v>
      </c>
      <c r="AN592" s="87" t="s">
        <v>3520</v>
      </c>
      <c r="AO592" s="87" t="s">
        <v>4109</v>
      </c>
      <c r="AP592" s="81" t="b">
        <v>0</v>
      </c>
      <c r="AQ592" s="87" t="s">
        <v>3520</v>
      </c>
      <c r="AR592" s="81" t="s">
        <v>179</v>
      </c>
      <c r="AS592" s="81">
        <v>0</v>
      </c>
      <c r="AT592" s="81">
        <v>0</v>
      </c>
      <c r="AU592" s="81"/>
      <c r="AV592" s="81"/>
      <c r="AW592" s="81"/>
      <c r="AX592" s="81"/>
      <c r="AY592" s="81"/>
      <c r="AZ592" s="81"/>
      <c r="BA592" s="81"/>
      <c r="BB592" s="81"/>
    </row>
    <row r="593" spans="1:54" x14ac:dyDescent="0.35">
      <c r="A593" s="66" t="s">
        <v>550</v>
      </c>
      <c r="B593" s="66" t="s">
        <v>910</v>
      </c>
      <c r="C593" s="67"/>
      <c r="D593" s="68"/>
      <c r="E593" s="69"/>
      <c r="F593" s="70"/>
      <c r="G593" s="67"/>
      <c r="H593" s="71"/>
      <c r="I593" s="72"/>
      <c r="J593" s="72"/>
      <c r="K593" s="36"/>
      <c r="L593" s="79"/>
      <c r="M593" s="79"/>
      <c r="N593" s="74"/>
      <c r="O593" s="81" t="s">
        <v>1205</v>
      </c>
      <c r="P593" s="83">
        <v>44460.444398148145</v>
      </c>
      <c r="Q593" s="81" t="s">
        <v>1324</v>
      </c>
      <c r="R593" s="81"/>
      <c r="S593" s="81"/>
      <c r="T593" s="81"/>
      <c r="U593" s="85" t="str">
        <f>HYPERLINK("https://pbs.twimg.com/media/E_xVJy2VQAQerFe.jpg")</f>
        <v>https://pbs.twimg.com/media/E_xVJy2VQAQerFe.jpg</v>
      </c>
      <c r="V593" s="85" t="str">
        <f>HYPERLINK("https://pbs.twimg.com/media/E_xVJy2VQAQerFe.jpg")</f>
        <v>https://pbs.twimg.com/media/E_xVJy2VQAQerFe.jpg</v>
      </c>
      <c r="W593" s="83">
        <v>44460.444398148145</v>
      </c>
      <c r="X593" s="89">
        <v>44460</v>
      </c>
      <c r="Y593" s="87" t="s">
        <v>2143</v>
      </c>
      <c r="Z593" s="85" t="str">
        <f>HYPERLINK("https://twitter.com/terpojoks/status/1440264524490174474")</f>
        <v>https://twitter.com/terpojoks/status/1440264524490174474</v>
      </c>
      <c r="AA593" s="81"/>
      <c r="AB593" s="81"/>
      <c r="AC593" s="87" t="s">
        <v>3067</v>
      </c>
      <c r="AD593" s="81"/>
      <c r="AE593" s="81" t="b">
        <v>0</v>
      </c>
      <c r="AF593" s="81">
        <v>0</v>
      </c>
      <c r="AG593" s="87" t="s">
        <v>3875</v>
      </c>
      <c r="AH593" s="81" t="b">
        <v>0</v>
      </c>
      <c r="AI593" s="81" t="s">
        <v>4092</v>
      </c>
      <c r="AJ593" s="81"/>
      <c r="AK593" s="87" t="s">
        <v>3875</v>
      </c>
      <c r="AL593" s="81" t="b">
        <v>0</v>
      </c>
      <c r="AM593" s="81">
        <v>321</v>
      </c>
      <c r="AN593" s="87" t="s">
        <v>3520</v>
      </c>
      <c r="AO593" s="87" t="s">
        <v>4109</v>
      </c>
      <c r="AP593" s="81" t="b">
        <v>0</v>
      </c>
      <c r="AQ593" s="87" t="s">
        <v>3520</v>
      </c>
      <c r="AR593" s="81" t="s">
        <v>179</v>
      </c>
      <c r="AS593" s="81">
        <v>0</v>
      </c>
      <c r="AT593" s="81">
        <v>0</v>
      </c>
      <c r="AU593" s="81"/>
      <c r="AV593" s="81"/>
      <c r="AW593" s="81"/>
      <c r="AX593" s="81"/>
      <c r="AY593" s="81"/>
      <c r="AZ593" s="81"/>
      <c r="BA593" s="81"/>
      <c r="BB593" s="81"/>
    </row>
    <row r="594" spans="1:54" x14ac:dyDescent="0.35">
      <c r="A594" s="66" t="s">
        <v>551</v>
      </c>
      <c r="B594" s="66" t="s">
        <v>1055</v>
      </c>
      <c r="C594" s="67"/>
      <c r="D594" s="68"/>
      <c r="E594" s="69"/>
      <c r="F594" s="70"/>
      <c r="G594" s="67"/>
      <c r="H594" s="71"/>
      <c r="I594" s="72"/>
      <c r="J594" s="72"/>
      <c r="K594" s="36"/>
      <c r="L594" s="79"/>
      <c r="M594" s="79"/>
      <c r="N594" s="74"/>
      <c r="O594" s="81" t="s">
        <v>1207</v>
      </c>
      <c r="P594" s="83">
        <v>44460.448807870373</v>
      </c>
      <c r="Q594" s="81" t="s">
        <v>1324</v>
      </c>
      <c r="R594" s="81"/>
      <c r="S594" s="81"/>
      <c r="T594" s="81"/>
      <c r="U594" s="85" t="str">
        <f>HYPERLINK("https://pbs.twimg.com/media/E_xVJy2VQAQerFe.jpg")</f>
        <v>https://pbs.twimg.com/media/E_xVJy2VQAQerFe.jpg</v>
      </c>
      <c r="V594" s="85" t="str">
        <f>HYPERLINK("https://pbs.twimg.com/media/E_xVJy2VQAQerFe.jpg")</f>
        <v>https://pbs.twimg.com/media/E_xVJy2VQAQerFe.jpg</v>
      </c>
      <c r="W594" s="83">
        <v>44460.448807870373</v>
      </c>
      <c r="X594" s="89">
        <v>44460</v>
      </c>
      <c r="Y594" s="87" t="s">
        <v>2144</v>
      </c>
      <c r="Z594" s="85" t="str">
        <f>HYPERLINK("https://twitter.com/lrahmadsyahj2p/status/1440266122054438921")</f>
        <v>https://twitter.com/lrahmadsyahj2p/status/1440266122054438921</v>
      </c>
      <c r="AA594" s="81"/>
      <c r="AB594" s="81"/>
      <c r="AC594" s="87" t="s">
        <v>3068</v>
      </c>
      <c r="AD594" s="81"/>
      <c r="AE594" s="81" t="b">
        <v>0</v>
      </c>
      <c r="AF594" s="81">
        <v>0</v>
      </c>
      <c r="AG594" s="87" t="s">
        <v>3875</v>
      </c>
      <c r="AH594" s="81" t="b">
        <v>0</v>
      </c>
      <c r="AI594" s="81" t="s">
        <v>4092</v>
      </c>
      <c r="AJ594" s="81"/>
      <c r="AK594" s="87" t="s">
        <v>3875</v>
      </c>
      <c r="AL594" s="81" t="b">
        <v>0</v>
      </c>
      <c r="AM594" s="81">
        <v>321</v>
      </c>
      <c r="AN594" s="87" t="s">
        <v>3520</v>
      </c>
      <c r="AO594" s="87" t="s">
        <v>4109</v>
      </c>
      <c r="AP594" s="81" t="b">
        <v>0</v>
      </c>
      <c r="AQ594" s="87" t="s">
        <v>3520</v>
      </c>
      <c r="AR594" s="81" t="s">
        <v>179</v>
      </c>
      <c r="AS594" s="81">
        <v>0</v>
      </c>
      <c r="AT594" s="81">
        <v>0</v>
      </c>
      <c r="AU594" s="81"/>
      <c r="AV594" s="81"/>
      <c r="AW594" s="81"/>
      <c r="AX594" s="81"/>
      <c r="AY594" s="81"/>
      <c r="AZ594" s="81"/>
      <c r="BA594" s="81"/>
      <c r="BB594" s="81"/>
    </row>
    <row r="595" spans="1:54" x14ac:dyDescent="0.35">
      <c r="A595" s="66" t="s">
        <v>551</v>
      </c>
      <c r="B595" s="66" t="s">
        <v>910</v>
      </c>
      <c r="C595" s="67"/>
      <c r="D595" s="68"/>
      <c r="E595" s="69"/>
      <c r="F595" s="70"/>
      <c r="G595" s="67"/>
      <c r="H595" s="71"/>
      <c r="I595" s="72"/>
      <c r="J595" s="72"/>
      <c r="K595" s="36"/>
      <c r="L595" s="79"/>
      <c r="M595" s="79"/>
      <c r="N595" s="74"/>
      <c r="O595" s="81" t="s">
        <v>1205</v>
      </c>
      <c r="P595" s="83">
        <v>44460.448807870373</v>
      </c>
      <c r="Q595" s="81" t="s">
        <v>1324</v>
      </c>
      <c r="R595" s="81"/>
      <c r="S595" s="81"/>
      <c r="T595" s="81"/>
      <c r="U595" s="85" t="str">
        <f>HYPERLINK("https://pbs.twimg.com/media/E_xVJy2VQAQerFe.jpg")</f>
        <v>https://pbs.twimg.com/media/E_xVJy2VQAQerFe.jpg</v>
      </c>
      <c r="V595" s="85" t="str">
        <f>HYPERLINK("https://pbs.twimg.com/media/E_xVJy2VQAQerFe.jpg")</f>
        <v>https://pbs.twimg.com/media/E_xVJy2VQAQerFe.jpg</v>
      </c>
      <c r="W595" s="83">
        <v>44460.448807870373</v>
      </c>
      <c r="X595" s="89">
        <v>44460</v>
      </c>
      <c r="Y595" s="87" t="s">
        <v>2144</v>
      </c>
      <c r="Z595" s="85" t="str">
        <f>HYPERLINK("https://twitter.com/lrahmadsyahj2p/status/1440266122054438921")</f>
        <v>https://twitter.com/lrahmadsyahj2p/status/1440266122054438921</v>
      </c>
      <c r="AA595" s="81"/>
      <c r="AB595" s="81"/>
      <c r="AC595" s="87" t="s">
        <v>3068</v>
      </c>
      <c r="AD595" s="81"/>
      <c r="AE595" s="81" t="b">
        <v>0</v>
      </c>
      <c r="AF595" s="81">
        <v>0</v>
      </c>
      <c r="AG595" s="87" t="s">
        <v>3875</v>
      </c>
      <c r="AH595" s="81" t="b">
        <v>0</v>
      </c>
      <c r="AI595" s="81" t="s">
        <v>4092</v>
      </c>
      <c r="AJ595" s="81"/>
      <c r="AK595" s="87" t="s">
        <v>3875</v>
      </c>
      <c r="AL595" s="81" t="b">
        <v>0</v>
      </c>
      <c r="AM595" s="81">
        <v>321</v>
      </c>
      <c r="AN595" s="87" t="s">
        <v>3520</v>
      </c>
      <c r="AO595" s="87" t="s">
        <v>4109</v>
      </c>
      <c r="AP595" s="81" t="b">
        <v>0</v>
      </c>
      <c r="AQ595" s="87" t="s">
        <v>3520</v>
      </c>
      <c r="AR595" s="81" t="s">
        <v>179</v>
      </c>
      <c r="AS595" s="81">
        <v>0</v>
      </c>
      <c r="AT595" s="81">
        <v>0</v>
      </c>
      <c r="AU595" s="81"/>
      <c r="AV595" s="81"/>
      <c r="AW595" s="81"/>
      <c r="AX595" s="81"/>
      <c r="AY595" s="81"/>
      <c r="AZ595" s="81"/>
      <c r="BA595" s="81"/>
      <c r="BB595" s="81"/>
    </row>
    <row r="596" spans="1:54" x14ac:dyDescent="0.35">
      <c r="A596" s="66" t="s">
        <v>552</v>
      </c>
      <c r="B596" s="66" t="s">
        <v>1055</v>
      </c>
      <c r="C596" s="67"/>
      <c r="D596" s="68"/>
      <c r="E596" s="69"/>
      <c r="F596" s="70"/>
      <c r="G596" s="67"/>
      <c r="H596" s="71"/>
      <c r="I596" s="72"/>
      <c r="J596" s="72"/>
      <c r="K596" s="36"/>
      <c r="L596" s="79"/>
      <c r="M596" s="79"/>
      <c r="N596" s="74"/>
      <c r="O596" s="81" t="s">
        <v>1207</v>
      </c>
      <c r="P596" s="83">
        <v>44460.451678240737</v>
      </c>
      <c r="Q596" s="81" t="s">
        <v>1324</v>
      </c>
      <c r="R596" s="81"/>
      <c r="S596" s="81"/>
      <c r="T596" s="81"/>
      <c r="U596" s="85" t="str">
        <f>HYPERLINK("https://pbs.twimg.com/media/E_xVJy2VQAQerFe.jpg")</f>
        <v>https://pbs.twimg.com/media/E_xVJy2VQAQerFe.jpg</v>
      </c>
      <c r="V596" s="85" t="str">
        <f>HYPERLINK("https://pbs.twimg.com/media/E_xVJy2VQAQerFe.jpg")</f>
        <v>https://pbs.twimg.com/media/E_xVJy2VQAQerFe.jpg</v>
      </c>
      <c r="W596" s="83">
        <v>44460.451678240737</v>
      </c>
      <c r="X596" s="89">
        <v>44460</v>
      </c>
      <c r="Y596" s="87" t="s">
        <v>2145</v>
      </c>
      <c r="Z596" s="85" t="str">
        <f>HYPERLINK("https://twitter.com/vonbron_ajah/status/1440267164498337806")</f>
        <v>https://twitter.com/vonbron_ajah/status/1440267164498337806</v>
      </c>
      <c r="AA596" s="81"/>
      <c r="AB596" s="81"/>
      <c r="AC596" s="87" t="s">
        <v>3069</v>
      </c>
      <c r="AD596" s="81"/>
      <c r="AE596" s="81" t="b">
        <v>0</v>
      </c>
      <c r="AF596" s="81">
        <v>0</v>
      </c>
      <c r="AG596" s="87" t="s">
        <v>3875</v>
      </c>
      <c r="AH596" s="81" t="b">
        <v>0</v>
      </c>
      <c r="AI596" s="81" t="s">
        <v>4092</v>
      </c>
      <c r="AJ596" s="81"/>
      <c r="AK596" s="87" t="s">
        <v>3875</v>
      </c>
      <c r="AL596" s="81" t="b">
        <v>0</v>
      </c>
      <c r="AM596" s="81">
        <v>321</v>
      </c>
      <c r="AN596" s="87" t="s">
        <v>3520</v>
      </c>
      <c r="AO596" s="87" t="s">
        <v>4109</v>
      </c>
      <c r="AP596" s="81" t="b">
        <v>0</v>
      </c>
      <c r="AQ596" s="87" t="s">
        <v>3520</v>
      </c>
      <c r="AR596" s="81" t="s">
        <v>179</v>
      </c>
      <c r="AS596" s="81">
        <v>0</v>
      </c>
      <c r="AT596" s="81">
        <v>0</v>
      </c>
      <c r="AU596" s="81"/>
      <c r="AV596" s="81"/>
      <c r="AW596" s="81"/>
      <c r="AX596" s="81"/>
      <c r="AY596" s="81"/>
      <c r="AZ596" s="81"/>
      <c r="BA596" s="81"/>
      <c r="BB596" s="81"/>
    </row>
    <row r="597" spans="1:54" x14ac:dyDescent="0.35">
      <c r="A597" s="66" t="s">
        <v>552</v>
      </c>
      <c r="B597" s="66" t="s">
        <v>910</v>
      </c>
      <c r="C597" s="67"/>
      <c r="D597" s="68"/>
      <c r="E597" s="69"/>
      <c r="F597" s="70"/>
      <c r="G597" s="67"/>
      <c r="H597" s="71"/>
      <c r="I597" s="72"/>
      <c r="J597" s="72"/>
      <c r="K597" s="36"/>
      <c r="L597" s="79"/>
      <c r="M597" s="79"/>
      <c r="N597" s="74"/>
      <c r="O597" s="81" t="s">
        <v>1205</v>
      </c>
      <c r="P597" s="83">
        <v>44460.451678240737</v>
      </c>
      <c r="Q597" s="81" t="s">
        <v>1324</v>
      </c>
      <c r="R597" s="81"/>
      <c r="S597" s="81"/>
      <c r="T597" s="81"/>
      <c r="U597" s="85" t="str">
        <f>HYPERLINK("https://pbs.twimg.com/media/E_xVJy2VQAQerFe.jpg")</f>
        <v>https://pbs.twimg.com/media/E_xVJy2VQAQerFe.jpg</v>
      </c>
      <c r="V597" s="85" t="str">
        <f>HYPERLINK("https://pbs.twimg.com/media/E_xVJy2VQAQerFe.jpg")</f>
        <v>https://pbs.twimg.com/media/E_xVJy2VQAQerFe.jpg</v>
      </c>
      <c r="W597" s="83">
        <v>44460.451678240737</v>
      </c>
      <c r="X597" s="89">
        <v>44460</v>
      </c>
      <c r="Y597" s="87" t="s">
        <v>2145</v>
      </c>
      <c r="Z597" s="85" t="str">
        <f>HYPERLINK("https://twitter.com/vonbron_ajah/status/1440267164498337806")</f>
        <v>https://twitter.com/vonbron_ajah/status/1440267164498337806</v>
      </c>
      <c r="AA597" s="81"/>
      <c r="AB597" s="81"/>
      <c r="AC597" s="87" t="s">
        <v>3069</v>
      </c>
      <c r="AD597" s="81"/>
      <c r="AE597" s="81" t="b">
        <v>0</v>
      </c>
      <c r="AF597" s="81">
        <v>0</v>
      </c>
      <c r="AG597" s="87" t="s">
        <v>3875</v>
      </c>
      <c r="AH597" s="81" t="b">
        <v>0</v>
      </c>
      <c r="AI597" s="81" t="s">
        <v>4092</v>
      </c>
      <c r="AJ597" s="81"/>
      <c r="AK597" s="87" t="s">
        <v>3875</v>
      </c>
      <c r="AL597" s="81" t="b">
        <v>0</v>
      </c>
      <c r="AM597" s="81">
        <v>321</v>
      </c>
      <c r="AN597" s="87" t="s">
        <v>3520</v>
      </c>
      <c r="AO597" s="87" t="s">
        <v>4109</v>
      </c>
      <c r="AP597" s="81" t="b">
        <v>0</v>
      </c>
      <c r="AQ597" s="87" t="s">
        <v>3520</v>
      </c>
      <c r="AR597" s="81" t="s">
        <v>179</v>
      </c>
      <c r="AS597" s="81">
        <v>0</v>
      </c>
      <c r="AT597" s="81">
        <v>0</v>
      </c>
      <c r="AU597" s="81"/>
      <c r="AV597" s="81"/>
      <c r="AW597" s="81"/>
      <c r="AX597" s="81"/>
      <c r="AY597" s="81"/>
      <c r="AZ597" s="81"/>
      <c r="BA597" s="81"/>
      <c r="BB597" s="81"/>
    </row>
    <row r="598" spans="1:54" x14ac:dyDescent="0.35">
      <c r="A598" s="66" t="s">
        <v>553</v>
      </c>
      <c r="B598" s="66" t="s">
        <v>1055</v>
      </c>
      <c r="C598" s="67"/>
      <c r="D598" s="68"/>
      <c r="E598" s="69"/>
      <c r="F598" s="70"/>
      <c r="G598" s="67"/>
      <c r="H598" s="71"/>
      <c r="I598" s="72"/>
      <c r="J598" s="72"/>
      <c r="K598" s="36"/>
      <c r="L598" s="79"/>
      <c r="M598" s="79"/>
      <c r="N598" s="74"/>
      <c r="O598" s="81" t="s">
        <v>1207</v>
      </c>
      <c r="P598" s="83">
        <v>44460.454224537039</v>
      </c>
      <c r="Q598" s="81" t="s">
        <v>1324</v>
      </c>
      <c r="R598" s="81"/>
      <c r="S598" s="81"/>
      <c r="T598" s="81"/>
      <c r="U598" s="85" t="str">
        <f>HYPERLINK("https://pbs.twimg.com/media/E_xVJy2VQAQerFe.jpg")</f>
        <v>https://pbs.twimg.com/media/E_xVJy2VQAQerFe.jpg</v>
      </c>
      <c r="V598" s="85" t="str">
        <f>HYPERLINK("https://pbs.twimg.com/media/E_xVJy2VQAQerFe.jpg")</f>
        <v>https://pbs.twimg.com/media/E_xVJy2VQAQerFe.jpg</v>
      </c>
      <c r="W598" s="83">
        <v>44460.454224537039</v>
      </c>
      <c r="X598" s="89">
        <v>44460</v>
      </c>
      <c r="Y598" s="87" t="s">
        <v>2146</v>
      </c>
      <c r="Z598" s="85" t="str">
        <f>HYPERLINK("https://twitter.com/eandalusy/status/1440268089103290376")</f>
        <v>https://twitter.com/eandalusy/status/1440268089103290376</v>
      </c>
      <c r="AA598" s="81"/>
      <c r="AB598" s="81"/>
      <c r="AC598" s="87" t="s">
        <v>3070</v>
      </c>
      <c r="AD598" s="81"/>
      <c r="AE598" s="81" t="b">
        <v>0</v>
      </c>
      <c r="AF598" s="81">
        <v>0</v>
      </c>
      <c r="AG598" s="87" t="s">
        <v>3875</v>
      </c>
      <c r="AH598" s="81" t="b">
        <v>0</v>
      </c>
      <c r="AI598" s="81" t="s">
        <v>4092</v>
      </c>
      <c r="AJ598" s="81"/>
      <c r="AK598" s="87" t="s">
        <v>3875</v>
      </c>
      <c r="AL598" s="81" t="b">
        <v>0</v>
      </c>
      <c r="AM598" s="81">
        <v>321</v>
      </c>
      <c r="AN598" s="87" t="s">
        <v>3520</v>
      </c>
      <c r="AO598" s="87" t="s">
        <v>4111</v>
      </c>
      <c r="AP598" s="81" t="b">
        <v>0</v>
      </c>
      <c r="AQ598" s="87" t="s">
        <v>3520</v>
      </c>
      <c r="AR598" s="81" t="s">
        <v>179</v>
      </c>
      <c r="AS598" s="81">
        <v>0</v>
      </c>
      <c r="AT598" s="81">
        <v>0</v>
      </c>
      <c r="AU598" s="81"/>
      <c r="AV598" s="81"/>
      <c r="AW598" s="81"/>
      <c r="AX598" s="81"/>
      <c r="AY598" s="81"/>
      <c r="AZ598" s="81"/>
      <c r="BA598" s="81"/>
      <c r="BB598" s="81"/>
    </row>
    <row r="599" spans="1:54" x14ac:dyDescent="0.35">
      <c r="A599" s="66" t="s">
        <v>553</v>
      </c>
      <c r="B599" s="66" t="s">
        <v>910</v>
      </c>
      <c r="C599" s="67"/>
      <c r="D599" s="68"/>
      <c r="E599" s="69"/>
      <c r="F599" s="70"/>
      <c r="G599" s="67"/>
      <c r="H599" s="71"/>
      <c r="I599" s="72"/>
      <c r="J599" s="72"/>
      <c r="K599" s="36"/>
      <c r="L599" s="79"/>
      <c r="M599" s="79"/>
      <c r="N599" s="74"/>
      <c r="O599" s="81" t="s">
        <v>1205</v>
      </c>
      <c r="P599" s="83">
        <v>44460.454224537039</v>
      </c>
      <c r="Q599" s="81" t="s">
        <v>1324</v>
      </c>
      <c r="R599" s="81"/>
      <c r="S599" s="81"/>
      <c r="T599" s="81"/>
      <c r="U599" s="85" t="str">
        <f>HYPERLINK("https://pbs.twimg.com/media/E_xVJy2VQAQerFe.jpg")</f>
        <v>https://pbs.twimg.com/media/E_xVJy2VQAQerFe.jpg</v>
      </c>
      <c r="V599" s="85" t="str">
        <f>HYPERLINK("https://pbs.twimg.com/media/E_xVJy2VQAQerFe.jpg")</f>
        <v>https://pbs.twimg.com/media/E_xVJy2VQAQerFe.jpg</v>
      </c>
      <c r="W599" s="83">
        <v>44460.454224537039</v>
      </c>
      <c r="X599" s="89">
        <v>44460</v>
      </c>
      <c r="Y599" s="87" t="s">
        <v>2146</v>
      </c>
      <c r="Z599" s="85" t="str">
        <f>HYPERLINK("https://twitter.com/eandalusy/status/1440268089103290376")</f>
        <v>https://twitter.com/eandalusy/status/1440268089103290376</v>
      </c>
      <c r="AA599" s="81"/>
      <c r="AB599" s="81"/>
      <c r="AC599" s="87" t="s">
        <v>3070</v>
      </c>
      <c r="AD599" s="81"/>
      <c r="AE599" s="81" t="b">
        <v>0</v>
      </c>
      <c r="AF599" s="81">
        <v>0</v>
      </c>
      <c r="AG599" s="87" t="s">
        <v>3875</v>
      </c>
      <c r="AH599" s="81" t="b">
        <v>0</v>
      </c>
      <c r="AI599" s="81" t="s">
        <v>4092</v>
      </c>
      <c r="AJ599" s="81"/>
      <c r="AK599" s="87" t="s">
        <v>3875</v>
      </c>
      <c r="AL599" s="81" t="b">
        <v>0</v>
      </c>
      <c r="AM599" s="81">
        <v>321</v>
      </c>
      <c r="AN599" s="87" t="s">
        <v>3520</v>
      </c>
      <c r="AO599" s="87" t="s">
        <v>4111</v>
      </c>
      <c r="AP599" s="81" t="b">
        <v>0</v>
      </c>
      <c r="AQ599" s="87" t="s">
        <v>3520</v>
      </c>
      <c r="AR599" s="81" t="s">
        <v>179</v>
      </c>
      <c r="AS599" s="81">
        <v>0</v>
      </c>
      <c r="AT599" s="81">
        <v>0</v>
      </c>
      <c r="AU599" s="81"/>
      <c r="AV599" s="81"/>
      <c r="AW599" s="81"/>
      <c r="AX599" s="81"/>
      <c r="AY599" s="81"/>
      <c r="AZ599" s="81"/>
      <c r="BA599" s="81"/>
      <c r="BB599" s="81"/>
    </row>
    <row r="600" spans="1:54" x14ac:dyDescent="0.35">
      <c r="A600" s="66" t="s">
        <v>554</v>
      </c>
      <c r="B600" s="66" t="s">
        <v>1055</v>
      </c>
      <c r="C600" s="67"/>
      <c r="D600" s="68"/>
      <c r="E600" s="69"/>
      <c r="F600" s="70"/>
      <c r="G600" s="67"/>
      <c r="H600" s="71"/>
      <c r="I600" s="72"/>
      <c r="J600" s="72"/>
      <c r="K600" s="36"/>
      <c r="L600" s="79"/>
      <c r="M600" s="79"/>
      <c r="N600" s="74"/>
      <c r="O600" s="81" t="s">
        <v>1207</v>
      </c>
      <c r="P600" s="83">
        <v>44460.457719907405</v>
      </c>
      <c r="Q600" s="81" t="s">
        <v>1324</v>
      </c>
      <c r="R600" s="81"/>
      <c r="S600" s="81"/>
      <c r="T600" s="81"/>
      <c r="U600" s="85" t="str">
        <f>HYPERLINK("https://pbs.twimg.com/media/E_xVJy2VQAQerFe.jpg")</f>
        <v>https://pbs.twimg.com/media/E_xVJy2VQAQerFe.jpg</v>
      </c>
      <c r="V600" s="85" t="str">
        <f>HYPERLINK("https://pbs.twimg.com/media/E_xVJy2VQAQerFe.jpg")</f>
        <v>https://pbs.twimg.com/media/E_xVJy2VQAQerFe.jpg</v>
      </c>
      <c r="W600" s="83">
        <v>44460.457719907405</v>
      </c>
      <c r="X600" s="89">
        <v>44460</v>
      </c>
      <c r="Y600" s="87" t="s">
        <v>2147</v>
      </c>
      <c r="Z600" s="85" t="str">
        <f>HYPERLINK("https://twitter.com/detitik1/status/1440269355279806466")</f>
        <v>https://twitter.com/detitik1/status/1440269355279806466</v>
      </c>
      <c r="AA600" s="81"/>
      <c r="AB600" s="81"/>
      <c r="AC600" s="87" t="s">
        <v>3071</v>
      </c>
      <c r="AD600" s="81"/>
      <c r="AE600" s="81" t="b">
        <v>0</v>
      </c>
      <c r="AF600" s="81">
        <v>0</v>
      </c>
      <c r="AG600" s="87" t="s">
        <v>3875</v>
      </c>
      <c r="AH600" s="81" t="b">
        <v>0</v>
      </c>
      <c r="AI600" s="81" t="s">
        <v>4092</v>
      </c>
      <c r="AJ600" s="81"/>
      <c r="AK600" s="87" t="s">
        <v>3875</v>
      </c>
      <c r="AL600" s="81" t="b">
        <v>0</v>
      </c>
      <c r="AM600" s="81">
        <v>321</v>
      </c>
      <c r="AN600" s="87" t="s">
        <v>3520</v>
      </c>
      <c r="AO600" s="87" t="s">
        <v>4109</v>
      </c>
      <c r="AP600" s="81" t="b">
        <v>0</v>
      </c>
      <c r="AQ600" s="87" t="s">
        <v>3520</v>
      </c>
      <c r="AR600" s="81" t="s">
        <v>179</v>
      </c>
      <c r="AS600" s="81">
        <v>0</v>
      </c>
      <c r="AT600" s="81">
        <v>0</v>
      </c>
      <c r="AU600" s="81"/>
      <c r="AV600" s="81"/>
      <c r="AW600" s="81"/>
      <c r="AX600" s="81"/>
      <c r="AY600" s="81"/>
      <c r="AZ600" s="81"/>
      <c r="BA600" s="81"/>
      <c r="BB600" s="81"/>
    </row>
    <row r="601" spans="1:54" x14ac:dyDescent="0.35">
      <c r="A601" s="66" t="s">
        <v>554</v>
      </c>
      <c r="B601" s="66" t="s">
        <v>910</v>
      </c>
      <c r="C601" s="67"/>
      <c r="D601" s="68"/>
      <c r="E601" s="69"/>
      <c r="F601" s="70"/>
      <c r="G601" s="67"/>
      <c r="H601" s="71"/>
      <c r="I601" s="72"/>
      <c r="J601" s="72"/>
      <c r="K601" s="36"/>
      <c r="L601" s="79"/>
      <c r="M601" s="79"/>
      <c r="N601" s="74"/>
      <c r="O601" s="81" t="s">
        <v>1205</v>
      </c>
      <c r="P601" s="83">
        <v>44460.457719907405</v>
      </c>
      <c r="Q601" s="81" t="s">
        <v>1324</v>
      </c>
      <c r="R601" s="81"/>
      <c r="S601" s="81"/>
      <c r="T601" s="81"/>
      <c r="U601" s="85" t="str">
        <f>HYPERLINK("https://pbs.twimg.com/media/E_xVJy2VQAQerFe.jpg")</f>
        <v>https://pbs.twimg.com/media/E_xVJy2VQAQerFe.jpg</v>
      </c>
      <c r="V601" s="85" t="str">
        <f>HYPERLINK("https://pbs.twimg.com/media/E_xVJy2VQAQerFe.jpg")</f>
        <v>https://pbs.twimg.com/media/E_xVJy2VQAQerFe.jpg</v>
      </c>
      <c r="W601" s="83">
        <v>44460.457719907405</v>
      </c>
      <c r="X601" s="89">
        <v>44460</v>
      </c>
      <c r="Y601" s="87" t="s">
        <v>2147</v>
      </c>
      <c r="Z601" s="85" t="str">
        <f>HYPERLINK("https://twitter.com/detitik1/status/1440269355279806466")</f>
        <v>https://twitter.com/detitik1/status/1440269355279806466</v>
      </c>
      <c r="AA601" s="81"/>
      <c r="AB601" s="81"/>
      <c r="AC601" s="87" t="s">
        <v>3071</v>
      </c>
      <c r="AD601" s="81"/>
      <c r="AE601" s="81" t="b">
        <v>0</v>
      </c>
      <c r="AF601" s="81">
        <v>0</v>
      </c>
      <c r="AG601" s="87" t="s">
        <v>3875</v>
      </c>
      <c r="AH601" s="81" t="b">
        <v>0</v>
      </c>
      <c r="AI601" s="81" t="s">
        <v>4092</v>
      </c>
      <c r="AJ601" s="81"/>
      <c r="AK601" s="87" t="s">
        <v>3875</v>
      </c>
      <c r="AL601" s="81" t="b">
        <v>0</v>
      </c>
      <c r="AM601" s="81">
        <v>321</v>
      </c>
      <c r="AN601" s="87" t="s">
        <v>3520</v>
      </c>
      <c r="AO601" s="87" t="s">
        <v>4109</v>
      </c>
      <c r="AP601" s="81" t="b">
        <v>0</v>
      </c>
      <c r="AQ601" s="87" t="s">
        <v>3520</v>
      </c>
      <c r="AR601" s="81" t="s">
        <v>179</v>
      </c>
      <c r="AS601" s="81">
        <v>0</v>
      </c>
      <c r="AT601" s="81">
        <v>0</v>
      </c>
      <c r="AU601" s="81"/>
      <c r="AV601" s="81"/>
      <c r="AW601" s="81"/>
      <c r="AX601" s="81"/>
      <c r="AY601" s="81"/>
      <c r="AZ601" s="81"/>
      <c r="BA601" s="81"/>
      <c r="BB601" s="81"/>
    </row>
    <row r="602" spans="1:54" x14ac:dyDescent="0.35">
      <c r="A602" s="66" t="s">
        <v>555</v>
      </c>
      <c r="B602" s="66" t="s">
        <v>1055</v>
      </c>
      <c r="C602" s="67"/>
      <c r="D602" s="68"/>
      <c r="E602" s="69"/>
      <c r="F602" s="70"/>
      <c r="G602" s="67"/>
      <c r="H602" s="71"/>
      <c r="I602" s="72"/>
      <c r="J602" s="72"/>
      <c r="K602" s="36"/>
      <c r="L602" s="79"/>
      <c r="M602" s="79"/>
      <c r="N602" s="74"/>
      <c r="O602" s="81" t="s">
        <v>1207</v>
      </c>
      <c r="P602" s="83">
        <v>44460.45921296296</v>
      </c>
      <c r="Q602" s="81" t="s">
        <v>1324</v>
      </c>
      <c r="R602" s="81"/>
      <c r="S602" s="81"/>
      <c r="T602" s="81"/>
      <c r="U602" s="85" t="str">
        <f>HYPERLINK("https://pbs.twimg.com/media/E_xVJy2VQAQerFe.jpg")</f>
        <v>https://pbs.twimg.com/media/E_xVJy2VQAQerFe.jpg</v>
      </c>
      <c r="V602" s="85" t="str">
        <f>HYPERLINK("https://pbs.twimg.com/media/E_xVJy2VQAQerFe.jpg")</f>
        <v>https://pbs.twimg.com/media/E_xVJy2VQAQerFe.jpg</v>
      </c>
      <c r="W602" s="83">
        <v>44460.45921296296</v>
      </c>
      <c r="X602" s="89">
        <v>44460</v>
      </c>
      <c r="Y602" s="87" t="s">
        <v>2148</v>
      </c>
      <c r="Z602" s="85" t="str">
        <f>HYPERLINK("https://twitter.com/masyarakatradio/status/1440269895548084237")</f>
        <v>https://twitter.com/masyarakatradio/status/1440269895548084237</v>
      </c>
      <c r="AA602" s="81"/>
      <c r="AB602" s="81"/>
      <c r="AC602" s="87" t="s">
        <v>3072</v>
      </c>
      <c r="AD602" s="81"/>
      <c r="AE602" s="81" t="b">
        <v>0</v>
      </c>
      <c r="AF602" s="81">
        <v>0</v>
      </c>
      <c r="AG602" s="87" t="s">
        <v>3875</v>
      </c>
      <c r="AH602" s="81" t="b">
        <v>0</v>
      </c>
      <c r="AI602" s="81" t="s">
        <v>4092</v>
      </c>
      <c r="AJ602" s="81"/>
      <c r="AK602" s="87" t="s">
        <v>3875</v>
      </c>
      <c r="AL602" s="81" t="b">
        <v>0</v>
      </c>
      <c r="AM602" s="81">
        <v>321</v>
      </c>
      <c r="AN602" s="87" t="s">
        <v>3520</v>
      </c>
      <c r="AO602" s="87" t="s">
        <v>4109</v>
      </c>
      <c r="AP602" s="81" t="b">
        <v>0</v>
      </c>
      <c r="AQ602" s="87" t="s">
        <v>3520</v>
      </c>
      <c r="AR602" s="81" t="s">
        <v>179</v>
      </c>
      <c r="AS602" s="81">
        <v>0</v>
      </c>
      <c r="AT602" s="81">
        <v>0</v>
      </c>
      <c r="AU602" s="81"/>
      <c r="AV602" s="81"/>
      <c r="AW602" s="81"/>
      <c r="AX602" s="81"/>
      <c r="AY602" s="81"/>
      <c r="AZ602" s="81"/>
      <c r="BA602" s="81"/>
      <c r="BB602" s="81"/>
    </row>
    <row r="603" spans="1:54" x14ac:dyDescent="0.35">
      <c r="A603" s="66" t="s">
        <v>555</v>
      </c>
      <c r="B603" s="66" t="s">
        <v>910</v>
      </c>
      <c r="C603" s="67"/>
      <c r="D603" s="68"/>
      <c r="E603" s="69"/>
      <c r="F603" s="70"/>
      <c r="G603" s="67"/>
      <c r="H603" s="71"/>
      <c r="I603" s="72"/>
      <c r="J603" s="72"/>
      <c r="K603" s="36"/>
      <c r="L603" s="79"/>
      <c r="M603" s="79"/>
      <c r="N603" s="74"/>
      <c r="O603" s="81" t="s">
        <v>1205</v>
      </c>
      <c r="P603" s="83">
        <v>44460.45921296296</v>
      </c>
      <c r="Q603" s="81" t="s">
        <v>1324</v>
      </c>
      <c r="R603" s="81"/>
      <c r="S603" s="81"/>
      <c r="T603" s="81"/>
      <c r="U603" s="85" t="str">
        <f>HYPERLINK("https://pbs.twimg.com/media/E_xVJy2VQAQerFe.jpg")</f>
        <v>https://pbs.twimg.com/media/E_xVJy2VQAQerFe.jpg</v>
      </c>
      <c r="V603" s="85" t="str">
        <f>HYPERLINK("https://pbs.twimg.com/media/E_xVJy2VQAQerFe.jpg")</f>
        <v>https://pbs.twimg.com/media/E_xVJy2VQAQerFe.jpg</v>
      </c>
      <c r="W603" s="83">
        <v>44460.45921296296</v>
      </c>
      <c r="X603" s="89">
        <v>44460</v>
      </c>
      <c r="Y603" s="87" t="s">
        <v>2148</v>
      </c>
      <c r="Z603" s="85" t="str">
        <f>HYPERLINK("https://twitter.com/masyarakatradio/status/1440269895548084237")</f>
        <v>https://twitter.com/masyarakatradio/status/1440269895548084237</v>
      </c>
      <c r="AA603" s="81"/>
      <c r="AB603" s="81"/>
      <c r="AC603" s="87" t="s">
        <v>3072</v>
      </c>
      <c r="AD603" s="81"/>
      <c r="AE603" s="81" t="b">
        <v>0</v>
      </c>
      <c r="AF603" s="81">
        <v>0</v>
      </c>
      <c r="AG603" s="87" t="s">
        <v>3875</v>
      </c>
      <c r="AH603" s="81" t="b">
        <v>0</v>
      </c>
      <c r="AI603" s="81" t="s">
        <v>4092</v>
      </c>
      <c r="AJ603" s="81"/>
      <c r="AK603" s="87" t="s">
        <v>3875</v>
      </c>
      <c r="AL603" s="81" t="b">
        <v>0</v>
      </c>
      <c r="AM603" s="81">
        <v>321</v>
      </c>
      <c r="AN603" s="87" t="s">
        <v>3520</v>
      </c>
      <c r="AO603" s="87" t="s">
        <v>4109</v>
      </c>
      <c r="AP603" s="81" t="b">
        <v>0</v>
      </c>
      <c r="AQ603" s="87" t="s">
        <v>3520</v>
      </c>
      <c r="AR603" s="81" t="s">
        <v>179</v>
      </c>
      <c r="AS603" s="81">
        <v>0</v>
      </c>
      <c r="AT603" s="81">
        <v>0</v>
      </c>
      <c r="AU603" s="81"/>
      <c r="AV603" s="81"/>
      <c r="AW603" s="81"/>
      <c r="AX603" s="81"/>
      <c r="AY603" s="81"/>
      <c r="AZ603" s="81"/>
      <c r="BA603" s="81"/>
      <c r="BB603" s="81"/>
    </row>
    <row r="604" spans="1:54" x14ac:dyDescent="0.35">
      <c r="A604" s="66" t="s">
        <v>556</v>
      </c>
      <c r="B604" s="66" t="s">
        <v>1055</v>
      </c>
      <c r="C604" s="67"/>
      <c r="D604" s="68"/>
      <c r="E604" s="69"/>
      <c r="F604" s="70"/>
      <c r="G604" s="67"/>
      <c r="H604" s="71"/>
      <c r="I604" s="72"/>
      <c r="J604" s="72"/>
      <c r="K604" s="36"/>
      <c r="L604" s="79"/>
      <c r="M604" s="79"/>
      <c r="N604" s="74"/>
      <c r="O604" s="81" t="s">
        <v>1207</v>
      </c>
      <c r="P604" s="83">
        <v>44460.459363425929</v>
      </c>
      <c r="Q604" s="81" t="s">
        <v>1324</v>
      </c>
      <c r="R604" s="81"/>
      <c r="S604" s="81"/>
      <c r="T604" s="81"/>
      <c r="U604" s="85" t="str">
        <f>HYPERLINK("https://pbs.twimg.com/media/E_xVJy2VQAQerFe.jpg")</f>
        <v>https://pbs.twimg.com/media/E_xVJy2VQAQerFe.jpg</v>
      </c>
      <c r="V604" s="85" t="str">
        <f>HYPERLINK("https://pbs.twimg.com/media/E_xVJy2VQAQerFe.jpg")</f>
        <v>https://pbs.twimg.com/media/E_xVJy2VQAQerFe.jpg</v>
      </c>
      <c r="W604" s="83">
        <v>44460.459363425929</v>
      </c>
      <c r="X604" s="89">
        <v>44460</v>
      </c>
      <c r="Y604" s="87" t="s">
        <v>2149</v>
      </c>
      <c r="Z604" s="85" t="str">
        <f>HYPERLINK("https://twitter.com/ariztkadju/status/1440269949591687174")</f>
        <v>https://twitter.com/ariztkadju/status/1440269949591687174</v>
      </c>
      <c r="AA604" s="81"/>
      <c r="AB604" s="81"/>
      <c r="AC604" s="87" t="s">
        <v>3073</v>
      </c>
      <c r="AD604" s="81"/>
      <c r="AE604" s="81" t="b">
        <v>0</v>
      </c>
      <c r="AF604" s="81">
        <v>0</v>
      </c>
      <c r="AG604" s="87" t="s">
        <v>3875</v>
      </c>
      <c r="AH604" s="81" t="b">
        <v>0</v>
      </c>
      <c r="AI604" s="81" t="s">
        <v>4092</v>
      </c>
      <c r="AJ604" s="81"/>
      <c r="AK604" s="87" t="s">
        <v>3875</v>
      </c>
      <c r="AL604" s="81" t="b">
        <v>0</v>
      </c>
      <c r="AM604" s="81">
        <v>321</v>
      </c>
      <c r="AN604" s="87" t="s">
        <v>3520</v>
      </c>
      <c r="AO604" s="87" t="s">
        <v>4109</v>
      </c>
      <c r="AP604" s="81" t="b">
        <v>0</v>
      </c>
      <c r="AQ604" s="87" t="s">
        <v>3520</v>
      </c>
      <c r="AR604" s="81" t="s">
        <v>179</v>
      </c>
      <c r="AS604" s="81">
        <v>0</v>
      </c>
      <c r="AT604" s="81">
        <v>0</v>
      </c>
      <c r="AU604" s="81"/>
      <c r="AV604" s="81"/>
      <c r="AW604" s="81"/>
      <c r="AX604" s="81"/>
      <c r="AY604" s="81"/>
      <c r="AZ604" s="81"/>
      <c r="BA604" s="81"/>
      <c r="BB604" s="81"/>
    </row>
    <row r="605" spans="1:54" x14ac:dyDescent="0.35">
      <c r="A605" s="66" t="s">
        <v>556</v>
      </c>
      <c r="B605" s="66" t="s">
        <v>910</v>
      </c>
      <c r="C605" s="67"/>
      <c r="D605" s="68"/>
      <c r="E605" s="69"/>
      <c r="F605" s="70"/>
      <c r="G605" s="67"/>
      <c r="H605" s="71"/>
      <c r="I605" s="72"/>
      <c r="J605" s="72"/>
      <c r="K605" s="36"/>
      <c r="L605" s="79"/>
      <c r="M605" s="79"/>
      <c r="N605" s="74"/>
      <c r="O605" s="81" t="s">
        <v>1205</v>
      </c>
      <c r="P605" s="83">
        <v>44460.459363425929</v>
      </c>
      <c r="Q605" s="81" t="s">
        <v>1324</v>
      </c>
      <c r="R605" s="81"/>
      <c r="S605" s="81"/>
      <c r="T605" s="81"/>
      <c r="U605" s="85" t="str">
        <f>HYPERLINK("https://pbs.twimg.com/media/E_xVJy2VQAQerFe.jpg")</f>
        <v>https://pbs.twimg.com/media/E_xVJy2VQAQerFe.jpg</v>
      </c>
      <c r="V605" s="85" t="str">
        <f>HYPERLINK("https://pbs.twimg.com/media/E_xVJy2VQAQerFe.jpg")</f>
        <v>https://pbs.twimg.com/media/E_xVJy2VQAQerFe.jpg</v>
      </c>
      <c r="W605" s="83">
        <v>44460.459363425929</v>
      </c>
      <c r="X605" s="89">
        <v>44460</v>
      </c>
      <c r="Y605" s="87" t="s">
        <v>2149</v>
      </c>
      <c r="Z605" s="85" t="str">
        <f>HYPERLINK("https://twitter.com/ariztkadju/status/1440269949591687174")</f>
        <v>https://twitter.com/ariztkadju/status/1440269949591687174</v>
      </c>
      <c r="AA605" s="81"/>
      <c r="AB605" s="81"/>
      <c r="AC605" s="87" t="s">
        <v>3073</v>
      </c>
      <c r="AD605" s="81"/>
      <c r="AE605" s="81" t="b">
        <v>0</v>
      </c>
      <c r="AF605" s="81">
        <v>0</v>
      </c>
      <c r="AG605" s="87" t="s">
        <v>3875</v>
      </c>
      <c r="AH605" s="81" t="b">
        <v>0</v>
      </c>
      <c r="AI605" s="81" t="s">
        <v>4092</v>
      </c>
      <c r="AJ605" s="81"/>
      <c r="AK605" s="87" t="s">
        <v>3875</v>
      </c>
      <c r="AL605" s="81" t="b">
        <v>0</v>
      </c>
      <c r="AM605" s="81">
        <v>321</v>
      </c>
      <c r="AN605" s="87" t="s">
        <v>3520</v>
      </c>
      <c r="AO605" s="87" t="s">
        <v>4109</v>
      </c>
      <c r="AP605" s="81" t="b">
        <v>0</v>
      </c>
      <c r="AQ605" s="87" t="s">
        <v>3520</v>
      </c>
      <c r="AR605" s="81" t="s">
        <v>179</v>
      </c>
      <c r="AS605" s="81">
        <v>0</v>
      </c>
      <c r="AT605" s="81">
        <v>0</v>
      </c>
      <c r="AU605" s="81"/>
      <c r="AV605" s="81"/>
      <c r="AW605" s="81"/>
      <c r="AX605" s="81"/>
      <c r="AY605" s="81"/>
      <c r="AZ605" s="81"/>
      <c r="BA605" s="81"/>
      <c r="BB605" s="81"/>
    </row>
    <row r="606" spans="1:54" x14ac:dyDescent="0.35">
      <c r="A606" s="66" t="s">
        <v>557</v>
      </c>
      <c r="B606" s="66" t="s">
        <v>1055</v>
      </c>
      <c r="C606" s="67"/>
      <c r="D606" s="68"/>
      <c r="E606" s="69"/>
      <c r="F606" s="70"/>
      <c r="G606" s="67"/>
      <c r="H606" s="71"/>
      <c r="I606" s="72"/>
      <c r="J606" s="72"/>
      <c r="K606" s="36"/>
      <c r="L606" s="79"/>
      <c r="M606" s="79"/>
      <c r="N606" s="74"/>
      <c r="O606" s="81" t="s">
        <v>1207</v>
      </c>
      <c r="P606" s="83">
        <v>44460.464479166665</v>
      </c>
      <c r="Q606" s="81" t="s">
        <v>1324</v>
      </c>
      <c r="R606" s="81"/>
      <c r="S606" s="81"/>
      <c r="T606" s="81"/>
      <c r="U606" s="85" t="str">
        <f>HYPERLINK("https://pbs.twimg.com/media/E_xVJy2VQAQerFe.jpg")</f>
        <v>https://pbs.twimg.com/media/E_xVJy2VQAQerFe.jpg</v>
      </c>
      <c r="V606" s="85" t="str">
        <f>HYPERLINK("https://pbs.twimg.com/media/E_xVJy2VQAQerFe.jpg")</f>
        <v>https://pbs.twimg.com/media/E_xVJy2VQAQerFe.jpg</v>
      </c>
      <c r="W606" s="83">
        <v>44460.464479166665</v>
      </c>
      <c r="X606" s="89">
        <v>44460</v>
      </c>
      <c r="Y606" s="87" t="s">
        <v>2150</v>
      </c>
      <c r="Z606" s="85" t="str">
        <f>HYPERLINK("https://twitter.com/maximus_syukur/status/1440271804321259532")</f>
        <v>https://twitter.com/maximus_syukur/status/1440271804321259532</v>
      </c>
      <c r="AA606" s="81"/>
      <c r="AB606" s="81"/>
      <c r="AC606" s="87" t="s">
        <v>3074</v>
      </c>
      <c r="AD606" s="81"/>
      <c r="AE606" s="81" t="b">
        <v>0</v>
      </c>
      <c r="AF606" s="81">
        <v>0</v>
      </c>
      <c r="AG606" s="87" t="s">
        <v>3875</v>
      </c>
      <c r="AH606" s="81" t="b">
        <v>0</v>
      </c>
      <c r="AI606" s="81" t="s">
        <v>4092</v>
      </c>
      <c r="AJ606" s="81"/>
      <c r="AK606" s="87" t="s">
        <v>3875</v>
      </c>
      <c r="AL606" s="81" t="b">
        <v>0</v>
      </c>
      <c r="AM606" s="81">
        <v>321</v>
      </c>
      <c r="AN606" s="87" t="s">
        <v>3520</v>
      </c>
      <c r="AO606" s="87" t="s">
        <v>4110</v>
      </c>
      <c r="AP606" s="81" t="b">
        <v>0</v>
      </c>
      <c r="AQ606" s="87" t="s">
        <v>3520</v>
      </c>
      <c r="AR606" s="81" t="s">
        <v>179</v>
      </c>
      <c r="AS606" s="81">
        <v>0</v>
      </c>
      <c r="AT606" s="81">
        <v>0</v>
      </c>
      <c r="AU606" s="81"/>
      <c r="AV606" s="81"/>
      <c r="AW606" s="81"/>
      <c r="AX606" s="81"/>
      <c r="AY606" s="81"/>
      <c r="AZ606" s="81"/>
      <c r="BA606" s="81"/>
      <c r="BB606" s="81"/>
    </row>
    <row r="607" spans="1:54" x14ac:dyDescent="0.35">
      <c r="A607" s="66" t="s">
        <v>557</v>
      </c>
      <c r="B607" s="66" t="s">
        <v>910</v>
      </c>
      <c r="C607" s="67"/>
      <c r="D607" s="68"/>
      <c r="E607" s="69"/>
      <c r="F607" s="70"/>
      <c r="G607" s="67"/>
      <c r="H607" s="71"/>
      <c r="I607" s="72"/>
      <c r="J607" s="72"/>
      <c r="K607" s="36"/>
      <c r="L607" s="79"/>
      <c r="M607" s="79"/>
      <c r="N607" s="74"/>
      <c r="O607" s="81" t="s">
        <v>1205</v>
      </c>
      <c r="P607" s="83">
        <v>44460.464479166665</v>
      </c>
      <c r="Q607" s="81" t="s">
        <v>1324</v>
      </c>
      <c r="R607" s="81"/>
      <c r="S607" s="81"/>
      <c r="T607" s="81"/>
      <c r="U607" s="85" t="str">
        <f>HYPERLINK("https://pbs.twimg.com/media/E_xVJy2VQAQerFe.jpg")</f>
        <v>https://pbs.twimg.com/media/E_xVJy2VQAQerFe.jpg</v>
      </c>
      <c r="V607" s="85" t="str">
        <f>HYPERLINK("https://pbs.twimg.com/media/E_xVJy2VQAQerFe.jpg")</f>
        <v>https://pbs.twimg.com/media/E_xVJy2VQAQerFe.jpg</v>
      </c>
      <c r="W607" s="83">
        <v>44460.464479166665</v>
      </c>
      <c r="X607" s="89">
        <v>44460</v>
      </c>
      <c r="Y607" s="87" t="s">
        <v>2150</v>
      </c>
      <c r="Z607" s="85" t="str">
        <f>HYPERLINK("https://twitter.com/maximus_syukur/status/1440271804321259532")</f>
        <v>https://twitter.com/maximus_syukur/status/1440271804321259532</v>
      </c>
      <c r="AA607" s="81"/>
      <c r="AB607" s="81"/>
      <c r="AC607" s="87" t="s">
        <v>3074</v>
      </c>
      <c r="AD607" s="81"/>
      <c r="AE607" s="81" t="b">
        <v>0</v>
      </c>
      <c r="AF607" s="81">
        <v>0</v>
      </c>
      <c r="AG607" s="87" t="s">
        <v>3875</v>
      </c>
      <c r="AH607" s="81" t="b">
        <v>0</v>
      </c>
      <c r="AI607" s="81" t="s">
        <v>4092</v>
      </c>
      <c r="AJ607" s="81"/>
      <c r="AK607" s="87" t="s">
        <v>3875</v>
      </c>
      <c r="AL607" s="81" t="b">
        <v>0</v>
      </c>
      <c r="AM607" s="81">
        <v>321</v>
      </c>
      <c r="AN607" s="87" t="s">
        <v>3520</v>
      </c>
      <c r="AO607" s="87" t="s">
        <v>4110</v>
      </c>
      <c r="AP607" s="81" t="b">
        <v>0</v>
      </c>
      <c r="AQ607" s="87" t="s">
        <v>3520</v>
      </c>
      <c r="AR607" s="81" t="s">
        <v>179</v>
      </c>
      <c r="AS607" s="81">
        <v>0</v>
      </c>
      <c r="AT607" s="81">
        <v>0</v>
      </c>
      <c r="AU607" s="81"/>
      <c r="AV607" s="81"/>
      <c r="AW607" s="81"/>
      <c r="AX607" s="81"/>
      <c r="AY607" s="81"/>
      <c r="AZ607" s="81"/>
      <c r="BA607" s="81"/>
      <c r="BB607" s="81"/>
    </row>
    <row r="608" spans="1:54" x14ac:dyDescent="0.35">
      <c r="A608" s="66" t="s">
        <v>558</v>
      </c>
      <c r="B608" s="66" t="s">
        <v>1055</v>
      </c>
      <c r="C608" s="67"/>
      <c r="D608" s="68"/>
      <c r="E608" s="69"/>
      <c r="F608" s="70"/>
      <c r="G608" s="67"/>
      <c r="H608" s="71"/>
      <c r="I608" s="72"/>
      <c r="J608" s="72"/>
      <c r="K608" s="36"/>
      <c r="L608" s="79"/>
      <c r="M608" s="79"/>
      <c r="N608" s="74"/>
      <c r="O608" s="81" t="s">
        <v>1207</v>
      </c>
      <c r="P608" s="83">
        <v>44460.465162037035</v>
      </c>
      <c r="Q608" s="81" t="s">
        <v>1324</v>
      </c>
      <c r="R608" s="81"/>
      <c r="S608" s="81"/>
      <c r="T608" s="81"/>
      <c r="U608" s="85" t="str">
        <f>HYPERLINK("https://pbs.twimg.com/media/E_xVJy2VQAQerFe.jpg")</f>
        <v>https://pbs.twimg.com/media/E_xVJy2VQAQerFe.jpg</v>
      </c>
      <c r="V608" s="85" t="str">
        <f>HYPERLINK("https://pbs.twimg.com/media/E_xVJy2VQAQerFe.jpg")</f>
        <v>https://pbs.twimg.com/media/E_xVJy2VQAQerFe.jpg</v>
      </c>
      <c r="W608" s="83">
        <v>44460.465162037035</v>
      </c>
      <c r="X608" s="89">
        <v>44460</v>
      </c>
      <c r="Y608" s="87" t="s">
        <v>2151</v>
      </c>
      <c r="Z608" s="85" t="str">
        <f>HYPERLINK("https://twitter.com/ba_wcksn/status/1440272052393447430")</f>
        <v>https://twitter.com/ba_wcksn/status/1440272052393447430</v>
      </c>
      <c r="AA608" s="81"/>
      <c r="AB608" s="81"/>
      <c r="AC608" s="87" t="s">
        <v>3075</v>
      </c>
      <c r="AD608" s="81"/>
      <c r="AE608" s="81" t="b">
        <v>0</v>
      </c>
      <c r="AF608" s="81">
        <v>0</v>
      </c>
      <c r="AG608" s="87" t="s">
        <v>3875</v>
      </c>
      <c r="AH608" s="81" t="b">
        <v>0</v>
      </c>
      <c r="AI608" s="81" t="s">
        <v>4092</v>
      </c>
      <c r="AJ608" s="81"/>
      <c r="AK608" s="87" t="s">
        <v>3875</v>
      </c>
      <c r="AL608" s="81" t="b">
        <v>0</v>
      </c>
      <c r="AM608" s="81">
        <v>321</v>
      </c>
      <c r="AN608" s="87" t="s">
        <v>3520</v>
      </c>
      <c r="AO608" s="87" t="s">
        <v>4109</v>
      </c>
      <c r="AP608" s="81" t="b">
        <v>0</v>
      </c>
      <c r="AQ608" s="87" t="s">
        <v>3520</v>
      </c>
      <c r="AR608" s="81" t="s">
        <v>179</v>
      </c>
      <c r="AS608" s="81">
        <v>0</v>
      </c>
      <c r="AT608" s="81">
        <v>0</v>
      </c>
      <c r="AU608" s="81"/>
      <c r="AV608" s="81"/>
      <c r="AW608" s="81"/>
      <c r="AX608" s="81"/>
      <c r="AY608" s="81"/>
      <c r="AZ608" s="81"/>
      <c r="BA608" s="81"/>
      <c r="BB608" s="81"/>
    </row>
    <row r="609" spans="1:54" x14ac:dyDescent="0.35">
      <c r="A609" s="66" t="s">
        <v>558</v>
      </c>
      <c r="B609" s="66" t="s">
        <v>910</v>
      </c>
      <c r="C609" s="67"/>
      <c r="D609" s="68"/>
      <c r="E609" s="69"/>
      <c r="F609" s="70"/>
      <c r="G609" s="67"/>
      <c r="H609" s="71"/>
      <c r="I609" s="72"/>
      <c r="J609" s="72"/>
      <c r="K609" s="36"/>
      <c r="L609" s="79"/>
      <c r="M609" s="79"/>
      <c r="N609" s="74"/>
      <c r="O609" s="81" t="s">
        <v>1205</v>
      </c>
      <c r="P609" s="83">
        <v>44460.465162037035</v>
      </c>
      <c r="Q609" s="81" t="s">
        <v>1324</v>
      </c>
      <c r="R609" s="81"/>
      <c r="S609" s="81"/>
      <c r="T609" s="81"/>
      <c r="U609" s="85" t="str">
        <f>HYPERLINK("https://pbs.twimg.com/media/E_xVJy2VQAQerFe.jpg")</f>
        <v>https://pbs.twimg.com/media/E_xVJy2VQAQerFe.jpg</v>
      </c>
      <c r="V609" s="85" t="str">
        <f>HYPERLINK("https://pbs.twimg.com/media/E_xVJy2VQAQerFe.jpg")</f>
        <v>https://pbs.twimg.com/media/E_xVJy2VQAQerFe.jpg</v>
      </c>
      <c r="W609" s="83">
        <v>44460.465162037035</v>
      </c>
      <c r="X609" s="89">
        <v>44460</v>
      </c>
      <c r="Y609" s="87" t="s">
        <v>2151</v>
      </c>
      <c r="Z609" s="85" t="str">
        <f>HYPERLINK("https://twitter.com/ba_wcksn/status/1440272052393447430")</f>
        <v>https://twitter.com/ba_wcksn/status/1440272052393447430</v>
      </c>
      <c r="AA609" s="81"/>
      <c r="AB609" s="81"/>
      <c r="AC609" s="87" t="s">
        <v>3075</v>
      </c>
      <c r="AD609" s="81"/>
      <c r="AE609" s="81" t="b">
        <v>0</v>
      </c>
      <c r="AF609" s="81">
        <v>0</v>
      </c>
      <c r="AG609" s="87" t="s">
        <v>3875</v>
      </c>
      <c r="AH609" s="81" t="b">
        <v>0</v>
      </c>
      <c r="AI609" s="81" t="s">
        <v>4092</v>
      </c>
      <c r="AJ609" s="81"/>
      <c r="AK609" s="87" t="s">
        <v>3875</v>
      </c>
      <c r="AL609" s="81" t="b">
        <v>0</v>
      </c>
      <c r="AM609" s="81">
        <v>321</v>
      </c>
      <c r="AN609" s="87" t="s">
        <v>3520</v>
      </c>
      <c r="AO609" s="87" t="s">
        <v>4109</v>
      </c>
      <c r="AP609" s="81" t="b">
        <v>0</v>
      </c>
      <c r="AQ609" s="87" t="s">
        <v>3520</v>
      </c>
      <c r="AR609" s="81" t="s">
        <v>179</v>
      </c>
      <c r="AS609" s="81">
        <v>0</v>
      </c>
      <c r="AT609" s="81">
        <v>0</v>
      </c>
      <c r="AU609" s="81"/>
      <c r="AV609" s="81"/>
      <c r="AW609" s="81"/>
      <c r="AX609" s="81"/>
      <c r="AY609" s="81"/>
      <c r="AZ609" s="81"/>
      <c r="BA609" s="81"/>
      <c r="BB609" s="81"/>
    </row>
    <row r="610" spans="1:54" x14ac:dyDescent="0.35">
      <c r="A610" s="66" t="s">
        <v>559</v>
      </c>
      <c r="B610" s="66" t="s">
        <v>1055</v>
      </c>
      <c r="C610" s="67"/>
      <c r="D610" s="68"/>
      <c r="E610" s="69"/>
      <c r="F610" s="70"/>
      <c r="G610" s="67"/>
      <c r="H610" s="71"/>
      <c r="I610" s="72"/>
      <c r="J610" s="72"/>
      <c r="K610" s="36"/>
      <c r="L610" s="79"/>
      <c r="M610" s="79"/>
      <c r="N610" s="74"/>
      <c r="O610" s="81" t="s">
        <v>1207</v>
      </c>
      <c r="P610" s="83">
        <v>44460.465532407405</v>
      </c>
      <c r="Q610" s="81" t="s">
        <v>1324</v>
      </c>
      <c r="R610" s="81"/>
      <c r="S610" s="81"/>
      <c r="T610" s="81"/>
      <c r="U610" s="85" t="str">
        <f>HYPERLINK("https://pbs.twimg.com/media/E_xVJy2VQAQerFe.jpg")</f>
        <v>https://pbs.twimg.com/media/E_xVJy2VQAQerFe.jpg</v>
      </c>
      <c r="V610" s="85" t="str">
        <f>HYPERLINK("https://pbs.twimg.com/media/E_xVJy2VQAQerFe.jpg")</f>
        <v>https://pbs.twimg.com/media/E_xVJy2VQAQerFe.jpg</v>
      </c>
      <c r="W610" s="83">
        <v>44460.465532407405</v>
      </c>
      <c r="X610" s="89">
        <v>44460</v>
      </c>
      <c r="Y610" s="87" t="s">
        <v>2152</v>
      </c>
      <c r="Z610" s="85" t="str">
        <f>HYPERLINK("https://twitter.com/appellowj/status/1440272184082006016")</f>
        <v>https://twitter.com/appellowj/status/1440272184082006016</v>
      </c>
      <c r="AA610" s="81"/>
      <c r="AB610" s="81"/>
      <c r="AC610" s="87" t="s">
        <v>3076</v>
      </c>
      <c r="AD610" s="81"/>
      <c r="AE610" s="81" t="b">
        <v>0</v>
      </c>
      <c r="AF610" s="81">
        <v>0</v>
      </c>
      <c r="AG610" s="87" t="s">
        <v>3875</v>
      </c>
      <c r="AH610" s="81" t="b">
        <v>0</v>
      </c>
      <c r="AI610" s="81" t="s">
        <v>4092</v>
      </c>
      <c r="AJ610" s="81"/>
      <c r="AK610" s="87" t="s">
        <v>3875</v>
      </c>
      <c r="AL610" s="81" t="b">
        <v>0</v>
      </c>
      <c r="AM610" s="81">
        <v>321</v>
      </c>
      <c r="AN610" s="87" t="s">
        <v>3520</v>
      </c>
      <c r="AO610" s="87" t="s">
        <v>4110</v>
      </c>
      <c r="AP610" s="81" t="b">
        <v>0</v>
      </c>
      <c r="AQ610" s="87" t="s">
        <v>3520</v>
      </c>
      <c r="AR610" s="81" t="s">
        <v>179</v>
      </c>
      <c r="AS610" s="81">
        <v>0</v>
      </c>
      <c r="AT610" s="81">
        <v>0</v>
      </c>
      <c r="AU610" s="81"/>
      <c r="AV610" s="81"/>
      <c r="AW610" s="81"/>
      <c r="AX610" s="81"/>
      <c r="AY610" s="81"/>
      <c r="AZ610" s="81"/>
      <c r="BA610" s="81"/>
      <c r="BB610" s="81"/>
    </row>
    <row r="611" spans="1:54" x14ac:dyDescent="0.35">
      <c r="A611" s="66" t="s">
        <v>559</v>
      </c>
      <c r="B611" s="66" t="s">
        <v>910</v>
      </c>
      <c r="C611" s="67"/>
      <c r="D611" s="68"/>
      <c r="E611" s="69"/>
      <c r="F611" s="70"/>
      <c r="G611" s="67"/>
      <c r="H611" s="71"/>
      <c r="I611" s="72"/>
      <c r="J611" s="72"/>
      <c r="K611" s="36"/>
      <c r="L611" s="79"/>
      <c r="M611" s="79"/>
      <c r="N611" s="74"/>
      <c r="O611" s="81" t="s">
        <v>1205</v>
      </c>
      <c r="P611" s="83">
        <v>44460.465532407405</v>
      </c>
      <c r="Q611" s="81" t="s">
        <v>1324</v>
      </c>
      <c r="R611" s="81"/>
      <c r="S611" s="81"/>
      <c r="T611" s="81"/>
      <c r="U611" s="85" t="str">
        <f>HYPERLINK("https://pbs.twimg.com/media/E_xVJy2VQAQerFe.jpg")</f>
        <v>https://pbs.twimg.com/media/E_xVJy2VQAQerFe.jpg</v>
      </c>
      <c r="V611" s="85" t="str">
        <f>HYPERLINK("https://pbs.twimg.com/media/E_xVJy2VQAQerFe.jpg")</f>
        <v>https://pbs.twimg.com/media/E_xVJy2VQAQerFe.jpg</v>
      </c>
      <c r="W611" s="83">
        <v>44460.465532407405</v>
      </c>
      <c r="X611" s="89">
        <v>44460</v>
      </c>
      <c r="Y611" s="87" t="s">
        <v>2152</v>
      </c>
      <c r="Z611" s="85" t="str">
        <f>HYPERLINK("https://twitter.com/appellowj/status/1440272184082006016")</f>
        <v>https://twitter.com/appellowj/status/1440272184082006016</v>
      </c>
      <c r="AA611" s="81"/>
      <c r="AB611" s="81"/>
      <c r="AC611" s="87" t="s">
        <v>3076</v>
      </c>
      <c r="AD611" s="81"/>
      <c r="AE611" s="81" t="b">
        <v>0</v>
      </c>
      <c r="AF611" s="81">
        <v>0</v>
      </c>
      <c r="AG611" s="87" t="s">
        <v>3875</v>
      </c>
      <c r="AH611" s="81" t="b">
        <v>0</v>
      </c>
      <c r="AI611" s="81" t="s">
        <v>4092</v>
      </c>
      <c r="AJ611" s="81"/>
      <c r="AK611" s="87" t="s">
        <v>3875</v>
      </c>
      <c r="AL611" s="81" t="b">
        <v>0</v>
      </c>
      <c r="AM611" s="81">
        <v>321</v>
      </c>
      <c r="AN611" s="87" t="s">
        <v>3520</v>
      </c>
      <c r="AO611" s="87" t="s">
        <v>4110</v>
      </c>
      <c r="AP611" s="81" t="b">
        <v>0</v>
      </c>
      <c r="AQ611" s="87" t="s">
        <v>3520</v>
      </c>
      <c r="AR611" s="81" t="s">
        <v>179</v>
      </c>
      <c r="AS611" s="81">
        <v>0</v>
      </c>
      <c r="AT611" s="81">
        <v>0</v>
      </c>
      <c r="AU611" s="81"/>
      <c r="AV611" s="81"/>
      <c r="AW611" s="81"/>
      <c r="AX611" s="81"/>
      <c r="AY611" s="81"/>
      <c r="AZ611" s="81"/>
      <c r="BA611" s="81"/>
      <c r="BB611" s="81"/>
    </row>
    <row r="612" spans="1:54" x14ac:dyDescent="0.35">
      <c r="A612" s="66" t="s">
        <v>560</v>
      </c>
      <c r="B612" s="66" t="s">
        <v>1055</v>
      </c>
      <c r="C612" s="67"/>
      <c r="D612" s="68"/>
      <c r="E612" s="69"/>
      <c r="F612" s="70"/>
      <c r="G612" s="67"/>
      <c r="H612" s="71"/>
      <c r="I612" s="72"/>
      <c r="J612" s="72"/>
      <c r="K612" s="36"/>
      <c r="L612" s="79"/>
      <c r="M612" s="79"/>
      <c r="N612" s="74"/>
      <c r="O612" s="81" t="s">
        <v>1207</v>
      </c>
      <c r="P612" s="83">
        <v>44460.466805555552</v>
      </c>
      <c r="Q612" s="81" t="s">
        <v>1324</v>
      </c>
      <c r="R612" s="81"/>
      <c r="S612" s="81"/>
      <c r="T612" s="81"/>
      <c r="U612" s="85" t="str">
        <f>HYPERLINK("https://pbs.twimg.com/media/E_xVJy2VQAQerFe.jpg")</f>
        <v>https://pbs.twimg.com/media/E_xVJy2VQAQerFe.jpg</v>
      </c>
      <c r="V612" s="85" t="str">
        <f>HYPERLINK("https://pbs.twimg.com/media/E_xVJy2VQAQerFe.jpg")</f>
        <v>https://pbs.twimg.com/media/E_xVJy2VQAQerFe.jpg</v>
      </c>
      <c r="W612" s="83">
        <v>44460.466805555552</v>
      </c>
      <c r="X612" s="89">
        <v>44460</v>
      </c>
      <c r="Y612" s="87" t="s">
        <v>2153</v>
      </c>
      <c r="Z612" s="85" t="str">
        <f>HYPERLINK("https://twitter.com/em2munawar/status/1440272646529175553")</f>
        <v>https://twitter.com/em2munawar/status/1440272646529175553</v>
      </c>
      <c r="AA612" s="81"/>
      <c r="AB612" s="81"/>
      <c r="AC612" s="87" t="s">
        <v>3077</v>
      </c>
      <c r="AD612" s="81"/>
      <c r="AE612" s="81" t="b">
        <v>0</v>
      </c>
      <c r="AF612" s="81">
        <v>0</v>
      </c>
      <c r="AG612" s="87" t="s">
        <v>3875</v>
      </c>
      <c r="AH612" s="81" t="b">
        <v>0</v>
      </c>
      <c r="AI612" s="81" t="s">
        <v>4092</v>
      </c>
      <c r="AJ612" s="81"/>
      <c r="AK612" s="87" t="s">
        <v>3875</v>
      </c>
      <c r="AL612" s="81" t="b">
        <v>0</v>
      </c>
      <c r="AM612" s="81">
        <v>321</v>
      </c>
      <c r="AN612" s="87" t="s">
        <v>3520</v>
      </c>
      <c r="AO612" s="87" t="s">
        <v>4109</v>
      </c>
      <c r="AP612" s="81" t="b">
        <v>0</v>
      </c>
      <c r="AQ612" s="87" t="s">
        <v>3520</v>
      </c>
      <c r="AR612" s="81" t="s">
        <v>179</v>
      </c>
      <c r="AS612" s="81">
        <v>0</v>
      </c>
      <c r="AT612" s="81">
        <v>0</v>
      </c>
      <c r="AU612" s="81"/>
      <c r="AV612" s="81"/>
      <c r="AW612" s="81"/>
      <c r="AX612" s="81"/>
      <c r="AY612" s="81"/>
      <c r="AZ612" s="81"/>
      <c r="BA612" s="81"/>
      <c r="BB612" s="81"/>
    </row>
    <row r="613" spans="1:54" x14ac:dyDescent="0.35">
      <c r="A613" s="66" t="s">
        <v>560</v>
      </c>
      <c r="B613" s="66" t="s">
        <v>910</v>
      </c>
      <c r="C613" s="67"/>
      <c r="D613" s="68"/>
      <c r="E613" s="69"/>
      <c r="F613" s="70"/>
      <c r="G613" s="67"/>
      <c r="H613" s="71"/>
      <c r="I613" s="72"/>
      <c r="J613" s="72"/>
      <c r="K613" s="36"/>
      <c r="L613" s="79"/>
      <c r="M613" s="79"/>
      <c r="N613" s="74"/>
      <c r="O613" s="81" t="s">
        <v>1205</v>
      </c>
      <c r="P613" s="83">
        <v>44460.466805555552</v>
      </c>
      <c r="Q613" s="81" t="s">
        <v>1324</v>
      </c>
      <c r="R613" s="81"/>
      <c r="S613" s="81"/>
      <c r="T613" s="81"/>
      <c r="U613" s="85" t="str">
        <f>HYPERLINK("https://pbs.twimg.com/media/E_xVJy2VQAQerFe.jpg")</f>
        <v>https://pbs.twimg.com/media/E_xVJy2VQAQerFe.jpg</v>
      </c>
      <c r="V613" s="85" t="str">
        <f>HYPERLINK("https://pbs.twimg.com/media/E_xVJy2VQAQerFe.jpg")</f>
        <v>https://pbs.twimg.com/media/E_xVJy2VQAQerFe.jpg</v>
      </c>
      <c r="W613" s="83">
        <v>44460.466805555552</v>
      </c>
      <c r="X613" s="89">
        <v>44460</v>
      </c>
      <c r="Y613" s="87" t="s">
        <v>2153</v>
      </c>
      <c r="Z613" s="85" t="str">
        <f>HYPERLINK("https://twitter.com/em2munawar/status/1440272646529175553")</f>
        <v>https://twitter.com/em2munawar/status/1440272646529175553</v>
      </c>
      <c r="AA613" s="81"/>
      <c r="AB613" s="81"/>
      <c r="AC613" s="87" t="s">
        <v>3077</v>
      </c>
      <c r="AD613" s="81"/>
      <c r="AE613" s="81" t="b">
        <v>0</v>
      </c>
      <c r="AF613" s="81">
        <v>0</v>
      </c>
      <c r="AG613" s="87" t="s">
        <v>3875</v>
      </c>
      <c r="AH613" s="81" t="b">
        <v>0</v>
      </c>
      <c r="AI613" s="81" t="s">
        <v>4092</v>
      </c>
      <c r="AJ613" s="81"/>
      <c r="AK613" s="87" t="s">
        <v>3875</v>
      </c>
      <c r="AL613" s="81" t="b">
        <v>0</v>
      </c>
      <c r="AM613" s="81">
        <v>321</v>
      </c>
      <c r="AN613" s="87" t="s">
        <v>3520</v>
      </c>
      <c r="AO613" s="87" t="s">
        <v>4109</v>
      </c>
      <c r="AP613" s="81" t="b">
        <v>0</v>
      </c>
      <c r="AQ613" s="87" t="s">
        <v>3520</v>
      </c>
      <c r="AR613" s="81" t="s">
        <v>179</v>
      </c>
      <c r="AS613" s="81">
        <v>0</v>
      </c>
      <c r="AT613" s="81">
        <v>0</v>
      </c>
      <c r="AU613" s="81"/>
      <c r="AV613" s="81"/>
      <c r="AW613" s="81"/>
      <c r="AX613" s="81"/>
      <c r="AY613" s="81"/>
      <c r="AZ613" s="81"/>
      <c r="BA613" s="81"/>
      <c r="BB613" s="81"/>
    </row>
    <row r="614" spans="1:54" x14ac:dyDescent="0.35">
      <c r="A614" s="66" t="s">
        <v>561</v>
      </c>
      <c r="B614" s="66" t="s">
        <v>1055</v>
      </c>
      <c r="C614" s="67"/>
      <c r="D614" s="68"/>
      <c r="E614" s="69"/>
      <c r="F614" s="70"/>
      <c r="G614" s="67"/>
      <c r="H614" s="71"/>
      <c r="I614" s="72"/>
      <c r="J614" s="72"/>
      <c r="K614" s="36"/>
      <c r="L614" s="79"/>
      <c r="M614" s="79"/>
      <c r="N614" s="74"/>
      <c r="O614" s="81" t="s">
        <v>1207</v>
      </c>
      <c r="P614" s="83">
        <v>44460.473333333335</v>
      </c>
      <c r="Q614" s="81" t="s">
        <v>1324</v>
      </c>
      <c r="R614" s="81"/>
      <c r="S614" s="81"/>
      <c r="T614" s="81"/>
      <c r="U614" s="85" t="str">
        <f>HYPERLINK("https://pbs.twimg.com/media/E_xVJy2VQAQerFe.jpg")</f>
        <v>https://pbs.twimg.com/media/E_xVJy2VQAQerFe.jpg</v>
      </c>
      <c r="V614" s="85" t="str">
        <f>HYPERLINK("https://pbs.twimg.com/media/E_xVJy2VQAQerFe.jpg")</f>
        <v>https://pbs.twimg.com/media/E_xVJy2VQAQerFe.jpg</v>
      </c>
      <c r="W614" s="83">
        <v>44460.473333333335</v>
      </c>
      <c r="X614" s="89">
        <v>44460</v>
      </c>
      <c r="Y614" s="87" t="s">
        <v>2154</v>
      </c>
      <c r="Z614" s="85" t="str">
        <f>HYPERLINK("https://twitter.com/mnqincognito/status/1440275013832040450")</f>
        <v>https://twitter.com/mnqincognito/status/1440275013832040450</v>
      </c>
      <c r="AA614" s="81"/>
      <c r="AB614" s="81"/>
      <c r="AC614" s="87" t="s">
        <v>3078</v>
      </c>
      <c r="AD614" s="81"/>
      <c r="AE614" s="81" t="b">
        <v>0</v>
      </c>
      <c r="AF614" s="81">
        <v>0</v>
      </c>
      <c r="AG614" s="87" t="s">
        <v>3875</v>
      </c>
      <c r="AH614" s="81" t="b">
        <v>0</v>
      </c>
      <c r="AI614" s="81" t="s">
        <v>4092</v>
      </c>
      <c r="AJ614" s="81"/>
      <c r="AK614" s="87" t="s">
        <v>3875</v>
      </c>
      <c r="AL614" s="81" t="b">
        <v>0</v>
      </c>
      <c r="AM614" s="81">
        <v>321</v>
      </c>
      <c r="AN614" s="87" t="s">
        <v>3520</v>
      </c>
      <c r="AO614" s="87" t="s">
        <v>4109</v>
      </c>
      <c r="AP614" s="81" t="b">
        <v>0</v>
      </c>
      <c r="AQ614" s="87" t="s">
        <v>3520</v>
      </c>
      <c r="AR614" s="81" t="s">
        <v>179</v>
      </c>
      <c r="AS614" s="81">
        <v>0</v>
      </c>
      <c r="AT614" s="81">
        <v>0</v>
      </c>
      <c r="AU614" s="81"/>
      <c r="AV614" s="81"/>
      <c r="AW614" s="81"/>
      <c r="AX614" s="81"/>
      <c r="AY614" s="81"/>
      <c r="AZ614" s="81"/>
      <c r="BA614" s="81"/>
      <c r="BB614" s="81"/>
    </row>
    <row r="615" spans="1:54" x14ac:dyDescent="0.35">
      <c r="A615" s="66" t="s">
        <v>561</v>
      </c>
      <c r="B615" s="66" t="s">
        <v>910</v>
      </c>
      <c r="C615" s="67"/>
      <c r="D615" s="68"/>
      <c r="E615" s="69"/>
      <c r="F615" s="70"/>
      <c r="G615" s="67"/>
      <c r="H615" s="71"/>
      <c r="I615" s="72"/>
      <c r="J615" s="72"/>
      <c r="K615" s="36"/>
      <c r="L615" s="79"/>
      <c r="M615" s="79"/>
      <c r="N615" s="74"/>
      <c r="O615" s="81" t="s">
        <v>1205</v>
      </c>
      <c r="P615" s="83">
        <v>44460.473333333335</v>
      </c>
      <c r="Q615" s="81" t="s">
        <v>1324</v>
      </c>
      <c r="R615" s="81"/>
      <c r="S615" s="81"/>
      <c r="T615" s="81"/>
      <c r="U615" s="85" t="str">
        <f>HYPERLINK("https://pbs.twimg.com/media/E_xVJy2VQAQerFe.jpg")</f>
        <v>https://pbs.twimg.com/media/E_xVJy2VQAQerFe.jpg</v>
      </c>
      <c r="V615" s="85" t="str">
        <f>HYPERLINK("https://pbs.twimg.com/media/E_xVJy2VQAQerFe.jpg")</f>
        <v>https://pbs.twimg.com/media/E_xVJy2VQAQerFe.jpg</v>
      </c>
      <c r="W615" s="83">
        <v>44460.473333333335</v>
      </c>
      <c r="X615" s="89">
        <v>44460</v>
      </c>
      <c r="Y615" s="87" t="s">
        <v>2154</v>
      </c>
      <c r="Z615" s="85" t="str">
        <f>HYPERLINK("https://twitter.com/mnqincognito/status/1440275013832040450")</f>
        <v>https://twitter.com/mnqincognito/status/1440275013832040450</v>
      </c>
      <c r="AA615" s="81"/>
      <c r="AB615" s="81"/>
      <c r="AC615" s="87" t="s">
        <v>3078</v>
      </c>
      <c r="AD615" s="81"/>
      <c r="AE615" s="81" t="b">
        <v>0</v>
      </c>
      <c r="AF615" s="81">
        <v>0</v>
      </c>
      <c r="AG615" s="87" t="s">
        <v>3875</v>
      </c>
      <c r="AH615" s="81" t="b">
        <v>0</v>
      </c>
      <c r="AI615" s="81" t="s">
        <v>4092</v>
      </c>
      <c r="AJ615" s="81"/>
      <c r="AK615" s="87" t="s">
        <v>3875</v>
      </c>
      <c r="AL615" s="81" t="b">
        <v>0</v>
      </c>
      <c r="AM615" s="81">
        <v>321</v>
      </c>
      <c r="AN615" s="87" t="s">
        <v>3520</v>
      </c>
      <c r="AO615" s="87" t="s">
        <v>4109</v>
      </c>
      <c r="AP615" s="81" t="b">
        <v>0</v>
      </c>
      <c r="AQ615" s="87" t="s">
        <v>3520</v>
      </c>
      <c r="AR615" s="81" t="s">
        <v>179</v>
      </c>
      <c r="AS615" s="81">
        <v>0</v>
      </c>
      <c r="AT615" s="81">
        <v>0</v>
      </c>
      <c r="AU615" s="81"/>
      <c r="AV615" s="81"/>
      <c r="AW615" s="81"/>
      <c r="AX615" s="81"/>
      <c r="AY615" s="81"/>
      <c r="AZ615" s="81"/>
      <c r="BA615" s="81"/>
      <c r="BB615" s="81"/>
    </row>
    <row r="616" spans="1:54" x14ac:dyDescent="0.35">
      <c r="A616" s="66" t="s">
        <v>562</v>
      </c>
      <c r="B616" s="66" t="s">
        <v>1055</v>
      </c>
      <c r="C616" s="67"/>
      <c r="D616" s="68"/>
      <c r="E616" s="69"/>
      <c r="F616" s="70"/>
      <c r="G616" s="67"/>
      <c r="H616" s="71"/>
      <c r="I616" s="72"/>
      <c r="J616" s="72"/>
      <c r="K616" s="36"/>
      <c r="L616" s="79"/>
      <c r="M616" s="79"/>
      <c r="N616" s="74"/>
      <c r="O616" s="81" t="s">
        <v>1207</v>
      </c>
      <c r="P616" s="83">
        <v>44460.473402777781</v>
      </c>
      <c r="Q616" s="81" t="s">
        <v>1324</v>
      </c>
      <c r="R616" s="81"/>
      <c r="S616" s="81"/>
      <c r="T616" s="81"/>
      <c r="U616" s="85" t="str">
        <f>HYPERLINK("https://pbs.twimg.com/media/E_xVJy2VQAQerFe.jpg")</f>
        <v>https://pbs.twimg.com/media/E_xVJy2VQAQerFe.jpg</v>
      </c>
      <c r="V616" s="85" t="str">
        <f>HYPERLINK("https://pbs.twimg.com/media/E_xVJy2VQAQerFe.jpg")</f>
        <v>https://pbs.twimg.com/media/E_xVJy2VQAQerFe.jpg</v>
      </c>
      <c r="W616" s="83">
        <v>44460.473402777781</v>
      </c>
      <c r="X616" s="89">
        <v>44460</v>
      </c>
      <c r="Y616" s="87" t="s">
        <v>2155</v>
      </c>
      <c r="Z616" s="85" t="str">
        <f>HYPERLINK("https://twitter.com/clown_mui/status/1440275036091207688")</f>
        <v>https://twitter.com/clown_mui/status/1440275036091207688</v>
      </c>
      <c r="AA616" s="81"/>
      <c r="AB616" s="81"/>
      <c r="AC616" s="87" t="s">
        <v>3079</v>
      </c>
      <c r="AD616" s="81"/>
      <c r="AE616" s="81" t="b">
        <v>0</v>
      </c>
      <c r="AF616" s="81">
        <v>0</v>
      </c>
      <c r="AG616" s="87" t="s">
        <v>3875</v>
      </c>
      <c r="AH616" s="81" t="b">
        <v>0</v>
      </c>
      <c r="AI616" s="81" t="s">
        <v>4092</v>
      </c>
      <c r="AJ616" s="81"/>
      <c r="AK616" s="87" t="s">
        <v>3875</v>
      </c>
      <c r="AL616" s="81" t="b">
        <v>0</v>
      </c>
      <c r="AM616" s="81">
        <v>321</v>
      </c>
      <c r="AN616" s="87" t="s">
        <v>3520</v>
      </c>
      <c r="AO616" s="87" t="s">
        <v>4109</v>
      </c>
      <c r="AP616" s="81" t="b">
        <v>0</v>
      </c>
      <c r="AQ616" s="87" t="s">
        <v>3520</v>
      </c>
      <c r="AR616" s="81" t="s">
        <v>179</v>
      </c>
      <c r="AS616" s="81">
        <v>0</v>
      </c>
      <c r="AT616" s="81">
        <v>0</v>
      </c>
      <c r="AU616" s="81"/>
      <c r="AV616" s="81"/>
      <c r="AW616" s="81"/>
      <c r="AX616" s="81"/>
      <c r="AY616" s="81"/>
      <c r="AZ616" s="81"/>
      <c r="BA616" s="81"/>
      <c r="BB616" s="81"/>
    </row>
    <row r="617" spans="1:54" x14ac:dyDescent="0.35">
      <c r="A617" s="66" t="s">
        <v>562</v>
      </c>
      <c r="B617" s="66" t="s">
        <v>910</v>
      </c>
      <c r="C617" s="67"/>
      <c r="D617" s="68"/>
      <c r="E617" s="69"/>
      <c r="F617" s="70"/>
      <c r="G617" s="67"/>
      <c r="H617" s="71"/>
      <c r="I617" s="72"/>
      <c r="J617" s="72"/>
      <c r="K617" s="36"/>
      <c r="L617" s="79"/>
      <c r="M617" s="79"/>
      <c r="N617" s="74"/>
      <c r="O617" s="81" t="s">
        <v>1205</v>
      </c>
      <c r="P617" s="83">
        <v>44460.473402777781</v>
      </c>
      <c r="Q617" s="81" t="s">
        <v>1324</v>
      </c>
      <c r="R617" s="81"/>
      <c r="S617" s="81"/>
      <c r="T617" s="81"/>
      <c r="U617" s="85" t="str">
        <f>HYPERLINK("https://pbs.twimg.com/media/E_xVJy2VQAQerFe.jpg")</f>
        <v>https://pbs.twimg.com/media/E_xVJy2VQAQerFe.jpg</v>
      </c>
      <c r="V617" s="85" t="str">
        <f>HYPERLINK("https://pbs.twimg.com/media/E_xVJy2VQAQerFe.jpg")</f>
        <v>https://pbs.twimg.com/media/E_xVJy2VQAQerFe.jpg</v>
      </c>
      <c r="W617" s="83">
        <v>44460.473402777781</v>
      </c>
      <c r="X617" s="89">
        <v>44460</v>
      </c>
      <c r="Y617" s="87" t="s">
        <v>2155</v>
      </c>
      <c r="Z617" s="85" t="str">
        <f>HYPERLINK("https://twitter.com/clown_mui/status/1440275036091207688")</f>
        <v>https://twitter.com/clown_mui/status/1440275036091207688</v>
      </c>
      <c r="AA617" s="81"/>
      <c r="AB617" s="81"/>
      <c r="AC617" s="87" t="s">
        <v>3079</v>
      </c>
      <c r="AD617" s="81"/>
      <c r="AE617" s="81" t="b">
        <v>0</v>
      </c>
      <c r="AF617" s="81">
        <v>0</v>
      </c>
      <c r="AG617" s="87" t="s">
        <v>3875</v>
      </c>
      <c r="AH617" s="81" t="b">
        <v>0</v>
      </c>
      <c r="AI617" s="81" t="s">
        <v>4092</v>
      </c>
      <c r="AJ617" s="81"/>
      <c r="AK617" s="87" t="s">
        <v>3875</v>
      </c>
      <c r="AL617" s="81" t="b">
        <v>0</v>
      </c>
      <c r="AM617" s="81">
        <v>321</v>
      </c>
      <c r="AN617" s="87" t="s">
        <v>3520</v>
      </c>
      <c r="AO617" s="87" t="s">
        <v>4109</v>
      </c>
      <c r="AP617" s="81" t="b">
        <v>0</v>
      </c>
      <c r="AQ617" s="87" t="s">
        <v>3520</v>
      </c>
      <c r="AR617" s="81" t="s">
        <v>179</v>
      </c>
      <c r="AS617" s="81">
        <v>0</v>
      </c>
      <c r="AT617" s="81">
        <v>0</v>
      </c>
      <c r="AU617" s="81"/>
      <c r="AV617" s="81"/>
      <c r="AW617" s="81"/>
      <c r="AX617" s="81"/>
      <c r="AY617" s="81"/>
      <c r="AZ617" s="81"/>
      <c r="BA617" s="81"/>
      <c r="BB617" s="81"/>
    </row>
    <row r="618" spans="1:54" x14ac:dyDescent="0.35">
      <c r="A618" s="66" t="s">
        <v>563</v>
      </c>
      <c r="B618" s="66" t="s">
        <v>1055</v>
      </c>
      <c r="C618" s="67"/>
      <c r="D618" s="68"/>
      <c r="E618" s="69"/>
      <c r="F618" s="70"/>
      <c r="G618" s="67"/>
      <c r="H618" s="71"/>
      <c r="I618" s="72"/>
      <c r="J618" s="72"/>
      <c r="K618" s="36"/>
      <c r="L618" s="79"/>
      <c r="M618" s="79"/>
      <c r="N618" s="74"/>
      <c r="O618" s="81" t="s">
        <v>1207</v>
      </c>
      <c r="P618" s="83">
        <v>44460.474965277775</v>
      </c>
      <c r="Q618" s="81" t="s">
        <v>1324</v>
      </c>
      <c r="R618" s="81"/>
      <c r="S618" s="81"/>
      <c r="T618" s="81"/>
      <c r="U618" s="85" t="str">
        <f>HYPERLINK("https://pbs.twimg.com/media/E_xVJy2VQAQerFe.jpg")</f>
        <v>https://pbs.twimg.com/media/E_xVJy2VQAQerFe.jpg</v>
      </c>
      <c r="V618" s="85" t="str">
        <f>HYPERLINK("https://pbs.twimg.com/media/E_xVJy2VQAQerFe.jpg")</f>
        <v>https://pbs.twimg.com/media/E_xVJy2VQAQerFe.jpg</v>
      </c>
      <c r="W618" s="83">
        <v>44460.474965277775</v>
      </c>
      <c r="X618" s="89">
        <v>44460</v>
      </c>
      <c r="Y618" s="87" t="s">
        <v>2156</v>
      </c>
      <c r="Z618" s="85" t="str">
        <f>HYPERLINK("https://twitter.com/gunadi84380182/status/1440275601391120386")</f>
        <v>https://twitter.com/gunadi84380182/status/1440275601391120386</v>
      </c>
      <c r="AA618" s="81"/>
      <c r="AB618" s="81"/>
      <c r="AC618" s="87" t="s">
        <v>3080</v>
      </c>
      <c r="AD618" s="81"/>
      <c r="AE618" s="81" t="b">
        <v>0</v>
      </c>
      <c r="AF618" s="81">
        <v>0</v>
      </c>
      <c r="AG618" s="87" t="s">
        <v>3875</v>
      </c>
      <c r="AH618" s="81" t="b">
        <v>0</v>
      </c>
      <c r="AI618" s="81" t="s">
        <v>4092</v>
      </c>
      <c r="AJ618" s="81"/>
      <c r="AK618" s="87" t="s">
        <v>3875</v>
      </c>
      <c r="AL618" s="81" t="b">
        <v>0</v>
      </c>
      <c r="AM618" s="81">
        <v>321</v>
      </c>
      <c r="AN618" s="87" t="s">
        <v>3520</v>
      </c>
      <c r="AO618" s="87" t="s">
        <v>4109</v>
      </c>
      <c r="AP618" s="81" t="b">
        <v>0</v>
      </c>
      <c r="AQ618" s="87" t="s">
        <v>3520</v>
      </c>
      <c r="AR618" s="81" t="s">
        <v>179</v>
      </c>
      <c r="AS618" s="81">
        <v>0</v>
      </c>
      <c r="AT618" s="81">
        <v>0</v>
      </c>
      <c r="AU618" s="81"/>
      <c r="AV618" s="81"/>
      <c r="AW618" s="81"/>
      <c r="AX618" s="81"/>
      <c r="AY618" s="81"/>
      <c r="AZ618" s="81"/>
      <c r="BA618" s="81"/>
      <c r="BB618" s="81"/>
    </row>
    <row r="619" spans="1:54" x14ac:dyDescent="0.35">
      <c r="A619" s="66" t="s">
        <v>563</v>
      </c>
      <c r="B619" s="66" t="s">
        <v>910</v>
      </c>
      <c r="C619" s="67"/>
      <c r="D619" s="68"/>
      <c r="E619" s="69"/>
      <c r="F619" s="70"/>
      <c r="G619" s="67"/>
      <c r="H619" s="71"/>
      <c r="I619" s="72"/>
      <c r="J619" s="72"/>
      <c r="K619" s="36"/>
      <c r="L619" s="79"/>
      <c r="M619" s="79"/>
      <c r="N619" s="74"/>
      <c r="O619" s="81" t="s">
        <v>1205</v>
      </c>
      <c r="P619" s="83">
        <v>44460.474965277775</v>
      </c>
      <c r="Q619" s="81" t="s">
        <v>1324</v>
      </c>
      <c r="R619" s="81"/>
      <c r="S619" s="81"/>
      <c r="T619" s="81"/>
      <c r="U619" s="85" t="str">
        <f>HYPERLINK("https://pbs.twimg.com/media/E_xVJy2VQAQerFe.jpg")</f>
        <v>https://pbs.twimg.com/media/E_xVJy2VQAQerFe.jpg</v>
      </c>
      <c r="V619" s="85" t="str">
        <f>HYPERLINK("https://pbs.twimg.com/media/E_xVJy2VQAQerFe.jpg")</f>
        <v>https://pbs.twimg.com/media/E_xVJy2VQAQerFe.jpg</v>
      </c>
      <c r="W619" s="83">
        <v>44460.474965277775</v>
      </c>
      <c r="X619" s="89">
        <v>44460</v>
      </c>
      <c r="Y619" s="87" t="s">
        <v>2156</v>
      </c>
      <c r="Z619" s="85" t="str">
        <f>HYPERLINK("https://twitter.com/gunadi84380182/status/1440275601391120386")</f>
        <v>https://twitter.com/gunadi84380182/status/1440275601391120386</v>
      </c>
      <c r="AA619" s="81"/>
      <c r="AB619" s="81"/>
      <c r="AC619" s="87" t="s">
        <v>3080</v>
      </c>
      <c r="AD619" s="81"/>
      <c r="AE619" s="81" t="b">
        <v>0</v>
      </c>
      <c r="AF619" s="81">
        <v>0</v>
      </c>
      <c r="AG619" s="87" t="s">
        <v>3875</v>
      </c>
      <c r="AH619" s="81" t="b">
        <v>0</v>
      </c>
      <c r="AI619" s="81" t="s">
        <v>4092</v>
      </c>
      <c r="AJ619" s="81"/>
      <c r="AK619" s="87" t="s">
        <v>3875</v>
      </c>
      <c r="AL619" s="81" t="b">
        <v>0</v>
      </c>
      <c r="AM619" s="81">
        <v>321</v>
      </c>
      <c r="AN619" s="87" t="s">
        <v>3520</v>
      </c>
      <c r="AO619" s="87" t="s">
        <v>4109</v>
      </c>
      <c r="AP619" s="81" t="b">
        <v>0</v>
      </c>
      <c r="AQ619" s="87" t="s">
        <v>3520</v>
      </c>
      <c r="AR619" s="81" t="s">
        <v>179</v>
      </c>
      <c r="AS619" s="81">
        <v>0</v>
      </c>
      <c r="AT619" s="81">
        <v>0</v>
      </c>
      <c r="AU619" s="81"/>
      <c r="AV619" s="81"/>
      <c r="AW619" s="81"/>
      <c r="AX619" s="81"/>
      <c r="AY619" s="81"/>
      <c r="AZ619" s="81"/>
      <c r="BA619" s="81"/>
      <c r="BB619" s="81"/>
    </row>
    <row r="620" spans="1:54" x14ac:dyDescent="0.35">
      <c r="A620" s="66" t="s">
        <v>564</v>
      </c>
      <c r="B620" s="66" t="s">
        <v>1055</v>
      </c>
      <c r="C620" s="67"/>
      <c r="D620" s="68"/>
      <c r="E620" s="69"/>
      <c r="F620" s="70"/>
      <c r="G620" s="67"/>
      <c r="H620" s="71"/>
      <c r="I620" s="72"/>
      <c r="J620" s="72"/>
      <c r="K620" s="36"/>
      <c r="L620" s="79"/>
      <c r="M620" s="79"/>
      <c r="N620" s="74"/>
      <c r="O620" s="81" t="s">
        <v>1207</v>
      </c>
      <c r="P620" s="83">
        <v>44460.476631944446</v>
      </c>
      <c r="Q620" s="81" t="s">
        <v>1324</v>
      </c>
      <c r="R620" s="81"/>
      <c r="S620" s="81"/>
      <c r="T620" s="81"/>
      <c r="U620" s="85" t="str">
        <f>HYPERLINK("https://pbs.twimg.com/media/E_xVJy2VQAQerFe.jpg")</f>
        <v>https://pbs.twimg.com/media/E_xVJy2VQAQerFe.jpg</v>
      </c>
      <c r="V620" s="85" t="str">
        <f>HYPERLINK("https://pbs.twimg.com/media/E_xVJy2VQAQerFe.jpg")</f>
        <v>https://pbs.twimg.com/media/E_xVJy2VQAQerFe.jpg</v>
      </c>
      <c r="W620" s="83">
        <v>44460.476631944446</v>
      </c>
      <c r="X620" s="89">
        <v>44460</v>
      </c>
      <c r="Y620" s="87" t="s">
        <v>2157</v>
      </c>
      <c r="Z620" s="85" t="str">
        <f>HYPERLINK("https://twitter.com/dirmanrdl/status/1440276207912636429")</f>
        <v>https://twitter.com/dirmanrdl/status/1440276207912636429</v>
      </c>
      <c r="AA620" s="81"/>
      <c r="AB620" s="81"/>
      <c r="AC620" s="87" t="s">
        <v>3081</v>
      </c>
      <c r="AD620" s="81"/>
      <c r="AE620" s="81" t="b">
        <v>0</v>
      </c>
      <c r="AF620" s="81">
        <v>0</v>
      </c>
      <c r="AG620" s="87" t="s">
        <v>3875</v>
      </c>
      <c r="AH620" s="81" t="b">
        <v>0</v>
      </c>
      <c r="AI620" s="81" t="s">
        <v>4092</v>
      </c>
      <c r="AJ620" s="81"/>
      <c r="AK620" s="87" t="s">
        <v>3875</v>
      </c>
      <c r="AL620" s="81" t="b">
        <v>0</v>
      </c>
      <c r="AM620" s="81">
        <v>321</v>
      </c>
      <c r="AN620" s="87" t="s">
        <v>3520</v>
      </c>
      <c r="AO620" s="87" t="s">
        <v>4110</v>
      </c>
      <c r="AP620" s="81" t="b">
        <v>0</v>
      </c>
      <c r="AQ620" s="87" t="s">
        <v>3520</v>
      </c>
      <c r="AR620" s="81" t="s">
        <v>179</v>
      </c>
      <c r="AS620" s="81">
        <v>0</v>
      </c>
      <c r="AT620" s="81">
        <v>0</v>
      </c>
      <c r="AU620" s="81"/>
      <c r="AV620" s="81"/>
      <c r="AW620" s="81"/>
      <c r="AX620" s="81"/>
      <c r="AY620" s="81"/>
      <c r="AZ620" s="81"/>
      <c r="BA620" s="81"/>
      <c r="BB620" s="81"/>
    </row>
    <row r="621" spans="1:54" x14ac:dyDescent="0.35">
      <c r="A621" s="66" t="s">
        <v>564</v>
      </c>
      <c r="B621" s="66" t="s">
        <v>910</v>
      </c>
      <c r="C621" s="67"/>
      <c r="D621" s="68"/>
      <c r="E621" s="69"/>
      <c r="F621" s="70"/>
      <c r="G621" s="67"/>
      <c r="H621" s="71"/>
      <c r="I621" s="72"/>
      <c r="J621" s="72"/>
      <c r="K621" s="36"/>
      <c r="L621" s="79"/>
      <c r="M621" s="79"/>
      <c r="N621" s="74"/>
      <c r="O621" s="81" t="s">
        <v>1205</v>
      </c>
      <c r="P621" s="83">
        <v>44460.476631944446</v>
      </c>
      <c r="Q621" s="81" t="s">
        <v>1324</v>
      </c>
      <c r="R621" s="81"/>
      <c r="S621" s="81"/>
      <c r="T621" s="81"/>
      <c r="U621" s="85" t="str">
        <f>HYPERLINK("https://pbs.twimg.com/media/E_xVJy2VQAQerFe.jpg")</f>
        <v>https://pbs.twimg.com/media/E_xVJy2VQAQerFe.jpg</v>
      </c>
      <c r="V621" s="85" t="str">
        <f>HYPERLINK("https://pbs.twimg.com/media/E_xVJy2VQAQerFe.jpg")</f>
        <v>https://pbs.twimg.com/media/E_xVJy2VQAQerFe.jpg</v>
      </c>
      <c r="W621" s="83">
        <v>44460.476631944446</v>
      </c>
      <c r="X621" s="89">
        <v>44460</v>
      </c>
      <c r="Y621" s="87" t="s">
        <v>2157</v>
      </c>
      <c r="Z621" s="85" t="str">
        <f>HYPERLINK("https://twitter.com/dirmanrdl/status/1440276207912636429")</f>
        <v>https://twitter.com/dirmanrdl/status/1440276207912636429</v>
      </c>
      <c r="AA621" s="81"/>
      <c r="AB621" s="81"/>
      <c r="AC621" s="87" t="s">
        <v>3081</v>
      </c>
      <c r="AD621" s="81"/>
      <c r="AE621" s="81" t="b">
        <v>0</v>
      </c>
      <c r="AF621" s="81">
        <v>0</v>
      </c>
      <c r="AG621" s="87" t="s">
        <v>3875</v>
      </c>
      <c r="AH621" s="81" t="b">
        <v>0</v>
      </c>
      <c r="AI621" s="81" t="s">
        <v>4092</v>
      </c>
      <c r="AJ621" s="81"/>
      <c r="AK621" s="87" t="s">
        <v>3875</v>
      </c>
      <c r="AL621" s="81" t="b">
        <v>0</v>
      </c>
      <c r="AM621" s="81">
        <v>321</v>
      </c>
      <c r="AN621" s="87" t="s">
        <v>3520</v>
      </c>
      <c r="AO621" s="87" t="s">
        <v>4110</v>
      </c>
      <c r="AP621" s="81" t="b">
        <v>0</v>
      </c>
      <c r="AQ621" s="87" t="s">
        <v>3520</v>
      </c>
      <c r="AR621" s="81" t="s">
        <v>179</v>
      </c>
      <c r="AS621" s="81">
        <v>0</v>
      </c>
      <c r="AT621" s="81">
        <v>0</v>
      </c>
      <c r="AU621" s="81"/>
      <c r="AV621" s="81"/>
      <c r="AW621" s="81"/>
      <c r="AX621" s="81"/>
      <c r="AY621" s="81"/>
      <c r="AZ621" s="81"/>
      <c r="BA621" s="81"/>
      <c r="BB621" s="81"/>
    </row>
    <row r="622" spans="1:54" x14ac:dyDescent="0.35">
      <c r="A622" s="66" t="s">
        <v>565</v>
      </c>
      <c r="B622" s="66" t="s">
        <v>1055</v>
      </c>
      <c r="C622" s="67"/>
      <c r="D622" s="68"/>
      <c r="E622" s="69"/>
      <c r="F622" s="70"/>
      <c r="G622" s="67"/>
      <c r="H622" s="71"/>
      <c r="I622" s="72"/>
      <c r="J622" s="72"/>
      <c r="K622" s="36"/>
      <c r="L622" s="79"/>
      <c r="M622" s="79"/>
      <c r="N622" s="74"/>
      <c r="O622" s="81" t="s">
        <v>1207</v>
      </c>
      <c r="P622" s="83">
        <v>44460.47824074074</v>
      </c>
      <c r="Q622" s="81" t="s">
        <v>1324</v>
      </c>
      <c r="R622" s="81"/>
      <c r="S622" s="81"/>
      <c r="T622" s="81"/>
      <c r="U622" s="85" t="str">
        <f>HYPERLINK("https://pbs.twimg.com/media/E_xVJy2VQAQerFe.jpg")</f>
        <v>https://pbs.twimg.com/media/E_xVJy2VQAQerFe.jpg</v>
      </c>
      <c r="V622" s="85" t="str">
        <f>HYPERLINK("https://pbs.twimg.com/media/E_xVJy2VQAQerFe.jpg")</f>
        <v>https://pbs.twimg.com/media/E_xVJy2VQAQerFe.jpg</v>
      </c>
      <c r="W622" s="83">
        <v>44460.47824074074</v>
      </c>
      <c r="X622" s="89">
        <v>44460</v>
      </c>
      <c r="Y622" s="87" t="s">
        <v>2158</v>
      </c>
      <c r="Z622" s="85" t="str">
        <f>HYPERLINK("https://twitter.com/amiipoerwa/status/1440276791877275648")</f>
        <v>https://twitter.com/amiipoerwa/status/1440276791877275648</v>
      </c>
      <c r="AA622" s="81"/>
      <c r="AB622" s="81"/>
      <c r="AC622" s="87" t="s">
        <v>3082</v>
      </c>
      <c r="AD622" s="81"/>
      <c r="AE622" s="81" t="b">
        <v>0</v>
      </c>
      <c r="AF622" s="81">
        <v>0</v>
      </c>
      <c r="AG622" s="87" t="s">
        <v>3875</v>
      </c>
      <c r="AH622" s="81" t="b">
        <v>0</v>
      </c>
      <c r="AI622" s="81" t="s">
        <v>4092</v>
      </c>
      <c r="AJ622" s="81"/>
      <c r="AK622" s="87" t="s">
        <v>3875</v>
      </c>
      <c r="AL622" s="81" t="b">
        <v>0</v>
      </c>
      <c r="AM622" s="81">
        <v>321</v>
      </c>
      <c r="AN622" s="87" t="s">
        <v>3520</v>
      </c>
      <c r="AO622" s="87" t="s">
        <v>4110</v>
      </c>
      <c r="AP622" s="81" t="b">
        <v>0</v>
      </c>
      <c r="AQ622" s="87" t="s">
        <v>3520</v>
      </c>
      <c r="AR622" s="81" t="s">
        <v>179</v>
      </c>
      <c r="AS622" s="81">
        <v>0</v>
      </c>
      <c r="AT622" s="81">
        <v>0</v>
      </c>
      <c r="AU622" s="81"/>
      <c r="AV622" s="81"/>
      <c r="AW622" s="81"/>
      <c r="AX622" s="81"/>
      <c r="AY622" s="81"/>
      <c r="AZ622" s="81"/>
      <c r="BA622" s="81"/>
      <c r="BB622" s="81"/>
    </row>
    <row r="623" spans="1:54" x14ac:dyDescent="0.35">
      <c r="A623" s="66" t="s">
        <v>565</v>
      </c>
      <c r="B623" s="66" t="s">
        <v>910</v>
      </c>
      <c r="C623" s="67"/>
      <c r="D623" s="68"/>
      <c r="E623" s="69"/>
      <c r="F623" s="70"/>
      <c r="G623" s="67"/>
      <c r="H623" s="71"/>
      <c r="I623" s="72"/>
      <c r="J623" s="72"/>
      <c r="K623" s="36"/>
      <c r="L623" s="79"/>
      <c r="M623" s="79"/>
      <c r="N623" s="74"/>
      <c r="O623" s="81" t="s">
        <v>1205</v>
      </c>
      <c r="P623" s="83">
        <v>44460.47824074074</v>
      </c>
      <c r="Q623" s="81" t="s">
        <v>1324</v>
      </c>
      <c r="R623" s="81"/>
      <c r="S623" s="81"/>
      <c r="T623" s="81"/>
      <c r="U623" s="85" t="str">
        <f>HYPERLINK("https://pbs.twimg.com/media/E_xVJy2VQAQerFe.jpg")</f>
        <v>https://pbs.twimg.com/media/E_xVJy2VQAQerFe.jpg</v>
      </c>
      <c r="V623" s="85" t="str">
        <f>HYPERLINK("https://pbs.twimg.com/media/E_xVJy2VQAQerFe.jpg")</f>
        <v>https://pbs.twimg.com/media/E_xVJy2VQAQerFe.jpg</v>
      </c>
      <c r="W623" s="83">
        <v>44460.47824074074</v>
      </c>
      <c r="X623" s="89">
        <v>44460</v>
      </c>
      <c r="Y623" s="87" t="s">
        <v>2158</v>
      </c>
      <c r="Z623" s="85" t="str">
        <f>HYPERLINK("https://twitter.com/amiipoerwa/status/1440276791877275648")</f>
        <v>https://twitter.com/amiipoerwa/status/1440276791877275648</v>
      </c>
      <c r="AA623" s="81"/>
      <c r="AB623" s="81"/>
      <c r="AC623" s="87" t="s">
        <v>3082</v>
      </c>
      <c r="AD623" s="81"/>
      <c r="AE623" s="81" t="b">
        <v>0</v>
      </c>
      <c r="AF623" s="81">
        <v>0</v>
      </c>
      <c r="AG623" s="87" t="s">
        <v>3875</v>
      </c>
      <c r="AH623" s="81" t="b">
        <v>0</v>
      </c>
      <c r="AI623" s="81" t="s">
        <v>4092</v>
      </c>
      <c r="AJ623" s="81"/>
      <c r="AK623" s="87" t="s">
        <v>3875</v>
      </c>
      <c r="AL623" s="81" t="b">
        <v>0</v>
      </c>
      <c r="AM623" s="81">
        <v>321</v>
      </c>
      <c r="AN623" s="87" t="s">
        <v>3520</v>
      </c>
      <c r="AO623" s="87" t="s">
        <v>4110</v>
      </c>
      <c r="AP623" s="81" t="b">
        <v>0</v>
      </c>
      <c r="AQ623" s="87" t="s">
        <v>3520</v>
      </c>
      <c r="AR623" s="81" t="s">
        <v>179</v>
      </c>
      <c r="AS623" s="81">
        <v>0</v>
      </c>
      <c r="AT623" s="81">
        <v>0</v>
      </c>
      <c r="AU623" s="81"/>
      <c r="AV623" s="81"/>
      <c r="AW623" s="81"/>
      <c r="AX623" s="81"/>
      <c r="AY623" s="81"/>
      <c r="AZ623" s="81"/>
      <c r="BA623" s="81"/>
      <c r="BB623" s="81"/>
    </row>
    <row r="624" spans="1:54" x14ac:dyDescent="0.35">
      <c r="A624" s="66" t="s">
        <v>566</v>
      </c>
      <c r="B624" s="66" t="s">
        <v>1055</v>
      </c>
      <c r="C624" s="67"/>
      <c r="D624" s="68"/>
      <c r="E624" s="69"/>
      <c r="F624" s="70"/>
      <c r="G624" s="67"/>
      <c r="H624" s="71"/>
      <c r="I624" s="72"/>
      <c r="J624" s="72"/>
      <c r="K624" s="36"/>
      <c r="L624" s="79"/>
      <c r="M624" s="79"/>
      <c r="N624" s="74"/>
      <c r="O624" s="81" t="s">
        <v>1207</v>
      </c>
      <c r="P624" s="83">
        <v>44460.487199074072</v>
      </c>
      <c r="Q624" s="81" t="s">
        <v>1324</v>
      </c>
      <c r="R624" s="81"/>
      <c r="S624" s="81"/>
      <c r="T624" s="81"/>
      <c r="U624" s="85" t="str">
        <f>HYPERLINK("https://pbs.twimg.com/media/E_xVJy2VQAQerFe.jpg")</f>
        <v>https://pbs.twimg.com/media/E_xVJy2VQAQerFe.jpg</v>
      </c>
      <c r="V624" s="85" t="str">
        <f>HYPERLINK("https://pbs.twimg.com/media/E_xVJy2VQAQerFe.jpg")</f>
        <v>https://pbs.twimg.com/media/E_xVJy2VQAQerFe.jpg</v>
      </c>
      <c r="W624" s="83">
        <v>44460.487199074072</v>
      </c>
      <c r="X624" s="89">
        <v>44460</v>
      </c>
      <c r="Y624" s="87" t="s">
        <v>2159</v>
      </c>
      <c r="Z624" s="85" t="str">
        <f>HYPERLINK("https://twitter.com/ervan_jtm/status/1440280036267888648")</f>
        <v>https://twitter.com/ervan_jtm/status/1440280036267888648</v>
      </c>
      <c r="AA624" s="81"/>
      <c r="AB624" s="81"/>
      <c r="AC624" s="87" t="s">
        <v>3083</v>
      </c>
      <c r="AD624" s="81"/>
      <c r="AE624" s="81" t="b">
        <v>0</v>
      </c>
      <c r="AF624" s="81">
        <v>0</v>
      </c>
      <c r="AG624" s="87" t="s">
        <v>3875</v>
      </c>
      <c r="AH624" s="81" t="b">
        <v>0</v>
      </c>
      <c r="AI624" s="81" t="s">
        <v>4092</v>
      </c>
      <c r="AJ624" s="81"/>
      <c r="AK624" s="87" t="s">
        <v>3875</v>
      </c>
      <c r="AL624" s="81" t="b">
        <v>0</v>
      </c>
      <c r="AM624" s="81">
        <v>321</v>
      </c>
      <c r="AN624" s="87" t="s">
        <v>3520</v>
      </c>
      <c r="AO624" s="87" t="s">
        <v>4109</v>
      </c>
      <c r="AP624" s="81" t="b">
        <v>0</v>
      </c>
      <c r="AQ624" s="87" t="s">
        <v>3520</v>
      </c>
      <c r="AR624" s="81" t="s">
        <v>179</v>
      </c>
      <c r="AS624" s="81">
        <v>0</v>
      </c>
      <c r="AT624" s="81">
        <v>0</v>
      </c>
      <c r="AU624" s="81"/>
      <c r="AV624" s="81"/>
      <c r="AW624" s="81"/>
      <c r="AX624" s="81"/>
      <c r="AY624" s="81"/>
      <c r="AZ624" s="81"/>
      <c r="BA624" s="81"/>
      <c r="BB624" s="81"/>
    </row>
    <row r="625" spans="1:54" x14ac:dyDescent="0.35">
      <c r="A625" s="66" t="s">
        <v>566</v>
      </c>
      <c r="B625" s="66" t="s">
        <v>910</v>
      </c>
      <c r="C625" s="67"/>
      <c r="D625" s="68"/>
      <c r="E625" s="69"/>
      <c r="F625" s="70"/>
      <c r="G625" s="67"/>
      <c r="H625" s="71"/>
      <c r="I625" s="72"/>
      <c r="J625" s="72"/>
      <c r="K625" s="36"/>
      <c r="L625" s="79"/>
      <c r="M625" s="79"/>
      <c r="N625" s="74"/>
      <c r="O625" s="81" t="s">
        <v>1205</v>
      </c>
      <c r="P625" s="83">
        <v>44460.487199074072</v>
      </c>
      <c r="Q625" s="81" t="s">
        <v>1324</v>
      </c>
      <c r="R625" s="81"/>
      <c r="S625" s="81"/>
      <c r="T625" s="81"/>
      <c r="U625" s="85" t="str">
        <f>HYPERLINK("https://pbs.twimg.com/media/E_xVJy2VQAQerFe.jpg")</f>
        <v>https://pbs.twimg.com/media/E_xVJy2VQAQerFe.jpg</v>
      </c>
      <c r="V625" s="85" t="str">
        <f>HYPERLINK("https://pbs.twimg.com/media/E_xVJy2VQAQerFe.jpg")</f>
        <v>https://pbs.twimg.com/media/E_xVJy2VQAQerFe.jpg</v>
      </c>
      <c r="W625" s="83">
        <v>44460.487199074072</v>
      </c>
      <c r="X625" s="89">
        <v>44460</v>
      </c>
      <c r="Y625" s="87" t="s">
        <v>2159</v>
      </c>
      <c r="Z625" s="85" t="str">
        <f>HYPERLINK("https://twitter.com/ervan_jtm/status/1440280036267888648")</f>
        <v>https://twitter.com/ervan_jtm/status/1440280036267888648</v>
      </c>
      <c r="AA625" s="81"/>
      <c r="AB625" s="81"/>
      <c r="AC625" s="87" t="s">
        <v>3083</v>
      </c>
      <c r="AD625" s="81"/>
      <c r="AE625" s="81" t="b">
        <v>0</v>
      </c>
      <c r="AF625" s="81">
        <v>0</v>
      </c>
      <c r="AG625" s="87" t="s">
        <v>3875</v>
      </c>
      <c r="AH625" s="81" t="b">
        <v>0</v>
      </c>
      <c r="AI625" s="81" t="s">
        <v>4092</v>
      </c>
      <c r="AJ625" s="81"/>
      <c r="AK625" s="87" t="s">
        <v>3875</v>
      </c>
      <c r="AL625" s="81" t="b">
        <v>0</v>
      </c>
      <c r="AM625" s="81">
        <v>321</v>
      </c>
      <c r="AN625" s="87" t="s">
        <v>3520</v>
      </c>
      <c r="AO625" s="87" t="s">
        <v>4109</v>
      </c>
      <c r="AP625" s="81" t="b">
        <v>0</v>
      </c>
      <c r="AQ625" s="87" t="s">
        <v>3520</v>
      </c>
      <c r="AR625" s="81" t="s">
        <v>179</v>
      </c>
      <c r="AS625" s="81">
        <v>0</v>
      </c>
      <c r="AT625" s="81">
        <v>0</v>
      </c>
      <c r="AU625" s="81"/>
      <c r="AV625" s="81"/>
      <c r="AW625" s="81"/>
      <c r="AX625" s="81"/>
      <c r="AY625" s="81"/>
      <c r="AZ625" s="81"/>
      <c r="BA625" s="81"/>
      <c r="BB625" s="81"/>
    </row>
    <row r="626" spans="1:54" x14ac:dyDescent="0.35">
      <c r="A626" s="66" t="s">
        <v>567</v>
      </c>
      <c r="B626" s="66" t="s">
        <v>1069</v>
      </c>
      <c r="C626" s="67"/>
      <c r="D626" s="68"/>
      <c r="E626" s="69"/>
      <c r="F626" s="70"/>
      <c r="G626" s="67"/>
      <c r="H626" s="71"/>
      <c r="I626" s="72"/>
      <c r="J626" s="72"/>
      <c r="K626" s="36"/>
      <c r="L626" s="79"/>
      <c r="M626" s="79"/>
      <c r="N626" s="74"/>
      <c r="O626" s="81" t="s">
        <v>1208</v>
      </c>
      <c r="P626" s="83">
        <v>44460.497766203705</v>
      </c>
      <c r="Q626" s="81" t="s">
        <v>1346</v>
      </c>
      <c r="R626" s="81"/>
      <c r="S626" s="81"/>
      <c r="T626" s="81"/>
      <c r="U626" s="81"/>
      <c r="V626" s="85" t="str">
        <f>HYPERLINK("https://pbs.twimg.com/profile_images/1432602696226197506/gWuRgD9k_normal.jpg")</f>
        <v>https://pbs.twimg.com/profile_images/1432602696226197506/gWuRgD9k_normal.jpg</v>
      </c>
      <c r="W626" s="83">
        <v>44460.497766203705</v>
      </c>
      <c r="X626" s="89">
        <v>44460</v>
      </c>
      <c r="Y626" s="87" t="s">
        <v>2160</v>
      </c>
      <c r="Z626" s="85" t="str">
        <f>HYPERLINK("https://twitter.com/yussandrifikri/status/1440283864866299921")</f>
        <v>https://twitter.com/yussandrifikri/status/1440283864866299921</v>
      </c>
      <c r="AA626" s="81"/>
      <c r="AB626" s="81"/>
      <c r="AC626" s="87" t="s">
        <v>3084</v>
      </c>
      <c r="AD626" s="87" t="s">
        <v>3709</v>
      </c>
      <c r="AE626" s="81" t="b">
        <v>0</v>
      </c>
      <c r="AF626" s="81">
        <v>0</v>
      </c>
      <c r="AG626" s="87" t="s">
        <v>3943</v>
      </c>
      <c r="AH626" s="81" t="b">
        <v>0</v>
      </c>
      <c r="AI626" s="81" t="s">
        <v>4092</v>
      </c>
      <c r="AJ626" s="81"/>
      <c r="AK626" s="87" t="s">
        <v>3875</v>
      </c>
      <c r="AL626" s="81" t="b">
        <v>0</v>
      </c>
      <c r="AM626" s="81">
        <v>0</v>
      </c>
      <c r="AN626" s="87" t="s">
        <v>3875</v>
      </c>
      <c r="AO626" s="87" t="s">
        <v>4110</v>
      </c>
      <c r="AP626" s="81" t="b">
        <v>0</v>
      </c>
      <c r="AQ626" s="87" t="s">
        <v>3709</v>
      </c>
      <c r="AR626" s="81" t="s">
        <v>179</v>
      </c>
      <c r="AS626" s="81">
        <v>0</v>
      </c>
      <c r="AT626" s="81">
        <v>0</v>
      </c>
      <c r="AU626" s="81"/>
      <c r="AV626" s="81"/>
      <c r="AW626" s="81"/>
      <c r="AX626" s="81"/>
      <c r="AY626" s="81"/>
      <c r="AZ626" s="81"/>
      <c r="BA626" s="81"/>
      <c r="BB626" s="81"/>
    </row>
    <row r="627" spans="1:54" x14ac:dyDescent="0.35">
      <c r="A627" s="66" t="s">
        <v>568</v>
      </c>
      <c r="B627" s="66" t="s">
        <v>1055</v>
      </c>
      <c r="C627" s="67"/>
      <c r="D627" s="68"/>
      <c r="E627" s="69"/>
      <c r="F627" s="70"/>
      <c r="G627" s="67"/>
      <c r="H627" s="71"/>
      <c r="I627" s="72"/>
      <c r="J627" s="72"/>
      <c r="K627" s="36"/>
      <c r="L627" s="79"/>
      <c r="M627" s="79"/>
      <c r="N627" s="74"/>
      <c r="O627" s="81" t="s">
        <v>1207</v>
      </c>
      <c r="P627" s="83">
        <v>44460.504050925927</v>
      </c>
      <c r="Q627" s="81" t="s">
        <v>1324</v>
      </c>
      <c r="R627" s="81"/>
      <c r="S627" s="81"/>
      <c r="T627" s="81"/>
      <c r="U627" s="85" t="str">
        <f>HYPERLINK("https://pbs.twimg.com/media/E_xVJy2VQAQerFe.jpg")</f>
        <v>https://pbs.twimg.com/media/E_xVJy2VQAQerFe.jpg</v>
      </c>
      <c r="V627" s="85" t="str">
        <f>HYPERLINK("https://pbs.twimg.com/media/E_xVJy2VQAQerFe.jpg")</f>
        <v>https://pbs.twimg.com/media/E_xVJy2VQAQerFe.jpg</v>
      </c>
      <c r="W627" s="83">
        <v>44460.504050925927</v>
      </c>
      <c r="X627" s="89">
        <v>44460</v>
      </c>
      <c r="Y627" s="87" t="s">
        <v>2161</v>
      </c>
      <c r="Z627" s="85" t="str">
        <f>HYPERLINK("https://twitter.com/justin_899/status/1440286142234988550")</f>
        <v>https://twitter.com/justin_899/status/1440286142234988550</v>
      </c>
      <c r="AA627" s="81"/>
      <c r="AB627" s="81"/>
      <c r="AC627" s="87" t="s">
        <v>3085</v>
      </c>
      <c r="AD627" s="81"/>
      <c r="AE627" s="81" t="b">
        <v>0</v>
      </c>
      <c r="AF627" s="81">
        <v>0</v>
      </c>
      <c r="AG627" s="87" t="s">
        <v>3875</v>
      </c>
      <c r="AH627" s="81" t="b">
        <v>0</v>
      </c>
      <c r="AI627" s="81" t="s">
        <v>4092</v>
      </c>
      <c r="AJ627" s="81"/>
      <c r="AK627" s="87" t="s">
        <v>3875</v>
      </c>
      <c r="AL627" s="81" t="b">
        <v>0</v>
      </c>
      <c r="AM627" s="81">
        <v>321</v>
      </c>
      <c r="AN627" s="87" t="s">
        <v>3520</v>
      </c>
      <c r="AO627" s="87" t="s">
        <v>4109</v>
      </c>
      <c r="AP627" s="81" t="b">
        <v>0</v>
      </c>
      <c r="AQ627" s="87" t="s">
        <v>3520</v>
      </c>
      <c r="AR627" s="81" t="s">
        <v>179</v>
      </c>
      <c r="AS627" s="81">
        <v>0</v>
      </c>
      <c r="AT627" s="81">
        <v>0</v>
      </c>
      <c r="AU627" s="81"/>
      <c r="AV627" s="81"/>
      <c r="AW627" s="81"/>
      <c r="AX627" s="81"/>
      <c r="AY627" s="81"/>
      <c r="AZ627" s="81"/>
      <c r="BA627" s="81"/>
      <c r="BB627" s="81"/>
    </row>
    <row r="628" spans="1:54" x14ac:dyDescent="0.35">
      <c r="A628" s="66" t="s">
        <v>568</v>
      </c>
      <c r="B628" s="66" t="s">
        <v>910</v>
      </c>
      <c r="C628" s="67"/>
      <c r="D628" s="68"/>
      <c r="E628" s="69"/>
      <c r="F628" s="70"/>
      <c r="G628" s="67"/>
      <c r="H628" s="71"/>
      <c r="I628" s="72"/>
      <c r="J628" s="72"/>
      <c r="K628" s="36"/>
      <c r="L628" s="79"/>
      <c r="M628" s="79"/>
      <c r="N628" s="74"/>
      <c r="O628" s="81" t="s">
        <v>1205</v>
      </c>
      <c r="P628" s="83">
        <v>44460.504050925927</v>
      </c>
      <c r="Q628" s="81" t="s">
        <v>1324</v>
      </c>
      <c r="R628" s="81"/>
      <c r="S628" s="81"/>
      <c r="T628" s="81"/>
      <c r="U628" s="85" t="str">
        <f>HYPERLINK("https://pbs.twimg.com/media/E_xVJy2VQAQerFe.jpg")</f>
        <v>https://pbs.twimg.com/media/E_xVJy2VQAQerFe.jpg</v>
      </c>
      <c r="V628" s="85" t="str">
        <f>HYPERLINK("https://pbs.twimg.com/media/E_xVJy2VQAQerFe.jpg")</f>
        <v>https://pbs.twimg.com/media/E_xVJy2VQAQerFe.jpg</v>
      </c>
      <c r="W628" s="83">
        <v>44460.504050925927</v>
      </c>
      <c r="X628" s="89">
        <v>44460</v>
      </c>
      <c r="Y628" s="87" t="s">
        <v>2161</v>
      </c>
      <c r="Z628" s="85" t="str">
        <f>HYPERLINK("https://twitter.com/justin_899/status/1440286142234988550")</f>
        <v>https://twitter.com/justin_899/status/1440286142234988550</v>
      </c>
      <c r="AA628" s="81"/>
      <c r="AB628" s="81"/>
      <c r="AC628" s="87" t="s">
        <v>3085</v>
      </c>
      <c r="AD628" s="81"/>
      <c r="AE628" s="81" t="b">
        <v>0</v>
      </c>
      <c r="AF628" s="81">
        <v>0</v>
      </c>
      <c r="AG628" s="87" t="s">
        <v>3875</v>
      </c>
      <c r="AH628" s="81" t="b">
        <v>0</v>
      </c>
      <c r="AI628" s="81" t="s">
        <v>4092</v>
      </c>
      <c r="AJ628" s="81"/>
      <c r="AK628" s="87" t="s">
        <v>3875</v>
      </c>
      <c r="AL628" s="81" t="b">
        <v>0</v>
      </c>
      <c r="AM628" s="81">
        <v>321</v>
      </c>
      <c r="AN628" s="87" t="s">
        <v>3520</v>
      </c>
      <c r="AO628" s="87" t="s">
        <v>4109</v>
      </c>
      <c r="AP628" s="81" t="b">
        <v>0</v>
      </c>
      <c r="AQ628" s="87" t="s">
        <v>3520</v>
      </c>
      <c r="AR628" s="81" t="s">
        <v>179</v>
      </c>
      <c r="AS628" s="81">
        <v>0</v>
      </c>
      <c r="AT628" s="81">
        <v>0</v>
      </c>
      <c r="AU628" s="81"/>
      <c r="AV628" s="81"/>
      <c r="AW628" s="81"/>
      <c r="AX628" s="81"/>
      <c r="AY628" s="81"/>
      <c r="AZ628" s="81"/>
      <c r="BA628" s="81"/>
      <c r="BB628" s="81"/>
    </row>
    <row r="629" spans="1:54" x14ac:dyDescent="0.35">
      <c r="A629" s="66" t="s">
        <v>569</v>
      </c>
      <c r="B629" s="66" t="s">
        <v>1055</v>
      </c>
      <c r="C629" s="67"/>
      <c r="D629" s="68"/>
      <c r="E629" s="69"/>
      <c r="F629" s="70"/>
      <c r="G629" s="67"/>
      <c r="H629" s="71"/>
      <c r="I629" s="72"/>
      <c r="J629" s="72"/>
      <c r="K629" s="36"/>
      <c r="L629" s="79"/>
      <c r="M629" s="79"/>
      <c r="N629" s="74"/>
      <c r="O629" s="81" t="s">
        <v>1207</v>
      </c>
      <c r="P629" s="83">
        <v>44460.507280092592</v>
      </c>
      <c r="Q629" s="81" t="s">
        <v>1324</v>
      </c>
      <c r="R629" s="81"/>
      <c r="S629" s="81"/>
      <c r="T629" s="81"/>
      <c r="U629" s="85" t="str">
        <f>HYPERLINK("https://pbs.twimg.com/media/E_xVJy2VQAQerFe.jpg")</f>
        <v>https://pbs.twimg.com/media/E_xVJy2VQAQerFe.jpg</v>
      </c>
      <c r="V629" s="85" t="str">
        <f>HYPERLINK("https://pbs.twimg.com/media/E_xVJy2VQAQerFe.jpg")</f>
        <v>https://pbs.twimg.com/media/E_xVJy2VQAQerFe.jpg</v>
      </c>
      <c r="W629" s="83">
        <v>44460.507280092592</v>
      </c>
      <c r="X629" s="89">
        <v>44460</v>
      </c>
      <c r="Y629" s="87" t="s">
        <v>2162</v>
      </c>
      <c r="Z629" s="85" t="str">
        <f>HYPERLINK("https://twitter.com/lizaariani5/status/1440287313620193290")</f>
        <v>https://twitter.com/lizaariani5/status/1440287313620193290</v>
      </c>
      <c r="AA629" s="81"/>
      <c r="AB629" s="81"/>
      <c r="AC629" s="87" t="s">
        <v>3086</v>
      </c>
      <c r="AD629" s="81"/>
      <c r="AE629" s="81" t="b">
        <v>0</v>
      </c>
      <c r="AF629" s="81">
        <v>0</v>
      </c>
      <c r="AG629" s="87" t="s">
        <v>3875</v>
      </c>
      <c r="AH629" s="81" t="b">
        <v>0</v>
      </c>
      <c r="AI629" s="81" t="s">
        <v>4092</v>
      </c>
      <c r="AJ629" s="81"/>
      <c r="AK629" s="87" t="s">
        <v>3875</v>
      </c>
      <c r="AL629" s="81" t="b">
        <v>0</v>
      </c>
      <c r="AM629" s="81">
        <v>321</v>
      </c>
      <c r="AN629" s="87" t="s">
        <v>3520</v>
      </c>
      <c r="AO629" s="87" t="s">
        <v>4109</v>
      </c>
      <c r="AP629" s="81" t="b">
        <v>0</v>
      </c>
      <c r="AQ629" s="87" t="s">
        <v>3520</v>
      </c>
      <c r="AR629" s="81" t="s">
        <v>179</v>
      </c>
      <c r="AS629" s="81">
        <v>0</v>
      </c>
      <c r="AT629" s="81">
        <v>0</v>
      </c>
      <c r="AU629" s="81"/>
      <c r="AV629" s="81"/>
      <c r="AW629" s="81"/>
      <c r="AX629" s="81"/>
      <c r="AY629" s="81"/>
      <c r="AZ629" s="81"/>
      <c r="BA629" s="81"/>
      <c r="BB629" s="81"/>
    </row>
    <row r="630" spans="1:54" x14ac:dyDescent="0.35">
      <c r="A630" s="66" t="s">
        <v>569</v>
      </c>
      <c r="B630" s="66" t="s">
        <v>910</v>
      </c>
      <c r="C630" s="67"/>
      <c r="D630" s="68"/>
      <c r="E630" s="69"/>
      <c r="F630" s="70"/>
      <c r="G630" s="67"/>
      <c r="H630" s="71"/>
      <c r="I630" s="72"/>
      <c r="J630" s="72"/>
      <c r="K630" s="36"/>
      <c r="L630" s="79"/>
      <c r="M630" s="79"/>
      <c r="N630" s="74"/>
      <c r="O630" s="81" t="s">
        <v>1205</v>
      </c>
      <c r="P630" s="83">
        <v>44460.507280092592</v>
      </c>
      <c r="Q630" s="81" t="s">
        <v>1324</v>
      </c>
      <c r="R630" s="81"/>
      <c r="S630" s="81"/>
      <c r="T630" s="81"/>
      <c r="U630" s="85" t="str">
        <f>HYPERLINK("https://pbs.twimg.com/media/E_xVJy2VQAQerFe.jpg")</f>
        <v>https://pbs.twimg.com/media/E_xVJy2VQAQerFe.jpg</v>
      </c>
      <c r="V630" s="85" t="str">
        <f>HYPERLINK("https://pbs.twimg.com/media/E_xVJy2VQAQerFe.jpg")</f>
        <v>https://pbs.twimg.com/media/E_xVJy2VQAQerFe.jpg</v>
      </c>
      <c r="W630" s="83">
        <v>44460.507280092592</v>
      </c>
      <c r="X630" s="89">
        <v>44460</v>
      </c>
      <c r="Y630" s="87" t="s">
        <v>2162</v>
      </c>
      <c r="Z630" s="85" t="str">
        <f>HYPERLINK("https://twitter.com/lizaariani5/status/1440287313620193290")</f>
        <v>https://twitter.com/lizaariani5/status/1440287313620193290</v>
      </c>
      <c r="AA630" s="81"/>
      <c r="AB630" s="81"/>
      <c r="AC630" s="87" t="s">
        <v>3086</v>
      </c>
      <c r="AD630" s="81"/>
      <c r="AE630" s="81" t="b">
        <v>0</v>
      </c>
      <c r="AF630" s="81">
        <v>0</v>
      </c>
      <c r="AG630" s="87" t="s">
        <v>3875</v>
      </c>
      <c r="AH630" s="81" t="b">
        <v>0</v>
      </c>
      <c r="AI630" s="81" t="s">
        <v>4092</v>
      </c>
      <c r="AJ630" s="81"/>
      <c r="AK630" s="87" t="s">
        <v>3875</v>
      </c>
      <c r="AL630" s="81" t="b">
        <v>0</v>
      </c>
      <c r="AM630" s="81">
        <v>321</v>
      </c>
      <c r="AN630" s="87" t="s">
        <v>3520</v>
      </c>
      <c r="AO630" s="87" t="s">
        <v>4109</v>
      </c>
      <c r="AP630" s="81" t="b">
        <v>0</v>
      </c>
      <c r="AQ630" s="87" t="s">
        <v>3520</v>
      </c>
      <c r="AR630" s="81" t="s">
        <v>179</v>
      </c>
      <c r="AS630" s="81">
        <v>0</v>
      </c>
      <c r="AT630" s="81">
        <v>0</v>
      </c>
      <c r="AU630" s="81"/>
      <c r="AV630" s="81"/>
      <c r="AW630" s="81"/>
      <c r="AX630" s="81"/>
      <c r="AY630" s="81"/>
      <c r="AZ630" s="81"/>
      <c r="BA630" s="81"/>
      <c r="BB630" s="81"/>
    </row>
    <row r="631" spans="1:54" x14ac:dyDescent="0.35">
      <c r="A631" s="66" t="s">
        <v>570</v>
      </c>
      <c r="B631" s="66" t="s">
        <v>1055</v>
      </c>
      <c r="C631" s="67"/>
      <c r="D631" s="68"/>
      <c r="E631" s="69"/>
      <c r="F631" s="70"/>
      <c r="G631" s="67"/>
      <c r="H631" s="71"/>
      <c r="I631" s="72"/>
      <c r="J631" s="72"/>
      <c r="K631" s="36"/>
      <c r="L631" s="79"/>
      <c r="M631" s="79"/>
      <c r="N631" s="74"/>
      <c r="O631" s="81" t="s">
        <v>1207</v>
      </c>
      <c r="P631" s="83">
        <v>44460.513680555552</v>
      </c>
      <c r="Q631" s="81" t="s">
        <v>1324</v>
      </c>
      <c r="R631" s="81"/>
      <c r="S631" s="81"/>
      <c r="T631" s="81"/>
      <c r="U631" s="85" t="str">
        <f>HYPERLINK("https://pbs.twimg.com/media/E_xVJy2VQAQerFe.jpg")</f>
        <v>https://pbs.twimg.com/media/E_xVJy2VQAQerFe.jpg</v>
      </c>
      <c r="V631" s="85" t="str">
        <f>HYPERLINK("https://pbs.twimg.com/media/E_xVJy2VQAQerFe.jpg")</f>
        <v>https://pbs.twimg.com/media/E_xVJy2VQAQerFe.jpg</v>
      </c>
      <c r="W631" s="83">
        <v>44460.513680555552</v>
      </c>
      <c r="X631" s="89">
        <v>44460</v>
      </c>
      <c r="Y631" s="87" t="s">
        <v>2163</v>
      </c>
      <c r="Z631" s="85" t="str">
        <f>HYPERLINK("https://twitter.com/widiatis279/status/1440289631254183953")</f>
        <v>https://twitter.com/widiatis279/status/1440289631254183953</v>
      </c>
      <c r="AA631" s="81"/>
      <c r="AB631" s="81"/>
      <c r="AC631" s="87" t="s">
        <v>3087</v>
      </c>
      <c r="AD631" s="81"/>
      <c r="AE631" s="81" t="b">
        <v>0</v>
      </c>
      <c r="AF631" s="81">
        <v>0</v>
      </c>
      <c r="AG631" s="87" t="s">
        <v>3875</v>
      </c>
      <c r="AH631" s="81" t="b">
        <v>0</v>
      </c>
      <c r="AI631" s="81" t="s">
        <v>4092</v>
      </c>
      <c r="AJ631" s="81"/>
      <c r="AK631" s="87" t="s">
        <v>3875</v>
      </c>
      <c r="AL631" s="81" t="b">
        <v>0</v>
      </c>
      <c r="AM631" s="81">
        <v>321</v>
      </c>
      <c r="AN631" s="87" t="s">
        <v>3520</v>
      </c>
      <c r="AO631" s="87" t="s">
        <v>4110</v>
      </c>
      <c r="AP631" s="81" t="b">
        <v>0</v>
      </c>
      <c r="AQ631" s="87" t="s">
        <v>3520</v>
      </c>
      <c r="AR631" s="81" t="s">
        <v>179</v>
      </c>
      <c r="AS631" s="81">
        <v>0</v>
      </c>
      <c r="AT631" s="81">
        <v>0</v>
      </c>
      <c r="AU631" s="81"/>
      <c r="AV631" s="81"/>
      <c r="AW631" s="81"/>
      <c r="AX631" s="81"/>
      <c r="AY631" s="81"/>
      <c r="AZ631" s="81"/>
      <c r="BA631" s="81"/>
      <c r="BB631" s="81"/>
    </row>
    <row r="632" spans="1:54" x14ac:dyDescent="0.35">
      <c r="A632" s="66" t="s">
        <v>570</v>
      </c>
      <c r="B632" s="66" t="s">
        <v>910</v>
      </c>
      <c r="C632" s="67"/>
      <c r="D632" s="68"/>
      <c r="E632" s="69"/>
      <c r="F632" s="70"/>
      <c r="G632" s="67"/>
      <c r="H632" s="71"/>
      <c r="I632" s="72"/>
      <c r="J632" s="72"/>
      <c r="K632" s="36"/>
      <c r="L632" s="79"/>
      <c r="M632" s="79"/>
      <c r="N632" s="74"/>
      <c r="O632" s="81" t="s">
        <v>1205</v>
      </c>
      <c r="P632" s="83">
        <v>44460.513680555552</v>
      </c>
      <c r="Q632" s="81" t="s">
        <v>1324</v>
      </c>
      <c r="R632" s="81"/>
      <c r="S632" s="81"/>
      <c r="T632" s="81"/>
      <c r="U632" s="85" t="str">
        <f>HYPERLINK("https://pbs.twimg.com/media/E_xVJy2VQAQerFe.jpg")</f>
        <v>https://pbs.twimg.com/media/E_xVJy2VQAQerFe.jpg</v>
      </c>
      <c r="V632" s="85" t="str">
        <f>HYPERLINK("https://pbs.twimg.com/media/E_xVJy2VQAQerFe.jpg")</f>
        <v>https://pbs.twimg.com/media/E_xVJy2VQAQerFe.jpg</v>
      </c>
      <c r="W632" s="83">
        <v>44460.513680555552</v>
      </c>
      <c r="X632" s="89">
        <v>44460</v>
      </c>
      <c r="Y632" s="87" t="s">
        <v>2163</v>
      </c>
      <c r="Z632" s="85" t="str">
        <f>HYPERLINK("https://twitter.com/widiatis279/status/1440289631254183953")</f>
        <v>https://twitter.com/widiatis279/status/1440289631254183953</v>
      </c>
      <c r="AA632" s="81"/>
      <c r="AB632" s="81"/>
      <c r="AC632" s="87" t="s">
        <v>3087</v>
      </c>
      <c r="AD632" s="81"/>
      <c r="AE632" s="81" t="b">
        <v>0</v>
      </c>
      <c r="AF632" s="81">
        <v>0</v>
      </c>
      <c r="AG632" s="87" t="s">
        <v>3875</v>
      </c>
      <c r="AH632" s="81" t="b">
        <v>0</v>
      </c>
      <c r="AI632" s="81" t="s">
        <v>4092</v>
      </c>
      <c r="AJ632" s="81"/>
      <c r="AK632" s="87" t="s">
        <v>3875</v>
      </c>
      <c r="AL632" s="81" t="b">
        <v>0</v>
      </c>
      <c r="AM632" s="81">
        <v>321</v>
      </c>
      <c r="AN632" s="87" t="s">
        <v>3520</v>
      </c>
      <c r="AO632" s="87" t="s">
        <v>4110</v>
      </c>
      <c r="AP632" s="81" t="b">
        <v>0</v>
      </c>
      <c r="AQ632" s="87" t="s">
        <v>3520</v>
      </c>
      <c r="AR632" s="81" t="s">
        <v>179</v>
      </c>
      <c r="AS632" s="81">
        <v>0</v>
      </c>
      <c r="AT632" s="81">
        <v>0</v>
      </c>
      <c r="AU632" s="81"/>
      <c r="AV632" s="81"/>
      <c r="AW632" s="81"/>
      <c r="AX632" s="81"/>
      <c r="AY632" s="81"/>
      <c r="AZ632" s="81"/>
      <c r="BA632" s="81"/>
      <c r="BB632" s="81"/>
    </row>
    <row r="633" spans="1:54" x14ac:dyDescent="0.35">
      <c r="A633" s="66" t="s">
        <v>571</v>
      </c>
      <c r="B633" s="66" t="s">
        <v>1055</v>
      </c>
      <c r="C633" s="67"/>
      <c r="D633" s="68"/>
      <c r="E633" s="69"/>
      <c r="F633" s="70"/>
      <c r="G633" s="67"/>
      <c r="H633" s="71"/>
      <c r="I633" s="72"/>
      <c r="J633" s="72"/>
      <c r="K633" s="36"/>
      <c r="L633" s="79"/>
      <c r="M633" s="79"/>
      <c r="N633" s="74"/>
      <c r="O633" s="81" t="s">
        <v>1207</v>
      </c>
      <c r="P633" s="83">
        <v>44460.536874999998</v>
      </c>
      <c r="Q633" s="81" t="s">
        <v>1324</v>
      </c>
      <c r="R633" s="81"/>
      <c r="S633" s="81"/>
      <c r="T633" s="81"/>
      <c r="U633" s="85" t="str">
        <f>HYPERLINK("https://pbs.twimg.com/media/E_xVJy2VQAQerFe.jpg")</f>
        <v>https://pbs.twimg.com/media/E_xVJy2VQAQerFe.jpg</v>
      </c>
      <c r="V633" s="85" t="str">
        <f>HYPERLINK("https://pbs.twimg.com/media/E_xVJy2VQAQerFe.jpg")</f>
        <v>https://pbs.twimg.com/media/E_xVJy2VQAQerFe.jpg</v>
      </c>
      <c r="W633" s="83">
        <v>44460.536874999998</v>
      </c>
      <c r="X633" s="89">
        <v>44460</v>
      </c>
      <c r="Y633" s="87" t="s">
        <v>2164</v>
      </c>
      <c r="Z633" s="85" t="str">
        <f>HYPERLINK("https://twitter.com/nathanaelnugro1/status/1440298038132494348")</f>
        <v>https://twitter.com/nathanaelnugro1/status/1440298038132494348</v>
      </c>
      <c r="AA633" s="81"/>
      <c r="AB633" s="81"/>
      <c r="AC633" s="87" t="s">
        <v>3088</v>
      </c>
      <c r="AD633" s="81"/>
      <c r="AE633" s="81" t="b">
        <v>0</v>
      </c>
      <c r="AF633" s="81">
        <v>0</v>
      </c>
      <c r="AG633" s="87" t="s">
        <v>3875</v>
      </c>
      <c r="AH633" s="81" t="b">
        <v>0</v>
      </c>
      <c r="AI633" s="81" t="s">
        <v>4092</v>
      </c>
      <c r="AJ633" s="81"/>
      <c r="AK633" s="87" t="s">
        <v>3875</v>
      </c>
      <c r="AL633" s="81" t="b">
        <v>0</v>
      </c>
      <c r="AM633" s="81">
        <v>321</v>
      </c>
      <c r="AN633" s="87" t="s">
        <v>3520</v>
      </c>
      <c r="AO633" s="87" t="s">
        <v>4109</v>
      </c>
      <c r="AP633" s="81" t="b">
        <v>0</v>
      </c>
      <c r="AQ633" s="87" t="s">
        <v>3520</v>
      </c>
      <c r="AR633" s="81" t="s">
        <v>179</v>
      </c>
      <c r="AS633" s="81">
        <v>0</v>
      </c>
      <c r="AT633" s="81">
        <v>0</v>
      </c>
      <c r="AU633" s="81"/>
      <c r="AV633" s="81"/>
      <c r="AW633" s="81"/>
      <c r="AX633" s="81"/>
      <c r="AY633" s="81"/>
      <c r="AZ633" s="81"/>
      <c r="BA633" s="81"/>
      <c r="BB633" s="81"/>
    </row>
    <row r="634" spans="1:54" x14ac:dyDescent="0.35">
      <c r="A634" s="66" t="s">
        <v>571</v>
      </c>
      <c r="B634" s="66" t="s">
        <v>910</v>
      </c>
      <c r="C634" s="67"/>
      <c r="D634" s="68"/>
      <c r="E634" s="69"/>
      <c r="F634" s="70"/>
      <c r="G634" s="67"/>
      <c r="H634" s="71"/>
      <c r="I634" s="72"/>
      <c r="J634" s="72"/>
      <c r="K634" s="36"/>
      <c r="L634" s="79"/>
      <c r="M634" s="79"/>
      <c r="N634" s="74"/>
      <c r="O634" s="81" t="s">
        <v>1205</v>
      </c>
      <c r="P634" s="83">
        <v>44460.536874999998</v>
      </c>
      <c r="Q634" s="81" t="s">
        <v>1324</v>
      </c>
      <c r="R634" s="81"/>
      <c r="S634" s="81"/>
      <c r="T634" s="81"/>
      <c r="U634" s="85" t="str">
        <f>HYPERLINK("https://pbs.twimg.com/media/E_xVJy2VQAQerFe.jpg")</f>
        <v>https://pbs.twimg.com/media/E_xVJy2VQAQerFe.jpg</v>
      </c>
      <c r="V634" s="85" t="str">
        <f>HYPERLINK("https://pbs.twimg.com/media/E_xVJy2VQAQerFe.jpg")</f>
        <v>https://pbs.twimg.com/media/E_xVJy2VQAQerFe.jpg</v>
      </c>
      <c r="W634" s="83">
        <v>44460.536874999998</v>
      </c>
      <c r="X634" s="89">
        <v>44460</v>
      </c>
      <c r="Y634" s="87" t="s">
        <v>2164</v>
      </c>
      <c r="Z634" s="85" t="str">
        <f>HYPERLINK("https://twitter.com/nathanaelnugro1/status/1440298038132494348")</f>
        <v>https://twitter.com/nathanaelnugro1/status/1440298038132494348</v>
      </c>
      <c r="AA634" s="81"/>
      <c r="AB634" s="81"/>
      <c r="AC634" s="87" t="s">
        <v>3088</v>
      </c>
      <c r="AD634" s="81"/>
      <c r="AE634" s="81" t="b">
        <v>0</v>
      </c>
      <c r="AF634" s="81">
        <v>0</v>
      </c>
      <c r="AG634" s="87" t="s">
        <v>3875</v>
      </c>
      <c r="AH634" s="81" t="b">
        <v>0</v>
      </c>
      <c r="AI634" s="81" t="s">
        <v>4092</v>
      </c>
      <c r="AJ634" s="81"/>
      <c r="AK634" s="87" t="s">
        <v>3875</v>
      </c>
      <c r="AL634" s="81" t="b">
        <v>0</v>
      </c>
      <c r="AM634" s="81">
        <v>321</v>
      </c>
      <c r="AN634" s="87" t="s">
        <v>3520</v>
      </c>
      <c r="AO634" s="87" t="s">
        <v>4109</v>
      </c>
      <c r="AP634" s="81" t="b">
        <v>0</v>
      </c>
      <c r="AQ634" s="87" t="s">
        <v>3520</v>
      </c>
      <c r="AR634" s="81" t="s">
        <v>179</v>
      </c>
      <c r="AS634" s="81">
        <v>0</v>
      </c>
      <c r="AT634" s="81">
        <v>0</v>
      </c>
      <c r="AU634" s="81"/>
      <c r="AV634" s="81"/>
      <c r="AW634" s="81"/>
      <c r="AX634" s="81"/>
      <c r="AY634" s="81"/>
      <c r="AZ634" s="81"/>
      <c r="BA634" s="81"/>
      <c r="BB634" s="81"/>
    </row>
    <row r="635" spans="1:54" x14ac:dyDescent="0.35">
      <c r="A635" s="66" t="s">
        <v>572</v>
      </c>
      <c r="B635" s="66" t="s">
        <v>1055</v>
      </c>
      <c r="C635" s="67"/>
      <c r="D635" s="68"/>
      <c r="E635" s="69"/>
      <c r="F635" s="70"/>
      <c r="G635" s="67"/>
      <c r="H635" s="71"/>
      <c r="I635" s="72"/>
      <c r="J635" s="72"/>
      <c r="K635" s="36"/>
      <c r="L635" s="79"/>
      <c r="M635" s="79"/>
      <c r="N635" s="74"/>
      <c r="O635" s="81" t="s">
        <v>1207</v>
      </c>
      <c r="P635" s="83">
        <v>44460.538645833331</v>
      </c>
      <c r="Q635" s="81" t="s">
        <v>1324</v>
      </c>
      <c r="R635" s="81"/>
      <c r="S635" s="81"/>
      <c r="T635" s="81"/>
      <c r="U635" s="85" t="str">
        <f>HYPERLINK("https://pbs.twimg.com/media/E_xVJy2VQAQerFe.jpg")</f>
        <v>https://pbs.twimg.com/media/E_xVJy2VQAQerFe.jpg</v>
      </c>
      <c r="V635" s="85" t="str">
        <f>HYPERLINK("https://pbs.twimg.com/media/E_xVJy2VQAQerFe.jpg")</f>
        <v>https://pbs.twimg.com/media/E_xVJy2VQAQerFe.jpg</v>
      </c>
      <c r="W635" s="83">
        <v>44460.538645833331</v>
      </c>
      <c r="X635" s="89">
        <v>44460</v>
      </c>
      <c r="Y635" s="87" t="s">
        <v>2165</v>
      </c>
      <c r="Z635" s="85" t="str">
        <f>HYPERLINK("https://twitter.com/erosyad/status/1440298681421348872")</f>
        <v>https://twitter.com/erosyad/status/1440298681421348872</v>
      </c>
      <c r="AA635" s="81"/>
      <c r="AB635" s="81"/>
      <c r="AC635" s="87" t="s">
        <v>3089</v>
      </c>
      <c r="AD635" s="81"/>
      <c r="AE635" s="81" t="b">
        <v>0</v>
      </c>
      <c r="AF635" s="81">
        <v>0</v>
      </c>
      <c r="AG635" s="87" t="s">
        <v>3875</v>
      </c>
      <c r="AH635" s="81" t="b">
        <v>0</v>
      </c>
      <c r="AI635" s="81" t="s">
        <v>4092</v>
      </c>
      <c r="AJ635" s="81"/>
      <c r="AK635" s="87" t="s">
        <v>3875</v>
      </c>
      <c r="AL635" s="81" t="b">
        <v>0</v>
      </c>
      <c r="AM635" s="81">
        <v>321</v>
      </c>
      <c r="AN635" s="87" t="s">
        <v>3520</v>
      </c>
      <c r="AO635" s="87" t="s">
        <v>4109</v>
      </c>
      <c r="AP635" s="81" t="b">
        <v>0</v>
      </c>
      <c r="AQ635" s="87" t="s">
        <v>3520</v>
      </c>
      <c r="AR635" s="81" t="s">
        <v>179</v>
      </c>
      <c r="AS635" s="81">
        <v>0</v>
      </c>
      <c r="AT635" s="81">
        <v>0</v>
      </c>
      <c r="AU635" s="81"/>
      <c r="AV635" s="81"/>
      <c r="AW635" s="81"/>
      <c r="AX635" s="81"/>
      <c r="AY635" s="81"/>
      <c r="AZ635" s="81"/>
      <c r="BA635" s="81"/>
      <c r="BB635" s="81"/>
    </row>
    <row r="636" spans="1:54" x14ac:dyDescent="0.35">
      <c r="A636" s="66" t="s">
        <v>572</v>
      </c>
      <c r="B636" s="66" t="s">
        <v>910</v>
      </c>
      <c r="C636" s="67"/>
      <c r="D636" s="68"/>
      <c r="E636" s="69"/>
      <c r="F636" s="70"/>
      <c r="G636" s="67"/>
      <c r="H636" s="71"/>
      <c r="I636" s="72"/>
      <c r="J636" s="72"/>
      <c r="K636" s="36"/>
      <c r="L636" s="79"/>
      <c r="M636" s="79"/>
      <c r="N636" s="74"/>
      <c r="O636" s="81" t="s">
        <v>1205</v>
      </c>
      <c r="P636" s="83">
        <v>44460.538645833331</v>
      </c>
      <c r="Q636" s="81" t="s">
        <v>1324</v>
      </c>
      <c r="R636" s="81"/>
      <c r="S636" s="81"/>
      <c r="T636" s="81"/>
      <c r="U636" s="85" t="str">
        <f>HYPERLINK("https://pbs.twimg.com/media/E_xVJy2VQAQerFe.jpg")</f>
        <v>https://pbs.twimg.com/media/E_xVJy2VQAQerFe.jpg</v>
      </c>
      <c r="V636" s="85" t="str">
        <f>HYPERLINK("https://pbs.twimg.com/media/E_xVJy2VQAQerFe.jpg")</f>
        <v>https://pbs.twimg.com/media/E_xVJy2VQAQerFe.jpg</v>
      </c>
      <c r="W636" s="83">
        <v>44460.538645833331</v>
      </c>
      <c r="X636" s="89">
        <v>44460</v>
      </c>
      <c r="Y636" s="87" t="s">
        <v>2165</v>
      </c>
      <c r="Z636" s="85" t="str">
        <f>HYPERLINK("https://twitter.com/erosyad/status/1440298681421348872")</f>
        <v>https://twitter.com/erosyad/status/1440298681421348872</v>
      </c>
      <c r="AA636" s="81"/>
      <c r="AB636" s="81"/>
      <c r="AC636" s="87" t="s">
        <v>3089</v>
      </c>
      <c r="AD636" s="81"/>
      <c r="AE636" s="81" t="b">
        <v>0</v>
      </c>
      <c r="AF636" s="81">
        <v>0</v>
      </c>
      <c r="AG636" s="87" t="s">
        <v>3875</v>
      </c>
      <c r="AH636" s="81" t="b">
        <v>0</v>
      </c>
      <c r="AI636" s="81" t="s">
        <v>4092</v>
      </c>
      <c r="AJ636" s="81"/>
      <c r="AK636" s="87" t="s">
        <v>3875</v>
      </c>
      <c r="AL636" s="81" t="b">
        <v>0</v>
      </c>
      <c r="AM636" s="81">
        <v>321</v>
      </c>
      <c r="AN636" s="87" t="s">
        <v>3520</v>
      </c>
      <c r="AO636" s="87" t="s">
        <v>4109</v>
      </c>
      <c r="AP636" s="81" t="b">
        <v>0</v>
      </c>
      <c r="AQ636" s="87" t="s">
        <v>3520</v>
      </c>
      <c r="AR636" s="81" t="s">
        <v>179</v>
      </c>
      <c r="AS636" s="81">
        <v>0</v>
      </c>
      <c r="AT636" s="81">
        <v>0</v>
      </c>
      <c r="AU636" s="81"/>
      <c r="AV636" s="81"/>
      <c r="AW636" s="81"/>
      <c r="AX636" s="81"/>
      <c r="AY636" s="81"/>
      <c r="AZ636" s="81"/>
      <c r="BA636" s="81"/>
      <c r="BB636" s="81"/>
    </row>
    <row r="637" spans="1:54" x14ac:dyDescent="0.35">
      <c r="A637" s="66" t="s">
        <v>573</v>
      </c>
      <c r="B637" s="66" t="s">
        <v>1055</v>
      </c>
      <c r="C637" s="67"/>
      <c r="D637" s="68"/>
      <c r="E637" s="69"/>
      <c r="F637" s="70"/>
      <c r="G637" s="67"/>
      <c r="H637" s="71"/>
      <c r="I637" s="72"/>
      <c r="J637" s="72"/>
      <c r="K637" s="36"/>
      <c r="L637" s="79"/>
      <c r="M637" s="79"/>
      <c r="N637" s="74"/>
      <c r="O637" s="81" t="s">
        <v>1207</v>
      </c>
      <c r="P637" s="83">
        <v>44460.538958333331</v>
      </c>
      <c r="Q637" s="81" t="s">
        <v>1324</v>
      </c>
      <c r="R637" s="81"/>
      <c r="S637" s="81"/>
      <c r="T637" s="81"/>
      <c r="U637" s="85" t="str">
        <f>HYPERLINK("https://pbs.twimg.com/media/E_xVJy2VQAQerFe.jpg")</f>
        <v>https://pbs.twimg.com/media/E_xVJy2VQAQerFe.jpg</v>
      </c>
      <c r="V637" s="85" t="str">
        <f>HYPERLINK("https://pbs.twimg.com/media/E_xVJy2VQAQerFe.jpg")</f>
        <v>https://pbs.twimg.com/media/E_xVJy2VQAQerFe.jpg</v>
      </c>
      <c r="W637" s="83">
        <v>44460.538958333331</v>
      </c>
      <c r="X637" s="89">
        <v>44460</v>
      </c>
      <c r="Y637" s="87" t="s">
        <v>2166</v>
      </c>
      <c r="Z637" s="85" t="str">
        <f>HYPERLINK("https://twitter.com/nogososroasli/status/1440298794348789775")</f>
        <v>https://twitter.com/nogososroasli/status/1440298794348789775</v>
      </c>
      <c r="AA637" s="81"/>
      <c r="AB637" s="81"/>
      <c r="AC637" s="87" t="s">
        <v>3090</v>
      </c>
      <c r="AD637" s="81"/>
      <c r="AE637" s="81" t="b">
        <v>0</v>
      </c>
      <c r="AF637" s="81">
        <v>0</v>
      </c>
      <c r="AG637" s="87" t="s">
        <v>3875</v>
      </c>
      <c r="AH637" s="81" t="b">
        <v>0</v>
      </c>
      <c r="AI637" s="81" t="s">
        <v>4092</v>
      </c>
      <c r="AJ637" s="81"/>
      <c r="AK637" s="87" t="s">
        <v>3875</v>
      </c>
      <c r="AL637" s="81" t="b">
        <v>0</v>
      </c>
      <c r="AM637" s="81">
        <v>321</v>
      </c>
      <c r="AN637" s="87" t="s">
        <v>3520</v>
      </c>
      <c r="AO637" s="87" t="s">
        <v>4109</v>
      </c>
      <c r="AP637" s="81" t="b">
        <v>0</v>
      </c>
      <c r="AQ637" s="87" t="s">
        <v>3520</v>
      </c>
      <c r="AR637" s="81" t="s">
        <v>179</v>
      </c>
      <c r="AS637" s="81">
        <v>0</v>
      </c>
      <c r="AT637" s="81">
        <v>0</v>
      </c>
      <c r="AU637" s="81"/>
      <c r="AV637" s="81"/>
      <c r="AW637" s="81"/>
      <c r="AX637" s="81"/>
      <c r="AY637" s="81"/>
      <c r="AZ637" s="81"/>
      <c r="BA637" s="81"/>
      <c r="BB637" s="81"/>
    </row>
    <row r="638" spans="1:54" x14ac:dyDescent="0.35">
      <c r="A638" s="66" t="s">
        <v>573</v>
      </c>
      <c r="B638" s="66" t="s">
        <v>910</v>
      </c>
      <c r="C638" s="67"/>
      <c r="D638" s="68"/>
      <c r="E638" s="69"/>
      <c r="F638" s="70"/>
      <c r="G638" s="67"/>
      <c r="H638" s="71"/>
      <c r="I638" s="72"/>
      <c r="J638" s="72"/>
      <c r="K638" s="36"/>
      <c r="L638" s="79"/>
      <c r="M638" s="79"/>
      <c r="N638" s="74"/>
      <c r="O638" s="81" t="s">
        <v>1205</v>
      </c>
      <c r="P638" s="83">
        <v>44460.538958333331</v>
      </c>
      <c r="Q638" s="81" t="s">
        <v>1324</v>
      </c>
      <c r="R638" s="81"/>
      <c r="S638" s="81"/>
      <c r="T638" s="81"/>
      <c r="U638" s="85" t="str">
        <f>HYPERLINK("https://pbs.twimg.com/media/E_xVJy2VQAQerFe.jpg")</f>
        <v>https://pbs.twimg.com/media/E_xVJy2VQAQerFe.jpg</v>
      </c>
      <c r="V638" s="85" t="str">
        <f>HYPERLINK("https://pbs.twimg.com/media/E_xVJy2VQAQerFe.jpg")</f>
        <v>https://pbs.twimg.com/media/E_xVJy2VQAQerFe.jpg</v>
      </c>
      <c r="W638" s="83">
        <v>44460.538958333331</v>
      </c>
      <c r="X638" s="89">
        <v>44460</v>
      </c>
      <c r="Y638" s="87" t="s">
        <v>2166</v>
      </c>
      <c r="Z638" s="85" t="str">
        <f>HYPERLINK("https://twitter.com/nogososroasli/status/1440298794348789775")</f>
        <v>https://twitter.com/nogososroasli/status/1440298794348789775</v>
      </c>
      <c r="AA638" s="81"/>
      <c r="AB638" s="81"/>
      <c r="AC638" s="87" t="s">
        <v>3090</v>
      </c>
      <c r="AD638" s="81"/>
      <c r="AE638" s="81" t="b">
        <v>0</v>
      </c>
      <c r="AF638" s="81">
        <v>0</v>
      </c>
      <c r="AG638" s="87" t="s">
        <v>3875</v>
      </c>
      <c r="AH638" s="81" t="b">
        <v>0</v>
      </c>
      <c r="AI638" s="81" t="s">
        <v>4092</v>
      </c>
      <c r="AJ638" s="81"/>
      <c r="AK638" s="87" t="s">
        <v>3875</v>
      </c>
      <c r="AL638" s="81" t="b">
        <v>0</v>
      </c>
      <c r="AM638" s="81">
        <v>321</v>
      </c>
      <c r="AN638" s="87" t="s">
        <v>3520</v>
      </c>
      <c r="AO638" s="87" t="s">
        <v>4109</v>
      </c>
      <c r="AP638" s="81" t="b">
        <v>0</v>
      </c>
      <c r="AQ638" s="87" t="s">
        <v>3520</v>
      </c>
      <c r="AR638" s="81" t="s">
        <v>179</v>
      </c>
      <c r="AS638" s="81">
        <v>0</v>
      </c>
      <c r="AT638" s="81">
        <v>0</v>
      </c>
      <c r="AU638" s="81"/>
      <c r="AV638" s="81"/>
      <c r="AW638" s="81"/>
      <c r="AX638" s="81"/>
      <c r="AY638" s="81"/>
      <c r="AZ638" s="81"/>
      <c r="BA638" s="81"/>
      <c r="BB638" s="81"/>
    </row>
    <row r="639" spans="1:54" x14ac:dyDescent="0.35">
      <c r="A639" s="66" t="s">
        <v>574</v>
      </c>
      <c r="B639" s="66" t="s">
        <v>1055</v>
      </c>
      <c r="C639" s="67"/>
      <c r="D639" s="68"/>
      <c r="E639" s="69"/>
      <c r="F639" s="70"/>
      <c r="G639" s="67"/>
      <c r="H639" s="71"/>
      <c r="I639" s="72"/>
      <c r="J639" s="72"/>
      <c r="K639" s="36"/>
      <c r="L639" s="79"/>
      <c r="M639" s="79"/>
      <c r="N639" s="74"/>
      <c r="O639" s="81" t="s">
        <v>1207</v>
      </c>
      <c r="P639" s="83">
        <v>44460.540439814817</v>
      </c>
      <c r="Q639" s="81" t="s">
        <v>1324</v>
      </c>
      <c r="R639" s="81"/>
      <c r="S639" s="81"/>
      <c r="T639" s="81"/>
      <c r="U639" s="85" t="str">
        <f>HYPERLINK("https://pbs.twimg.com/media/E_xVJy2VQAQerFe.jpg")</f>
        <v>https://pbs.twimg.com/media/E_xVJy2VQAQerFe.jpg</v>
      </c>
      <c r="V639" s="85" t="str">
        <f>HYPERLINK("https://pbs.twimg.com/media/E_xVJy2VQAQerFe.jpg")</f>
        <v>https://pbs.twimg.com/media/E_xVJy2VQAQerFe.jpg</v>
      </c>
      <c r="W639" s="83">
        <v>44460.540439814817</v>
      </c>
      <c r="X639" s="89">
        <v>44460</v>
      </c>
      <c r="Y639" s="87" t="s">
        <v>2167</v>
      </c>
      <c r="Z639" s="85" t="str">
        <f>HYPERLINK("https://twitter.com/diana_harianti/status/1440299331509125124")</f>
        <v>https://twitter.com/diana_harianti/status/1440299331509125124</v>
      </c>
      <c r="AA639" s="81"/>
      <c r="AB639" s="81"/>
      <c r="AC639" s="87" t="s">
        <v>3091</v>
      </c>
      <c r="AD639" s="81"/>
      <c r="AE639" s="81" t="b">
        <v>0</v>
      </c>
      <c r="AF639" s="81">
        <v>0</v>
      </c>
      <c r="AG639" s="87" t="s">
        <v>3875</v>
      </c>
      <c r="AH639" s="81" t="b">
        <v>0</v>
      </c>
      <c r="AI639" s="81" t="s">
        <v>4092</v>
      </c>
      <c r="AJ639" s="81"/>
      <c r="AK639" s="87" t="s">
        <v>3875</v>
      </c>
      <c r="AL639" s="81" t="b">
        <v>0</v>
      </c>
      <c r="AM639" s="81">
        <v>321</v>
      </c>
      <c r="AN639" s="87" t="s">
        <v>3520</v>
      </c>
      <c r="AO639" s="87" t="s">
        <v>4109</v>
      </c>
      <c r="AP639" s="81" t="b">
        <v>0</v>
      </c>
      <c r="AQ639" s="87" t="s">
        <v>3520</v>
      </c>
      <c r="AR639" s="81" t="s">
        <v>179</v>
      </c>
      <c r="AS639" s="81">
        <v>0</v>
      </c>
      <c r="AT639" s="81">
        <v>0</v>
      </c>
      <c r="AU639" s="81"/>
      <c r="AV639" s="81"/>
      <c r="AW639" s="81"/>
      <c r="AX639" s="81"/>
      <c r="AY639" s="81"/>
      <c r="AZ639" s="81"/>
      <c r="BA639" s="81"/>
      <c r="BB639" s="81"/>
    </row>
    <row r="640" spans="1:54" x14ac:dyDescent="0.35">
      <c r="A640" s="66" t="s">
        <v>574</v>
      </c>
      <c r="B640" s="66" t="s">
        <v>910</v>
      </c>
      <c r="C640" s="67"/>
      <c r="D640" s="68"/>
      <c r="E640" s="69"/>
      <c r="F640" s="70"/>
      <c r="G640" s="67"/>
      <c r="H640" s="71"/>
      <c r="I640" s="72"/>
      <c r="J640" s="72"/>
      <c r="K640" s="36"/>
      <c r="L640" s="79"/>
      <c r="M640" s="79"/>
      <c r="N640" s="74"/>
      <c r="O640" s="81" t="s">
        <v>1205</v>
      </c>
      <c r="P640" s="83">
        <v>44460.540439814817</v>
      </c>
      <c r="Q640" s="81" t="s">
        <v>1324</v>
      </c>
      <c r="R640" s="81"/>
      <c r="S640" s="81"/>
      <c r="T640" s="81"/>
      <c r="U640" s="85" t="str">
        <f>HYPERLINK("https://pbs.twimg.com/media/E_xVJy2VQAQerFe.jpg")</f>
        <v>https://pbs.twimg.com/media/E_xVJy2VQAQerFe.jpg</v>
      </c>
      <c r="V640" s="85" t="str">
        <f>HYPERLINK("https://pbs.twimg.com/media/E_xVJy2VQAQerFe.jpg")</f>
        <v>https://pbs.twimg.com/media/E_xVJy2VQAQerFe.jpg</v>
      </c>
      <c r="W640" s="83">
        <v>44460.540439814817</v>
      </c>
      <c r="X640" s="89">
        <v>44460</v>
      </c>
      <c r="Y640" s="87" t="s">
        <v>2167</v>
      </c>
      <c r="Z640" s="85" t="str">
        <f>HYPERLINK("https://twitter.com/diana_harianti/status/1440299331509125124")</f>
        <v>https://twitter.com/diana_harianti/status/1440299331509125124</v>
      </c>
      <c r="AA640" s="81"/>
      <c r="AB640" s="81"/>
      <c r="AC640" s="87" t="s">
        <v>3091</v>
      </c>
      <c r="AD640" s="81"/>
      <c r="AE640" s="81" t="b">
        <v>0</v>
      </c>
      <c r="AF640" s="81">
        <v>0</v>
      </c>
      <c r="AG640" s="87" t="s">
        <v>3875</v>
      </c>
      <c r="AH640" s="81" t="b">
        <v>0</v>
      </c>
      <c r="AI640" s="81" t="s">
        <v>4092</v>
      </c>
      <c r="AJ640" s="81"/>
      <c r="AK640" s="87" t="s">
        <v>3875</v>
      </c>
      <c r="AL640" s="81" t="b">
        <v>0</v>
      </c>
      <c r="AM640" s="81">
        <v>321</v>
      </c>
      <c r="AN640" s="87" t="s">
        <v>3520</v>
      </c>
      <c r="AO640" s="87" t="s">
        <v>4109</v>
      </c>
      <c r="AP640" s="81" t="b">
        <v>0</v>
      </c>
      <c r="AQ640" s="87" t="s">
        <v>3520</v>
      </c>
      <c r="AR640" s="81" t="s">
        <v>179</v>
      </c>
      <c r="AS640" s="81">
        <v>0</v>
      </c>
      <c r="AT640" s="81">
        <v>0</v>
      </c>
      <c r="AU640" s="81"/>
      <c r="AV640" s="81"/>
      <c r="AW640" s="81"/>
      <c r="AX640" s="81"/>
      <c r="AY640" s="81"/>
      <c r="AZ640" s="81"/>
      <c r="BA640" s="81"/>
      <c r="BB640" s="81"/>
    </row>
    <row r="641" spans="1:54" x14ac:dyDescent="0.35">
      <c r="A641" s="66" t="s">
        <v>575</v>
      </c>
      <c r="B641" s="66" t="s">
        <v>1070</v>
      </c>
      <c r="C641" s="67"/>
      <c r="D641" s="68"/>
      <c r="E641" s="69"/>
      <c r="F641" s="70"/>
      <c r="G641" s="67"/>
      <c r="H641" s="71"/>
      <c r="I641" s="72"/>
      <c r="J641" s="72"/>
      <c r="K641" s="36"/>
      <c r="L641" s="79"/>
      <c r="M641" s="79"/>
      <c r="N641" s="74"/>
      <c r="O641" s="81" t="s">
        <v>1208</v>
      </c>
      <c r="P641" s="83">
        <v>44460.534085648149</v>
      </c>
      <c r="Q641" s="81" t="s">
        <v>1347</v>
      </c>
      <c r="R641" s="85" t="str">
        <f>HYPERLINK("https://twitter.com/kahfihouse/status/1440294021755142144?s=21")</f>
        <v>https://twitter.com/kahfihouse/status/1440294021755142144?s=21</v>
      </c>
      <c r="S641" s="81" t="s">
        <v>1731</v>
      </c>
      <c r="T641" s="81"/>
      <c r="U641" s="81"/>
      <c r="V641" s="85" t="str">
        <f>HYPERLINK("https://pbs.twimg.com/profile_images/1440292090299092996/QlYaiu6-_normal.jpg")</f>
        <v>https://pbs.twimg.com/profile_images/1440292090299092996/QlYaiu6-_normal.jpg</v>
      </c>
      <c r="W641" s="83">
        <v>44460.534085648149</v>
      </c>
      <c r="X641" s="89">
        <v>44460</v>
      </c>
      <c r="Y641" s="87" t="s">
        <v>2168</v>
      </c>
      <c r="Z641" s="85" t="str">
        <f>HYPERLINK("https://twitter.com/kahfihouse/status/1440297028169338898")</f>
        <v>https://twitter.com/kahfihouse/status/1440297028169338898</v>
      </c>
      <c r="AA641" s="81"/>
      <c r="AB641" s="81"/>
      <c r="AC641" s="87" t="s">
        <v>3092</v>
      </c>
      <c r="AD641" s="87" t="s">
        <v>3710</v>
      </c>
      <c r="AE641" s="81" t="b">
        <v>0</v>
      </c>
      <c r="AF641" s="81">
        <v>0</v>
      </c>
      <c r="AG641" s="87" t="s">
        <v>3944</v>
      </c>
      <c r="AH641" s="81" t="b">
        <v>1</v>
      </c>
      <c r="AI641" s="81" t="s">
        <v>4092</v>
      </c>
      <c r="AJ641" s="81"/>
      <c r="AK641" s="87" t="s">
        <v>4101</v>
      </c>
      <c r="AL641" s="81" t="b">
        <v>0</v>
      </c>
      <c r="AM641" s="81">
        <v>0</v>
      </c>
      <c r="AN641" s="87" t="s">
        <v>3875</v>
      </c>
      <c r="AO641" s="87" t="s">
        <v>4110</v>
      </c>
      <c r="AP641" s="81" t="b">
        <v>0</v>
      </c>
      <c r="AQ641" s="87" t="s">
        <v>3710</v>
      </c>
      <c r="AR641" s="81" t="s">
        <v>179</v>
      </c>
      <c r="AS641" s="81">
        <v>0</v>
      </c>
      <c r="AT641" s="81">
        <v>0</v>
      </c>
      <c r="AU641" s="81"/>
      <c r="AV641" s="81"/>
      <c r="AW641" s="81"/>
      <c r="AX641" s="81"/>
      <c r="AY641" s="81"/>
      <c r="AZ641" s="81"/>
      <c r="BA641" s="81"/>
      <c r="BB641" s="81"/>
    </row>
    <row r="642" spans="1:54" x14ac:dyDescent="0.35">
      <c r="A642" s="66" t="s">
        <v>575</v>
      </c>
      <c r="B642" s="66" t="s">
        <v>1070</v>
      </c>
      <c r="C642" s="67"/>
      <c r="D642" s="68"/>
      <c r="E642" s="69"/>
      <c r="F642" s="70"/>
      <c r="G642" s="67"/>
      <c r="H642" s="71"/>
      <c r="I642" s="72"/>
      <c r="J642" s="72"/>
      <c r="K642" s="36"/>
      <c r="L642" s="79"/>
      <c r="M642" s="79"/>
      <c r="N642" s="74"/>
      <c r="O642" s="81" t="s">
        <v>1208</v>
      </c>
      <c r="P642" s="83">
        <v>44460.534849537034</v>
      </c>
      <c r="Q642" s="81" t="s">
        <v>1348</v>
      </c>
      <c r="R642" s="85" t="str">
        <f>HYPERLINK("https://twitter.com/kahfihouse/status/1440294021755142144?s=21")</f>
        <v>https://twitter.com/kahfihouse/status/1440294021755142144?s=21</v>
      </c>
      <c r="S642" s="81" t="s">
        <v>1731</v>
      </c>
      <c r="T642" s="81"/>
      <c r="U642" s="81"/>
      <c r="V642" s="85" t="str">
        <f>HYPERLINK("https://pbs.twimg.com/profile_images/1440292090299092996/QlYaiu6-_normal.jpg")</f>
        <v>https://pbs.twimg.com/profile_images/1440292090299092996/QlYaiu6-_normal.jpg</v>
      </c>
      <c r="W642" s="83">
        <v>44460.534849537034</v>
      </c>
      <c r="X642" s="89">
        <v>44460</v>
      </c>
      <c r="Y642" s="87" t="s">
        <v>2169</v>
      </c>
      <c r="Z642" s="85" t="str">
        <f>HYPERLINK("https://twitter.com/kahfihouse/status/1440297305811263488")</f>
        <v>https://twitter.com/kahfihouse/status/1440297305811263488</v>
      </c>
      <c r="AA642" s="81"/>
      <c r="AB642" s="81"/>
      <c r="AC642" s="87" t="s">
        <v>3093</v>
      </c>
      <c r="AD642" s="87" t="s">
        <v>3711</v>
      </c>
      <c r="AE642" s="81" t="b">
        <v>0</v>
      </c>
      <c r="AF642" s="81">
        <v>0</v>
      </c>
      <c r="AG642" s="87" t="s">
        <v>3944</v>
      </c>
      <c r="AH642" s="81" t="b">
        <v>1</v>
      </c>
      <c r="AI642" s="81" t="s">
        <v>4092</v>
      </c>
      <c r="AJ642" s="81"/>
      <c r="AK642" s="87" t="s">
        <v>4101</v>
      </c>
      <c r="AL642" s="81" t="b">
        <v>0</v>
      </c>
      <c r="AM642" s="81">
        <v>0</v>
      </c>
      <c r="AN642" s="87" t="s">
        <v>3875</v>
      </c>
      <c r="AO642" s="87" t="s">
        <v>4110</v>
      </c>
      <c r="AP642" s="81" t="b">
        <v>0</v>
      </c>
      <c r="AQ642" s="87" t="s">
        <v>3711</v>
      </c>
      <c r="AR642" s="81" t="s">
        <v>179</v>
      </c>
      <c r="AS642" s="81">
        <v>0</v>
      </c>
      <c r="AT642" s="81">
        <v>0</v>
      </c>
      <c r="AU642" s="81"/>
      <c r="AV642" s="81"/>
      <c r="AW642" s="81"/>
      <c r="AX642" s="81"/>
      <c r="AY642" s="81"/>
      <c r="AZ642" s="81"/>
      <c r="BA642" s="81"/>
      <c r="BB642" s="81"/>
    </row>
    <row r="643" spans="1:54" x14ac:dyDescent="0.35">
      <c r="A643" s="66" t="s">
        <v>575</v>
      </c>
      <c r="B643" s="66" t="s">
        <v>1070</v>
      </c>
      <c r="C643" s="67"/>
      <c r="D643" s="68"/>
      <c r="E643" s="69"/>
      <c r="F643" s="70"/>
      <c r="G643" s="67"/>
      <c r="H643" s="71"/>
      <c r="I643" s="72"/>
      <c r="J643" s="72"/>
      <c r="K643" s="36"/>
      <c r="L643" s="79"/>
      <c r="M643" s="79"/>
      <c r="N643" s="74"/>
      <c r="O643" s="81" t="s">
        <v>1208</v>
      </c>
      <c r="P643" s="83">
        <v>44460.536990740744</v>
      </c>
      <c r="Q643" s="81" t="s">
        <v>1349</v>
      </c>
      <c r="R643" s="85" t="str">
        <f>HYPERLINK("https://twitter.com/kahfihouse/status/1440294021755142144?s=21")</f>
        <v>https://twitter.com/kahfihouse/status/1440294021755142144?s=21</v>
      </c>
      <c r="S643" s="81" t="s">
        <v>1731</v>
      </c>
      <c r="T643" s="81"/>
      <c r="U643" s="81"/>
      <c r="V643" s="85" t="str">
        <f>HYPERLINK("https://pbs.twimg.com/profile_images/1440292090299092996/QlYaiu6-_normal.jpg")</f>
        <v>https://pbs.twimg.com/profile_images/1440292090299092996/QlYaiu6-_normal.jpg</v>
      </c>
      <c r="W643" s="83">
        <v>44460.536990740744</v>
      </c>
      <c r="X643" s="89">
        <v>44460</v>
      </c>
      <c r="Y643" s="87" t="s">
        <v>2170</v>
      </c>
      <c r="Z643" s="85" t="str">
        <f>HYPERLINK("https://twitter.com/kahfihouse/status/1440298078527909897")</f>
        <v>https://twitter.com/kahfihouse/status/1440298078527909897</v>
      </c>
      <c r="AA643" s="81"/>
      <c r="AB643" s="81"/>
      <c r="AC643" s="87" t="s">
        <v>3094</v>
      </c>
      <c r="AD643" s="87" t="s">
        <v>3712</v>
      </c>
      <c r="AE643" s="81" t="b">
        <v>0</v>
      </c>
      <c r="AF643" s="81">
        <v>0</v>
      </c>
      <c r="AG643" s="87" t="s">
        <v>3944</v>
      </c>
      <c r="AH643" s="81" t="b">
        <v>1</v>
      </c>
      <c r="AI643" s="81" t="s">
        <v>4092</v>
      </c>
      <c r="AJ643" s="81"/>
      <c r="AK643" s="87" t="s">
        <v>4101</v>
      </c>
      <c r="AL643" s="81" t="b">
        <v>0</v>
      </c>
      <c r="AM643" s="81">
        <v>0</v>
      </c>
      <c r="AN643" s="87" t="s">
        <v>3875</v>
      </c>
      <c r="AO643" s="87" t="s">
        <v>4110</v>
      </c>
      <c r="AP643" s="81" t="b">
        <v>0</v>
      </c>
      <c r="AQ643" s="87" t="s">
        <v>3712</v>
      </c>
      <c r="AR643" s="81" t="s">
        <v>179</v>
      </c>
      <c r="AS643" s="81">
        <v>0</v>
      </c>
      <c r="AT643" s="81">
        <v>0</v>
      </c>
      <c r="AU643" s="81"/>
      <c r="AV643" s="81"/>
      <c r="AW643" s="81"/>
      <c r="AX643" s="81"/>
      <c r="AY643" s="81"/>
      <c r="AZ643" s="81"/>
      <c r="BA643" s="81"/>
      <c r="BB643" s="81"/>
    </row>
    <row r="644" spans="1:54" x14ac:dyDescent="0.35">
      <c r="A644" s="66" t="s">
        <v>575</v>
      </c>
      <c r="B644" s="66" t="s">
        <v>1070</v>
      </c>
      <c r="C644" s="67"/>
      <c r="D644" s="68"/>
      <c r="E644" s="69"/>
      <c r="F644" s="70"/>
      <c r="G644" s="67"/>
      <c r="H644" s="71"/>
      <c r="I644" s="72"/>
      <c r="J644" s="72"/>
      <c r="K644" s="36"/>
      <c r="L644" s="79"/>
      <c r="M644" s="79"/>
      <c r="N644" s="74"/>
      <c r="O644" s="81" t="s">
        <v>1208</v>
      </c>
      <c r="P644" s="83">
        <v>44460.53802083333</v>
      </c>
      <c r="Q644" s="81" t="s">
        <v>1350</v>
      </c>
      <c r="R644" s="85" t="str">
        <f>HYPERLINK("https://twitter.com/kahfihouse/status/1440294021755142144?s=21")</f>
        <v>https://twitter.com/kahfihouse/status/1440294021755142144?s=21</v>
      </c>
      <c r="S644" s="81" t="s">
        <v>1731</v>
      </c>
      <c r="T644" s="81"/>
      <c r="U644" s="81"/>
      <c r="V644" s="85" t="str">
        <f>HYPERLINK("https://pbs.twimg.com/profile_images/1440292090299092996/QlYaiu6-_normal.jpg")</f>
        <v>https://pbs.twimg.com/profile_images/1440292090299092996/QlYaiu6-_normal.jpg</v>
      </c>
      <c r="W644" s="83">
        <v>44460.53802083333</v>
      </c>
      <c r="X644" s="89">
        <v>44460</v>
      </c>
      <c r="Y644" s="87" t="s">
        <v>2171</v>
      </c>
      <c r="Z644" s="85" t="str">
        <f>HYPERLINK("https://twitter.com/kahfihouse/status/1440298452756299782")</f>
        <v>https://twitter.com/kahfihouse/status/1440298452756299782</v>
      </c>
      <c r="AA644" s="81"/>
      <c r="AB644" s="81"/>
      <c r="AC644" s="87" t="s">
        <v>3095</v>
      </c>
      <c r="AD644" s="87" t="s">
        <v>3713</v>
      </c>
      <c r="AE644" s="81" t="b">
        <v>0</v>
      </c>
      <c r="AF644" s="81">
        <v>0</v>
      </c>
      <c r="AG644" s="87" t="s">
        <v>3944</v>
      </c>
      <c r="AH644" s="81" t="b">
        <v>1</v>
      </c>
      <c r="AI644" s="81" t="s">
        <v>4092</v>
      </c>
      <c r="AJ644" s="81"/>
      <c r="AK644" s="87" t="s">
        <v>4101</v>
      </c>
      <c r="AL644" s="81" t="b">
        <v>0</v>
      </c>
      <c r="AM644" s="81">
        <v>0</v>
      </c>
      <c r="AN644" s="87" t="s">
        <v>3875</v>
      </c>
      <c r="AO644" s="87" t="s">
        <v>4110</v>
      </c>
      <c r="AP644" s="81" t="b">
        <v>0</v>
      </c>
      <c r="AQ644" s="87" t="s">
        <v>3713</v>
      </c>
      <c r="AR644" s="81" t="s">
        <v>179</v>
      </c>
      <c r="AS644" s="81">
        <v>0</v>
      </c>
      <c r="AT644" s="81">
        <v>0</v>
      </c>
      <c r="AU644" s="81"/>
      <c r="AV644" s="81"/>
      <c r="AW644" s="81"/>
      <c r="AX644" s="81"/>
      <c r="AY644" s="81"/>
      <c r="AZ644" s="81"/>
      <c r="BA644" s="81"/>
      <c r="BB644" s="81"/>
    </row>
    <row r="645" spans="1:54" x14ac:dyDescent="0.35">
      <c r="A645" s="66" t="s">
        <v>575</v>
      </c>
      <c r="B645" s="66" t="s">
        <v>1070</v>
      </c>
      <c r="C645" s="67"/>
      <c r="D645" s="68"/>
      <c r="E645" s="69"/>
      <c r="F645" s="70"/>
      <c r="G645" s="67"/>
      <c r="H645" s="71"/>
      <c r="I645" s="72"/>
      <c r="J645" s="72"/>
      <c r="K645" s="36"/>
      <c r="L645" s="79"/>
      <c r="M645" s="79"/>
      <c r="N645" s="74"/>
      <c r="O645" s="81" t="s">
        <v>1208</v>
      </c>
      <c r="P645" s="83">
        <v>44460.538506944446</v>
      </c>
      <c r="Q645" s="81" t="s">
        <v>1350</v>
      </c>
      <c r="R645" s="85" t="str">
        <f>HYPERLINK("https://twitter.com/kahfihouse/status/1440294021755142144?s=21")</f>
        <v>https://twitter.com/kahfihouse/status/1440294021755142144?s=21</v>
      </c>
      <c r="S645" s="81" t="s">
        <v>1731</v>
      </c>
      <c r="T645" s="81"/>
      <c r="U645" s="81"/>
      <c r="V645" s="85" t="str">
        <f>HYPERLINK("https://pbs.twimg.com/profile_images/1440292090299092996/QlYaiu6-_normal.jpg")</f>
        <v>https://pbs.twimg.com/profile_images/1440292090299092996/QlYaiu6-_normal.jpg</v>
      </c>
      <c r="W645" s="83">
        <v>44460.538506944446</v>
      </c>
      <c r="X645" s="89">
        <v>44460</v>
      </c>
      <c r="Y645" s="87" t="s">
        <v>2172</v>
      </c>
      <c r="Z645" s="85" t="str">
        <f>HYPERLINK("https://twitter.com/kahfihouse/status/1440298629030297603")</f>
        <v>https://twitter.com/kahfihouse/status/1440298629030297603</v>
      </c>
      <c r="AA645" s="81"/>
      <c r="AB645" s="81"/>
      <c r="AC645" s="87" t="s">
        <v>3096</v>
      </c>
      <c r="AD645" s="87" t="s">
        <v>3714</v>
      </c>
      <c r="AE645" s="81" t="b">
        <v>0</v>
      </c>
      <c r="AF645" s="81">
        <v>0</v>
      </c>
      <c r="AG645" s="87" t="s">
        <v>3944</v>
      </c>
      <c r="AH645" s="81" t="b">
        <v>1</v>
      </c>
      <c r="AI645" s="81" t="s">
        <v>4092</v>
      </c>
      <c r="AJ645" s="81"/>
      <c r="AK645" s="87" t="s">
        <v>4101</v>
      </c>
      <c r="AL645" s="81" t="b">
        <v>0</v>
      </c>
      <c r="AM645" s="81">
        <v>0</v>
      </c>
      <c r="AN645" s="87" t="s">
        <v>3875</v>
      </c>
      <c r="AO645" s="87" t="s">
        <v>4110</v>
      </c>
      <c r="AP645" s="81" t="b">
        <v>0</v>
      </c>
      <c r="AQ645" s="87" t="s">
        <v>3714</v>
      </c>
      <c r="AR645" s="81" t="s">
        <v>179</v>
      </c>
      <c r="AS645" s="81">
        <v>0</v>
      </c>
      <c r="AT645" s="81">
        <v>0</v>
      </c>
      <c r="AU645" s="81"/>
      <c r="AV645" s="81"/>
      <c r="AW645" s="81"/>
      <c r="AX645" s="81"/>
      <c r="AY645" s="81"/>
      <c r="AZ645" s="81"/>
      <c r="BA645" s="81"/>
      <c r="BB645" s="81"/>
    </row>
    <row r="646" spans="1:54" x14ac:dyDescent="0.35">
      <c r="A646" s="66" t="s">
        <v>575</v>
      </c>
      <c r="B646" s="66" t="s">
        <v>1070</v>
      </c>
      <c r="C646" s="67"/>
      <c r="D646" s="68"/>
      <c r="E646" s="69"/>
      <c r="F646" s="70"/>
      <c r="G646" s="67"/>
      <c r="H646" s="71"/>
      <c r="I646" s="72"/>
      <c r="J646" s="72"/>
      <c r="K646" s="36"/>
      <c r="L646" s="79"/>
      <c r="M646" s="79"/>
      <c r="N646" s="74"/>
      <c r="O646" s="81" t="s">
        <v>1208</v>
      </c>
      <c r="P646" s="83">
        <v>44460.539189814815</v>
      </c>
      <c r="Q646" s="81" t="s">
        <v>1351</v>
      </c>
      <c r="R646" s="85" t="str">
        <f>HYPERLINK("https://twitter.com/kahfihouse/status/1440294021755142144?s=21")</f>
        <v>https://twitter.com/kahfihouse/status/1440294021755142144?s=21</v>
      </c>
      <c r="S646" s="81" t="s">
        <v>1731</v>
      </c>
      <c r="T646" s="81"/>
      <c r="U646" s="81"/>
      <c r="V646" s="85" t="str">
        <f>HYPERLINK("https://pbs.twimg.com/profile_images/1440292090299092996/QlYaiu6-_normal.jpg")</f>
        <v>https://pbs.twimg.com/profile_images/1440292090299092996/QlYaiu6-_normal.jpg</v>
      </c>
      <c r="W646" s="83">
        <v>44460.539189814815</v>
      </c>
      <c r="X646" s="89">
        <v>44460</v>
      </c>
      <c r="Y646" s="87" t="s">
        <v>2173</v>
      </c>
      <c r="Z646" s="85" t="str">
        <f>HYPERLINK("https://twitter.com/kahfihouse/status/1440298877643493384")</f>
        <v>https://twitter.com/kahfihouse/status/1440298877643493384</v>
      </c>
      <c r="AA646" s="81"/>
      <c r="AB646" s="81"/>
      <c r="AC646" s="87" t="s">
        <v>3097</v>
      </c>
      <c r="AD646" s="87" t="s">
        <v>3715</v>
      </c>
      <c r="AE646" s="81" t="b">
        <v>0</v>
      </c>
      <c r="AF646" s="81">
        <v>0</v>
      </c>
      <c r="AG646" s="87" t="s">
        <v>3944</v>
      </c>
      <c r="AH646" s="81" t="b">
        <v>1</v>
      </c>
      <c r="AI646" s="81" t="s">
        <v>4092</v>
      </c>
      <c r="AJ646" s="81"/>
      <c r="AK646" s="87" t="s">
        <v>4101</v>
      </c>
      <c r="AL646" s="81" t="b">
        <v>0</v>
      </c>
      <c r="AM646" s="81">
        <v>0</v>
      </c>
      <c r="AN646" s="87" t="s">
        <v>3875</v>
      </c>
      <c r="AO646" s="87" t="s">
        <v>4110</v>
      </c>
      <c r="AP646" s="81" t="b">
        <v>0</v>
      </c>
      <c r="AQ646" s="87" t="s">
        <v>3715</v>
      </c>
      <c r="AR646" s="81" t="s">
        <v>179</v>
      </c>
      <c r="AS646" s="81">
        <v>0</v>
      </c>
      <c r="AT646" s="81">
        <v>0</v>
      </c>
      <c r="AU646" s="81"/>
      <c r="AV646" s="81"/>
      <c r="AW646" s="81"/>
      <c r="AX646" s="81"/>
      <c r="AY646" s="81"/>
      <c r="AZ646" s="81"/>
      <c r="BA646" s="81"/>
      <c r="BB646" s="81"/>
    </row>
    <row r="647" spans="1:54" x14ac:dyDescent="0.35">
      <c r="A647" s="66" t="s">
        <v>575</v>
      </c>
      <c r="B647" s="66" t="s">
        <v>1070</v>
      </c>
      <c r="C647" s="67"/>
      <c r="D647" s="68"/>
      <c r="E647" s="69"/>
      <c r="F647" s="70"/>
      <c r="G647" s="67"/>
      <c r="H647" s="71"/>
      <c r="I647" s="72"/>
      <c r="J647" s="72"/>
      <c r="K647" s="36"/>
      <c r="L647" s="79"/>
      <c r="M647" s="79"/>
      <c r="N647" s="74"/>
      <c r="O647" s="81" t="s">
        <v>1208</v>
      </c>
      <c r="P647" s="83">
        <v>44460.53943287037</v>
      </c>
      <c r="Q647" s="81" t="s">
        <v>1351</v>
      </c>
      <c r="R647" s="85" t="str">
        <f>HYPERLINK("https://twitter.com/kahfihouse/status/1440294021755142144?s=21")</f>
        <v>https://twitter.com/kahfihouse/status/1440294021755142144?s=21</v>
      </c>
      <c r="S647" s="81" t="s">
        <v>1731</v>
      </c>
      <c r="T647" s="81"/>
      <c r="U647" s="81"/>
      <c r="V647" s="85" t="str">
        <f>HYPERLINK("https://pbs.twimg.com/profile_images/1440292090299092996/QlYaiu6-_normal.jpg")</f>
        <v>https://pbs.twimg.com/profile_images/1440292090299092996/QlYaiu6-_normal.jpg</v>
      </c>
      <c r="W647" s="83">
        <v>44460.53943287037</v>
      </c>
      <c r="X647" s="89">
        <v>44460</v>
      </c>
      <c r="Y647" s="87" t="s">
        <v>2174</v>
      </c>
      <c r="Z647" s="85" t="str">
        <f>HYPERLINK("https://twitter.com/kahfihouse/status/1440298964264259586")</f>
        <v>https://twitter.com/kahfihouse/status/1440298964264259586</v>
      </c>
      <c r="AA647" s="81"/>
      <c r="AB647" s="81"/>
      <c r="AC647" s="87" t="s">
        <v>3098</v>
      </c>
      <c r="AD647" s="87" t="s">
        <v>3716</v>
      </c>
      <c r="AE647" s="81" t="b">
        <v>0</v>
      </c>
      <c r="AF647" s="81">
        <v>0</v>
      </c>
      <c r="AG647" s="87" t="s">
        <v>3944</v>
      </c>
      <c r="AH647" s="81" t="b">
        <v>1</v>
      </c>
      <c r="AI647" s="81" t="s">
        <v>4092</v>
      </c>
      <c r="AJ647" s="81"/>
      <c r="AK647" s="87" t="s">
        <v>4101</v>
      </c>
      <c r="AL647" s="81" t="b">
        <v>0</v>
      </c>
      <c r="AM647" s="81">
        <v>0</v>
      </c>
      <c r="AN647" s="87" t="s">
        <v>3875</v>
      </c>
      <c r="AO647" s="87" t="s">
        <v>4110</v>
      </c>
      <c r="AP647" s="81" t="b">
        <v>0</v>
      </c>
      <c r="AQ647" s="87" t="s">
        <v>3716</v>
      </c>
      <c r="AR647" s="81" t="s">
        <v>179</v>
      </c>
      <c r="AS647" s="81">
        <v>0</v>
      </c>
      <c r="AT647" s="81">
        <v>0</v>
      </c>
      <c r="AU647" s="81"/>
      <c r="AV647" s="81"/>
      <c r="AW647" s="81"/>
      <c r="AX647" s="81"/>
      <c r="AY647" s="81"/>
      <c r="AZ647" s="81"/>
      <c r="BA647" s="81"/>
      <c r="BB647" s="81"/>
    </row>
    <row r="648" spans="1:54" x14ac:dyDescent="0.35">
      <c r="A648" s="66" t="s">
        <v>575</v>
      </c>
      <c r="B648" s="66" t="s">
        <v>1070</v>
      </c>
      <c r="C648" s="67"/>
      <c r="D648" s="68"/>
      <c r="E648" s="69"/>
      <c r="F648" s="70"/>
      <c r="G648" s="67"/>
      <c r="H648" s="71"/>
      <c r="I648" s="72"/>
      <c r="J648" s="72"/>
      <c r="K648" s="36"/>
      <c r="L648" s="79"/>
      <c r="M648" s="79"/>
      <c r="N648" s="74"/>
      <c r="O648" s="81" t="s">
        <v>1208</v>
      </c>
      <c r="P648" s="83">
        <v>44460.540243055555</v>
      </c>
      <c r="Q648" s="81" t="s">
        <v>1351</v>
      </c>
      <c r="R648" s="85" t="str">
        <f>HYPERLINK("https://twitter.com/kahfihouse/status/1440294021755142144?s=21")</f>
        <v>https://twitter.com/kahfihouse/status/1440294021755142144?s=21</v>
      </c>
      <c r="S648" s="81" t="s">
        <v>1731</v>
      </c>
      <c r="T648" s="81"/>
      <c r="U648" s="81"/>
      <c r="V648" s="85" t="str">
        <f>HYPERLINK("https://pbs.twimg.com/profile_images/1440292090299092996/QlYaiu6-_normal.jpg")</f>
        <v>https://pbs.twimg.com/profile_images/1440292090299092996/QlYaiu6-_normal.jpg</v>
      </c>
      <c r="W648" s="83">
        <v>44460.540243055555</v>
      </c>
      <c r="X648" s="89">
        <v>44460</v>
      </c>
      <c r="Y648" s="87" t="s">
        <v>2175</v>
      </c>
      <c r="Z648" s="85" t="str">
        <f>HYPERLINK("https://twitter.com/kahfihouse/status/1440299258146537473")</f>
        <v>https://twitter.com/kahfihouse/status/1440299258146537473</v>
      </c>
      <c r="AA648" s="81"/>
      <c r="AB648" s="81"/>
      <c r="AC648" s="87" t="s">
        <v>3099</v>
      </c>
      <c r="AD648" s="87" t="s">
        <v>3717</v>
      </c>
      <c r="AE648" s="81" t="b">
        <v>0</v>
      </c>
      <c r="AF648" s="81">
        <v>0</v>
      </c>
      <c r="AG648" s="87" t="s">
        <v>3944</v>
      </c>
      <c r="AH648" s="81" t="b">
        <v>1</v>
      </c>
      <c r="AI648" s="81" t="s">
        <v>4092</v>
      </c>
      <c r="AJ648" s="81"/>
      <c r="AK648" s="87" t="s">
        <v>4101</v>
      </c>
      <c r="AL648" s="81" t="b">
        <v>0</v>
      </c>
      <c r="AM648" s="81">
        <v>0</v>
      </c>
      <c r="AN648" s="87" t="s">
        <v>3875</v>
      </c>
      <c r="AO648" s="87" t="s">
        <v>4110</v>
      </c>
      <c r="AP648" s="81" t="b">
        <v>0</v>
      </c>
      <c r="AQ648" s="87" t="s">
        <v>3717</v>
      </c>
      <c r="AR648" s="81" t="s">
        <v>179</v>
      </c>
      <c r="AS648" s="81">
        <v>0</v>
      </c>
      <c r="AT648" s="81">
        <v>0</v>
      </c>
      <c r="AU648" s="81"/>
      <c r="AV648" s="81"/>
      <c r="AW648" s="81"/>
      <c r="AX648" s="81"/>
      <c r="AY648" s="81"/>
      <c r="AZ648" s="81"/>
      <c r="BA648" s="81"/>
      <c r="BB648" s="81"/>
    </row>
    <row r="649" spans="1:54" x14ac:dyDescent="0.35">
      <c r="A649" s="66" t="s">
        <v>575</v>
      </c>
      <c r="B649" s="66" t="s">
        <v>1070</v>
      </c>
      <c r="C649" s="67"/>
      <c r="D649" s="68"/>
      <c r="E649" s="69"/>
      <c r="F649" s="70"/>
      <c r="G649" s="67"/>
      <c r="H649" s="71"/>
      <c r="I649" s="72"/>
      <c r="J649" s="72"/>
      <c r="K649" s="36"/>
      <c r="L649" s="79"/>
      <c r="M649" s="79"/>
      <c r="N649" s="74"/>
      <c r="O649" s="81" t="s">
        <v>1208</v>
      </c>
      <c r="P649" s="83">
        <v>44460.540717592594</v>
      </c>
      <c r="Q649" s="81" t="s">
        <v>1351</v>
      </c>
      <c r="R649" s="85" t="str">
        <f>HYPERLINK("https://twitter.com/kahfihouse/status/1440294021755142144?s=21")</f>
        <v>https://twitter.com/kahfihouse/status/1440294021755142144?s=21</v>
      </c>
      <c r="S649" s="81" t="s">
        <v>1731</v>
      </c>
      <c r="T649" s="81"/>
      <c r="U649" s="81"/>
      <c r="V649" s="85" t="str">
        <f>HYPERLINK("https://pbs.twimg.com/profile_images/1440292090299092996/QlYaiu6-_normal.jpg")</f>
        <v>https://pbs.twimg.com/profile_images/1440292090299092996/QlYaiu6-_normal.jpg</v>
      </c>
      <c r="W649" s="83">
        <v>44460.540717592594</v>
      </c>
      <c r="X649" s="89">
        <v>44460</v>
      </c>
      <c r="Y649" s="87" t="s">
        <v>2176</v>
      </c>
      <c r="Z649" s="85" t="str">
        <f>HYPERLINK("https://twitter.com/kahfihouse/status/1440299430557536267")</f>
        <v>https://twitter.com/kahfihouse/status/1440299430557536267</v>
      </c>
      <c r="AA649" s="81"/>
      <c r="AB649" s="81"/>
      <c r="AC649" s="87" t="s">
        <v>3100</v>
      </c>
      <c r="AD649" s="87" t="s">
        <v>3718</v>
      </c>
      <c r="AE649" s="81" t="b">
        <v>0</v>
      </c>
      <c r="AF649" s="81">
        <v>0</v>
      </c>
      <c r="AG649" s="87" t="s">
        <v>3944</v>
      </c>
      <c r="AH649" s="81" t="b">
        <v>1</v>
      </c>
      <c r="AI649" s="81" t="s">
        <v>4092</v>
      </c>
      <c r="AJ649" s="81"/>
      <c r="AK649" s="87" t="s">
        <v>4101</v>
      </c>
      <c r="AL649" s="81" t="b">
        <v>0</v>
      </c>
      <c r="AM649" s="81">
        <v>0</v>
      </c>
      <c r="AN649" s="87" t="s">
        <v>3875</v>
      </c>
      <c r="AO649" s="87" t="s">
        <v>4110</v>
      </c>
      <c r="AP649" s="81" t="b">
        <v>0</v>
      </c>
      <c r="AQ649" s="87" t="s">
        <v>3718</v>
      </c>
      <c r="AR649" s="81" t="s">
        <v>179</v>
      </c>
      <c r="AS649" s="81">
        <v>0</v>
      </c>
      <c r="AT649" s="81">
        <v>0</v>
      </c>
      <c r="AU649" s="81"/>
      <c r="AV649" s="81"/>
      <c r="AW649" s="81"/>
      <c r="AX649" s="81"/>
      <c r="AY649" s="81"/>
      <c r="AZ649" s="81"/>
      <c r="BA649" s="81"/>
      <c r="BB649" s="81"/>
    </row>
    <row r="650" spans="1:54" x14ac:dyDescent="0.35">
      <c r="A650" s="66" t="s">
        <v>575</v>
      </c>
      <c r="B650" s="66" t="s">
        <v>1070</v>
      </c>
      <c r="C650" s="67"/>
      <c r="D650" s="68"/>
      <c r="E650" s="69"/>
      <c r="F650" s="70"/>
      <c r="G650" s="67"/>
      <c r="H650" s="71"/>
      <c r="I650" s="72"/>
      <c r="J650" s="72"/>
      <c r="K650" s="36"/>
      <c r="L650" s="79"/>
      <c r="M650" s="79"/>
      <c r="N650" s="74"/>
      <c r="O650" s="81" t="s">
        <v>1208</v>
      </c>
      <c r="P650" s="83">
        <v>44460.541574074072</v>
      </c>
      <c r="Q650" s="81" t="s">
        <v>1351</v>
      </c>
      <c r="R650" s="85" t="str">
        <f>HYPERLINK("https://twitter.com/kahfihouse/status/1440294021755142144?s=21")</f>
        <v>https://twitter.com/kahfihouse/status/1440294021755142144?s=21</v>
      </c>
      <c r="S650" s="81" t="s">
        <v>1731</v>
      </c>
      <c r="T650" s="81"/>
      <c r="U650" s="81"/>
      <c r="V650" s="85" t="str">
        <f>HYPERLINK("https://pbs.twimg.com/profile_images/1440292090299092996/QlYaiu6-_normal.jpg")</f>
        <v>https://pbs.twimg.com/profile_images/1440292090299092996/QlYaiu6-_normal.jpg</v>
      </c>
      <c r="W650" s="83">
        <v>44460.541574074072</v>
      </c>
      <c r="X650" s="89">
        <v>44460</v>
      </c>
      <c r="Y650" s="87" t="s">
        <v>2177</v>
      </c>
      <c r="Z650" s="85" t="str">
        <f>HYPERLINK("https://twitter.com/kahfihouse/status/1440299739438673930")</f>
        <v>https://twitter.com/kahfihouse/status/1440299739438673930</v>
      </c>
      <c r="AA650" s="81"/>
      <c r="AB650" s="81"/>
      <c r="AC650" s="87" t="s">
        <v>3101</v>
      </c>
      <c r="AD650" s="87" t="s">
        <v>3719</v>
      </c>
      <c r="AE650" s="81" t="b">
        <v>0</v>
      </c>
      <c r="AF650" s="81">
        <v>0</v>
      </c>
      <c r="AG650" s="87" t="s">
        <v>3944</v>
      </c>
      <c r="AH650" s="81" t="b">
        <v>1</v>
      </c>
      <c r="AI650" s="81" t="s">
        <v>4092</v>
      </c>
      <c r="AJ650" s="81"/>
      <c r="AK650" s="87" t="s">
        <v>4101</v>
      </c>
      <c r="AL650" s="81" t="b">
        <v>0</v>
      </c>
      <c r="AM650" s="81">
        <v>0</v>
      </c>
      <c r="AN650" s="87" t="s">
        <v>3875</v>
      </c>
      <c r="AO650" s="87" t="s">
        <v>4110</v>
      </c>
      <c r="AP650" s="81" t="b">
        <v>0</v>
      </c>
      <c r="AQ650" s="87" t="s">
        <v>3719</v>
      </c>
      <c r="AR650" s="81" t="s">
        <v>179</v>
      </c>
      <c r="AS650" s="81">
        <v>0</v>
      </c>
      <c r="AT650" s="81">
        <v>0</v>
      </c>
      <c r="AU650" s="81"/>
      <c r="AV650" s="81"/>
      <c r="AW650" s="81"/>
      <c r="AX650" s="81"/>
      <c r="AY650" s="81"/>
      <c r="AZ650" s="81"/>
      <c r="BA650" s="81"/>
      <c r="BB650" s="81"/>
    </row>
    <row r="651" spans="1:54" x14ac:dyDescent="0.35">
      <c r="A651" s="66" t="s">
        <v>576</v>
      </c>
      <c r="B651" s="66" t="s">
        <v>627</v>
      </c>
      <c r="C651" s="67"/>
      <c r="D651" s="68"/>
      <c r="E651" s="69"/>
      <c r="F651" s="70"/>
      <c r="G651" s="67"/>
      <c r="H651" s="71"/>
      <c r="I651" s="72"/>
      <c r="J651" s="72"/>
      <c r="K651" s="36"/>
      <c r="L651" s="79"/>
      <c r="M651" s="79"/>
      <c r="N651" s="74"/>
      <c r="O651" s="81" t="s">
        <v>1205</v>
      </c>
      <c r="P651" s="83">
        <v>44460.544131944444</v>
      </c>
      <c r="Q651" s="81" t="s">
        <v>1352</v>
      </c>
      <c r="R651" s="81"/>
      <c r="S651" s="81"/>
      <c r="T651" s="81"/>
      <c r="U651" s="85" t="str">
        <f>HYPERLINK("https://pbs.twimg.com/ext_tw_video_thumb/1440299049509216256/pu/img/cT_MZxt4m6rj8kZ2.jpg")</f>
        <v>https://pbs.twimg.com/ext_tw_video_thumb/1440299049509216256/pu/img/cT_MZxt4m6rj8kZ2.jpg</v>
      </c>
      <c r="V651" s="85" t="str">
        <f>HYPERLINK("https://pbs.twimg.com/ext_tw_video_thumb/1440299049509216256/pu/img/cT_MZxt4m6rj8kZ2.jpg")</f>
        <v>https://pbs.twimg.com/ext_tw_video_thumb/1440299049509216256/pu/img/cT_MZxt4m6rj8kZ2.jpg</v>
      </c>
      <c r="W651" s="83">
        <v>44460.544131944444</v>
      </c>
      <c r="X651" s="89">
        <v>44460</v>
      </c>
      <c r="Y651" s="87" t="s">
        <v>2178</v>
      </c>
      <c r="Z651" s="85" t="str">
        <f>HYPERLINK("https://twitter.com/abisabarudin2/status/1440300666434379788")</f>
        <v>https://twitter.com/abisabarudin2/status/1440300666434379788</v>
      </c>
      <c r="AA651" s="81"/>
      <c r="AB651" s="81"/>
      <c r="AC651" s="87" t="s">
        <v>3102</v>
      </c>
      <c r="AD651" s="81"/>
      <c r="AE651" s="81" t="b">
        <v>0</v>
      </c>
      <c r="AF651" s="81">
        <v>0</v>
      </c>
      <c r="AG651" s="87" t="s">
        <v>3875</v>
      </c>
      <c r="AH651" s="81" t="b">
        <v>0</v>
      </c>
      <c r="AI651" s="81" t="s">
        <v>4092</v>
      </c>
      <c r="AJ651" s="81"/>
      <c r="AK651" s="87" t="s">
        <v>3875</v>
      </c>
      <c r="AL651" s="81" t="b">
        <v>0</v>
      </c>
      <c r="AM651" s="81">
        <v>9</v>
      </c>
      <c r="AN651" s="87" t="s">
        <v>3157</v>
      </c>
      <c r="AO651" s="87" t="s">
        <v>4109</v>
      </c>
      <c r="AP651" s="81" t="b">
        <v>0</v>
      </c>
      <c r="AQ651" s="87" t="s">
        <v>3157</v>
      </c>
      <c r="AR651" s="81" t="s">
        <v>179</v>
      </c>
      <c r="AS651" s="81">
        <v>0</v>
      </c>
      <c r="AT651" s="81">
        <v>0</v>
      </c>
      <c r="AU651" s="81"/>
      <c r="AV651" s="81"/>
      <c r="AW651" s="81"/>
      <c r="AX651" s="81"/>
      <c r="AY651" s="81"/>
      <c r="AZ651" s="81"/>
      <c r="BA651" s="81"/>
      <c r="BB651" s="81"/>
    </row>
    <row r="652" spans="1:54" x14ac:dyDescent="0.35">
      <c r="A652" s="66" t="s">
        <v>577</v>
      </c>
      <c r="B652" s="66" t="s">
        <v>627</v>
      </c>
      <c r="C652" s="67"/>
      <c r="D652" s="68"/>
      <c r="E652" s="69"/>
      <c r="F652" s="70"/>
      <c r="G652" s="67"/>
      <c r="H652" s="71"/>
      <c r="I652" s="72"/>
      <c r="J652" s="72"/>
      <c r="K652" s="36"/>
      <c r="L652" s="79"/>
      <c r="M652" s="79"/>
      <c r="N652" s="74"/>
      <c r="O652" s="81" t="s">
        <v>1205</v>
      </c>
      <c r="P652" s="83">
        <v>44460.544409722221</v>
      </c>
      <c r="Q652" s="81" t="s">
        <v>1352</v>
      </c>
      <c r="R652" s="81"/>
      <c r="S652" s="81"/>
      <c r="T652" s="81"/>
      <c r="U652" s="85" t="str">
        <f>HYPERLINK("https://pbs.twimg.com/ext_tw_video_thumb/1440299049509216256/pu/img/cT_MZxt4m6rj8kZ2.jpg")</f>
        <v>https://pbs.twimg.com/ext_tw_video_thumb/1440299049509216256/pu/img/cT_MZxt4m6rj8kZ2.jpg</v>
      </c>
      <c r="V652" s="85" t="str">
        <f>HYPERLINK("https://pbs.twimg.com/ext_tw_video_thumb/1440299049509216256/pu/img/cT_MZxt4m6rj8kZ2.jpg")</f>
        <v>https://pbs.twimg.com/ext_tw_video_thumb/1440299049509216256/pu/img/cT_MZxt4m6rj8kZ2.jpg</v>
      </c>
      <c r="W652" s="83">
        <v>44460.544409722221</v>
      </c>
      <c r="X652" s="89">
        <v>44460</v>
      </c>
      <c r="Y652" s="87" t="s">
        <v>2179</v>
      </c>
      <c r="Z652" s="85" t="str">
        <f>HYPERLINK("https://twitter.com/surauid/status/1440300770960678914")</f>
        <v>https://twitter.com/surauid/status/1440300770960678914</v>
      </c>
      <c r="AA652" s="81"/>
      <c r="AB652" s="81"/>
      <c r="AC652" s="87" t="s">
        <v>3103</v>
      </c>
      <c r="AD652" s="81"/>
      <c r="AE652" s="81" t="b">
        <v>0</v>
      </c>
      <c r="AF652" s="81">
        <v>0</v>
      </c>
      <c r="AG652" s="87" t="s">
        <v>3875</v>
      </c>
      <c r="AH652" s="81" t="b">
        <v>0</v>
      </c>
      <c r="AI652" s="81" t="s">
        <v>4092</v>
      </c>
      <c r="AJ652" s="81"/>
      <c r="AK652" s="87" t="s">
        <v>3875</v>
      </c>
      <c r="AL652" s="81" t="b">
        <v>0</v>
      </c>
      <c r="AM652" s="81">
        <v>9</v>
      </c>
      <c r="AN652" s="87" t="s">
        <v>3157</v>
      </c>
      <c r="AO652" s="87" t="s">
        <v>4109</v>
      </c>
      <c r="AP652" s="81" t="b">
        <v>0</v>
      </c>
      <c r="AQ652" s="87" t="s">
        <v>3157</v>
      </c>
      <c r="AR652" s="81" t="s">
        <v>179</v>
      </c>
      <c r="AS652" s="81">
        <v>0</v>
      </c>
      <c r="AT652" s="81">
        <v>0</v>
      </c>
      <c r="AU652" s="81"/>
      <c r="AV652" s="81"/>
      <c r="AW652" s="81"/>
      <c r="AX652" s="81"/>
      <c r="AY652" s="81"/>
      <c r="AZ652" s="81"/>
      <c r="BA652" s="81"/>
      <c r="BB652" s="81"/>
    </row>
    <row r="653" spans="1:54" x14ac:dyDescent="0.35">
      <c r="A653" s="66" t="s">
        <v>578</v>
      </c>
      <c r="B653" s="66" t="s">
        <v>627</v>
      </c>
      <c r="C653" s="67"/>
      <c r="D653" s="68"/>
      <c r="E653" s="69"/>
      <c r="F653" s="70"/>
      <c r="G653" s="67"/>
      <c r="H653" s="71"/>
      <c r="I653" s="72"/>
      <c r="J653" s="72"/>
      <c r="K653" s="36"/>
      <c r="L653" s="79"/>
      <c r="M653" s="79"/>
      <c r="N653" s="74"/>
      <c r="O653" s="81" t="s">
        <v>1205</v>
      </c>
      <c r="P653" s="83">
        <v>44460.545567129629</v>
      </c>
      <c r="Q653" s="81" t="s">
        <v>1352</v>
      </c>
      <c r="R653" s="81"/>
      <c r="S653" s="81"/>
      <c r="T653" s="81"/>
      <c r="U653" s="85" t="str">
        <f>HYPERLINK("https://pbs.twimg.com/ext_tw_video_thumb/1440299049509216256/pu/img/cT_MZxt4m6rj8kZ2.jpg")</f>
        <v>https://pbs.twimg.com/ext_tw_video_thumb/1440299049509216256/pu/img/cT_MZxt4m6rj8kZ2.jpg</v>
      </c>
      <c r="V653" s="85" t="str">
        <f>HYPERLINK("https://pbs.twimg.com/ext_tw_video_thumb/1440299049509216256/pu/img/cT_MZxt4m6rj8kZ2.jpg")</f>
        <v>https://pbs.twimg.com/ext_tw_video_thumb/1440299049509216256/pu/img/cT_MZxt4m6rj8kZ2.jpg</v>
      </c>
      <c r="W653" s="83">
        <v>44460.545567129629</v>
      </c>
      <c r="X653" s="89">
        <v>44460</v>
      </c>
      <c r="Y653" s="87" t="s">
        <v>2180</v>
      </c>
      <c r="Z653" s="85" t="str">
        <f>HYPERLINK("https://twitter.com/kangcafebubar/status/1440301186620411904")</f>
        <v>https://twitter.com/kangcafebubar/status/1440301186620411904</v>
      </c>
      <c r="AA653" s="81"/>
      <c r="AB653" s="81"/>
      <c r="AC653" s="87" t="s">
        <v>3104</v>
      </c>
      <c r="AD653" s="81"/>
      <c r="AE653" s="81" t="b">
        <v>0</v>
      </c>
      <c r="AF653" s="81">
        <v>0</v>
      </c>
      <c r="AG653" s="87" t="s">
        <v>3875</v>
      </c>
      <c r="AH653" s="81" t="b">
        <v>0</v>
      </c>
      <c r="AI653" s="81" t="s">
        <v>4092</v>
      </c>
      <c r="AJ653" s="81"/>
      <c r="AK653" s="87" t="s">
        <v>3875</v>
      </c>
      <c r="AL653" s="81" t="b">
        <v>0</v>
      </c>
      <c r="AM653" s="81">
        <v>9</v>
      </c>
      <c r="AN653" s="87" t="s">
        <v>3157</v>
      </c>
      <c r="AO653" s="87" t="s">
        <v>4109</v>
      </c>
      <c r="AP653" s="81" t="b">
        <v>0</v>
      </c>
      <c r="AQ653" s="87" t="s">
        <v>3157</v>
      </c>
      <c r="AR653" s="81" t="s">
        <v>179</v>
      </c>
      <c r="AS653" s="81">
        <v>0</v>
      </c>
      <c r="AT653" s="81">
        <v>0</v>
      </c>
      <c r="AU653" s="81"/>
      <c r="AV653" s="81"/>
      <c r="AW653" s="81"/>
      <c r="AX653" s="81"/>
      <c r="AY653" s="81"/>
      <c r="AZ653" s="81"/>
      <c r="BA653" s="81"/>
      <c r="BB653" s="81"/>
    </row>
    <row r="654" spans="1:54" x14ac:dyDescent="0.35">
      <c r="A654" s="66" t="s">
        <v>579</v>
      </c>
      <c r="B654" s="66" t="s">
        <v>627</v>
      </c>
      <c r="C654" s="67"/>
      <c r="D654" s="68"/>
      <c r="E654" s="69"/>
      <c r="F654" s="70"/>
      <c r="G654" s="67"/>
      <c r="H654" s="71"/>
      <c r="I654" s="72"/>
      <c r="J654" s="72"/>
      <c r="K654" s="36"/>
      <c r="L654" s="79"/>
      <c r="M654" s="79"/>
      <c r="N654" s="74"/>
      <c r="O654" s="81" t="s">
        <v>1205</v>
      </c>
      <c r="P654" s="83">
        <v>44460.545590277776</v>
      </c>
      <c r="Q654" s="81" t="s">
        <v>1352</v>
      </c>
      <c r="R654" s="81"/>
      <c r="S654" s="81"/>
      <c r="T654" s="81"/>
      <c r="U654" s="85" t="str">
        <f>HYPERLINK("https://pbs.twimg.com/ext_tw_video_thumb/1440299049509216256/pu/img/cT_MZxt4m6rj8kZ2.jpg")</f>
        <v>https://pbs.twimg.com/ext_tw_video_thumb/1440299049509216256/pu/img/cT_MZxt4m6rj8kZ2.jpg</v>
      </c>
      <c r="V654" s="85" t="str">
        <f>HYPERLINK("https://pbs.twimg.com/ext_tw_video_thumb/1440299049509216256/pu/img/cT_MZxt4m6rj8kZ2.jpg")</f>
        <v>https://pbs.twimg.com/ext_tw_video_thumb/1440299049509216256/pu/img/cT_MZxt4m6rj8kZ2.jpg</v>
      </c>
      <c r="W654" s="83">
        <v>44460.545590277776</v>
      </c>
      <c r="X654" s="89">
        <v>44460</v>
      </c>
      <c r="Y654" s="87" t="s">
        <v>2181</v>
      </c>
      <c r="Z654" s="85" t="str">
        <f>HYPERLINK("https://twitter.com/ashabym/status/1440301197118754821")</f>
        <v>https://twitter.com/ashabym/status/1440301197118754821</v>
      </c>
      <c r="AA654" s="81"/>
      <c r="AB654" s="81"/>
      <c r="AC654" s="87" t="s">
        <v>3105</v>
      </c>
      <c r="AD654" s="81"/>
      <c r="AE654" s="81" t="b">
        <v>0</v>
      </c>
      <c r="AF654" s="81">
        <v>0</v>
      </c>
      <c r="AG654" s="87" t="s">
        <v>3875</v>
      </c>
      <c r="AH654" s="81" t="b">
        <v>0</v>
      </c>
      <c r="AI654" s="81" t="s">
        <v>4092</v>
      </c>
      <c r="AJ654" s="81"/>
      <c r="AK654" s="87" t="s">
        <v>3875</v>
      </c>
      <c r="AL654" s="81" t="b">
        <v>0</v>
      </c>
      <c r="AM654" s="81">
        <v>9</v>
      </c>
      <c r="AN654" s="87" t="s">
        <v>3157</v>
      </c>
      <c r="AO654" s="87" t="s">
        <v>4109</v>
      </c>
      <c r="AP654" s="81" t="b">
        <v>0</v>
      </c>
      <c r="AQ654" s="87" t="s">
        <v>3157</v>
      </c>
      <c r="AR654" s="81" t="s">
        <v>179</v>
      </c>
      <c r="AS654" s="81">
        <v>0</v>
      </c>
      <c r="AT654" s="81">
        <v>0</v>
      </c>
      <c r="AU654" s="81"/>
      <c r="AV654" s="81"/>
      <c r="AW654" s="81"/>
      <c r="AX654" s="81"/>
      <c r="AY654" s="81"/>
      <c r="AZ654" s="81"/>
      <c r="BA654" s="81"/>
      <c r="BB654" s="81"/>
    </row>
    <row r="655" spans="1:54" x14ac:dyDescent="0.35">
      <c r="A655" s="66" t="s">
        <v>580</v>
      </c>
      <c r="B655" s="66" t="s">
        <v>584</v>
      </c>
      <c r="C655" s="67"/>
      <c r="D655" s="68"/>
      <c r="E655" s="69"/>
      <c r="F655" s="70"/>
      <c r="G655" s="67"/>
      <c r="H655" s="71"/>
      <c r="I655" s="72"/>
      <c r="J655" s="72"/>
      <c r="K655" s="36"/>
      <c r="L655" s="79"/>
      <c r="M655" s="79"/>
      <c r="N655" s="74"/>
      <c r="O655" s="81" t="s">
        <v>1205</v>
      </c>
      <c r="P655" s="83">
        <v>44460.558622685188</v>
      </c>
      <c r="Q655" s="81" t="s">
        <v>1353</v>
      </c>
      <c r="R655" s="81"/>
      <c r="S655" s="81"/>
      <c r="T655" s="81"/>
      <c r="U655" s="85" t="str">
        <f>HYPERLINK("https://pbs.twimg.com/media/E_z4aM3VEAMOCDg.jpg")</f>
        <v>https://pbs.twimg.com/media/E_z4aM3VEAMOCDg.jpg</v>
      </c>
      <c r="V655" s="85" t="str">
        <f>HYPERLINK("https://pbs.twimg.com/media/E_z4aM3VEAMOCDg.jpg")</f>
        <v>https://pbs.twimg.com/media/E_z4aM3VEAMOCDg.jpg</v>
      </c>
      <c r="W655" s="83">
        <v>44460.558622685188</v>
      </c>
      <c r="X655" s="89">
        <v>44460</v>
      </c>
      <c r="Y655" s="87" t="s">
        <v>2182</v>
      </c>
      <c r="Z655" s="85" t="str">
        <f>HYPERLINK("https://twitter.com/ftr1114/status/1440305919397486599")</f>
        <v>https://twitter.com/ftr1114/status/1440305919397486599</v>
      </c>
      <c r="AA655" s="81"/>
      <c r="AB655" s="81"/>
      <c r="AC655" s="87" t="s">
        <v>3106</v>
      </c>
      <c r="AD655" s="81"/>
      <c r="AE655" s="81" t="b">
        <v>0</v>
      </c>
      <c r="AF655" s="81">
        <v>0</v>
      </c>
      <c r="AG655" s="87" t="s">
        <v>3875</v>
      </c>
      <c r="AH655" s="81" t="b">
        <v>0</v>
      </c>
      <c r="AI655" s="81" t="s">
        <v>4092</v>
      </c>
      <c r="AJ655" s="81"/>
      <c r="AK655" s="87" t="s">
        <v>3875</v>
      </c>
      <c r="AL655" s="81" t="b">
        <v>0</v>
      </c>
      <c r="AM655" s="81">
        <v>2</v>
      </c>
      <c r="AN655" s="87" t="s">
        <v>3112</v>
      </c>
      <c r="AO655" s="87" t="s">
        <v>4109</v>
      </c>
      <c r="AP655" s="81" t="b">
        <v>0</v>
      </c>
      <c r="AQ655" s="87" t="s">
        <v>3112</v>
      </c>
      <c r="AR655" s="81" t="s">
        <v>179</v>
      </c>
      <c r="AS655" s="81">
        <v>0</v>
      </c>
      <c r="AT655" s="81">
        <v>0</v>
      </c>
      <c r="AU655" s="81"/>
      <c r="AV655" s="81"/>
      <c r="AW655" s="81"/>
      <c r="AX655" s="81"/>
      <c r="AY655" s="81"/>
      <c r="AZ655" s="81"/>
      <c r="BA655" s="81"/>
      <c r="BB655" s="81"/>
    </row>
    <row r="656" spans="1:54" x14ac:dyDescent="0.35">
      <c r="A656" s="66" t="s">
        <v>581</v>
      </c>
      <c r="B656" s="66" t="s">
        <v>1055</v>
      </c>
      <c r="C656" s="67"/>
      <c r="D656" s="68"/>
      <c r="E656" s="69"/>
      <c r="F656" s="70"/>
      <c r="G656" s="67"/>
      <c r="H656" s="71"/>
      <c r="I656" s="72"/>
      <c r="J656" s="72"/>
      <c r="K656" s="36"/>
      <c r="L656" s="79"/>
      <c r="M656" s="79"/>
      <c r="N656" s="74"/>
      <c r="O656" s="81" t="s">
        <v>1207</v>
      </c>
      <c r="P656" s="83">
        <v>44460.559236111112</v>
      </c>
      <c r="Q656" s="81" t="s">
        <v>1324</v>
      </c>
      <c r="R656" s="81"/>
      <c r="S656" s="81"/>
      <c r="T656" s="81"/>
      <c r="U656" s="85" t="str">
        <f>HYPERLINK("https://pbs.twimg.com/media/E_xVJy2VQAQerFe.jpg")</f>
        <v>https://pbs.twimg.com/media/E_xVJy2VQAQerFe.jpg</v>
      </c>
      <c r="V656" s="85" t="str">
        <f>HYPERLINK("https://pbs.twimg.com/media/E_xVJy2VQAQerFe.jpg")</f>
        <v>https://pbs.twimg.com/media/E_xVJy2VQAQerFe.jpg</v>
      </c>
      <c r="W656" s="83">
        <v>44460.559236111112</v>
      </c>
      <c r="X656" s="89">
        <v>44460</v>
      </c>
      <c r="Y656" s="87" t="s">
        <v>2183</v>
      </c>
      <c r="Z656" s="85" t="str">
        <f>HYPERLINK("https://twitter.com/hendryxdwi/status/1440306143255937044")</f>
        <v>https://twitter.com/hendryxdwi/status/1440306143255937044</v>
      </c>
      <c r="AA656" s="81"/>
      <c r="AB656" s="81"/>
      <c r="AC656" s="87" t="s">
        <v>3107</v>
      </c>
      <c r="AD656" s="81"/>
      <c r="AE656" s="81" t="b">
        <v>0</v>
      </c>
      <c r="AF656" s="81">
        <v>0</v>
      </c>
      <c r="AG656" s="87" t="s">
        <v>3875</v>
      </c>
      <c r="AH656" s="81" t="b">
        <v>0</v>
      </c>
      <c r="AI656" s="81" t="s">
        <v>4092</v>
      </c>
      <c r="AJ656" s="81"/>
      <c r="AK656" s="87" t="s">
        <v>3875</v>
      </c>
      <c r="AL656" s="81" t="b">
        <v>0</v>
      </c>
      <c r="AM656" s="81">
        <v>321</v>
      </c>
      <c r="AN656" s="87" t="s">
        <v>3520</v>
      </c>
      <c r="AO656" s="87" t="s">
        <v>4109</v>
      </c>
      <c r="AP656" s="81" t="b">
        <v>0</v>
      </c>
      <c r="AQ656" s="87" t="s">
        <v>3520</v>
      </c>
      <c r="AR656" s="81" t="s">
        <v>179</v>
      </c>
      <c r="AS656" s="81">
        <v>0</v>
      </c>
      <c r="AT656" s="81">
        <v>0</v>
      </c>
      <c r="AU656" s="81"/>
      <c r="AV656" s="81"/>
      <c r="AW656" s="81"/>
      <c r="AX656" s="81"/>
      <c r="AY656" s="81"/>
      <c r="AZ656" s="81"/>
      <c r="BA656" s="81"/>
      <c r="BB656" s="81"/>
    </row>
    <row r="657" spans="1:54" x14ac:dyDescent="0.35">
      <c r="A657" s="66" t="s">
        <v>581</v>
      </c>
      <c r="B657" s="66" t="s">
        <v>910</v>
      </c>
      <c r="C657" s="67"/>
      <c r="D657" s="68"/>
      <c r="E657" s="69"/>
      <c r="F657" s="70"/>
      <c r="G657" s="67"/>
      <c r="H657" s="71"/>
      <c r="I657" s="72"/>
      <c r="J657" s="72"/>
      <c r="K657" s="36"/>
      <c r="L657" s="79"/>
      <c r="M657" s="79"/>
      <c r="N657" s="74"/>
      <c r="O657" s="81" t="s">
        <v>1205</v>
      </c>
      <c r="P657" s="83">
        <v>44460.559236111112</v>
      </c>
      <c r="Q657" s="81" t="s">
        <v>1324</v>
      </c>
      <c r="R657" s="81"/>
      <c r="S657" s="81"/>
      <c r="T657" s="81"/>
      <c r="U657" s="85" t="str">
        <f>HYPERLINK("https://pbs.twimg.com/media/E_xVJy2VQAQerFe.jpg")</f>
        <v>https://pbs.twimg.com/media/E_xVJy2VQAQerFe.jpg</v>
      </c>
      <c r="V657" s="85" t="str">
        <f>HYPERLINK("https://pbs.twimg.com/media/E_xVJy2VQAQerFe.jpg")</f>
        <v>https://pbs.twimg.com/media/E_xVJy2VQAQerFe.jpg</v>
      </c>
      <c r="W657" s="83">
        <v>44460.559236111112</v>
      </c>
      <c r="X657" s="89">
        <v>44460</v>
      </c>
      <c r="Y657" s="87" t="s">
        <v>2183</v>
      </c>
      <c r="Z657" s="85" t="str">
        <f>HYPERLINK("https://twitter.com/hendryxdwi/status/1440306143255937044")</f>
        <v>https://twitter.com/hendryxdwi/status/1440306143255937044</v>
      </c>
      <c r="AA657" s="81"/>
      <c r="AB657" s="81"/>
      <c r="AC657" s="87" t="s">
        <v>3107</v>
      </c>
      <c r="AD657" s="81"/>
      <c r="AE657" s="81" t="b">
        <v>0</v>
      </c>
      <c r="AF657" s="81">
        <v>0</v>
      </c>
      <c r="AG657" s="87" t="s">
        <v>3875</v>
      </c>
      <c r="AH657" s="81" t="b">
        <v>0</v>
      </c>
      <c r="AI657" s="81" t="s">
        <v>4092</v>
      </c>
      <c r="AJ657" s="81"/>
      <c r="AK657" s="87" t="s">
        <v>3875</v>
      </c>
      <c r="AL657" s="81" t="b">
        <v>0</v>
      </c>
      <c r="AM657" s="81">
        <v>321</v>
      </c>
      <c r="AN657" s="87" t="s">
        <v>3520</v>
      </c>
      <c r="AO657" s="87" t="s">
        <v>4109</v>
      </c>
      <c r="AP657" s="81" t="b">
        <v>0</v>
      </c>
      <c r="AQ657" s="87" t="s">
        <v>3520</v>
      </c>
      <c r="AR657" s="81" t="s">
        <v>179</v>
      </c>
      <c r="AS657" s="81">
        <v>0</v>
      </c>
      <c r="AT657" s="81">
        <v>0</v>
      </c>
      <c r="AU657" s="81"/>
      <c r="AV657" s="81"/>
      <c r="AW657" s="81"/>
      <c r="AX657" s="81"/>
      <c r="AY657" s="81"/>
      <c r="AZ657" s="81"/>
      <c r="BA657" s="81"/>
      <c r="BB657" s="81"/>
    </row>
    <row r="658" spans="1:54" x14ac:dyDescent="0.35">
      <c r="A658" s="66" t="s">
        <v>582</v>
      </c>
      <c r="B658" s="66" t="s">
        <v>627</v>
      </c>
      <c r="C658" s="67"/>
      <c r="D658" s="68"/>
      <c r="E658" s="69"/>
      <c r="F658" s="70"/>
      <c r="G658" s="67"/>
      <c r="H658" s="71"/>
      <c r="I658" s="72"/>
      <c r="J658" s="72"/>
      <c r="K658" s="36"/>
      <c r="L658" s="79"/>
      <c r="M658" s="79"/>
      <c r="N658" s="74"/>
      <c r="O658" s="81" t="s">
        <v>1205</v>
      </c>
      <c r="P658" s="83">
        <v>44460.560983796298</v>
      </c>
      <c r="Q658" s="81" t="s">
        <v>1352</v>
      </c>
      <c r="R658" s="81"/>
      <c r="S658" s="81"/>
      <c r="T658" s="81"/>
      <c r="U658" s="85" t="str">
        <f>HYPERLINK("https://pbs.twimg.com/ext_tw_video_thumb/1440299049509216256/pu/img/cT_MZxt4m6rj8kZ2.jpg")</f>
        <v>https://pbs.twimg.com/ext_tw_video_thumb/1440299049509216256/pu/img/cT_MZxt4m6rj8kZ2.jpg</v>
      </c>
      <c r="V658" s="85" t="str">
        <f>HYPERLINK("https://pbs.twimg.com/ext_tw_video_thumb/1440299049509216256/pu/img/cT_MZxt4m6rj8kZ2.jpg")</f>
        <v>https://pbs.twimg.com/ext_tw_video_thumb/1440299049509216256/pu/img/cT_MZxt4m6rj8kZ2.jpg</v>
      </c>
      <c r="W658" s="83">
        <v>44460.560983796298</v>
      </c>
      <c r="X658" s="89">
        <v>44460</v>
      </c>
      <c r="Y658" s="87" t="s">
        <v>2184</v>
      </c>
      <c r="Z658" s="85" t="str">
        <f>HYPERLINK("https://twitter.com/yasariqbal9/status/1440306777237557252")</f>
        <v>https://twitter.com/yasariqbal9/status/1440306777237557252</v>
      </c>
      <c r="AA658" s="81"/>
      <c r="AB658" s="81"/>
      <c r="AC658" s="87" t="s">
        <v>3108</v>
      </c>
      <c r="AD658" s="81"/>
      <c r="AE658" s="81" t="b">
        <v>0</v>
      </c>
      <c r="AF658" s="81">
        <v>0</v>
      </c>
      <c r="AG658" s="87" t="s">
        <v>3875</v>
      </c>
      <c r="AH658" s="81" t="b">
        <v>0</v>
      </c>
      <c r="AI658" s="81" t="s">
        <v>4092</v>
      </c>
      <c r="AJ658" s="81"/>
      <c r="AK658" s="87" t="s">
        <v>3875</v>
      </c>
      <c r="AL658" s="81" t="b">
        <v>0</v>
      </c>
      <c r="AM658" s="81">
        <v>9</v>
      </c>
      <c r="AN658" s="87" t="s">
        <v>3157</v>
      </c>
      <c r="AO658" s="87" t="s">
        <v>4109</v>
      </c>
      <c r="AP658" s="81" t="b">
        <v>0</v>
      </c>
      <c r="AQ658" s="87" t="s">
        <v>3157</v>
      </c>
      <c r="AR658" s="81" t="s">
        <v>179</v>
      </c>
      <c r="AS658" s="81">
        <v>0</v>
      </c>
      <c r="AT658" s="81">
        <v>0</v>
      </c>
      <c r="AU658" s="81"/>
      <c r="AV658" s="81"/>
      <c r="AW658" s="81"/>
      <c r="AX658" s="81"/>
      <c r="AY658" s="81"/>
      <c r="AZ658" s="81"/>
      <c r="BA658" s="81"/>
      <c r="BB658" s="81"/>
    </row>
    <row r="659" spans="1:54" x14ac:dyDescent="0.35">
      <c r="A659" s="66" t="s">
        <v>583</v>
      </c>
      <c r="B659" s="66" t="s">
        <v>1055</v>
      </c>
      <c r="C659" s="67"/>
      <c r="D659" s="68"/>
      <c r="E659" s="69"/>
      <c r="F659" s="70"/>
      <c r="G659" s="67"/>
      <c r="H659" s="71"/>
      <c r="I659" s="72"/>
      <c r="J659" s="72"/>
      <c r="K659" s="36"/>
      <c r="L659" s="79"/>
      <c r="M659" s="79"/>
      <c r="N659" s="74"/>
      <c r="O659" s="81" t="s">
        <v>1207</v>
      </c>
      <c r="P659" s="83">
        <v>44460.562384259261</v>
      </c>
      <c r="Q659" s="81" t="s">
        <v>1324</v>
      </c>
      <c r="R659" s="81"/>
      <c r="S659" s="81"/>
      <c r="T659" s="81"/>
      <c r="U659" s="85" t="str">
        <f>HYPERLINK("https://pbs.twimg.com/media/E_xVJy2VQAQerFe.jpg")</f>
        <v>https://pbs.twimg.com/media/E_xVJy2VQAQerFe.jpg</v>
      </c>
      <c r="V659" s="85" t="str">
        <f>HYPERLINK("https://pbs.twimg.com/media/E_xVJy2VQAQerFe.jpg")</f>
        <v>https://pbs.twimg.com/media/E_xVJy2VQAQerFe.jpg</v>
      </c>
      <c r="W659" s="83">
        <v>44460.562384259261</v>
      </c>
      <c r="X659" s="89">
        <v>44460</v>
      </c>
      <c r="Y659" s="87" t="s">
        <v>2185</v>
      </c>
      <c r="Z659" s="85" t="str">
        <f>HYPERLINK("https://twitter.com/danz51/status/1440307281334132739")</f>
        <v>https://twitter.com/danz51/status/1440307281334132739</v>
      </c>
      <c r="AA659" s="81"/>
      <c r="AB659" s="81"/>
      <c r="AC659" s="87" t="s">
        <v>3109</v>
      </c>
      <c r="AD659" s="81"/>
      <c r="AE659" s="81" t="b">
        <v>0</v>
      </c>
      <c r="AF659" s="81">
        <v>0</v>
      </c>
      <c r="AG659" s="87" t="s">
        <v>3875</v>
      </c>
      <c r="AH659" s="81" t="b">
        <v>0</v>
      </c>
      <c r="AI659" s="81" t="s">
        <v>4092</v>
      </c>
      <c r="AJ659" s="81"/>
      <c r="AK659" s="87" t="s">
        <v>3875</v>
      </c>
      <c r="AL659" s="81" t="b">
        <v>0</v>
      </c>
      <c r="AM659" s="81">
        <v>321</v>
      </c>
      <c r="AN659" s="87" t="s">
        <v>3520</v>
      </c>
      <c r="AO659" s="87" t="s">
        <v>4111</v>
      </c>
      <c r="AP659" s="81" t="b">
        <v>0</v>
      </c>
      <c r="AQ659" s="87" t="s">
        <v>3520</v>
      </c>
      <c r="AR659" s="81" t="s">
        <v>179</v>
      </c>
      <c r="AS659" s="81">
        <v>0</v>
      </c>
      <c r="AT659" s="81">
        <v>0</v>
      </c>
      <c r="AU659" s="81"/>
      <c r="AV659" s="81"/>
      <c r="AW659" s="81"/>
      <c r="AX659" s="81"/>
      <c r="AY659" s="81"/>
      <c r="AZ659" s="81"/>
      <c r="BA659" s="81"/>
      <c r="BB659" s="81"/>
    </row>
    <row r="660" spans="1:54" x14ac:dyDescent="0.35">
      <c r="A660" s="66" t="s">
        <v>583</v>
      </c>
      <c r="B660" s="66" t="s">
        <v>910</v>
      </c>
      <c r="C660" s="67"/>
      <c r="D660" s="68"/>
      <c r="E660" s="69"/>
      <c r="F660" s="70"/>
      <c r="G660" s="67"/>
      <c r="H660" s="71"/>
      <c r="I660" s="72"/>
      <c r="J660" s="72"/>
      <c r="K660" s="36"/>
      <c r="L660" s="79"/>
      <c r="M660" s="79"/>
      <c r="N660" s="74"/>
      <c r="O660" s="81" t="s">
        <v>1205</v>
      </c>
      <c r="P660" s="83">
        <v>44460.562384259261</v>
      </c>
      <c r="Q660" s="81" t="s">
        <v>1324</v>
      </c>
      <c r="R660" s="81"/>
      <c r="S660" s="81"/>
      <c r="T660" s="81"/>
      <c r="U660" s="85" t="str">
        <f>HYPERLINK("https://pbs.twimg.com/media/E_xVJy2VQAQerFe.jpg")</f>
        <v>https://pbs.twimg.com/media/E_xVJy2VQAQerFe.jpg</v>
      </c>
      <c r="V660" s="85" t="str">
        <f>HYPERLINK("https://pbs.twimg.com/media/E_xVJy2VQAQerFe.jpg")</f>
        <v>https://pbs.twimg.com/media/E_xVJy2VQAQerFe.jpg</v>
      </c>
      <c r="W660" s="83">
        <v>44460.562384259261</v>
      </c>
      <c r="X660" s="89">
        <v>44460</v>
      </c>
      <c r="Y660" s="87" t="s">
        <v>2185</v>
      </c>
      <c r="Z660" s="85" t="str">
        <f>HYPERLINK("https://twitter.com/danz51/status/1440307281334132739")</f>
        <v>https://twitter.com/danz51/status/1440307281334132739</v>
      </c>
      <c r="AA660" s="81"/>
      <c r="AB660" s="81"/>
      <c r="AC660" s="87" t="s">
        <v>3109</v>
      </c>
      <c r="AD660" s="81"/>
      <c r="AE660" s="81" t="b">
        <v>0</v>
      </c>
      <c r="AF660" s="81">
        <v>0</v>
      </c>
      <c r="AG660" s="87" t="s">
        <v>3875</v>
      </c>
      <c r="AH660" s="81" t="b">
        <v>0</v>
      </c>
      <c r="AI660" s="81" t="s">
        <v>4092</v>
      </c>
      <c r="AJ660" s="81"/>
      <c r="AK660" s="87" t="s">
        <v>3875</v>
      </c>
      <c r="AL660" s="81" t="b">
        <v>0</v>
      </c>
      <c r="AM660" s="81">
        <v>321</v>
      </c>
      <c r="AN660" s="87" t="s">
        <v>3520</v>
      </c>
      <c r="AO660" s="87" t="s">
        <v>4111</v>
      </c>
      <c r="AP660" s="81" t="b">
        <v>0</v>
      </c>
      <c r="AQ660" s="87" t="s">
        <v>3520</v>
      </c>
      <c r="AR660" s="81" t="s">
        <v>179</v>
      </c>
      <c r="AS660" s="81">
        <v>0</v>
      </c>
      <c r="AT660" s="81">
        <v>0</v>
      </c>
      <c r="AU660" s="81"/>
      <c r="AV660" s="81"/>
      <c r="AW660" s="81"/>
      <c r="AX660" s="81"/>
      <c r="AY660" s="81"/>
      <c r="AZ660" s="81"/>
      <c r="BA660" s="81"/>
      <c r="BB660" s="81"/>
    </row>
    <row r="661" spans="1:54" x14ac:dyDescent="0.35">
      <c r="A661" s="66" t="s">
        <v>584</v>
      </c>
      <c r="B661" s="66" t="s">
        <v>584</v>
      </c>
      <c r="C661" s="67"/>
      <c r="D661" s="68"/>
      <c r="E661" s="69"/>
      <c r="F661" s="70"/>
      <c r="G661" s="67"/>
      <c r="H661" s="71"/>
      <c r="I661" s="72"/>
      <c r="J661" s="72"/>
      <c r="K661" s="36"/>
      <c r="L661" s="79"/>
      <c r="M661" s="79"/>
      <c r="N661" s="74"/>
      <c r="O661" s="81" t="s">
        <v>179</v>
      </c>
      <c r="P661" s="83">
        <v>44460.539710648147</v>
      </c>
      <c r="Q661" s="81" t="s">
        <v>1354</v>
      </c>
      <c r="R661" s="81"/>
      <c r="S661" s="81"/>
      <c r="T661" s="81"/>
      <c r="U661" s="85" t="str">
        <f>HYPERLINK("https://pbs.twimg.com/media/E_z4XU5UUAwJJ3W.jpg")</f>
        <v>https://pbs.twimg.com/media/E_z4XU5UUAwJJ3W.jpg</v>
      </c>
      <c r="V661" s="85" t="str">
        <f>HYPERLINK("https://pbs.twimg.com/media/E_z4XU5UUAwJJ3W.jpg")</f>
        <v>https://pbs.twimg.com/media/E_z4XU5UUAwJJ3W.jpg</v>
      </c>
      <c r="W661" s="83">
        <v>44460.539710648147</v>
      </c>
      <c r="X661" s="89">
        <v>44460</v>
      </c>
      <c r="Y661" s="87" t="s">
        <v>2186</v>
      </c>
      <c r="Z661" s="85" t="str">
        <f>HYPERLINK("https://twitter.com/widassatyo/status/1440299066856927240")</f>
        <v>https://twitter.com/widassatyo/status/1440299066856927240</v>
      </c>
      <c r="AA661" s="81"/>
      <c r="AB661" s="81"/>
      <c r="AC661" s="87" t="s">
        <v>3110</v>
      </c>
      <c r="AD661" s="87" t="s">
        <v>3720</v>
      </c>
      <c r="AE661" s="81" t="b">
        <v>0</v>
      </c>
      <c r="AF661" s="81">
        <v>23</v>
      </c>
      <c r="AG661" s="87" t="s">
        <v>3945</v>
      </c>
      <c r="AH661" s="81" t="b">
        <v>0</v>
      </c>
      <c r="AI661" s="81" t="s">
        <v>4092</v>
      </c>
      <c r="AJ661" s="81"/>
      <c r="AK661" s="87" t="s">
        <v>3875</v>
      </c>
      <c r="AL661" s="81" t="b">
        <v>0</v>
      </c>
      <c r="AM661" s="81">
        <v>1</v>
      </c>
      <c r="AN661" s="87" t="s">
        <v>3875</v>
      </c>
      <c r="AO661" s="87" t="s">
        <v>4109</v>
      </c>
      <c r="AP661" s="81" t="b">
        <v>0</v>
      </c>
      <c r="AQ661" s="87" t="s">
        <v>3720</v>
      </c>
      <c r="AR661" s="81" t="s">
        <v>179</v>
      </c>
      <c r="AS661" s="81">
        <v>0</v>
      </c>
      <c r="AT661" s="81">
        <v>0</v>
      </c>
      <c r="AU661" s="81"/>
      <c r="AV661" s="81"/>
      <c r="AW661" s="81"/>
      <c r="AX661" s="81"/>
      <c r="AY661" s="81"/>
      <c r="AZ661" s="81"/>
      <c r="BA661" s="81"/>
      <c r="BB661" s="81"/>
    </row>
    <row r="662" spans="1:54" x14ac:dyDescent="0.35">
      <c r="A662" s="66" t="s">
        <v>584</v>
      </c>
      <c r="B662" s="66" t="s">
        <v>584</v>
      </c>
      <c r="C662" s="67"/>
      <c r="D662" s="68"/>
      <c r="E662" s="69"/>
      <c r="F662" s="70"/>
      <c r="G662" s="67"/>
      <c r="H662" s="71"/>
      <c r="I662" s="72"/>
      <c r="J662" s="72"/>
      <c r="K662" s="36"/>
      <c r="L662" s="79"/>
      <c r="M662" s="79"/>
      <c r="N662" s="74"/>
      <c r="O662" s="81" t="s">
        <v>179</v>
      </c>
      <c r="P662" s="83">
        <v>44460.539780092593</v>
      </c>
      <c r="Q662" s="81" t="s">
        <v>1355</v>
      </c>
      <c r="R662" s="81"/>
      <c r="S662" s="81"/>
      <c r="T662" s="81"/>
      <c r="U662" s="85" t="str">
        <f>HYPERLINK("https://pbs.twimg.com/media/E_z4Y0qVkAERb_i.jpg")</f>
        <v>https://pbs.twimg.com/media/E_z4Y0qVkAERb_i.jpg</v>
      </c>
      <c r="V662" s="85" t="str">
        <f>HYPERLINK("https://pbs.twimg.com/media/E_z4Y0qVkAERb_i.jpg")</f>
        <v>https://pbs.twimg.com/media/E_z4Y0qVkAERb_i.jpg</v>
      </c>
      <c r="W662" s="83">
        <v>44460.539780092593</v>
      </c>
      <c r="X662" s="89">
        <v>44460</v>
      </c>
      <c r="Y662" s="87" t="s">
        <v>2187</v>
      </c>
      <c r="Z662" s="85" t="str">
        <f>HYPERLINK("https://twitter.com/widassatyo/status/1440299092475670541")</f>
        <v>https://twitter.com/widassatyo/status/1440299092475670541</v>
      </c>
      <c r="AA662" s="81"/>
      <c r="AB662" s="81"/>
      <c r="AC662" s="87" t="s">
        <v>3111</v>
      </c>
      <c r="AD662" s="87" t="s">
        <v>3721</v>
      </c>
      <c r="AE662" s="81" t="b">
        <v>0</v>
      </c>
      <c r="AF662" s="81">
        <v>22</v>
      </c>
      <c r="AG662" s="87" t="s">
        <v>3945</v>
      </c>
      <c r="AH662" s="81" t="b">
        <v>0</v>
      </c>
      <c r="AI662" s="81" t="s">
        <v>4092</v>
      </c>
      <c r="AJ662" s="81"/>
      <c r="AK662" s="87" t="s">
        <v>3875</v>
      </c>
      <c r="AL662" s="81" t="b">
        <v>0</v>
      </c>
      <c r="AM662" s="81">
        <v>1</v>
      </c>
      <c r="AN662" s="87" t="s">
        <v>3875</v>
      </c>
      <c r="AO662" s="87" t="s">
        <v>4109</v>
      </c>
      <c r="AP662" s="81" t="b">
        <v>0</v>
      </c>
      <c r="AQ662" s="87" t="s">
        <v>3721</v>
      </c>
      <c r="AR662" s="81" t="s">
        <v>179</v>
      </c>
      <c r="AS662" s="81">
        <v>0</v>
      </c>
      <c r="AT662" s="81">
        <v>0</v>
      </c>
      <c r="AU662" s="81"/>
      <c r="AV662" s="81"/>
      <c r="AW662" s="81"/>
      <c r="AX662" s="81"/>
      <c r="AY662" s="81"/>
      <c r="AZ662" s="81"/>
      <c r="BA662" s="81"/>
      <c r="BB662" s="81"/>
    </row>
    <row r="663" spans="1:54" x14ac:dyDescent="0.35">
      <c r="A663" s="66" t="s">
        <v>584</v>
      </c>
      <c r="B663" s="66" t="s">
        <v>584</v>
      </c>
      <c r="C663" s="67"/>
      <c r="D663" s="68"/>
      <c r="E663" s="69"/>
      <c r="F663" s="70"/>
      <c r="G663" s="67"/>
      <c r="H663" s="71"/>
      <c r="I663" s="72"/>
      <c r="J663" s="72"/>
      <c r="K663" s="36"/>
      <c r="L663" s="79"/>
      <c r="M663" s="79"/>
      <c r="N663" s="74"/>
      <c r="O663" s="81" t="s">
        <v>179</v>
      </c>
      <c r="P663" s="83">
        <v>44460.539849537039</v>
      </c>
      <c r="Q663" s="81" t="s">
        <v>1353</v>
      </c>
      <c r="R663" s="81"/>
      <c r="S663" s="81"/>
      <c r="T663" s="81"/>
      <c r="U663" s="85" t="str">
        <f>HYPERLINK("https://pbs.twimg.com/media/E_z4aM3VEAMOCDg.jpg")</f>
        <v>https://pbs.twimg.com/media/E_z4aM3VEAMOCDg.jpg</v>
      </c>
      <c r="V663" s="85" t="str">
        <f>HYPERLINK("https://pbs.twimg.com/media/E_z4aM3VEAMOCDg.jpg")</f>
        <v>https://pbs.twimg.com/media/E_z4aM3VEAMOCDg.jpg</v>
      </c>
      <c r="W663" s="83">
        <v>44460.539849537039</v>
      </c>
      <c r="X663" s="89">
        <v>44460</v>
      </c>
      <c r="Y663" s="87" t="s">
        <v>2188</v>
      </c>
      <c r="Z663" s="85" t="str">
        <f>HYPERLINK("https://twitter.com/widassatyo/status/1440299116966277124")</f>
        <v>https://twitter.com/widassatyo/status/1440299116966277124</v>
      </c>
      <c r="AA663" s="81"/>
      <c r="AB663" s="81"/>
      <c r="AC663" s="87" t="s">
        <v>3112</v>
      </c>
      <c r="AD663" s="87" t="s">
        <v>3722</v>
      </c>
      <c r="AE663" s="81" t="b">
        <v>0</v>
      </c>
      <c r="AF663" s="81">
        <v>22</v>
      </c>
      <c r="AG663" s="87" t="s">
        <v>3945</v>
      </c>
      <c r="AH663" s="81" t="b">
        <v>0</v>
      </c>
      <c r="AI663" s="81" t="s">
        <v>4092</v>
      </c>
      <c r="AJ663" s="81"/>
      <c r="AK663" s="87" t="s">
        <v>3875</v>
      </c>
      <c r="AL663" s="81" t="b">
        <v>0</v>
      </c>
      <c r="AM663" s="81">
        <v>2</v>
      </c>
      <c r="AN663" s="87" t="s">
        <v>3875</v>
      </c>
      <c r="AO663" s="87" t="s">
        <v>4109</v>
      </c>
      <c r="AP663" s="81" t="b">
        <v>0</v>
      </c>
      <c r="AQ663" s="87" t="s">
        <v>3722</v>
      </c>
      <c r="AR663" s="81" t="s">
        <v>179</v>
      </c>
      <c r="AS663" s="81">
        <v>0</v>
      </c>
      <c r="AT663" s="81">
        <v>0</v>
      </c>
      <c r="AU663" s="81"/>
      <c r="AV663" s="81"/>
      <c r="AW663" s="81"/>
      <c r="AX663" s="81"/>
      <c r="AY663" s="81"/>
      <c r="AZ663" s="81"/>
      <c r="BA663" s="81"/>
      <c r="BB663" s="81"/>
    </row>
    <row r="664" spans="1:54" x14ac:dyDescent="0.35">
      <c r="A664" s="66" t="s">
        <v>585</v>
      </c>
      <c r="B664" s="66" t="s">
        <v>584</v>
      </c>
      <c r="C664" s="67"/>
      <c r="D664" s="68"/>
      <c r="E664" s="69"/>
      <c r="F664" s="70"/>
      <c r="G664" s="67"/>
      <c r="H664" s="71"/>
      <c r="I664" s="72"/>
      <c r="J664" s="72"/>
      <c r="K664" s="36"/>
      <c r="L664" s="79"/>
      <c r="M664" s="79"/>
      <c r="N664" s="74"/>
      <c r="O664" s="81" t="s">
        <v>1205</v>
      </c>
      <c r="P664" s="83">
        <v>44460.570509259262</v>
      </c>
      <c r="Q664" s="81" t="s">
        <v>1354</v>
      </c>
      <c r="R664" s="81"/>
      <c r="S664" s="81"/>
      <c r="T664" s="81"/>
      <c r="U664" s="85" t="str">
        <f>HYPERLINK("https://pbs.twimg.com/media/E_z4XU5UUAwJJ3W.jpg")</f>
        <v>https://pbs.twimg.com/media/E_z4XU5UUAwJJ3W.jpg</v>
      </c>
      <c r="V664" s="85" t="str">
        <f>HYPERLINK("https://pbs.twimg.com/media/E_z4XU5UUAwJJ3W.jpg")</f>
        <v>https://pbs.twimg.com/media/E_z4XU5UUAwJJ3W.jpg</v>
      </c>
      <c r="W664" s="83">
        <v>44460.570509259262</v>
      </c>
      <c r="X664" s="89">
        <v>44460</v>
      </c>
      <c r="Y664" s="87" t="s">
        <v>2189</v>
      </c>
      <c r="Z664" s="85" t="str">
        <f>HYPERLINK("https://twitter.com/renjunions/status/1440310227828494340")</f>
        <v>https://twitter.com/renjunions/status/1440310227828494340</v>
      </c>
      <c r="AA664" s="81"/>
      <c r="AB664" s="81"/>
      <c r="AC664" s="87" t="s">
        <v>3113</v>
      </c>
      <c r="AD664" s="81"/>
      <c r="AE664" s="81" t="b">
        <v>0</v>
      </c>
      <c r="AF664" s="81">
        <v>0</v>
      </c>
      <c r="AG664" s="87" t="s">
        <v>3875</v>
      </c>
      <c r="AH664" s="81" t="b">
        <v>0</v>
      </c>
      <c r="AI664" s="81" t="s">
        <v>4092</v>
      </c>
      <c r="AJ664" s="81"/>
      <c r="AK664" s="87" t="s">
        <v>3875</v>
      </c>
      <c r="AL664" s="81" t="b">
        <v>0</v>
      </c>
      <c r="AM664" s="81">
        <v>1</v>
      </c>
      <c r="AN664" s="87" t="s">
        <v>3110</v>
      </c>
      <c r="AO664" s="87" t="s">
        <v>4109</v>
      </c>
      <c r="AP664" s="81" t="b">
        <v>0</v>
      </c>
      <c r="AQ664" s="87" t="s">
        <v>3110</v>
      </c>
      <c r="AR664" s="81" t="s">
        <v>179</v>
      </c>
      <c r="AS664" s="81">
        <v>0</v>
      </c>
      <c r="AT664" s="81">
        <v>0</v>
      </c>
      <c r="AU664" s="81"/>
      <c r="AV664" s="81"/>
      <c r="AW664" s="81"/>
      <c r="AX664" s="81"/>
      <c r="AY664" s="81"/>
      <c r="AZ664" s="81"/>
      <c r="BA664" s="81"/>
      <c r="BB664" s="81"/>
    </row>
    <row r="665" spans="1:54" x14ac:dyDescent="0.35">
      <c r="A665" s="66" t="s">
        <v>585</v>
      </c>
      <c r="B665" s="66" t="s">
        <v>584</v>
      </c>
      <c r="C665" s="67"/>
      <c r="D665" s="68"/>
      <c r="E665" s="69"/>
      <c r="F665" s="70"/>
      <c r="G665" s="67"/>
      <c r="H665" s="71"/>
      <c r="I665" s="72"/>
      <c r="J665" s="72"/>
      <c r="K665" s="36"/>
      <c r="L665" s="79"/>
      <c r="M665" s="79"/>
      <c r="N665" s="74"/>
      <c r="O665" s="81" t="s">
        <v>1205</v>
      </c>
      <c r="P665" s="83">
        <v>44460.571099537039</v>
      </c>
      <c r="Q665" s="81" t="s">
        <v>1355</v>
      </c>
      <c r="R665" s="81"/>
      <c r="S665" s="81"/>
      <c r="T665" s="81"/>
      <c r="U665" s="85" t="str">
        <f>HYPERLINK("https://pbs.twimg.com/media/E_z4Y0qVkAERb_i.jpg")</f>
        <v>https://pbs.twimg.com/media/E_z4Y0qVkAERb_i.jpg</v>
      </c>
      <c r="V665" s="85" t="str">
        <f>HYPERLINK("https://pbs.twimg.com/media/E_z4Y0qVkAERb_i.jpg")</f>
        <v>https://pbs.twimg.com/media/E_z4Y0qVkAERb_i.jpg</v>
      </c>
      <c r="W665" s="83">
        <v>44460.571099537039</v>
      </c>
      <c r="X665" s="89">
        <v>44460</v>
      </c>
      <c r="Y665" s="87" t="s">
        <v>2190</v>
      </c>
      <c r="Z665" s="85" t="str">
        <f>HYPERLINK("https://twitter.com/renjunions/status/1440310441037557763")</f>
        <v>https://twitter.com/renjunions/status/1440310441037557763</v>
      </c>
      <c r="AA665" s="81"/>
      <c r="AB665" s="81"/>
      <c r="AC665" s="87" t="s">
        <v>3114</v>
      </c>
      <c r="AD665" s="81"/>
      <c r="AE665" s="81" t="b">
        <v>0</v>
      </c>
      <c r="AF665" s="81">
        <v>0</v>
      </c>
      <c r="AG665" s="87" t="s">
        <v>3875</v>
      </c>
      <c r="AH665" s="81" t="b">
        <v>0</v>
      </c>
      <c r="AI665" s="81" t="s">
        <v>4092</v>
      </c>
      <c r="AJ665" s="81"/>
      <c r="AK665" s="87" t="s">
        <v>3875</v>
      </c>
      <c r="AL665" s="81" t="b">
        <v>0</v>
      </c>
      <c r="AM665" s="81">
        <v>1</v>
      </c>
      <c r="AN665" s="87" t="s">
        <v>3111</v>
      </c>
      <c r="AO665" s="87" t="s">
        <v>4109</v>
      </c>
      <c r="AP665" s="81" t="b">
        <v>0</v>
      </c>
      <c r="AQ665" s="87" t="s">
        <v>3111</v>
      </c>
      <c r="AR665" s="81" t="s">
        <v>179</v>
      </c>
      <c r="AS665" s="81">
        <v>0</v>
      </c>
      <c r="AT665" s="81">
        <v>0</v>
      </c>
      <c r="AU665" s="81"/>
      <c r="AV665" s="81"/>
      <c r="AW665" s="81"/>
      <c r="AX665" s="81"/>
      <c r="AY665" s="81"/>
      <c r="AZ665" s="81"/>
      <c r="BA665" s="81"/>
      <c r="BB665" s="81"/>
    </row>
    <row r="666" spans="1:54" x14ac:dyDescent="0.35">
      <c r="A666" s="66" t="s">
        <v>585</v>
      </c>
      <c r="B666" s="66" t="s">
        <v>584</v>
      </c>
      <c r="C666" s="67"/>
      <c r="D666" s="68"/>
      <c r="E666" s="69"/>
      <c r="F666" s="70"/>
      <c r="G666" s="67"/>
      <c r="H666" s="71"/>
      <c r="I666" s="72"/>
      <c r="J666" s="72"/>
      <c r="K666" s="36"/>
      <c r="L666" s="79"/>
      <c r="M666" s="79"/>
      <c r="N666" s="74"/>
      <c r="O666" s="81" t="s">
        <v>1205</v>
      </c>
      <c r="P666" s="83">
        <v>44460.571631944447</v>
      </c>
      <c r="Q666" s="81" t="s">
        <v>1353</v>
      </c>
      <c r="R666" s="81"/>
      <c r="S666" s="81"/>
      <c r="T666" s="81"/>
      <c r="U666" s="85" t="str">
        <f>HYPERLINK("https://pbs.twimg.com/media/E_z4aM3VEAMOCDg.jpg")</f>
        <v>https://pbs.twimg.com/media/E_z4aM3VEAMOCDg.jpg</v>
      </c>
      <c r="V666" s="85" t="str">
        <f>HYPERLINK("https://pbs.twimg.com/media/E_z4aM3VEAMOCDg.jpg")</f>
        <v>https://pbs.twimg.com/media/E_z4aM3VEAMOCDg.jpg</v>
      </c>
      <c r="W666" s="83">
        <v>44460.571631944447</v>
      </c>
      <c r="X666" s="89">
        <v>44460</v>
      </c>
      <c r="Y666" s="87" t="s">
        <v>2191</v>
      </c>
      <c r="Z666" s="85" t="str">
        <f>HYPERLINK("https://twitter.com/renjunions/status/1440310635078684679")</f>
        <v>https://twitter.com/renjunions/status/1440310635078684679</v>
      </c>
      <c r="AA666" s="81"/>
      <c r="AB666" s="81"/>
      <c r="AC666" s="87" t="s">
        <v>3115</v>
      </c>
      <c r="AD666" s="81"/>
      <c r="AE666" s="81" t="b">
        <v>0</v>
      </c>
      <c r="AF666" s="81">
        <v>0</v>
      </c>
      <c r="AG666" s="87" t="s">
        <v>3875</v>
      </c>
      <c r="AH666" s="81" t="b">
        <v>0</v>
      </c>
      <c r="AI666" s="81" t="s">
        <v>4092</v>
      </c>
      <c r="AJ666" s="81"/>
      <c r="AK666" s="87" t="s">
        <v>3875</v>
      </c>
      <c r="AL666" s="81" t="b">
        <v>0</v>
      </c>
      <c r="AM666" s="81">
        <v>2</v>
      </c>
      <c r="AN666" s="87" t="s">
        <v>3112</v>
      </c>
      <c r="AO666" s="87" t="s">
        <v>4109</v>
      </c>
      <c r="AP666" s="81" t="b">
        <v>0</v>
      </c>
      <c r="AQ666" s="87" t="s">
        <v>3112</v>
      </c>
      <c r="AR666" s="81" t="s">
        <v>179</v>
      </c>
      <c r="AS666" s="81">
        <v>0</v>
      </c>
      <c r="AT666" s="81">
        <v>0</v>
      </c>
      <c r="AU666" s="81"/>
      <c r="AV666" s="81"/>
      <c r="AW666" s="81"/>
      <c r="AX666" s="81"/>
      <c r="AY666" s="81"/>
      <c r="AZ666" s="81"/>
      <c r="BA666" s="81"/>
      <c r="BB666" s="81"/>
    </row>
    <row r="667" spans="1:54" x14ac:dyDescent="0.35">
      <c r="A667" s="66" t="s">
        <v>586</v>
      </c>
      <c r="B667" s="66" t="s">
        <v>1055</v>
      </c>
      <c r="C667" s="67"/>
      <c r="D667" s="68"/>
      <c r="E667" s="69"/>
      <c r="F667" s="70"/>
      <c r="G667" s="67"/>
      <c r="H667" s="71"/>
      <c r="I667" s="72"/>
      <c r="J667" s="72"/>
      <c r="K667" s="36"/>
      <c r="L667" s="79"/>
      <c r="M667" s="79"/>
      <c r="N667" s="74"/>
      <c r="O667" s="81" t="s">
        <v>1207</v>
      </c>
      <c r="P667" s="83">
        <v>44460.575104166666</v>
      </c>
      <c r="Q667" s="81" t="s">
        <v>1324</v>
      </c>
      <c r="R667" s="81"/>
      <c r="S667" s="81"/>
      <c r="T667" s="81"/>
      <c r="U667" s="85" t="str">
        <f>HYPERLINK("https://pbs.twimg.com/media/E_xVJy2VQAQerFe.jpg")</f>
        <v>https://pbs.twimg.com/media/E_xVJy2VQAQerFe.jpg</v>
      </c>
      <c r="V667" s="85" t="str">
        <f>HYPERLINK("https://pbs.twimg.com/media/E_xVJy2VQAQerFe.jpg")</f>
        <v>https://pbs.twimg.com/media/E_xVJy2VQAQerFe.jpg</v>
      </c>
      <c r="W667" s="83">
        <v>44460.575104166666</v>
      </c>
      <c r="X667" s="89">
        <v>44460</v>
      </c>
      <c r="Y667" s="87" t="s">
        <v>2192</v>
      </c>
      <c r="Z667" s="85" t="str">
        <f>HYPERLINK("https://twitter.com/dehanoer/status/1440311891566366740")</f>
        <v>https://twitter.com/dehanoer/status/1440311891566366740</v>
      </c>
      <c r="AA667" s="81"/>
      <c r="AB667" s="81"/>
      <c r="AC667" s="87" t="s">
        <v>3116</v>
      </c>
      <c r="AD667" s="81"/>
      <c r="AE667" s="81" t="b">
        <v>0</v>
      </c>
      <c r="AF667" s="81">
        <v>0</v>
      </c>
      <c r="AG667" s="87" t="s">
        <v>3875</v>
      </c>
      <c r="AH667" s="81" t="b">
        <v>0</v>
      </c>
      <c r="AI667" s="81" t="s">
        <v>4092</v>
      </c>
      <c r="AJ667" s="81"/>
      <c r="AK667" s="87" t="s">
        <v>3875</v>
      </c>
      <c r="AL667" s="81" t="b">
        <v>0</v>
      </c>
      <c r="AM667" s="81">
        <v>321</v>
      </c>
      <c r="AN667" s="87" t="s">
        <v>3520</v>
      </c>
      <c r="AO667" s="87" t="s">
        <v>4109</v>
      </c>
      <c r="AP667" s="81" t="b">
        <v>0</v>
      </c>
      <c r="AQ667" s="87" t="s">
        <v>3520</v>
      </c>
      <c r="AR667" s="81" t="s">
        <v>179</v>
      </c>
      <c r="AS667" s="81">
        <v>0</v>
      </c>
      <c r="AT667" s="81">
        <v>0</v>
      </c>
      <c r="AU667" s="81"/>
      <c r="AV667" s="81"/>
      <c r="AW667" s="81"/>
      <c r="AX667" s="81"/>
      <c r="AY667" s="81"/>
      <c r="AZ667" s="81"/>
      <c r="BA667" s="81"/>
      <c r="BB667" s="81"/>
    </row>
    <row r="668" spans="1:54" x14ac:dyDescent="0.35">
      <c r="A668" s="66" t="s">
        <v>586</v>
      </c>
      <c r="B668" s="66" t="s">
        <v>910</v>
      </c>
      <c r="C668" s="67"/>
      <c r="D668" s="68"/>
      <c r="E668" s="69"/>
      <c r="F668" s="70"/>
      <c r="G668" s="67"/>
      <c r="H668" s="71"/>
      <c r="I668" s="72"/>
      <c r="J668" s="72"/>
      <c r="K668" s="36"/>
      <c r="L668" s="79"/>
      <c r="M668" s="79"/>
      <c r="N668" s="74"/>
      <c r="O668" s="81" t="s">
        <v>1205</v>
      </c>
      <c r="P668" s="83">
        <v>44460.575104166666</v>
      </c>
      <c r="Q668" s="81" t="s">
        <v>1324</v>
      </c>
      <c r="R668" s="81"/>
      <c r="S668" s="81"/>
      <c r="T668" s="81"/>
      <c r="U668" s="85" t="str">
        <f>HYPERLINK("https://pbs.twimg.com/media/E_xVJy2VQAQerFe.jpg")</f>
        <v>https://pbs.twimg.com/media/E_xVJy2VQAQerFe.jpg</v>
      </c>
      <c r="V668" s="85" t="str">
        <f>HYPERLINK("https://pbs.twimg.com/media/E_xVJy2VQAQerFe.jpg")</f>
        <v>https://pbs.twimg.com/media/E_xVJy2VQAQerFe.jpg</v>
      </c>
      <c r="W668" s="83">
        <v>44460.575104166666</v>
      </c>
      <c r="X668" s="89">
        <v>44460</v>
      </c>
      <c r="Y668" s="87" t="s">
        <v>2192</v>
      </c>
      <c r="Z668" s="85" t="str">
        <f>HYPERLINK("https://twitter.com/dehanoer/status/1440311891566366740")</f>
        <v>https://twitter.com/dehanoer/status/1440311891566366740</v>
      </c>
      <c r="AA668" s="81"/>
      <c r="AB668" s="81"/>
      <c r="AC668" s="87" t="s">
        <v>3116</v>
      </c>
      <c r="AD668" s="81"/>
      <c r="AE668" s="81" t="b">
        <v>0</v>
      </c>
      <c r="AF668" s="81">
        <v>0</v>
      </c>
      <c r="AG668" s="87" t="s">
        <v>3875</v>
      </c>
      <c r="AH668" s="81" t="b">
        <v>0</v>
      </c>
      <c r="AI668" s="81" t="s">
        <v>4092</v>
      </c>
      <c r="AJ668" s="81"/>
      <c r="AK668" s="87" t="s">
        <v>3875</v>
      </c>
      <c r="AL668" s="81" t="b">
        <v>0</v>
      </c>
      <c r="AM668" s="81">
        <v>321</v>
      </c>
      <c r="AN668" s="87" t="s">
        <v>3520</v>
      </c>
      <c r="AO668" s="87" t="s">
        <v>4109</v>
      </c>
      <c r="AP668" s="81" t="b">
        <v>0</v>
      </c>
      <c r="AQ668" s="87" t="s">
        <v>3520</v>
      </c>
      <c r="AR668" s="81" t="s">
        <v>179</v>
      </c>
      <c r="AS668" s="81">
        <v>0</v>
      </c>
      <c r="AT668" s="81">
        <v>0</v>
      </c>
      <c r="AU668" s="81"/>
      <c r="AV668" s="81"/>
      <c r="AW668" s="81"/>
      <c r="AX668" s="81"/>
      <c r="AY668" s="81"/>
      <c r="AZ668" s="81"/>
      <c r="BA668" s="81"/>
      <c r="BB668" s="81"/>
    </row>
    <row r="669" spans="1:54" x14ac:dyDescent="0.35">
      <c r="A669" s="66" t="s">
        <v>587</v>
      </c>
      <c r="B669" s="66" t="s">
        <v>588</v>
      </c>
      <c r="C669" s="67"/>
      <c r="D669" s="68"/>
      <c r="E669" s="69"/>
      <c r="F669" s="70"/>
      <c r="G669" s="67"/>
      <c r="H669" s="71"/>
      <c r="I669" s="72"/>
      <c r="J669" s="72"/>
      <c r="K669" s="36"/>
      <c r="L669" s="79"/>
      <c r="M669" s="79"/>
      <c r="N669" s="74"/>
      <c r="O669" s="81" t="s">
        <v>1208</v>
      </c>
      <c r="P669" s="83">
        <v>44460.352847222224</v>
      </c>
      <c r="Q669" s="81" t="s">
        <v>1356</v>
      </c>
      <c r="R669" s="81"/>
      <c r="S669" s="81"/>
      <c r="T669" s="81"/>
      <c r="U669" s="81"/>
      <c r="V669" s="85" t="str">
        <f>HYPERLINK("https://pbs.twimg.com/profile_images/1424191457406058498/ZzMr-CxY_normal.jpg")</f>
        <v>https://pbs.twimg.com/profile_images/1424191457406058498/ZzMr-CxY_normal.jpg</v>
      </c>
      <c r="W669" s="83">
        <v>44460.352847222224</v>
      </c>
      <c r="X669" s="89">
        <v>44460</v>
      </c>
      <c r="Y669" s="87" t="s">
        <v>2193</v>
      </c>
      <c r="Z669" s="85" t="str">
        <f>HYPERLINK("https://twitter.com/eboondcah/status/1440231349193883656")</f>
        <v>https://twitter.com/eboondcah/status/1440231349193883656</v>
      </c>
      <c r="AA669" s="81"/>
      <c r="AB669" s="81"/>
      <c r="AC669" s="87" t="s">
        <v>3117</v>
      </c>
      <c r="AD669" s="87" t="s">
        <v>3723</v>
      </c>
      <c r="AE669" s="81" t="b">
        <v>0</v>
      </c>
      <c r="AF669" s="81">
        <v>0</v>
      </c>
      <c r="AG669" s="87" t="s">
        <v>3946</v>
      </c>
      <c r="AH669" s="81" t="b">
        <v>0</v>
      </c>
      <c r="AI669" s="81" t="s">
        <v>4092</v>
      </c>
      <c r="AJ669" s="81"/>
      <c r="AK669" s="87" t="s">
        <v>3875</v>
      </c>
      <c r="AL669" s="81" t="b">
        <v>0</v>
      </c>
      <c r="AM669" s="81">
        <v>0</v>
      </c>
      <c r="AN669" s="87" t="s">
        <v>3875</v>
      </c>
      <c r="AO669" s="87" t="s">
        <v>4110</v>
      </c>
      <c r="AP669" s="81" t="b">
        <v>0</v>
      </c>
      <c r="AQ669" s="87" t="s">
        <v>3723</v>
      </c>
      <c r="AR669" s="81" t="s">
        <v>179</v>
      </c>
      <c r="AS669" s="81">
        <v>0</v>
      </c>
      <c r="AT669" s="81">
        <v>0</v>
      </c>
      <c r="AU669" s="81"/>
      <c r="AV669" s="81"/>
      <c r="AW669" s="81"/>
      <c r="AX669" s="81"/>
      <c r="AY669" s="81"/>
      <c r="AZ669" s="81"/>
      <c r="BA669" s="81"/>
      <c r="BB669" s="81"/>
    </row>
    <row r="670" spans="1:54" x14ac:dyDescent="0.35">
      <c r="A670" s="66" t="s">
        <v>588</v>
      </c>
      <c r="B670" s="66" t="s">
        <v>587</v>
      </c>
      <c r="C670" s="67"/>
      <c r="D670" s="68"/>
      <c r="E670" s="69"/>
      <c r="F670" s="70"/>
      <c r="G670" s="67"/>
      <c r="H670" s="71"/>
      <c r="I670" s="72"/>
      <c r="J670" s="72"/>
      <c r="K670" s="36"/>
      <c r="L670" s="79"/>
      <c r="M670" s="79"/>
      <c r="N670" s="74"/>
      <c r="O670" s="81" t="s">
        <v>1208</v>
      </c>
      <c r="P670" s="83">
        <v>44460.57980324074</v>
      </c>
      <c r="Q670" s="81" t="s">
        <v>1357</v>
      </c>
      <c r="R670" s="81"/>
      <c r="S670" s="81"/>
      <c r="T670" s="81"/>
      <c r="U670" s="81"/>
      <c r="V670" s="85" t="str">
        <f>HYPERLINK("https://pbs.twimg.com/profile_images/1442693262918053891/ZD2Y2CGp_normal.jpg")</f>
        <v>https://pbs.twimg.com/profile_images/1442693262918053891/ZD2Y2CGp_normal.jpg</v>
      </c>
      <c r="W670" s="83">
        <v>44460.57980324074</v>
      </c>
      <c r="X670" s="89">
        <v>44460</v>
      </c>
      <c r="Y670" s="87" t="s">
        <v>2194</v>
      </c>
      <c r="Z670" s="85" t="str">
        <f>HYPERLINK("https://twitter.com/lunatical9/status/1440313597091926016")</f>
        <v>https://twitter.com/lunatical9/status/1440313597091926016</v>
      </c>
      <c r="AA670" s="81"/>
      <c r="AB670" s="81"/>
      <c r="AC670" s="87" t="s">
        <v>3118</v>
      </c>
      <c r="AD670" s="87" t="s">
        <v>3117</v>
      </c>
      <c r="AE670" s="81" t="b">
        <v>0</v>
      </c>
      <c r="AF670" s="81">
        <v>0</v>
      </c>
      <c r="AG670" s="87" t="s">
        <v>3947</v>
      </c>
      <c r="AH670" s="81" t="b">
        <v>0</v>
      </c>
      <c r="AI670" s="81" t="s">
        <v>4092</v>
      </c>
      <c r="AJ670" s="81"/>
      <c r="AK670" s="87" t="s">
        <v>3875</v>
      </c>
      <c r="AL670" s="81" t="b">
        <v>0</v>
      </c>
      <c r="AM670" s="81">
        <v>0</v>
      </c>
      <c r="AN670" s="87" t="s">
        <v>3875</v>
      </c>
      <c r="AO670" s="87" t="s">
        <v>4109</v>
      </c>
      <c r="AP670" s="81" t="b">
        <v>0</v>
      </c>
      <c r="AQ670" s="87" t="s">
        <v>3117</v>
      </c>
      <c r="AR670" s="81" t="s">
        <v>179</v>
      </c>
      <c r="AS670" s="81">
        <v>0</v>
      </c>
      <c r="AT670" s="81">
        <v>0</v>
      </c>
      <c r="AU670" s="81"/>
      <c r="AV670" s="81"/>
      <c r="AW670" s="81"/>
      <c r="AX670" s="81"/>
      <c r="AY670" s="81"/>
      <c r="AZ670" s="81"/>
      <c r="BA670" s="81"/>
      <c r="BB670" s="81"/>
    </row>
    <row r="671" spans="1:54" x14ac:dyDescent="0.35">
      <c r="A671" s="66" t="s">
        <v>589</v>
      </c>
      <c r="B671" s="66" t="s">
        <v>1055</v>
      </c>
      <c r="C671" s="67"/>
      <c r="D671" s="68"/>
      <c r="E671" s="69"/>
      <c r="F671" s="70"/>
      <c r="G671" s="67"/>
      <c r="H671" s="71"/>
      <c r="I671" s="72"/>
      <c r="J671" s="72"/>
      <c r="K671" s="36"/>
      <c r="L671" s="79"/>
      <c r="M671" s="79"/>
      <c r="N671" s="74"/>
      <c r="O671" s="81" t="s">
        <v>1207</v>
      </c>
      <c r="P671" s="83">
        <v>44460.580891203703</v>
      </c>
      <c r="Q671" s="81" t="s">
        <v>1324</v>
      </c>
      <c r="R671" s="81"/>
      <c r="S671" s="81"/>
      <c r="T671" s="81"/>
      <c r="U671" s="85" t="str">
        <f>HYPERLINK("https://pbs.twimg.com/media/E_xVJy2VQAQerFe.jpg")</f>
        <v>https://pbs.twimg.com/media/E_xVJy2VQAQerFe.jpg</v>
      </c>
      <c r="V671" s="85" t="str">
        <f>HYPERLINK("https://pbs.twimg.com/media/E_xVJy2VQAQerFe.jpg")</f>
        <v>https://pbs.twimg.com/media/E_xVJy2VQAQerFe.jpg</v>
      </c>
      <c r="W671" s="83">
        <v>44460.580891203703</v>
      </c>
      <c r="X671" s="89">
        <v>44460</v>
      </c>
      <c r="Y671" s="87" t="s">
        <v>2195</v>
      </c>
      <c r="Z671" s="85" t="str">
        <f>HYPERLINK("https://twitter.com/omezh5/status/1440313991478145034")</f>
        <v>https://twitter.com/omezh5/status/1440313991478145034</v>
      </c>
      <c r="AA671" s="81"/>
      <c r="AB671" s="81"/>
      <c r="AC671" s="87" t="s">
        <v>3119</v>
      </c>
      <c r="AD671" s="81"/>
      <c r="AE671" s="81" t="b">
        <v>0</v>
      </c>
      <c r="AF671" s="81">
        <v>0</v>
      </c>
      <c r="AG671" s="87" t="s">
        <v>3875</v>
      </c>
      <c r="AH671" s="81" t="b">
        <v>0</v>
      </c>
      <c r="AI671" s="81" t="s">
        <v>4092</v>
      </c>
      <c r="AJ671" s="81"/>
      <c r="AK671" s="87" t="s">
        <v>3875</v>
      </c>
      <c r="AL671" s="81" t="b">
        <v>0</v>
      </c>
      <c r="AM671" s="81">
        <v>321</v>
      </c>
      <c r="AN671" s="87" t="s">
        <v>3520</v>
      </c>
      <c r="AO671" s="87" t="s">
        <v>4109</v>
      </c>
      <c r="AP671" s="81" t="b">
        <v>0</v>
      </c>
      <c r="AQ671" s="87" t="s">
        <v>3520</v>
      </c>
      <c r="AR671" s="81" t="s">
        <v>179</v>
      </c>
      <c r="AS671" s="81">
        <v>0</v>
      </c>
      <c r="AT671" s="81">
        <v>0</v>
      </c>
      <c r="AU671" s="81"/>
      <c r="AV671" s="81"/>
      <c r="AW671" s="81"/>
      <c r="AX671" s="81"/>
      <c r="AY671" s="81"/>
      <c r="AZ671" s="81"/>
      <c r="BA671" s="81"/>
      <c r="BB671" s="81"/>
    </row>
    <row r="672" spans="1:54" x14ac:dyDescent="0.35">
      <c r="A672" s="66" t="s">
        <v>589</v>
      </c>
      <c r="B672" s="66" t="s">
        <v>910</v>
      </c>
      <c r="C672" s="67"/>
      <c r="D672" s="68"/>
      <c r="E672" s="69"/>
      <c r="F672" s="70"/>
      <c r="G672" s="67"/>
      <c r="H672" s="71"/>
      <c r="I672" s="72"/>
      <c r="J672" s="72"/>
      <c r="K672" s="36"/>
      <c r="L672" s="79"/>
      <c r="M672" s="79"/>
      <c r="N672" s="74"/>
      <c r="O672" s="81" t="s">
        <v>1205</v>
      </c>
      <c r="P672" s="83">
        <v>44460.580891203703</v>
      </c>
      <c r="Q672" s="81" t="s">
        <v>1324</v>
      </c>
      <c r="R672" s="81"/>
      <c r="S672" s="81"/>
      <c r="T672" s="81"/>
      <c r="U672" s="85" t="str">
        <f>HYPERLINK("https://pbs.twimg.com/media/E_xVJy2VQAQerFe.jpg")</f>
        <v>https://pbs.twimg.com/media/E_xVJy2VQAQerFe.jpg</v>
      </c>
      <c r="V672" s="85" t="str">
        <f>HYPERLINK("https://pbs.twimg.com/media/E_xVJy2VQAQerFe.jpg")</f>
        <v>https://pbs.twimg.com/media/E_xVJy2VQAQerFe.jpg</v>
      </c>
      <c r="W672" s="83">
        <v>44460.580891203703</v>
      </c>
      <c r="X672" s="89">
        <v>44460</v>
      </c>
      <c r="Y672" s="87" t="s">
        <v>2195</v>
      </c>
      <c r="Z672" s="85" t="str">
        <f>HYPERLINK("https://twitter.com/omezh5/status/1440313991478145034")</f>
        <v>https://twitter.com/omezh5/status/1440313991478145034</v>
      </c>
      <c r="AA672" s="81"/>
      <c r="AB672" s="81"/>
      <c r="AC672" s="87" t="s">
        <v>3119</v>
      </c>
      <c r="AD672" s="81"/>
      <c r="AE672" s="81" t="b">
        <v>0</v>
      </c>
      <c r="AF672" s="81">
        <v>0</v>
      </c>
      <c r="AG672" s="87" t="s">
        <v>3875</v>
      </c>
      <c r="AH672" s="81" t="b">
        <v>0</v>
      </c>
      <c r="AI672" s="81" t="s">
        <v>4092</v>
      </c>
      <c r="AJ672" s="81"/>
      <c r="AK672" s="87" t="s">
        <v>3875</v>
      </c>
      <c r="AL672" s="81" t="b">
        <v>0</v>
      </c>
      <c r="AM672" s="81">
        <v>321</v>
      </c>
      <c r="AN672" s="87" t="s">
        <v>3520</v>
      </c>
      <c r="AO672" s="87" t="s">
        <v>4109</v>
      </c>
      <c r="AP672" s="81" t="b">
        <v>0</v>
      </c>
      <c r="AQ672" s="87" t="s">
        <v>3520</v>
      </c>
      <c r="AR672" s="81" t="s">
        <v>179</v>
      </c>
      <c r="AS672" s="81">
        <v>0</v>
      </c>
      <c r="AT672" s="81">
        <v>0</v>
      </c>
      <c r="AU672" s="81"/>
      <c r="AV672" s="81"/>
      <c r="AW672" s="81"/>
      <c r="AX672" s="81"/>
      <c r="AY672" s="81"/>
      <c r="AZ672" s="81"/>
      <c r="BA672" s="81"/>
      <c r="BB672" s="81"/>
    </row>
    <row r="673" spans="1:54" x14ac:dyDescent="0.35">
      <c r="A673" s="66" t="s">
        <v>590</v>
      </c>
      <c r="B673" s="66" t="s">
        <v>1071</v>
      </c>
      <c r="C673" s="67"/>
      <c r="D673" s="68"/>
      <c r="E673" s="69"/>
      <c r="F673" s="70"/>
      <c r="G673" s="67"/>
      <c r="H673" s="71"/>
      <c r="I673" s="72"/>
      <c r="J673" s="72"/>
      <c r="K673" s="36"/>
      <c r="L673" s="79"/>
      <c r="M673" s="79"/>
      <c r="N673" s="74"/>
      <c r="O673" s="81" t="s">
        <v>1206</v>
      </c>
      <c r="P673" s="83">
        <v>44460.581759259258</v>
      </c>
      <c r="Q673" s="81" t="s">
        <v>1358</v>
      </c>
      <c r="R673" s="85" t="str">
        <f>HYPERLINK("https://beritadiy.pikiran-rakyat.com/ekonomi/pr-702641402/bst-kemensos-tak-hanya-cair-lewat-kantor-pos-indonesia-cek-4-rekening-penyaluran-bantuan-rp600-ribu")</f>
        <v>https://beritadiy.pikiran-rakyat.com/ekonomi/pr-702641402/bst-kemensos-tak-hanya-cair-lewat-kantor-pos-indonesia-cek-4-rekening-penyaluran-bantuan-rp600-ribu</v>
      </c>
      <c r="S673" s="81" t="s">
        <v>1739</v>
      </c>
      <c r="T673" s="81"/>
      <c r="U673" s="85" t="str">
        <f>HYPERLINK("https://pbs.twimg.com/media/E_0GONcVQAw9rlZ.jpg")</f>
        <v>https://pbs.twimg.com/media/E_0GONcVQAw9rlZ.jpg</v>
      </c>
      <c r="V673" s="85" t="str">
        <f>HYPERLINK("https://pbs.twimg.com/media/E_0GONcVQAw9rlZ.jpg")</f>
        <v>https://pbs.twimg.com/media/E_0GONcVQAw9rlZ.jpg</v>
      </c>
      <c r="W673" s="83">
        <v>44460.581759259258</v>
      </c>
      <c r="X673" s="89">
        <v>44460</v>
      </c>
      <c r="Y673" s="87" t="s">
        <v>2196</v>
      </c>
      <c r="Z673" s="85" t="str">
        <f>HYPERLINK("https://twitter.com/putr4sj/status/1440314304813694992")</f>
        <v>https://twitter.com/putr4sj/status/1440314304813694992</v>
      </c>
      <c r="AA673" s="81"/>
      <c r="AB673" s="81"/>
      <c r="AC673" s="87" t="s">
        <v>3120</v>
      </c>
      <c r="AD673" s="81"/>
      <c r="AE673" s="81" t="b">
        <v>0</v>
      </c>
      <c r="AF673" s="81">
        <v>0</v>
      </c>
      <c r="AG673" s="87" t="s">
        <v>3875</v>
      </c>
      <c r="AH673" s="81" t="b">
        <v>0</v>
      </c>
      <c r="AI673" s="81" t="s">
        <v>4092</v>
      </c>
      <c r="AJ673" s="81"/>
      <c r="AK673" s="87" t="s">
        <v>3875</v>
      </c>
      <c r="AL673" s="81" t="b">
        <v>0</v>
      </c>
      <c r="AM673" s="81">
        <v>0</v>
      </c>
      <c r="AN673" s="87" t="s">
        <v>3875</v>
      </c>
      <c r="AO673" s="87" t="s">
        <v>4109</v>
      </c>
      <c r="AP673" s="81" t="b">
        <v>0</v>
      </c>
      <c r="AQ673" s="87" t="s">
        <v>3120</v>
      </c>
      <c r="AR673" s="81" t="s">
        <v>179</v>
      </c>
      <c r="AS673" s="81">
        <v>0</v>
      </c>
      <c r="AT673" s="81">
        <v>0</v>
      </c>
      <c r="AU673" s="81"/>
      <c r="AV673" s="81"/>
      <c r="AW673" s="81"/>
      <c r="AX673" s="81"/>
      <c r="AY673" s="81"/>
      <c r="AZ673" s="81"/>
      <c r="BA673" s="81"/>
      <c r="BB673" s="81"/>
    </row>
    <row r="674" spans="1:54" x14ac:dyDescent="0.35">
      <c r="A674" s="66" t="s">
        <v>591</v>
      </c>
      <c r="B674" s="66" t="s">
        <v>1055</v>
      </c>
      <c r="C674" s="67"/>
      <c r="D674" s="68"/>
      <c r="E674" s="69"/>
      <c r="F674" s="70"/>
      <c r="G674" s="67"/>
      <c r="H674" s="71"/>
      <c r="I674" s="72"/>
      <c r="J674" s="72"/>
      <c r="K674" s="36"/>
      <c r="L674" s="79"/>
      <c r="M674" s="79"/>
      <c r="N674" s="74"/>
      <c r="O674" s="81" t="s">
        <v>1207</v>
      </c>
      <c r="P674" s="83">
        <v>44460.58315972222</v>
      </c>
      <c r="Q674" s="81" t="s">
        <v>1324</v>
      </c>
      <c r="R674" s="81"/>
      <c r="S674" s="81"/>
      <c r="T674" s="81"/>
      <c r="U674" s="85" t="str">
        <f>HYPERLINK("https://pbs.twimg.com/media/E_xVJy2VQAQerFe.jpg")</f>
        <v>https://pbs.twimg.com/media/E_xVJy2VQAQerFe.jpg</v>
      </c>
      <c r="V674" s="85" t="str">
        <f>HYPERLINK("https://pbs.twimg.com/media/E_xVJy2VQAQerFe.jpg")</f>
        <v>https://pbs.twimg.com/media/E_xVJy2VQAQerFe.jpg</v>
      </c>
      <c r="W674" s="83">
        <v>44460.58315972222</v>
      </c>
      <c r="X674" s="89">
        <v>44460</v>
      </c>
      <c r="Y674" s="87" t="s">
        <v>2197</v>
      </c>
      <c r="Z674" s="85" t="str">
        <f>HYPERLINK("https://twitter.com/angkringanxyz/status/1440314811762446352")</f>
        <v>https://twitter.com/angkringanxyz/status/1440314811762446352</v>
      </c>
      <c r="AA674" s="81"/>
      <c r="AB674" s="81"/>
      <c r="AC674" s="87" t="s">
        <v>3121</v>
      </c>
      <c r="AD674" s="81"/>
      <c r="AE674" s="81" t="b">
        <v>0</v>
      </c>
      <c r="AF674" s="81">
        <v>0</v>
      </c>
      <c r="AG674" s="87" t="s">
        <v>3875</v>
      </c>
      <c r="AH674" s="81" t="b">
        <v>0</v>
      </c>
      <c r="AI674" s="81" t="s">
        <v>4092</v>
      </c>
      <c r="AJ674" s="81"/>
      <c r="AK674" s="87" t="s">
        <v>3875</v>
      </c>
      <c r="AL674" s="81" t="b">
        <v>0</v>
      </c>
      <c r="AM674" s="81">
        <v>321</v>
      </c>
      <c r="AN674" s="87" t="s">
        <v>3520</v>
      </c>
      <c r="AO674" s="87" t="s">
        <v>4111</v>
      </c>
      <c r="AP674" s="81" t="b">
        <v>0</v>
      </c>
      <c r="AQ674" s="87" t="s">
        <v>3520</v>
      </c>
      <c r="AR674" s="81" t="s">
        <v>179</v>
      </c>
      <c r="AS674" s="81">
        <v>0</v>
      </c>
      <c r="AT674" s="81">
        <v>0</v>
      </c>
      <c r="AU674" s="81"/>
      <c r="AV674" s="81"/>
      <c r="AW674" s="81"/>
      <c r="AX674" s="81"/>
      <c r="AY674" s="81"/>
      <c r="AZ674" s="81"/>
      <c r="BA674" s="81"/>
      <c r="BB674" s="81"/>
    </row>
    <row r="675" spans="1:54" x14ac:dyDescent="0.35">
      <c r="A675" s="66" t="s">
        <v>591</v>
      </c>
      <c r="B675" s="66" t="s">
        <v>910</v>
      </c>
      <c r="C675" s="67"/>
      <c r="D675" s="68"/>
      <c r="E675" s="69"/>
      <c r="F675" s="70"/>
      <c r="G675" s="67"/>
      <c r="H675" s="71"/>
      <c r="I675" s="72"/>
      <c r="J675" s="72"/>
      <c r="K675" s="36"/>
      <c r="L675" s="79"/>
      <c r="M675" s="79"/>
      <c r="N675" s="74"/>
      <c r="O675" s="81" t="s">
        <v>1205</v>
      </c>
      <c r="P675" s="83">
        <v>44460.58315972222</v>
      </c>
      <c r="Q675" s="81" t="s">
        <v>1324</v>
      </c>
      <c r="R675" s="81"/>
      <c r="S675" s="81"/>
      <c r="T675" s="81"/>
      <c r="U675" s="85" t="str">
        <f>HYPERLINK("https://pbs.twimg.com/media/E_xVJy2VQAQerFe.jpg")</f>
        <v>https://pbs.twimg.com/media/E_xVJy2VQAQerFe.jpg</v>
      </c>
      <c r="V675" s="85" t="str">
        <f>HYPERLINK("https://pbs.twimg.com/media/E_xVJy2VQAQerFe.jpg")</f>
        <v>https://pbs.twimg.com/media/E_xVJy2VQAQerFe.jpg</v>
      </c>
      <c r="W675" s="83">
        <v>44460.58315972222</v>
      </c>
      <c r="X675" s="89">
        <v>44460</v>
      </c>
      <c r="Y675" s="87" t="s">
        <v>2197</v>
      </c>
      <c r="Z675" s="85" t="str">
        <f>HYPERLINK("https://twitter.com/angkringanxyz/status/1440314811762446352")</f>
        <v>https://twitter.com/angkringanxyz/status/1440314811762446352</v>
      </c>
      <c r="AA675" s="81"/>
      <c r="AB675" s="81"/>
      <c r="AC675" s="87" t="s">
        <v>3121</v>
      </c>
      <c r="AD675" s="81"/>
      <c r="AE675" s="81" t="b">
        <v>0</v>
      </c>
      <c r="AF675" s="81">
        <v>0</v>
      </c>
      <c r="AG675" s="87" t="s">
        <v>3875</v>
      </c>
      <c r="AH675" s="81" t="b">
        <v>0</v>
      </c>
      <c r="AI675" s="81" t="s">
        <v>4092</v>
      </c>
      <c r="AJ675" s="81"/>
      <c r="AK675" s="87" t="s">
        <v>3875</v>
      </c>
      <c r="AL675" s="81" t="b">
        <v>0</v>
      </c>
      <c r="AM675" s="81">
        <v>321</v>
      </c>
      <c r="AN675" s="87" t="s">
        <v>3520</v>
      </c>
      <c r="AO675" s="87" t="s">
        <v>4111</v>
      </c>
      <c r="AP675" s="81" t="b">
        <v>0</v>
      </c>
      <c r="AQ675" s="87" t="s">
        <v>3520</v>
      </c>
      <c r="AR675" s="81" t="s">
        <v>179</v>
      </c>
      <c r="AS675" s="81">
        <v>0</v>
      </c>
      <c r="AT675" s="81">
        <v>0</v>
      </c>
      <c r="AU675" s="81"/>
      <c r="AV675" s="81"/>
      <c r="AW675" s="81"/>
      <c r="AX675" s="81"/>
      <c r="AY675" s="81"/>
      <c r="AZ675" s="81"/>
      <c r="BA675" s="81"/>
      <c r="BB675" s="81"/>
    </row>
    <row r="676" spans="1:54" x14ac:dyDescent="0.35">
      <c r="A676" s="66" t="s">
        <v>592</v>
      </c>
      <c r="B676" s="66" t="s">
        <v>1055</v>
      </c>
      <c r="C676" s="67"/>
      <c r="D676" s="68"/>
      <c r="E676" s="69"/>
      <c r="F676" s="70"/>
      <c r="G676" s="67"/>
      <c r="H676" s="71"/>
      <c r="I676" s="72"/>
      <c r="J676" s="72"/>
      <c r="K676" s="36"/>
      <c r="L676" s="79"/>
      <c r="M676" s="79"/>
      <c r="N676" s="74"/>
      <c r="O676" s="81" t="s">
        <v>1207</v>
      </c>
      <c r="P676" s="83">
        <v>44460.583923611113</v>
      </c>
      <c r="Q676" s="81" t="s">
        <v>1324</v>
      </c>
      <c r="R676" s="81"/>
      <c r="S676" s="81"/>
      <c r="T676" s="81"/>
      <c r="U676" s="85" t="str">
        <f>HYPERLINK("https://pbs.twimg.com/media/E_xVJy2VQAQerFe.jpg")</f>
        <v>https://pbs.twimg.com/media/E_xVJy2VQAQerFe.jpg</v>
      </c>
      <c r="V676" s="85" t="str">
        <f>HYPERLINK("https://pbs.twimg.com/media/E_xVJy2VQAQerFe.jpg")</f>
        <v>https://pbs.twimg.com/media/E_xVJy2VQAQerFe.jpg</v>
      </c>
      <c r="W676" s="83">
        <v>44460.583923611113</v>
      </c>
      <c r="X676" s="89">
        <v>44460</v>
      </c>
      <c r="Y676" s="87" t="s">
        <v>2198</v>
      </c>
      <c r="Z676" s="85" t="str">
        <f>HYPERLINK("https://twitter.com/lusi79039701/status/1440315086971674628")</f>
        <v>https://twitter.com/lusi79039701/status/1440315086971674628</v>
      </c>
      <c r="AA676" s="81"/>
      <c r="AB676" s="81"/>
      <c r="AC676" s="87" t="s">
        <v>3122</v>
      </c>
      <c r="AD676" s="81"/>
      <c r="AE676" s="81" t="b">
        <v>0</v>
      </c>
      <c r="AF676" s="81">
        <v>0</v>
      </c>
      <c r="AG676" s="87" t="s">
        <v>3875</v>
      </c>
      <c r="AH676" s="81" t="b">
        <v>0</v>
      </c>
      <c r="AI676" s="81" t="s">
        <v>4092</v>
      </c>
      <c r="AJ676" s="81"/>
      <c r="AK676" s="87" t="s">
        <v>3875</v>
      </c>
      <c r="AL676" s="81" t="b">
        <v>0</v>
      </c>
      <c r="AM676" s="81">
        <v>321</v>
      </c>
      <c r="AN676" s="87" t="s">
        <v>3520</v>
      </c>
      <c r="AO676" s="87" t="s">
        <v>4110</v>
      </c>
      <c r="AP676" s="81" t="b">
        <v>0</v>
      </c>
      <c r="AQ676" s="87" t="s">
        <v>3520</v>
      </c>
      <c r="AR676" s="81" t="s">
        <v>179</v>
      </c>
      <c r="AS676" s="81">
        <v>0</v>
      </c>
      <c r="AT676" s="81">
        <v>0</v>
      </c>
      <c r="AU676" s="81"/>
      <c r="AV676" s="81"/>
      <c r="AW676" s="81"/>
      <c r="AX676" s="81"/>
      <c r="AY676" s="81"/>
      <c r="AZ676" s="81"/>
      <c r="BA676" s="81"/>
      <c r="BB676" s="81"/>
    </row>
    <row r="677" spans="1:54" x14ac:dyDescent="0.35">
      <c r="A677" s="66" t="s">
        <v>592</v>
      </c>
      <c r="B677" s="66" t="s">
        <v>910</v>
      </c>
      <c r="C677" s="67"/>
      <c r="D677" s="68"/>
      <c r="E677" s="69"/>
      <c r="F677" s="70"/>
      <c r="G677" s="67"/>
      <c r="H677" s="71"/>
      <c r="I677" s="72"/>
      <c r="J677" s="72"/>
      <c r="K677" s="36"/>
      <c r="L677" s="79"/>
      <c r="M677" s="79"/>
      <c r="N677" s="74"/>
      <c r="O677" s="81" t="s">
        <v>1205</v>
      </c>
      <c r="P677" s="83">
        <v>44460.583923611113</v>
      </c>
      <c r="Q677" s="81" t="s">
        <v>1324</v>
      </c>
      <c r="R677" s="81"/>
      <c r="S677" s="81"/>
      <c r="T677" s="81"/>
      <c r="U677" s="85" t="str">
        <f>HYPERLINK("https://pbs.twimg.com/media/E_xVJy2VQAQerFe.jpg")</f>
        <v>https://pbs.twimg.com/media/E_xVJy2VQAQerFe.jpg</v>
      </c>
      <c r="V677" s="85" t="str">
        <f>HYPERLINK("https://pbs.twimg.com/media/E_xVJy2VQAQerFe.jpg")</f>
        <v>https://pbs.twimg.com/media/E_xVJy2VQAQerFe.jpg</v>
      </c>
      <c r="W677" s="83">
        <v>44460.583923611113</v>
      </c>
      <c r="X677" s="89">
        <v>44460</v>
      </c>
      <c r="Y677" s="87" t="s">
        <v>2198</v>
      </c>
      <c r="Z677" s="85" t="str">
        <f>HYPERLINK("https://twitter.com/lusi79039701/status/1440315086971674628")</f>
        <v>https://twitter.com/lusi79039701/status/1440315086971674628</v>
      </c>
      <c r="AA677" s="81"/>
      <c r="AB677" s="81"/>
      <c r="AC677" s="87" t="s">
        <v>3122</v>
      </c>
      <c r="AD677" s="81"/>
      <c r="AE677" s="81" t="b">
        <v>0</v>
      </c>
      <c r="AF677" s="81">
        <v>0</v>
      </c>
      <c r="AG677" s="87" t="s">
        <v>3875</v>
      </c>
      <c r="AH677" s="81" t="b">
        <v>0</v>
      </c>
      <c r="AI677" s="81" t="s">
        <v>4092</v>
      </c>
      <c r="AJ677" s="81"/>
      <c r="AK677" s="87" t="s">
        <v>3875</v>
      </c>
      <c r="AL677" s="81" t="b">
        <v>0</v>
      </c>
      <c r="AM677" s="81">
        <v>321</v>
      </c>
      <c r="AN677" s="87" t="s">
        <v>3520</v>
      </c>
      <c r="AO677" s="87" t="s">
        <v>4110</v>
      </c>
      <c r="AP677" s="81" t="b">
        <v>0</v>
      </c>
      <c r="AQ677" s="87" t="s">
        <v>3520</v>
      </c>
      <c r="AR677" s="81" t="s">
        <v>179</v>
      </c>
      <c r="AS677" s="81">
        <v>0</v>
      </c>
      <c r="AT677" s="81">
        <v>0</v>
      </c>
      <c r="AU677" s="81"/>
      <c r="AV677" s="81"/>
      <c r="AW677" s="81"/>
      <c r="AX677" s="81"/>
      <c r="AY677" s="81"/>
      <c r="AZ677" s="81"/>
      <c r="BA677" s="81"/>
      <c r="BB677" s="81"/>
    </row>
    <row r="678" spans="1:54" x14ac:dyDescent="0.35">
      <c r="A678" s="66" t="s">
        <v>593</v>
      </c>
      <c r="B678" s="66" t="s">
        <v>1070</v>
      </c>
      <c r="C678" s="67"/>
      <c r="D678" s="68"/>
      <c r="E678" s="69"/>
      <c r="F678" s="70"/>
      <c r="G678" s="67"/>
      <c r="H678" s="71"/>
      <c r="I678" s="72"/>
      <c r="J678" s="72"/>
      <c r="K678" s="36"/>
      <c r="L678" s="79"/>
      <c r="M678" s="79"/>
      <c r="N678" s="74"/>
      <c r="O678" s="81" t="s">
        <v>1208</v>
      </c>
      <c r="P678" s="83">
        <v>44460.585879629631</v>
      </c>
      <c r="Q678" s="81" t="s">
        <v>1359</v>
      </c>
      <c r="R678" s="81"/>
      <c r="S678" s="81"/>
      <c r="T678" s="81"/>
      <c r="U678" s="81"/>
      <c r="V678" s="85" t="str">
        <f>HYPERLINK("https://pbs.twimg.com/profile_images/1360179013801676803/XjKifMh7_normal.jpg")</f>
        <v>https://pbs.twimg.com/profile_images/1360179013801676803/XjKifMh7_normal.jpg</v>
      </c>
      <c r="W678" s="83">
        <v>44460.585879629631</v>
      </c>
      <c r="X678" s="89">
        <v>44460</v>
      </c>
      <c r="Y678" s="87" t="s">
        <v>2199</v>
      </c>
      <c r="Z678" s="85" t="str">
        <f>HYPERLINK("https://twitter.com/menfesssambat/status/1440315796605968393")</f>
        <v>https://twitter.com/menfesssambat/status/1440315796605968393</v>
      </c>
      <c r="AA678" s="81"/>
      <c r="AB678" s="81"/>
      <c r="AC678" s="87" t="s">
        <v>3123</v>
      </c>
      <c r="AD678" s="87" t="s">
        <v>3724</v>
      </c>
      <c r="AE678" s="81" t="b">
        <v>0</v>
      </c>
      <c r="AF678" s="81">
        <v>0</v>
      </c>
      <c r="AG678" s="87" t="s">
        <v>3944</v>
      </c>
      <c r="AH678" s="81" t="b">
        <v>0</v>
      </c>
      <c r="AI678" s="81" t="s">
        <v>4092</v>
      </c>
      <c r="AJ678" s="81"/>
      <c r="AK678" s="87" t="s">
        <v>3875</v>
      </c>
      <c r="AL678" s="81" t="b">
        <v>0</v>
      </c>
      <c r="AM678" s="81">
        <v>0</v>
      </c>
      <c r="AN678" s="87" t="s">
        <v>3875</v>
      </c>
      <c r="AO678" s="87" t="s">
        <v>4109</v>
      </c>
      <c r="AP678" s="81" t="b">
        <v>0</v>
      </c>
      <c r="AQ678" s="87" t="s">
        <v>3724</v>
      </c>
      <c r="AR678" s="81" t="s">
        <v>179</v>
      </c>
      <c r="AS678" s="81">
        <v>0</v>
      </c>
      <c r="AT678" s="81">
        <v>0</v>
      </c>
      <c r="AU678" s="81"/>
      <c r="AV678" s="81"/>
      <c r="AW678" s="81"/>
      <c r="AX678" s="81"/>
      <c r="AY678" s="81"/>
      <c r="AZ678" s="81"/>
      <c r="BA678" s="81"/>
      <c r="BB678" s="81"/>
    </row>
    <row r="679" spans="1:54" x14ac:dyDescent="0.35">
      <c r="A679" s="66" t="s">
        <v>594</v>
      </c>
      <c r="B679" s="66" t="s">
        <v>1055</v>
      </c>
      <c r="C679" s="67"/>
      <c r="D679" s="68"/>
      <c r="E679" s="69"/>
      <c r="F679" s="70"/>
      <c r="G679" s="67"/>
      <c r="H679" s="71"/>
      <c r="I679" s="72"/>
      <c r="J679" s="72"/>
      <c r="K679" s="36"/>
      <c r="L679" s="79"/>
      <c r="M679" s="79"/>
      <c r="N679" s="74"/>
      <c r="O679" s="81" t="s">
        <v>1207</v>
      </c>
      <c r="P679" s="83">
        <v>44460.596828703703</v>
      </c>
      <c r="Q679" s="81" t="s">
        <v>1324</v>
      </c>
      <c r="R679" s="81"/>
      <c r="S679" s="81"/>
      <c r="T679" s="81"/>
      <c r="U679" s="85" t="str">
        <f>HYPERLINK("https://pbs.twimg.com/media/E_xVJy2VQAQerFe.jpg")</f>
        <v>https://pbs.twimg.com/media/E_xVJy2VQAQerFe.jpg</v>
      </c>
      <c r="V679" s="85" t="str">
        <f>HYPERLINK("https://pbs.twimg.com/media/E_xVJy2VQAQerFe.jpg")</f>
        <v>https://pbs.twimg.com/media/E_xVJy2VQAQerFe.jpg</v>
      </c>
      <c r="W679" s="83">
        <v>44460.596828703703</v>
      </c>
      <c r="X679" s="89">
        <v>44460</v>
      </c>
      <c r="Y679" s="87" t="s">
        <v>2200</v>
      </c>
      <c r="Z679" s="85" t="str">
        <f>HYPERLINK("https://twitter.com/senyumbahagia6/status/1440319765558398976")</f>
        <v>https://twitter.com/senyumbahagia6/status/1440319765558398976</v>
      </c>
      <c r="AA679" s="81"/>
      <c r="AB679" s="81"/>
      <c r="AC679" s="87" t="s">
        <v>3124</v>
      </c>
      <c r="AD679" s="81"/>
      <c r="AE679" s="81" t="b">
        <v>0</v>
      </c>
      <c r="AF679" s="81">
        <v>0</v>
      </c>
      <c r="AG679" s="87" t="s">
        <v>3875</v>
      </c>
      <c r="AH679" s="81" t="b">
        <v>0</v>
      </c>
      <c r="AI679" s="81" t="s">
        <v>4092</v>
      </c>
      <c r="AJ679" s="81"/>
      <c r="AK679" s="87" t="s">
        <v>3875</v>
      </c>
      <c r="AL679" s="81" t="b">
        <v>0</v>
      </c>
      <c r="AM679" s="81">
        <v>321</v>
      </c>
      <c r="AN679" s="87" t="s">
        <v>3520</v>
      </c>
      <c r="AO679" s="87" t="s">
        <v>4109</v>
      </c>
      <c r="AP679" s="81" t="b">
        <v>0</v>
      </c>
      <c r="AQ679" s="87" t="s">
        <v>3520</v>
      </c>
      <c r="AR679" s="81" t="s">
        <v>179</v>
      </c>
      <c r="AS679" s="81">
        <v>0</v>
      </c>
      <c r="AT679" s="81">
        <v>0</v>
      </c>
      <c r="AU679" s="81"/>
      <c r="AV679" s="81"/>
      <c r="AW679" s="81"/>
      <c r="AX679" s="81"/>
      <c r="AY679" s="81"/>
      <c r="AZ679" s="81"/>
      <c r="BA679" s="81"/>
      <c r="BB679" s="81"/>
    </row>
    <row r="680" spans="1:54" x14ac:dyDescent="0.35">
      <c r="A680" s="66" t="s">
        <v>594</v>
      </c>
      <c r="B680" s="66" t="s">
        <v>910</v>
      </c>
      <c r="C680" s="67"/>
      <c r="D680" s="68"/>
      <c r="E680" s="69"/>
      <c r="F680" s="70"/>
      <c r="G680" s="67"/>
      <c r="H680" s="71"/>
      <c r="I680" s="72"/>
      <c r="J680" s="72"/>
      <c r="K680" s="36"/>
      <c r="L680" s="79"/>
      <c r="M680" s="79"/>
      <c r="N680" s="74"/>
      <c r="O680" s="81" t="s">
        <v>1205</v>
      </c>
      <c r="P680" s="83">
        <v>44460.596828703703</v>
      </c>
      <c r="Q680" s="81" t="s">
        <v>1324</v>
      </c>
      <c r="R680" s="81"/>
      <c r="S680" s="81"/>
      <c r="T680" s="81"/>
      <c r="U680" s="85" t="str">
        <f>HYPERLINK("https://pbs.twimg.com/media/E_xVJy2VQAQerFe.jpg")</f>
        <v>https://pbs.twimg.com/media/E_xVJy2VQAQerFe.jpg</v>
      </c>
      <c r="V680" s="85" t="str">
        <f>HYPERLINK("https://pbs.twimg.com/media/E_xVJy2VQAQerFe.jpg")</f>
        <v>https://pbs.twimg.com/media/E_xVJy2VQAQerFe.jpg</v>
      </c>
      <c r="W680" s="83">
        <v>44460.596828703703</v>
      </c>
      <c r="X680" s="89">
        <v>44460</v>
      </c>
      <c r="Y680" s="87" t="s">
        <v>2200</v>
      </c>
      <c r="Z680" s="85" t="str">
        <f>HYPERLINK("https://twitter.com/senyumbahagia6/status/1440319765558398976")</f>
        <v>https://twitter.com/senyumbahagia6/status/1440319765558398976</v>
      </c>
      <c r="AA680" s="81"/>
      <c r="AB680" s="81"/>
      <c r="AC680" s="87" t="s">
        <v>3124</v>
      </c>
      <c r="AD680" s="81"/>
      <c r="AE680" s="81" t="b">
        <v>0</v>
      </c>
      <c r="AF680" s="81">
        <v>0</v>
      </c>
      <c r="AG680" s="87" t="s">
        <v>3875</v>
      </c>
      <c r="AH680" s="81" t="b">
        <v>0</v>
      </c>
      <c r="AI680" s="81" t="s">
        <v>4092</v>
      </c>
      <c r="AJ680" s="81"/>
      <c r="AK680" s="87" t="s">
        <v>3875</v>
      </c>
      <c r="AL680" s="81" t="b">
        <v>0</v>
      </c>
      <c r="AM680" s="81">
        <v>321</v>
      </c>
      <c r="AN680" s="87" t="s">
        <v>3520</v>
      </c>
      <c r="AO680" s="87" t="s">
        <v>4109</v>
      </c>
      <c r="AP680" s="81" t="b">
        <v>0</v>
      </c>
      <c r="AQ680" s="87" t="s">
        <v>3520</v>
      </c>
      <c r="AR680" s="81" t="s">
        <v>179</v>
      </c>
      <c r="AS680" s="81">
        <v>0</v>
      </c>
      <c r="AT680" s="81">
        <v>0</v>
      </c>
      <c r="AU680" s="81"/>
      <c r="AV680" s="81"/>
      <c r="AW680" s="81"/>
      <c r="AX680" s="81"/>
      <c r="AY680" s="81"/>
      <c r="AZ680" s="81"/>
      <c r="BA680" s="81"/>
      <c r="BB680" s="81"/>
    </row>
    <row r="681" spans="1:54" x14ac:dyDescent="0.35">
      <c r="A681" s="66" t="s">
        <v>595</v>
      </c>
      <c r="B681" s="66" t="s">
        <v>1032</v>
      </c>
      <c r="C681" s="67"/>
      <c r="D681" s="68"/>
      <c r="E681" s="69"/>
      <c r="F681" s="70"/>
      <c r="G681" s="67"/>
      <c r="H681" s="71"/>
      <c r="I681" s="72"/>
      <c r="J681" s="72"/>
      <c r="K681" s="36"/>
      <c r="L681" s="79"/>
      <c r="M681" s="79"/>
      <c r="N681" s="74"/>
      <c r="O681" s="81" t="s">
        <v>1208</v>
      </c>
      <c r="P681" s="83">
        <v>44460.604953703703</v>
      </c>
      <c r="Q681" s="81" t="s">
        <v>1360</v>
      </c>
      <c r="R681" s="81"/>
      <c r="S681" s="81"/>
      <c r="T681" s="81"/>
      <c r="U681" s="81"/>
      <c r="V681" s="85" t="str">
        <f>HYPERLINK("https://pbs.twimg.com/profile_images/1441408678607814662/I8gxSRCC_normal.jpg")</f>
        <v>https://pbs.twimg.com/profile_images/1441408678607814662/I8gxSRCC_normal.jpg</v>
      </c>
      <c r="W681" s="83">
        <v>44460.604953703703</v>
      </c>
      <c r="X681" s="89">
        <v>44460</v>
      </c>
      <c r="Y681" s="87" t="s">
        <v>2201</v>
      </c>
      <c r="Z681" s="85" t="str">
        <f>HYPERLINK("https://twitter.com/nmoewn/status/1440322709406109696")</f>
        <v>https://twitter.com/nmoewn/status/1440322709406109696</v>
      </c>
      <c r="AA681" s="81"/>
      <c r="AB681" s="81"/>
      <c r="AC681" s="87" t="s">
        <v>3125</v>
      </c>
      <c r="AD681" s="87" t="s">
        <v>3725</v>
      </c>
      <c r="AE681" s="81" t="b">
        <v>0</v>
      </c>
      <c r="AF681" s="81">
        <v>0</v>
      </c>
      <c r="AG681" s="87" t="s">
        <v>3912</v>
      </c>
      <c r="AH681" s="81" t="b">
        <v>0</v>
      </c>
      <c r="AI681" s="81" t="s">
        <v>4092</v>
      </c>
      <c r="AJ681" s="81"/>
      <c r="AK681" s="87" t="s">
        <v>3875</v>
      </c>
      <c r="AL681" s="81" t="b">
        <v>0</v>
      </c>
      <c r="AM681" s="81">
        <v>0</v>
      </c>
      <c r="AN681" s="87" t="s">
        <v>3875</v>
      </c>
      <c r="AO681" s="87" t="s">
        <v>4109</v>
      </c>
      <c r="AP681" s="81" t="b">
        <v>0</v>
      </c>
      <c r="AQ681" s="87" t="s">
        <v>3725</v>
      </c>
      <c r="AR681" s="81" t="s">
        <v>179</v>
      </c>
      <c r="AS681" s="81">
        <v>0</v>
      </c>
      <c r="AT681" s="81">
        <v>0</v>
      </c>
      <c r="AU681" s="81"/>
      <c r="AV681" s="81"/>
      <c r="AW681" s="81"/>
      <c r="AX681" s="81"/>
      <c r="AY681" s="81"/>
      <c r="AZ681" s="81"/>
      <c r="BA681" s="81"/>
      <c r="BB681" s="81"/>
    </row>
    <row r="682" spans="1:54" x14ac:dyDescent="0.35">
      <c r="A682" s="66" t="s">
        <v>596</v>
      </c>
      <c r="B682" s="66" t="s">
        <v>1032</v>
      </c>
      <c r="C682" s="67"/>
      <c r="D682" s="68"/>
      <c r="E682" s="69"/>
      <c r="F682" s="70"/>
      <c r="G682" s="67"/>
      <c r="H682" s="71"/>
      <c r="I682" s="72"/>
      <c r="J682" s="72"/>
      <c r="K682" s="36"/>
      <c r="L682" s="79"/>
      <c r="M682" s="79"/>
      <c r="N682" s="74"/>
      <c r="O682" s="81" t="s">
        <v>1208</v>
      </c>
      <c r="P682" s="83">
        <v>44460.605509259258</v>
      </c>
      <c r="Q682" s="81" t="s">
        <v>1361</v>
      </c>
      <c r="R682" s="81"/>
      <c r="S682" s="81"/>
      <c r="T682" s="81"/>
      <c r="U682" s="81"/>
      <c r="V682" s="85" t="str">
        <f>HYPERLINK("https://pbs.twimg.com/profile_images/1426089372974149636/p_kIjSv5_normal.jpg")</f>
        <v>https://pbs.twimg.com/profile_images/1426089372974149636/p_kIjSv5_normal.jpg</v>
      </c>
      <c r="W682" s="83">
        <v>44460.605509259258</v>
      </c>
      <c r="X682" s="89">
        <v>44460</v>
      </c>
      <c r="Y682" s="87" t="s">
        <v>2202</v>
      </c>
      <c r="Z682" s="85" t="str">
        <f>HYPERLINK("https://twitter.com/teajuize/status/1440322909524815872")</f>
        <v>https://twitter.com/teajuize/status/1440322909524815872</v>
      </c>
      <c r="AA682" s="81"/>
      <c r="AB682" s="81"/>
      <c r="AC682" s="87" t="s">
        <v>3126</v>
      </c>
      <c r="AD682" s="87" t="s">
        <v>3725</v>
      </c>
      <c r="AE682" s="81" t="b">
        <v>0</v>
      </c>
      <c r="AF682" s="81">
        <v>0</v>
      </c>
      <c r="AG682" s="87" t="s">
        <v>3912</v>
      </c>
      <c r="AH682" s="81" t="b">
        <v>0</v>
      </c>
      <c r="AI682" s="81" t="s">
        <v>4095</v>
      </c>
      <c r="AJ682" s="81"/>
      <c r="AK682" s="87" t="s">
        <v>3875</v>
      </c>
      <c r="AL682" s="81" t="b">
        <v>0</v>
      </c>
      <c r="AM682" s="81">
        <v>0</v>
      </c>
      <c r="AN682" s="87" t="s">
        <v>3875</v>
      </c>
      <c r="AO682" s="87" t="s">
        <v>4109</v>
      </c>
      <c r="AP682" s="81" t="b">
        <v>0</v>
      </c>
      <c r="AQ682" s="87" t="s">
        <v>3725</v>
      </c>
      <c r="AR682" s="81" t="s">
        <v>179</v>
      </c>
      <c r="AS682" s="81">
        <v>0</v>
      </c>
      <c r="AT682" s="81">
        <v>0</v>
      </c>
      <c r="AU682" s="81"/>
      <c r="AV682" s="81"/>
      <c r="AW682" s="81"/>
      <c r="AX682" s="81"/>
      <c r="AY682" s="81"/>
      <c r="AZ682" s="81"/>
      <c r="BA682" s="81"/>
      <c r="BB682" s="81"/>
    </row>
    <row r="683" spans="1:54" x14ac:dyDescent="0.35">
      <c r="A683" s="66" t="s">
        <v>597</v>
      </c>
      <c r="B683" s="66" t="s">
        <v>1032</v>
      </c>
      <c r="C683" s="67"/>
      <c r="D683" s="68"/>
      <c r="E683" s="69"/>
      <c r="F683" s="70"/>
      <c r="G683" s="67"/>
      <c r="H683" s="71"/>
      <c r="I683" s="72"/>
      <c r="J683" s="72"/>
      <c r="K683" s="36"/>
      <c r="L683" s="79"/>
      <c r="M683" s="79"/>
      <c r="N683" s="74"/>
      <c r="O683" s="81" t="s">
        <v>1208</v>
      </c>
      <c r="P683" s="83">
        <v>44460.611655092594</v>
      </c>
      <c r="Q683" s="81" t="s">
        <v>1362</v>
      </c>
      <c r="R683" s="81"/>
      <c r="S683" s="81"/>
      <c r="T683" s="81"/>
      <c r="U683" s="81"/>
      <c r="V683" s="85" t="str">
        <f>HYPERLINK("https://pbs.twimg.com/profile_images/940045684014661632/HtMizSYf_normal.jpg")</f>
        <v>https://pbs.twimg.com/profile_images/940045684014661632/HtMizSYf_normal.jpg</v>
      </c>
      <c r="W683" s="83">
        <v>44460.611655092594</v>
      </c>
      <c r="X683" s="89">
        <v>44460</v>
      </c>
      <c r="Y683" s="87" t="s">
        <v>2203</v>
      </c>
      <c r="Z683" s="85" t="str">
        <f>HYPERLINK("https://twitter.com/ika_varizki/status/1440325139191586819")</f>
        <v>https://twitter.com/ika_varizki/status/1440325139191586819</v>
      </c>
      <c r="AA683" s="81"/>
      <c r="AB683" s="81"/>
      <c r="AC683" s="87" t="s">
        <v>3127</v>
      </c>
      <c r="AD683" s="87" t="s">
        <v>3725</v>
      </c>
      <c r="AE683" s="81" t="b">
        <v>0</v>
      </c>
      <c r="AF683" s="81">
        <v>0</v>
      </c>
      <c r="AG683" s="87" t="s">
        <v>3912</v>
      </c>
      <c r="AH683" s="81" t="b">
        <v>0</v>
      </c>
      <c r="AI683" s="81" t="s">
        <v>4092</v>
      </c>
      <c r="AJ683" s="81"/>
      <c r="AK683" s="87" t="s">
        <v>3875</v>
      </c>
      <c r="AL683" s="81" t="b">
        <v>0</v>
      </c>
      <c r="AM683" s="81">
        <v>0</v>
      </c>
      <c r="AN683" s="87" t="s">
        <v>3875</v>
      </c>
      <c r="AO683" s="87" t="s">
        <v>4111</v>
      </c>
      <c r="AP683" s="81" t="b">
        <v>0</v>
      </c>
      <c r="AQ683" s="87" t="s">
        <v>3725</v>
      </c>
      <c r="AR683" s="81" t="s">
        <v>179</v>
      </c>
      <c r="AS683" s="81">
        <v>0</v>
      </c>
      <c r="AT683" s="81">
        <v>0</v>
      </c>
      <c r="AU683" s="81"/>
      <c r="AV683" s="81"/>
      <c r="AW683" s="81"/>
      <c r="AX683" s="81"/>
      <c r="AY683" s="81"/>
      <c r="AZ683" s="81"/>
      <c r="BA683" s="81"/>
      <c r="BB683" s="81"/>
    </row>
    <row r="684" spans="1:54" x14ac:dyDescent="0.35">
      <c r="A684" s="66" t="s">
        <v>598</v>
      </c>
      <c r="B684" s="66" t="s">
        <v>598</v>
      </c>
      <c r="C684" s="67"/>
      <c r="D684" s="68"/>
      <c r="E684" s="69"/>
      <c r="F684" s="70"/>
      <c r="G684" s="67"/>
      <c r="H684" s="71"/>
      <c r="I684" s="72"/>
      <c r="J684" s="72"/>
      <c r="K684" s="36"/>
      <c r="L684" s="79"/>
      <c r="M684" s="79"/>
      <c r="N684" s="74"/>
      <c r="O684" s="81" t="s">
        <v>179</v>
      </c>
      <c r="P684" s="83">
        <v>44460.633611111109</v>
      </c>
      <c r="Q684" s="81" t="s">
        <v>1363</v>
      </c>
      <c r="R684" s="81"/>
      <c r="S684" s="81"/>
      <c r="T684" s="81"/>
      <c r="U684" s="81"/>
      <c r="V684" s="85" t="str">
        <f>HYPERLINK("https://pbs.twimg.com/profile_images/1352486920165552141/xRNv65pn_normal.jpg")</f>
        <v>https://pbs.twimg.com/profile_images/1352486920165552141/xRNv65pn_normal.jpg</v>
      </c>
      <c r="W684" s="83">
        <v>44460.633611111109</v>
      </c>
      <c r="X684" s="89">
        <v>44460</v>
      </c>
      <c r="Y684" s="87" t="s">
        <v>2204</v>
      </c>
      <c r="Z684" s="85" t="str">
        <f>HYPERLINK("https://twitter.com/nahdaalfi/status/1440333096570667018")</f>
        <v>https://twitter.com/nahdaalfi/status/1440333096570667018</v>
      </c>
      <c r="AA684" s="81"/>
      <c r="AB684" s="81"/>
      <c r="AC684" s="87" t="s">
        <v>3128</v>
      </c>
      <c r="AD684" s="87" t="s">
        <v>3726</v>
      </c>
      <c r="AE684" s="81" t="b">
        <v>0</v>
      </c>
      <c r="AF684" s="81">
        <v>0</v>
      </c>
      <c r="AG684" s="87" t="s">
        <v>3948</v>
      </c>
      <c r="AH684" s="81" t="b">
        <v>0</v>
      </c>
      <c r="AI684" s="81" t="s">
        <v>4092</v>
      </c>
      <c r="AJ684" s="81"/>
      <c r="AK684" s="87" t="s">
        <v>3875</v>
      </c>
      <c r="AL684" s="81" t="b">
        <v>0</v>
      </c>
      <c r="AM684" s="81">
        <v>0</v>
      </c>
      <c r="AN684" s="87" t="s">
        <v>3875</v>
      </c>
      <c r="AO684" s="87" t="s">
        <v>4109</v>
      </c>
      <c r="AP684" s="81" t="b">
        <v>0</v>
      </c>
      <c r="AQ684" s="87" t="s">
        <v>3726</v>
      </c>
      <c r="AR684" s="81" t="s">
        <v>179</v>
      </c>
      <c r="AS684" s="81">
        <v>0</v>
      </c>
      <c r="AT684" s="81">
        <v>0</v>
      </c>
      <c r="AU684" s="81"/>
      <c r="AV684" s="81"/>
      <c r="AW684" s="81"/>
      <c r="AX684" s="81"/>
      <c r="AY684" s="81"/>
      <c r="AZ684" s="81"/>
      <c r="BA684" s="81"/>
      <c r="BB684" s="81"/>
    </row>
    <row r="685" spans="1:54" x14ac:dyDescent="0.35">
      <c r="A685" s="66" t="s">
        <v>599</v>
      </c>
      <c r="B685" s="66" t="s">
        <v>1055</v>
      </c>
      <c r="C685" s="67"/>
      <c r="D685" s="68"/>
      <c r="E685" s="69"/>
      <c r="F685" s="70"/>
      <c r="G685" s="67"/>
      <c r="H685" s="71"/>
      <c r="I685" s="72"/>
      <c r="J685" s="72"/>
      <c r="K685" s="36"/>
      <c r="L685" s="79"/>
      <c r="M685" s="79"/>
      <c r="N685" s="74"/>
      <c r="O685" s="81" t="s">
        <v>1207</v>
      </c>
      <c r="P685" s="83">
        <v>44460.638078703705</v>
      </c>
      <c r="Q685" s="81" t="s">
        <v>1324</v>
      </c>
      <c r="R685" s="81"/>
      <c r="S685" s="81"/>
      <c r="T685" s="81"/>
      <c r="U685" s="85" t="str">
        <f>HYPERLINK("https://pbs.twimg.com/media/E_xVJy2VQAQerFe.jpg")</f>
        <v>https://pbs.twimg.com/media/E_xVJy2VQAQerFe.jpg</v>
      </c>
      <c r="V685" s="85" t="str">
        <f>HYPERLINK("https://pbs.twimg.com/media/E_xVJy2VQAQerFe.jpg")</f>
        <v>https://pbs.twimg.com/media/E_xVJy2VQAQerFe.jpg</v>
      </c>
      <c r="W685" s="83">
        <v>44460.638078703705</v>
      </c>
      <c r="X685" s="89">
        <v>44460</v>
      </c>
      <c r="Y685" s="87" t="s">
        <v>2205</v>
      </c>
      <c r="Z685" s="85" t="str">
        <f>HYPERLINK("https://twitter.com/purwantisetia/status/1440334712820568065")</f>
        <v>https://twitter.com/purwantisetia/status/1440334712820568065</v>
      </c>
      <c r="AA685" s="81"/>
      <c r="AB685" s="81"/>
      <c r="AC685" s="87" t="s">
        <v>3129</v>
      </c>
      <c r="AD685" s="81"/>
      <c r="AE685" s="81" t="b">
        <v>0</v>
      </c>
      <c r="AF685" s="81">
        <v>0</v>
      </c>
      <c r="AG685" s="87" t="s">
        <v>3875</v>
      </c>
      <c r="AH685" s="81" t="b">
        <v>0</v>
      </c>
      <c r="AI685" s="81" t="s">
        <v>4092</v>
      </c>
      <c r="AJ685" s="81"/>
      <c r="AK685" s="87" t="s">
        <v>3875</v>
      </c>
      <c r="AL685" s="81" t="b">
        <v>0</v>
      </c>
      <c r="AM685" s="81">
        <v>321</v>
      </c>
      <c r="AN685" s="87" t="s">
        <v>3520</v>
      </c>
      <c r="AO685" s="87" t="s">
        <v>4109</v>
      </c>
      <c r="AP685" s="81" t="b">
        <v>0</v>
      </c>
      <c r="AQ685" s="87" t="s">
        <v>3520</v>
      </c>
      <c r="AR685" s="81" t="s">
        <v>179</v>
      </c>
      <c r="AS685" s="81">
        <v>0</v>
      </c>
      <c r="AT685" s="81">
        <v>0</v>
      </c>
      <c r="AU685" s="81"/>
      <c r="AV685" s="81"/>
      <c r="AW685" s="81"/>
      <c r="AX685" s="81"/>
      <c r="AY685" s="81"/>
      <c r="AZ685" s="81"/>
      <c r="BA685" s="81"/>
      <c r="BB685" s="81"/>
    </row>
    <row r="686" spans="1:54" x14ac:dyDescent="0.35">
      <c r="A686" s="66" t="s">
        <v>599</v>
      </c>
      <c r="B686" s="66" t="s">
        <v>910</v>
      </c>
      <c r="C686" s="67"/>
      <c r="D686" s="68"/>
      <c r="E686" s="69"/>
      <c r="F686" s="70"/>
      <c r="G686" s="67"/>
      <c r="H686" s="71"/>
      <c r="I686" s="72"/>
      <c r="J686" s="72"/>
      <c r="K686" s="36"/>
      <c r="L686" s="79"/>
      <c r="M686" s="79"/>
      <c r="N686" s="74"/>
      <c r="O686" s="81" t="s">
        <v>1205</v>
      </c>
      <c r="P686" s="83">
        <v>44460.638078703705</v>
      </c>
      <c r="Q686" s="81" t="s">
        <v>1324</v>
      </c>
      <c r="R686" s="81"/>
      <c r="S686" s="81"/>
      <c r="T686" s="81"/>
      <c r="U686" s="85" t="str">
        <f>HYPERLINK("https://pbs.twimg.com/media/E_xVJy2VQAQerFe.jpg")</f>
        <v>https://pbs.twimg.com/media/E_xVJy2VQAQerFe.jpg</v>
      </c>
      <c r="V686" s="85" t="str">
        <f>HYPERLINK("https://pbs.twimg.com/media/E_xVJy2VQAQerFe.jpg")</f>
        <v>https://pbs.twimg.com/media/E_xVJy2VQAQerFe.jpg</v>
      </c>
      <c r="W686" s="83">
        <v>44460.638078703705</v>
      </c>
      <c r="X686" s="89">
        <v>44460</v>
      </c>
      <c r="Y686" s="87" t="s">
        <v>2205</v>
      </c>
      <c r="Z686" s="85" t="str">
        <f>HYPERLINK("https://twitter.com/purwantisetia/status/1440334712820568065")</f>
        <v>https://twitter.com/purwantisetia/status/1440334712820568065</v>
      </c>
      <c r="AA686" s="81"/>
      <c r="AB686" s="81"/>
      <c r="AC686" s="87" t="s">
        <v>3129</v>
      </c>
      <c r="AD686" s="81"/>
      <c r="AE686" s="81" t="b">
        <v>0</v>
      </c>
      <c r="AF686" s="81">
        <v>0</v>
      </c>
      <c r="AG686" s="87" t="s">
        <v>3875</v>
      </c>
      <c r="AH686" s="81" t="b">
        <v>0</v>
      </c>
      <c r="AI686" s="81" t="s">
        <v>4092</v>
      </c>
      <c r="AJ686" s="81"/>
      <c r="AK686" s="87" t="s">
        <v>3875</v>
      </c>
      <c r="AL686" s="81" t="b">
        <v>0</v>
      </c>
      <c r="AM686" s="81">
        <v>321</v>
      </c>
      <c r="AN686" s="87" t="s">
        <v>3520</v>
      </c>
      <c r="AO686" s="87" t="s">
        <v>4109</v>
      </c>
      <c r="AP686" s="81" t="b">
        <v>0</v>
      </c>
      <c r="AQ686" s="87" t="s">
        <v>3520</v>
      </c>
      <c r="AR686" s="81" t="s">
        <v>179</v>
      </c>
      <c r="AS686" s="81">
        <v>0</v>
      </c>
      <c r="AT686" s="81">
        <v>0</v>
      </c>
      <c r="AU686" s="81"/>
      <c r="AV686" s="81"/>
      <c r="AW686" s="81"/>
      <c r="AX686" s="81"/>
      <c r="AY686" s="81"/>
      <c r="AZ686" s="81"/>
      <c r="BA686" s="81"/>
      <c r="BB686" s="81"/>
    </row>
    <row r="687" spans="1:54" x14ac:dyDescent="0.35">
      <c r="A687" s="66" t="s">
        <v>600</v>
      </c>
      <c r="B687" s="66" t="s">
        <v>1055</v>
      </c>
      <c r="C687" s="67"/>
      <c r="D687" s="68"/>
      <c r="E687" s="69"/>
      <c r="F687" s="70"/>
      <c r="G687" s="67"/>
      <c r="H687" s="71"/>
      <c r="I687" s="72"/>
      <c r="J687" s="72"/>
      <c r="K687" s="36"/>
      <c r="L687" s="79"/>
      <c r="M687" s="79"/>
      <c r="N687" s="74"/>
      <c r="O687" s="81" t="s">
        <v>1207</v>
      </c>
      <c r="P687" s="83">
        <v>44460.639537037037</v>
      </c>
      <c r="Q687" s="81" t="s">
        <v>1324</v>
      </c>
      <c r="R687" s="81"/>
      <c r="S687" s="81"/>
      <c r="T687" s="81"/>
      <c r="U687" s="85" t="str">
        <f>HYPERLINK("https://pbs.twimg.com/media/E_xVJy2VQAQerFe.jpg")</f>
        <v>https://pbs.twimg.com/media/E_xVJy2VQAQerFe.jpg</v>
      </c>
      <c r="V687" s="85" t="str">
        <f>HYPERLINK("https://pbs.twimg.com/media/E_xVJy2VQAQerFe.jpg")</f>
        <v>https://pbs.twimg.com/media/E_xVJy2VQAQerFe.jpg</v>
      </c>
      <c r="W687" s="83">
        <v>44460.639537037037</v>
      </c>
      <c r="X687" s="89">
        <v>44460</v>
      </c>
      <c r="Y687" s="87" t="s">
        <v>2206</v>
      </c>
      <c r="Z687" s="85" t="str">
        <f>HYPERLINK("https://twitter.com/aliam36/status/1440335241067974661")</f>
        <v>https://twitter.com/aliam36/status/1440335241067974661</v>
      </c>
      <c r="AA687" s="81"/>
      <c r="AB687" s="81"/>
      <c r="AC687" s="87" t="s">
        <v>3130</v>
      </c>
      <c r="AD687" s="81"/>
      <c r="AE687" s="81" t="b">
        <v>0</v>
      </c>
      <c r="AF687" s="81">
        <v>0</v>
      </c>
      <c r="AG687" s="87" t="s">
        <v>3875</v>
      </c>
      <c r="AH687" s="81" t="b">
        <v>0</v>
      </c>
      <c r="AI687" s="81" t="s">
        <v>4092</v>
      </c>
      <c r="AJ687" s="81"/>
      <c r="AK687" s="87" t="s">
        <v>3875</v>
      </c>
      <c r="AL687" s="81" t="b">
        <v>0</v>
      </c>
      <c r="AM687" s="81">
        <v>321</v>
      </c>
      <c r="AN687" s="87" t="s">
        <v>3520</v>
      </c>
      <c r="AO687" s="87" t="s">
        <v>4109</v>
      </c>
      <c r="AP687" s="81" t="b">
        <v>0</v>
      </c>
      <c r="AQ687" s="87" t="s">
        <v>3520</v>
      </c>
      <c r="AR687" s="81" t="s">
        <v>179</v>
      </c>
      <c r="AS687" s="81">
        <v>0</v>
      </c>
      <c r="AT687" s="81">
        <v>0</v>
      </c>
      <c r="AU687" s="81"/>
      <c r="AV687" s="81"/>
      <c r="AW687" s="81"/>
      <c r="AX687" s="81"/>
      <c r="AY687" s="81"/>
      <c r="AZ687" s="81"/>
      <c r="BA687" s="81"/>
      <c r="BB687" s="81"/>
    </row>
    <row r="688" spans="1:54" x14ac:dyDescent="0.35">
      <c r="A688" s="66" t="s">
        <v>600</v>
      </c>
      <c r="B688" s="66" t="s">
        <v>910</v>
      </c>
      <c r="C688" s="67"/>
      <c r="D688" s="68"/>
      <c r="E688" s="69"/>
      <c r="F688" s="70"/>
      <c r="G688" s="67"/>
      <c r="H688" s="71"/>
      <c r="I688" s="72"/>
      <c r="J688" s="72"/>
      <c r="K688" s="36"/>
      <c r="L688" s="79"/>
      <c r="M688" s="79"/>
      <c r="N688" s="74"/>
      <c r="O688" s="81" t="s">
        <v>1205</v>
      </c>
      <c r="P688" s="83">
        <v>44460.639537037037</v>
      </c>
      <c r="Q688" s="81" t="s">
        <v>1324</v>
      </c>
      <c r="R688" s="81"/>
      <c r="S688" s="81"/>
      <c r="T688" s="81"/>
      <c r="U688" s="85" t="str">
        <f>HYPERLINK("https://pbs.twimg.com/media/E_xVJy2VQAQerFe.jpg")</f>
        <v>https://pbs.twimg.com/media/E_xVJy2VQAQerFe.jpg</v>
      </c>
      <c r="V688" s="85" t="str">
        <f>HYPERLINK("https://pbs.twimg.com/media/E_xVJy2VQAQerFe.jpg")</f>
        <v>https://pbs.twimg.com/media/E_xVJy2VQAQerFe.jpg</v>
      </c>
      <c r="W688" s="83">
        <v>44460.639537037037</v>
      </c>
      <c r="X688" s="89">
        <v>44460</v>
      </c>
      <c r="Y688" s="87" t="s">
        <v>2206</v>
      </c>
      <c r="Z688" s="85" t="str">
        <f>HYPERLINK("https://twitter.com/aliam36/status/1440335241067974661")</f>
        <v>https://twitter.com/aliam36/status/1440335241067974661</v>
      </c>
      <c r="AA688" s="81"/>
      <c r="AB688" s="81"/>
      <c r="AC688" s="87" t="s">
        <v>3130</v>
      </c>
      <c r="AD688" s="81"/>
      <c r="AE688" s="81" t="b">
        <v>0</v>
      </c>
      <c r="AF688" s="81">
        <v>0</v>
      </c>
      <c r="AG688" s="87" t="s">
        <v>3875</v>
      </c>
      <c r="AH688" s="81" t="b">
        <v>0</v>
      </c>
      <c r="AI688" s="81" t="s">
        <v>4092</v>
      </c>
      <c r="AJ688" s="81"/>
      <c r="AK688" s="87" t="s">
        <v>3875</v>
      </c>
      <c r="AL688" s="81" t="b">
        <v>0</v>
      </c>
      <c r="AM688" s="81">
        <v>321</v>
      </c>
      <c r="AN688" s="87" t="s">
        <v>3520</v>
      </c>
      <c r="AO688" s="87" t="s">
        <v>4109</v>
      </c>
      <c r="AP688" s="81" t="b">
        <v>0</v>
      </c>
      <c r="AQ688" s="87" t="s">
        <v>3520</v>
      </c>
      <c r="AR688" s="81" t="s">
        <v>179</v>
      </c>
      <c r="AS688" s="81">
        <v>0</v>
      </c>
      <c r="AT688" s="81">
        <v>0</v>
      </c>
      <c r="AU688" s="81"/>
      <c r="AV688" s="81"/>
      <c r="AW688" s="81"/>
      <c r="AX688" s="81"/>
      <c r="AY688" s="81"/>
      <c r="AZ688" s="81"/>
      <c r="BA688" s="81"/>
      <c r="BB688" s="81"/>
    </row>
    <row r="689" spans="1:54" x14ac:dyDescent="0.35">
      <c r="A689" s="66" t="s">
        <v>601</v>
      </c>
      <c r="B689" s="66" t="s">
        <v>1055</v>
      </c>
      <c r="C689" s="67"/>
      <c r="D689" s="68"/>
      <c r="E689" s="69"/>
      <c r="F689" s="70"/>
      <c r="G689" s="67"/>
      <c r="H689" s="71"/>
      <c r="I689" s="72"/>
      <c r="J689" s="72"/>
      <c r="K689" s="36"/>
      <c r="L689" s="79"/>
      <c r="M689" s="79"/>
      <c r="N689" s="74"/>
      <c r="O689" s="81" t="s">
        <v>1207</v>
      </c>
      <c r="P689" s="83">
        <v>44460.655405092592</v>
      </c>
      <c r="Q689" s="81" t="s">
        <v>1324</v>
      </c>
      <c r="R689" s="81"/>
      <c r="S689" s="81"/>
      <c r="T689" s="81"/>
      <c r="U689" s="85" t="str">
        <f>HYPERLINK("https://pbs.twimg.com/media/E_xVJy2VQAQerFe.jpg")</f>
        <v>https://pbs.twimg.com/media/E_xVJy2VQAQerFe.jpg</v>
      </c>
      <c r="V689" s="85" t="str">
        <f>HYPERLINK("https://pbs.twimg.com/media/E_xVJy2VQAQerFe.jpg")</f>
        <v>https://pbs.twimg.com/media/E_xVJy2VQAQerFe.jpg</v>
      </c>
      <c r="W689" s="83">
        <v>44460.655405092592</v>
      </c>
      <c r="X689" s="89">
        <v>44460</v>
      </c>
      <c r="Y689" s="87" t="s">
        <v>2207</v>
      </c>
      <c r="Z689" s="85" t="str">
        <f>HYPERLINK("https://twitter.com/amadea312/status/1440340992679309313")</f>
        <v>https://twitter.com/amadea312/status/1440340992679309313</v>
      </c>
      <c r="AA689" s="81"/>
      <c r="AB689" s="81"/>
      <c r="AC689" s="87" t="s">
        <v>3131</v>
      </c>
      <c r="AD689" s="81"/>
      <c r="AE689" s="81" t="b">
        <v>0</v>
      </c>
      <c r="AF689" s="81">
        <v>0</v>
      </c>
      <c r="AG689" s="87" t="s">
        <v>3875</v>
      </c>
      <c r="AH689" s="81" t="b">
        <v>0</v>
      </c>
      <c r="AI689" s="81" t="s">
        <v>4092</v>
      </c>
      <c r="AJ689" s="81"/>
      <c r="AK689" s="87" t="s">
        <v>3875</v>
      </c>
      <c r="AL689" s="81" t="b">
        <v>0</v>
      </c>
      <c r="AM689" s="81">
        <v>321</v>
      </c>
      <c r="AN689" s="87" t="s">
        <v>3520</v>
      </c>
      <c r="AO689" s="87" t="s">
        <v>4109</v>
      </c>
      <c r="AP689" s="81" t="b">
        <v>0</v>
      </c>
      <c r="AQ689" s="87" t="s">
        <v>3520</v>
      </c>
      <c r="AR689" s="81" t="s">
        <v>179</v>
      </c>
      <c r="AS689" s="81">
        <v>0</v>
      </c>
      <c r="AT689" s="81">
        <v>0</v>
      </c>
      <c r="AU689" s="81"/>
      <c r="AV689" s="81"/>
      <c r="AW689" s="81"/>
      <c r="AX689" s="81"/>
      <c r="AY689" s="81"/>
      <c r="AZ689" s="81"/>
      <c r="BA689" s="81"/>
      <c r="BB689" s="81"/>
    </row>
    <row r="690" spans="1:54" x14ac:dyDescent="0.35">
      <c r="A690" s="66" t="s">
        <v>601</v>
      </c>
      <c r="B690" s="66" t="s">
        <v>910</v>
      </c>
      <c r="C690" s="67"/>
      <c r="D690" s="68"/>
      <c r="E690" s="69"/>
      <c r="F690" s="70"/>
      <c r="G690" s="67"/>
      <c r="H690" s="71"/>
      <c r="I690" s="72"/>
      <c r="J690" s="72"/>
      <c r="K690" s="36"/>
      <c r="L690" s="79"/>
      <c r="M690" s="79"/>
      <c r="N690" s="74"/>
      <c r="O690" s="81" t="s">
        <v>1205</v>
      </c>
      <c r="P690" s="83">
        <v>44460.655405092592</v>
      </c>
      <c r="Q690" s="81" t="s">
        <v>1324</v>
      </c>
      <c r="R690" s="81"/>
      <c r="S690" s="81"/>
      <c r="T690" s="81"/>
      <c r="U690" s="85" t="str">
        <f>HYPERLINK("https://pbs.twimg.com/media/E_xVJy2VQAQerFe.jpg")</f>
        <v>https://pbs.twimg.com/media/E_xVJy2VQAQerFe.jpg</v>
      </c>
      <c r="V690" s="85" t="str">
        <f>HYPERLINK("https://pbs.twimg.com/media/E_xVJy2VQAQerFe.jpg")</f>
        <v>https://pbs.twimg.com/media/E_xVJy2VQAQerFe.jpg</v>
      </c>
      <c r="W690" s="83">
        <v>44460.655405092592</v>
      </c>
      <c r="X690" s="89">
        <v>44460</v>
      </c>
      <c r="Y690" s="87" t="s">
        <v>2207</v>
      </c>
      <c r="Z690" s="85" t="str">
        <f>HYPERLINK("https://twitter.com/amadea312/status/1440340992679309313")</f>
        <v>https://twitter.com/amadea312/status/1440340992679309313</v>
      </c>
      <c r="AA690" s="81"/>
      <c r="AB690" s="81"/>
      <c r="AC690" s="87" t="s">
        <v>3131</v>
      </c>
      <c r="AD690" s="81"/>
      <c r="AE690" s="81" t="b">
        <v>0</v>
      </c>
      <c r="AF690" s="81">
        <v>0</v>
      </c>
      <c r="AG690" s="87" t="s">
        <v>3875</v>
      </c>
      <c r="AH690" s="81" t="b">
        <v>0</v>
      </c>
      <c r="AI690" s="81" t="s">
        <v>4092</v>
      </c>
      <c r="AJ690" s="81"/>
      <c r="AK690" s="87" t="s">
        <v>3875</v>
      </c>
      <c r="AL690" s="81" t="b">
        <v>0</v>
      </c>
      <c r="AM690" s="81">
        <v>321</v>
      </c>
      <c r="AN690" s="87" t="s">
        <v>3520</v>
      </c>
      <c r="AO690" s="87" t="s">
        <v>4109</v>
      </c>
      <c r="AP690" s="81" t="b">
        <v>0</v>
      </c>
      <c r="AQ690" s="87" t="s">
        <v>3520</v>
      </c>
      <c r="AR690" s="81" t="s">
        <v>179</v>
      </c>
      <c r="AS690" s="81">
        <v>0</v>
      </c>
      <c r="AT690" s="81">
        <v>0</v>
      </c>
      <c r="AU690" s="81"/>
      <c r="AV690" s="81"/>
      <c r="AW690" s="81"/>
      <c r="AX690" s="81"/>
      <c r="AY690" s="81"/>
      <c r="AZ690" s="81"/>
      <c r="BA690" s="81"/>
      <c r="BB690" s="81"/>
    </row>
    <row r="691" spans="1:54" x14ac:dyDescent="0.35">
      <c r="A691" s="66" t="s">
        <v>602</v>
      </c>
      <c r="B691" s="66" t="s">
        <v>1055</v>
      </c>
      <c r="C691" s="67"/>
      <c r="D691" s="68"/>
      <c r="E691" s="69"/>
      <c r="F691" s="70"/>
      <c r="G691" s="67"/>
      <c r="H691" s="71"/>
      <c r="I691" s="72"/>
      <c r="J691" s="72"/>
      <c r="K691" s="36"/>
      <c r="L691" s="79"/>
      <c r="M691" s="79"/>
      <c r="N691" s="74"/>
      <c r="O691" s="81" t="s">
        <v>1207</v>
      </c>
      <c r="P691" s="83">
        <v>44460.658090277779</v>
      </c>
      <c r="Q691" s="81" t="s">
        <v>1324</v>
      </c>
      <c r="R691" s="81"/>
      <c r="S691" s="81"/>
      <c r="T691" s="81"/>
      <c r="U691" s="85" t="str">
        <f>HYPERLINK("https://pbs.twimg.com/media/E_xVJy2VQAQerFe.jpg")</f>
        <v>https://pbs.twimg.com/media/E_xVJy2VQAQerFe.jpg</v>
      </c>
      <c r="V691" s="85" t="str">
        <f>HYPERLINK("https://pbs.twimg.com/media/E_xVJy2VQAQerFe.jpg")</f>
        <v>https://pbs.twimg.com/media/E_xVJy2VQAQerFe.jpg</v>
      </c>
      <c r="W691" s="83">
        <v>44460.658090277779</v>
      </c>
      <c r="X691" s="89">
        <v>44460</v>
      </c>
      <c r="Y691" s="87" t="s">
        <v>2208</v>
      </c>
      <c r="Z691" s="85" t="str">
        <f>HYPERLINK("https://twitter.com/ahir9/status/1440341963841048577")</f>
        <v>https://twitter.com/ahir9/status/1440341963841048577</v>
      </c>
      <c r="AA691" s="81"/>
      <c r="AB691" s="81"/>
      <c r="AC691" s="87" t="s">
        <v>3132</v>
      </c>
      <c r="AD691" s="81"/>
      <c r="AE691" s="81" t="b">
        <v>0</v>
      </c>
      <c r="AF691" s="81">
        <v>0</v>
      </c>
      <c r="AG691" s="87" t="s">
        <v>3875</v>
      </c>
      <c r="AH691" s="81" t="b">
        <v>0</v>
      </c>
      <c r="AI691" s="81" t="s">
        <v>4092</v>
      </c>
      <c r="AJ691" s="81"/>
      <c r="AK691" s="87" t="s">
        <v>3875</v>
      </c>
      <c r="AL691" s="81" t="b">
        <v>0</v>
      </c>
      <c r="AM691" s="81">
        <v>321</v>
      </c>
      <c r="AN691" s="87" t="s">
        <v>3520</v>
      </c>
      <c r="AO691" s="87" t="s">
        <v>4109</v>
      </c>
      <c r="AP691" s="81" t="b">
        <v>0</v>
      </c>
      <c r="AQ691" s="87" t="s">
        <v>3520</v>
      </c>
      <c r="AR691" s="81" t="s">
        <v>179</v>
      </c>
      <c r="AS691" s="81">
        <v>0</v>
      </c>
      <c r="AT691" s="81">
        <v>0</v>
      </c>
      <c r="AU691" s="81"/>
      <c r="AV691" s="81"/>
      <c r="AW691" s="81"/>
      <c r="AX691" s="81"/>
      <c r="AY691" s="81"/>
      <c r="AZ691" s="81"/>
      <c r="BA691" s="81"/>
      <c r="BB691" s="81"/>
    </row>
    <row r="692" spans="1:54" x14ac:dyDescent="0.35">
      <c r="A692" s="66" t="s">
        <v>602</v>
      </c>
      <c r="B692" s="66" t="s">
        <v>910</v>
      </c>
      <c r="C692" s="67"/>
      <c r="D692" s="68"/>
      <c r="E692" s="69"/>
      <c r="F692" s="70"/>
      <c r="G692" s="67"/>
      <c r="H692" s="71"/>
      <c r="I692" s="72"/>
      <c r="J692" s="72"/>
      <c r="K692" s="36"/>
      <c r="L692" s="79"/>
      <c r="M692" s="79"/>
      <c r="N692" s="74"/>
      <c r="O692" s="81" t="s">
        <v>1205</v>
      </c>
      <c r="P692" s="83">
        <v>44460.658090277779</v>
      </c>
      <c r="Q692" s="81" t="s">
        <v>1324</v>
      </c>
      <c r="R692" s="81"/>
      <c r="S692" s="81"/>
      <c r="T692" s="81"/>
      <c r="U692" s="85" t="str">
        <f>HYPERLINK("https://pbs.twimg.com/media/E_xVJy2VQAQerFe.jpg")</f>
        <v>https://pbs.twimg.com/media/E_xVJy2VQAQerFe.jpg</v>
      </c>
      <c r="V692" s="85" t="str">
        <f>HYPERLINK("https://pbs.twimg.com/media/E_xVJy2VQAQerFe.jpg")</f>
        <v>https://pbs.twimg.com/media/E_xVJy2VQAQerFe.jpg</v>
      </c>
      <c r="W692" s="83">
        <v>44460.658090277779</v>
      </c>
      <c r="X692" s="89">
        <v>44460</v>
      </c>
      <c r="Y692" s="87" t="s">
        <v>2208</v>
      </c>
      <c r="Z692" s="85" t="str">
        <f>HYPERLINK("https://twitter.com/ahir9/status/1440341963841048577")</f>
        <v>https://twitter.com/ahir9/status/1440341963841048577</v>
      </c>
      <c r="AA692" s="81"/>
      <c r="AB692" s="81"/>
      <c r="AC692" s="87" t="s">
        <v>3132</v>
      </c>
      <c r="AD692" s="81"/>
      <c r="AE692" s="81" t="b">
        <v>0</v>
      </c>
      <c r="AF692" s="81">
        <v>0</v>
      </c>
      <c r="AG692" s="87" t="s">
        <v>3875</v>
      </c>
      <c r="AH692" s="81" t="b">
        <v>0</v>
      </c>
      <c r="AI692" s="81" t="s">
        <v>4092</v>
      </c>
      <c r="AJ692" s="81"/>
      <c r="AK692" s="87" t="s">
        <v>3875</v>
      </c>
      <c r="AL692" s="81" t="b">
        <v>0</v>
      </c>
      <c r="AM692" s="81">
        <v>321</v>
      </c>
      <c r="AN692" s="87" t="s">
        <v>3520</v>
      </c>
      <c r="AO692" s="87" t="s">
        <v>4109</v>
      </c>
      <c r="AP692" s="81" t="b">
        <v>0</v>
      </c>
      <c r="AQ692" s="87" t="s">
        <v>3520</v>
      </c>
      <c r="AR692" s="81" t="s">
        <v>179</v>
      </c>
      <c r="AS692" s="81">
        <v>0</v>
      </c>
      <c r="AT692" s="81">
        <v>0</v>
      </c>
      <c r="AU692" s="81"/>
      <c r="AV692" s="81"/>
      <c r="AW692" s="81"/>
      <c r="AX692" s="81"/>
      <c r="AY692" s="81"/>
      <c r="AZ692" s="81"/>
      <c r="BA692" s="81"/>
      <c r="BB692" s="81"/>
    </row>
    <row r="693" spans="1:54" x14ac:dyDescent="0.35">
      <c r="A693" s="66" t="s">
        <v>603</v>
      </c>
      <c r="B693" s="66" t="s">
        <v>1055</v>
      </c>
      <c r="C693" s="67"/>
      <c r="D693" s="68"/>
      <c r="E693" s="69"/>
      <c r="F693" s="70"/>
      <c r="G693" s="67"/>
      <c r="H693" s="71"/>
      <c r="I693" s="72"/>
      <c r="J693" s="72"/>
      <c r="K693" s="36"/>
      <c r="L693" s="79"/>
      <c r="M693" s="79"/>
      <c r="N693" s="74"/>
      <c r="O693" s="81" t="s">
        <v>1207</v>
      </c>
      <c r="P693" s="83">
        <v>44460.661527777775</v>
      </c>
      <c r="Q693" s="81" t="s">
        <v>1324</v>
      </c>
      <c r="R693" s="81"/>
      <c r="S693" s="81"/>
      <c r="T693" s="81"/>
      <c r="U693" s="85" t="str">
        <f>HYPERLINK("https://pbs.twimg.com/media/E_xVJy2VQAQerFe.jpg")</f>
        <v>https://pbs.twimg.com/media/E_xVJy2VQAQerFe.jpg</v>
      </c>
      <c r="V693" s="85" t="str">
        <f>HYPERLINK("https://pbs.twimg.com/media/E_xVJy2VQAQerFe.jpg")</f>
        <v>https://pbs.twimg.com/media/E_xVJy2VQAQerFe.jpg</v>
      </c>
      <c r="W693" s="83">
        <v>44460.661527777775</v>
      </c>
      <c r="X693" s="89">
        <v>44460</v>
      </c>
      <c r="Y693" s="87" t="s">
        <v>2209</v>
      </c>
      <c r="Z693" s="85" t="str">
        <f>HYPERLINK("https://twitter.com/lordkrasak/status/1440343211755532296")</f>
        <v>https://twitter.com/lordkrasak/status/1440343211755532296</v>
      </c>
      <c r="AA693" s="81"/>
      <c r="AB693" s="81"/>
      <c r="AC693" s="87" t="s">
        <v>3133</v>
      </c>
      <c r="AD693" s="81"/>
      <c r="AE693" s="81" t="b">
        <v>0</v>
      </c>
      <c r="AF693" s="81">
        <v>0</v>
      </c>
      <c r="AG693" s="87" t="s">
        <v>3875</v>
      </c>
      <c r="AH693" s="81" t="b">
        <v>0</v>
      </c>
      <c r="AI693" s="81" t="s">
        <v>4092</v>
      </c>
      <c r="AJ693" s="81"/>
      <c r="AK693" s="87" t="s">
        <v>3875</v>
      </c>
      <c r="AL693" s="81" t="b">
        <v>0</v>
      </c>
      <c r="AM693" s="81">
        <v>321</v>
      </c>
      <c r="AN693" s="87" t="s">
        <v>3520</v>
      </c>
      <c r="AO693" s="87" t="s">
        <v>4109</v>
      </c>
      <c r="AP693" s="81" t="b">
        <v>0</v>
      </c>
      <c r="AQ693" s="87" t="s">
        <v>3520</v>
      </c>
      <c r="AR693" s="81" t="s">
        <v>179</v>
      </c>
      <c r="AS693" s="81">
        <v>0</v>
      </c>
      <c r="AT693" s="81">
        <v>0</v>
      </c>
      <c r="AU693" s="81"/>
      <c r="AV693" s="81"/>
      <c r="AW693" s="81"/>
      <c r="AX693" s="81"/>
      <c r="AY693" s="81"/>
      <c r="AZ693" s="81"/>
      <c r="BA693" s="81"/>
      <c r="BB693" s="81"/>
    </row>
    <row r="694" spans="1:54" x14ac:dyDescent="0.35">
      <c r="A694" s="66" t="s">
        <v>603</v>
      </c>
      <c r="B694" s="66" t="s">
        <v>910</v>
      </c>
      <c r="C694" s="67"/>
      <c r="D694" s="68"/>
      <c r="E694" s="69"/>
      <c r="F694" s="70"/>
      <c r="G694" s="67"/>
      <c r="H694" s="71"/>
      <c r="I694" s="72"/>
      <c r="J694" s="72"/>
      <c r="K694" s="36"/>
      <c r="L694" s="79"/>
      <c r="M694" s="79"/>
      <c r="N694" s="74"/>
      <c r="O694" s="81" t="s">
        <v>1205</v>
      </c>
      <c r="P694" s="83">
        <v>44460.661527777775</v>
      </c>
      <c r="Q694" s="81" t="s">
        <v>1324</v>
      </c>
      <c r="R694" s="81"/>
      <c r="S694" s="81"/>
      <c r="T694" s="81"/>
      <c r="U694" s="85" t="str">
        <f>HYPERLINK("https://pbs.twimg.com/media/E_xVJy2VQAQerFe.jpg")</f>
        <v>https://pbs.twimg.com/media/E_xVJy2VQAQerFe.jpg</v>
      </c>
      <c r="V694" s="85" t="str">
        <f>HYPERLINK("https://pbs.twimg.com/media/E_xVJy2VQAQerFe.jpg")</f>
        <v>https://pbs.twimg.com/media/E_xVJy2VQAQerFe.jpg</v>
      </c>
      <c r="W694" s="83">
        <v>44460.661527777775</v>
      </c>
      <c r="X694" s="89">
        <v>44460</v>
      </c>
      <c r="Y694" s="87" t="s">
        <v>2209</v>
      </c>
      <c r="Z694" s="85" t="str">
        <f>HYPERLINK("https://twitter.com/lordkrasak/status/1440343211755532296")</f>
        <v>https://twitter.com/lordkrasak/status/1440343211755532296</v>
      </c>
      <c r="AA694" s="81"/>
      <c r="AB694" s="81"/>
      <c r="AC694" s="87" t="s">
        <v>3133</v>
      </c>
      <c r="AD694" s="81"/>
      <c r="AE694" s="81" t="b">
        <v>0</v>
      </c>
      <c r="AF694" s="81">
        <v>0</v>
      </c>
      <c r="AG694" s="87" t="s">
        <v>3875</v>
      </c>
      <c r="AH694" s="81" t="b">
        <v>0</v>
      </c>
      <c r="AI694" s="81" t="s">
        <v>4092</v>
      </c>
      <c r="AJ694" s="81"/>
      <c r="AK694" s="87" t="s">
        <v>3875</v>
      </c>
      <c r="AL694" s="81" t="b">
        <v>0</v>
      </c>
      <c r="AM694" s="81">
        <v>321</v>
      </c>
      <c r="AN694" s="87" t="s">
        <v>3520</v>
      </c>
      <c r="AO694" s="87" t="s">
        <v>4109</v>
      </c>
      <c r="AP694" s="81" t="b">
        <v>0</v>
      </c>
      <c r="AQ694" s="87" t="s">
        <v>3520</v>
      </c>
      <c r="AR694" s="81" t="s">
        <v>179</v>
      </c>
      <c r="AS694" s="81">
        <v>0</v>
      </c>
      <c r="AT694" s="81">
        <v>0</v>
      </c>
      <c r="AU694" s="81"/>
      <c r="AV694" s="81"/>
      <c r="AW694" s="81"/>
      <c r="AX694" s="81"/>
      <c r="AY694" s="81"/>
      <c r="AZ694" s="81"/>
      <c r="BA694" s="81"/>
      <c r="BB694" s="81"/>
    </row>
    <row r="695" spans="1:54" x14ac:dyDescent="0.35">
      <c r="A695" s="66" t="s">
        <v>604</v>
      </c>
      <c r="B695" s="66" t="s">
        <v>1055</v>
      </c>
      <c r="C695" s="67"/>
      <c r="D695" s="68"/>
      <c r="E695" s="69"/>
      <c r="F695" s="70"/>
      <c r="G695" s="67"/>
      <c r="H695" s="71"/>
      <c r="I695" s="72"/>
      <c r="J695" s="72"/>
      <c r="K695" s="36"/>
      <c r="L695" s="79"/>
      <c r="M695" s="79"/>
      <c r="N695" s="74"/>
      <c r="O695" s="81" t="s">
        <v>1207</v>
      </c>
      <c r="P695" s="83">
        <v>44460.662743055553</v>
      </c>
      <c r="Q695" s="81" t="s">
        <v>1324</v>
      </c>
      <c r="R695" s="81"/>
      <c r="S695" s="81"/>
      <c r="T695" s="81"/>
      <c r="U695" s="85" t="str">
        <f>HYPERLINK("https://pbs.twimg.com/media/E_xVJy2VQAQerFe.jpg")</f>
        <v>https://pbs.twimg.com/media/E_xVJy2VQAQerFe.jpg</v>
      </c>
      <c r="V695" s="85" t="str">
        <f>HYPERLINK("https://pbs.twimg.com/media/E_xVJy2VQAQerFe.jpg")</f>
        <v>https://pbs.twimg.com/media/E_xVJy2VQAQerFe.jpg</v>
      </c>
      <c r="W695" s="83">
        <v>44460.662743055553</v>
      </c>
      <c r="X695" s="89">
        <v>44460</v>
      </c>
      <c r="Y695" s="87" t="s">
        <v>2210</v>
      </c>
      <c r="Z695" s="85" t="str">
        <f>HYPERLINK("https://twitter.com/gdwi164/status/1440343652954378246")</f>
        <v>https://twitter.com/gdwi164/status/1440343652954378246</v>
      </c>
      <c r="AA695" s="81"/>
      <c r="AB695" s="81"/>
      <c r="AC695" s="87" t="s">
        <v>3134</v>
      </c>
      <c r="AD695" s="81"/>
      <c r="AE695" s="81" t="b">
        <v>0</v>
      </c>
      <c r="AF695" s="81">
        <v>0</v>
      </c>
      <c r="AG695" s="87" t="s">
        <v>3875</v>
      </c>
      <c r="AH695" s="81" t="b">
        <v>0</v>
      </c>
      <c r="AI695" s="81" t="s">
        <v>4092</v>
      </c>
      <c r="AJ695" s="81"/>
      <c r="AK695" s="87" t="s">
        <v>3875</v>
      </c>
      <c r="AL695" s="81" t="b">
        <v>0</v>
      </c>
      <c r="AM695" s="81">
        <v>321</v>
      </c>
      <c r="AN695" s="87" t="s">
        <v>3520</v>
      </c>
      <c r="AO695" s="87" t="s">
        <v>4109</v>
      </c>
      <c r="AP695" s="81" t="b">
        <v>0</v>
      </c>
      <c r="AQ695" s="87" t="s">
        <v>3520</v>
      </c>
      <c r="AR695" s="81" t="s">
        <v>179</v>
      </c>
      <c r="AS695" s="81">
        <v>0</v>
      </c>
      <c r="AT695" s="81">
        <v>0</v>
      </c>
      <c r="AU695" s="81"/>
      <c r="AV695" s="81"/>
      <c r="AW695" s="81"/>
      <c r="AX695" s="81"/>
      <c r="AY695" s="81"/>
      <c r="AZ695" s="81"/>
      <c r="BA695" s="81"/>
      <c r="BB695" s="81"/>
    </row>
    <row r="696" spans="1:54" x14ac:dyDescent="0.35">
      <c r="A696" s="66" t="s">
        <v>604</v>
      </c>
      <c r="B696" s="66" t="s">
        <v>910</v>
      </c>
      <c r="C696" s="67"/>
      <c r="D696" s="68"/>
      <c r="E696" s="69"/>
      <c r="F696" s="70"/>
      <c r="G696" s="67"/>
      <c r="H696" s="71"/>
      <c r="I696" s="72"/>
      <c r="J696" s="72"/>
      <c r="K696" s="36"/>
      <c r="L696" s="79"/>
      <c r="M696" s="79"/>
      <c r="N696" s="74"/>
      <c r="O696" s="81" t="s">
        <v>1205</v>
      </c>
      <c r="P696" s="83">
        <v>44460.662743055553</v>
      </c>
      <c r="Q696" s="81" t="s">
        <v>1324</v>
      </c>
      <c r="R696" s="81"/>
      <c r="S696" s="81"/>
      <c r="T696" s="81"/>
      <c r="U696" s="85" t="str">
        <f>HYPERLINK("https://pbs.twimg.com/media/E_xVJy2VQAQerFe.jpg")</f>
        <v>https://pbs.twimg.com/media/E_xVJy2VQAQerFe.jpg</v>
      </c>
      <c r="V696" s="85" t="str">
        <f>HYPERLINK("https://pbs.twimg.com/media/E_xVJy2VQAQerFe.jpg")</f>
        <v>https://pbs.twimg.com/media/E_xVJy2VQAQerFe.jpg</v>
      </c>
      <c r="W696" s="83">
        <v>44460.662743055553</v>
      </c>
      <c r="X696" s="89">
        <v>44460</v>
      </c>
      <c r="Y696" s="87" t="s">
        <v>2210</v>
      </c>
      <c r="Z696" s="85" t="str">
        <f>HYPERLINK("https://twitter.com/gdwi164/status/1440343652954378246")</f>
        <v>https://twitter.com/gdwi164/status/1440343652954378246</v>
      </c>
      <c r="AA696" s="81"/>
      <c r="AB696" s="81"/>
      <c r="AC696" s="87" t="s">
        <v>3134</v>
      </c>
      <c r="AD696" s="81"/>
      <c r="AE696" s="81" t="b">
        <v>0</v>
      </c>
      <c r="AF696" s="81">
        <v>0</v>
      </c>
      <c r="AG696" s="87" t="s">
        <v>3875</v>
      </c>
      <c r="AH696" s="81" t="b">
        <v>0</v>
      </c>
      <c r="AI696" s="81" t="s">
        <v>4092</v>
      </c>
      <c r="AJ696" s="81"/>
      <c r="AK696" s="87" t="s">
        <v>3875</v>
      </c>
      <c r="AL696" s="81" t="b">
        <v>0</v>
      </c>
      <c r="AM696" s="81">
        <v>321</v>
      </c>
      <c r="AN696" s="87" t="s">
        <v>3520</v>
      </c>
      <c r="AO696" s="87" t="s">
        <v>4109</v>
      </c>
      <c r="AP696" s="81" t="b">
        <v>0</v>
      </c>
      <c r="AQ696" s="87" t="s">
        <v>3520</v>
      </c>
      <c r="AR696" s="81" t="s">
        <v>179</v>
      </c>
      <c r="AS696" s="81">
        <v>0</v>
      </c>
      <c r="AT696" s="81">
        <v>0</v>
      </c>
      <c r="AU696" s="81"/>
      <c r="AV696" s="81"/>
      <c r="AW696" s="81"/>
      <c r="AX696" s="81"/>
      <c r="AY696" s="81"/>
      <c r="AZ696" s="81"/>
      <c r="BA696" s="81"/>
      <c r="BB696" s="81"/>
    </row>
    <row r="697" spans="1:54" x14ac:dyDescent="0.35">
      <c r="A697" s="66" t="s">
        <v>605</v>
      </c>
      <c r="B697" s="66" t="s">
        <v>1055</v>
      </c>
      <c r="C697" s="67"/>
      <c r="D697" s="68"/>
      <c r="E697" s="69"/>
      <c r="F697" s="70"/>
      <c r="G697" s="67"/>
      <c r="H697" s="71"/>
      <c r="I697" s="72"/>
      <c r="J697" s="72"/>
      <c r="K697" s="36"/>
      <c r="L697" s="79"/>
      <c r="M697" s="79"/>
      <c r="N697" s="74"/>
      <c r="O697" s="81" t="s">
        <v>1207</v>
      </c>
      <c r="P697" s="83">
        <v>44460.662928240738</v>
      </c>
      <c r="Q697" s="81" t="s">
        <v>1324</v>
      </c>
      <c r="R697" s="81"/>
      <c r="S697" s="81"/>
      <c r="T697" s="81"/>
      <c r="U697" s="85" t="str">
        <f>HYPERLINK("https://pbs.twimg.com/media/E_xVJy2VQAQerFe.jpg")</f>
        <v>https://pbs.twimg.com/media/E_xVJy2VQAQerFe.jpg</v>
      </c>
      <c r="V697" s="85" t="str">
        <f>HYPERLINK("https://pbs.twimg.com/media/E_xVJy2VQAQerFe.jpg")</f>
        <v>https://pbs.twimg.com/media/E_xVJy2VQAQerFe.jpg</v>
      </c>
      <c r="W697" s="83">
        <v>44460.662928240738</v>
      </c>
      <c r="X697" s="89">
        <v>44460</v>
      </c>
      <c r="Y697" s="87" t="s">
        <v>2211</v>
      </c>
      <c r="Z697" s="85" t="str">
        <f>HYPERLINK("https://twitter.com/ichwananto1/status/1440343717722738697")</f>
        <v>https://twitter.com/ichwananto1/status/1440343717722738697</v>
      </c>
      <c r="AA697" s="81"/>
      <c r="AB697" s="81"/>
      <c r="AC697" s="87" t="s">
        <v>3135</v>
      </c>
      <c r="AD697" s="81"/>
      <c r="AE697" s="81" t="b">
        <v>0</v>
      </c>
      <c r="AF697" s="81">
        <v>0</v>
      </c>
      <c r="AG697" s="87" t="s">
        <v>3875</v>
      </c>
      <c r="AH697" s="81" t="b">
        <v>0</v>
      </c>
      <c r="AI697" s="81" t="s">
        <v>4092</v>
      </c>
      <c r="AJ697" s="81"/>
      <c r="AK697" s="87" t="s">
        <v>3875</v>
      </c>
      <c r="AL697" s="81" t="b">
        <v>0</v>
      </c>
      <c r="AM697" s="81">
        <v>321</v>
      </c>
      <c r="AN697" s="87" t="s">
        <v>3520</v>
      </c>
      <c r="AO697" s="87" t="s">
        <v>4109</v>
      </c>
      <c r="AP697" s="81" t="b">
        <v>0</v>
      </c>
      <c r="AQ697" s="87" t="s">
        <v>3520</v>
      </c>
      <c r="AR697" s="81" t="s">
        <v>179</v>
      </c>
      <c r="AS697" s="81">
        <v>0</v>
      </c>
      <c r="AT697" s="81">
        <v>0</v>
      </c>
      <c r="AU697" s="81"/>
      <c r="AV697" s="81"/>
      <c r="AW697" s="81"/>
      <c r="AX697" s="81"/>
      <c r="AY697" s="81"/>
      <c r="AZ697" s="81"/>
      <c r="BA697" s="81"/>
      <c r="BB697" s="81"/>
    </row>
    <row r="698" spans="1:54" x14ac:dyDescent="0.35">
      <c r="A698" s="66" t="s">
        <v>605</v>
      </c>
      <c r="B698" s="66" t="s">
        <v>910</v>
      </c>
      <c r="C698" s="67"/>
      <c r="D698" s="68"/>
      <c r="E698" s="69"/>
      <c r="F698" s="70"/>
      <c r="G698" s="67"/>
      <c r="H698" s="71"/>
      <c r="I698" s="72"/>
      <c r="J698" s="72"/>
      <c r="K698" s="36"/>
      <c r="L698" s="79"/>
      <c r="M698" s="79"/>
      <c r="N698" s="74"/>
      <c r="O698" s="81" t="s">
        <v>1205</v>
      </c>
      <c r="P698" s="83">
        <v>44460.662928240738</v>
      </c>
      <c r="Q698" s="81" t="s">
        <v>1324</v>
      </c>
      <c r="R698" s="81"/>
      <c r="S698" s="81"/>
      <c r="T698" s="81"/>
      <c r="U698" s="85" t="str">
        <f>HYPERLINK("https://pbs.twimg.com/media/E_xVJy2VQAQerFe.jpg")</f>
        <v>https://pbs.twimg.com/media/E_xVJy2VQAQerFe.jpg</v>
      </c>
      <c r="V698" s="85" t="str">
        <f>HYPERLINK("https://pbs.twimg.com/media/E_xVJy2VQAQerFe.jpg")</f>
        <v>https://pbs.twimg.com/media/E_xVJy2VQAQerFe.jpg</v>
      </c>
      <c r="W698" s="83">
        <v>44460.662928240738</v>
      </c>
      <c r="X698" s="89">
        <v>44460</v>
      </c>
      <c r="Y698" s="87" t="s">
        <v>2211</v>
      </c>
      <c r="Z698" s="85" t="str">
        <f>HYPERLINK("https://twitter.com/ichwananto1/status/1440343717722738697")</f>
        <v>https://twitter.com/ichwananto1/status/1440343717722738697</v>
      </c>
      <c r="AA698" s="81"/>
      <c r="AB698" s="81"/>
      <c r="AC698" s="87" t="s">
        <v>3135</v>
      </c>
      <c r="AD698" s="81"/>
      <c r="AE698" s="81" t="b">
        <v>0</v>
      </c>
      <c r="AF698" s="81">
        <v>0</v>
      </c>
      <c r="AG698" s="87" t="s">
        <v>3875</v>
      </c>
      <c r="AH698" s="81" t="b">
        <v>0</v>
      </c>
      <c r="AI698" s="81" t="s">
        <v>4092</v>
      </c>
      <c r="AJ698" s="81"/>
      <c r="AK698" s="87" t="s">
        <v>3875</v>
      </c>
      <c r="AL698" s="81" t="b">
        <v>0</v>
      </c>
      <c r="AM698" s="81">
        <v>321</v>
      </c>
      <c r="AN698" s="87" t="s">
        <v>3520</v>
      </c>
      <c r="AO698" s="87" t="s">
        <v>4109</v>
      </c>
      <c r="AP698" s="81" t="b">
        <v>0</v>
      </c>
      <c r="AQ698" s="87" t="s">
        <v>3520</v>
      </c>
      <c r="AR698" s="81" t="s">
        <v>179</v>
      </c>
      <c r="AS698" s="81">
        <v>0</v>
      </c>
      <c r="AT698" s="81">
        <v>0</v>
      </c>
      <c r="AU698" s="81"/>
      <c r="AV698" s="81"/>
      <c r="AW698" s="81"/>
      <c r="AX698" s="81"/>
      <c r="AY698" s="81"/>
      <c r="AZ698" s="81"/>
      <c r="BA698" s="81"/>
      <c r="BB698" s="81"/>
    </row>
    <row r="699" spans="1:54" x14ac:dyDescent="0.35">
      <c r="A699" s="66" t="s">
        <v>606</v>
      </c>
      <c r="B699" s="66" t="s">
        <v>1072</v>
      </c>
      <c r="C699" s="67"/>
      <c r="D699" s="68"/>
      <c r="E699" s="69"/>
      <c r="F699" s="70"/>
      <c r="G699" s="67"/>
      <c r="H699" s="71"/>
      <c r="I699" s="72"/>
      <c r="J699" s="72"/>
      <c r="K699" s="36"/>
      <c r="L699" s="79"/>
      <c r="M699" s="79"/>
      <c r="N699" s="74"/>
      <c r="O699" s="81" t="s">
        <v>1206</v>
      </c>
      <c r="P699" s="83">
        <v>44460.663206018522</v>
      </c>
      <c r="Q699" s="81" t="s">
        <v>1364</v>
      </c>
      <c r="R699" s="81"/>
      <c r="S699" s="81"/>
      <c r="T699" s="81"/>
      <c r="U699" s="81"/>
      <c r="V699" s="85" t="str">
        <f>HYPERLINK("https://pbs.twimg.com/profile_images/1432047422599954432/zyZcWKGn_normal.jpg")</f>
        <v>https://pbs.twimg.com/profile_images/1432047422599954432/zyZcWKGn_normal.jpg</v>
      </c>
      <c r="W699" s="83">
        <v>44460.663206018522</v>
      </c>
      <c r="X699" s="89">
        <v>44460</v>
      </c>
      <c r="Y699" s="87" t="s">
        <v>2212</v>
      </c>
      <c r="Z699" s="85" t="str">
        <f>HYPERLINK("https://twitter.com/mcflurryoreyou/status/1440343821368266755")</f>
        <v>https://twitter.com/mcflurryoreyou/status/1440343821368266755</v>
      </c>
      <c r="AA699" s="81"/>
      <c r="AB699" s="81"/>
      <c r="AC699" s="87" t="s">
        <v>3136</v>
      </c>
      <c r="AD699" s="81"/>
      <c r="AE699" s="81" t="b">
        <v>0</v>
      </c>
      <c r="AF699" s="81">
        <v>0</v>
      </c>
      <c r="AG699" s="87" t="s">
        <v>3875</v>
      </c>
      <c r="AH699" s="81" t="b">
        <v>0</v>
      </c>
      <c r="AI699" s="81" t="s">
        <v>4092</v>
      </c>
      <c r="AJ699" s="81"/>
      <c r="AK699" s="87" t="s">
        <v>3875</v>
      </c>
      <c r="AL699" s="81" t="b">
        <v>0</v>
      </c>
      <c r="AM699" s="81">
        <v>0</v>
      </c>
      <c r="AN699" s="87" t="s">
        <v>3875</v>
      </c>
      <c r="AO699" s="87" t="s">
        <v>4110</v>
      </c>
      <c r="AP699" s="81" t="b">
        <v>0</v>
      </c>
      <c r="AQ699" s="87" t="s">
        <v>3136</v>
      </c>
      <c r="AR699" s="81" t="s">
        <v>179</v>
      </c>
      <c r="AS699" s="81">
        <v>0</v>
      </c>
      <c r="AT699" s="81">
        <v>0</v>
      </c>
      <c r="AU699" s="81"/>
      <c r="AV699" s="81"/>
      <c r="AW699" s="81"/>
      <c r="AX699" s="81"/>
      <c r="AY699" s="81"/>
      <c r="AZ699" s="81"/>
      <c r="BA699" s="81"/>
      <c r="BB699" s="81"/>
    </row>
    <row r="700" spans="1:54" x14ac:dyDescent="0.35">
      <c r="A700" s="66" t="s">
        <v>607</v>
      </c>
      <c r="B700" s="66" t="s">
        <v>1055</v>
      </c>
      <c r="C700" s="67"/>
      <c r="D700" s="68"/>
      <c r="E700" s="69"/>
      <c r="F700" s="70"/>
      <c r="G700" s="67"/>
      <c r="H700" s="71"/>
      <c r="I700" s="72"/>
      <c r="J700" s="72"/>
      <c r="K700" s="36"/>
      <c r="L700" s="79"/>
      <c r="M700" s="79"/>
      <c r="N700" s="74"/>
      <c r="O700" s="81" t="s">
        <v>1207</v>
      </c>
      <c r="P700" s="83">
        <v>44460.665219907409</v>
      </c>
      <c r="Q700" s="81" t="s">
        <v>1324</v>
      </c>
      <c r="R700" s="81"/>
      <c r="S700" s="81"/>
      <c r="T700" s="81"/>
      <c r="U700" s="85" t="str">
        <f>HYPERLINK("https://pbs.twimg.com/media/E_xVJy2VQAQerFe.jpg")</f>
        <v>https://pbs.twimg.com/media/E_xVJy2VQAQerFe.jpg</v>
      </c>
      <c r="V700" s="85" t="str">
        <f>HYPERLINK("https://pbs.twimg.com/media/E_xVJy2VQAQerFe.jpg")</f>
        <v>https://pbs.twimg.com/media/E_xVJy2VQAQerFe.jpg</v>
      </c>
      <c r="W700" s="83">
        <v>44460.665219907409</v>
      </c>
      <c r="X700" s="89">
        <v>44460</v>
      </c>
      <c r="Y700" s="87" t="s">
        <v>2213</v>
      </c>
      <c r="Z700" s="85" t="str">
        <f>HYPERLINK("https://twitter.com/bambangmoelyadi/status/1440344548098523140")</f>
        <v>https://twitter.com/bambangmoelyadi/status/1440344548098523140</v>
      </c>
      <c r="AA700" s="81"/>
      <c r="AB700" s="81"/>
      <c r="AC700" s="87" t="s">
        <v>3137</v>
      </c>
      <c r="AD700" s="81"/>
      <c r="AE700" s="81" t="b">
        <v>0</v>
      </c>
      <c r="AF700" s="81">
        <v>0</v>
      </c>
      <c r="AG700" s="87" t="s">
        <v>3875</v>
      </c>
      <c r="AH700" s="81" t="b">
        <v>0</v>
      </c>
      <c r="AI700" s="81" t="s">
        <v>4092</v>
      </c>
      <c r="AJ700" s="81"/>
      <c r="AK700" s="87" t="s">
        <v>3875</v>
      </c>
      <c r="AL700" s="81" t="b">
        <v>0</v>
      </c>
      <c r="AM700" s="81">
        <v>321</v>
      </c>
      <c r="AN700" s="87" t="s">
        <v>3520</v>
      </c>
      <c r="AO700" s="87" t="s">
        <v>4109</v>
      </c>
      <c r="AP700" s="81" t="b">
        <v>0</v>
      </c>
      <c r="AQ700" s="87" t="s">
        <v>3520</v>
      </c>
      <c r="AR700" s="81" t="s">
        <v>179</v>
      </c>
      <c r="AS700" s="81">
        <v>0</v>
      </c>
      <c r="AT700" s="81">
        <v>0</v>
      </c>
      <c r="AU700" s="81"/>
      <c r="AV700" s="81"/>
      <c r="AW700" s="81"/>
      <c r="AX700" s="81"/>
      <c r="AY700" s="81"/>
      <c r="AZ700" s="81"/>
      <c r="BA700" s="81"/>
      <c r="BB700" s="81"/>
    </row>
    <row r="701" spans="1:54" x14ac:dyDescent="0.35">
      <c r="A701" s="66" t="s">
        <v>607</v>
      </c>
      <c r="B701" s="66" t="s">
        <v>910</v>
      </c>
      <c r="C701" s="67"/>
      <c r="D701" s="68"/>
      <c r="E701" s="69"/>
      <c r="F701" s="70"/>
      <c r="G701" s="67"/>
      <c r="H701" s="71"/>
      <c r="I701" s="72"/>
      <c r="J701" s="72"/>
      <c r="K701" s="36"/>
      <c r="L701" s="79"/>
      <c r="M701" s="79"/>
      <c r="N701" s="74"/>
      <c r="O701" s="81" t="s">
        <v>1205</v>
      </c>
      <c r="P701" s="83">
        <v>44460.665219907409</v>
      </c>
      <c r="Q701" s="81" t="s">
        <v>1324</v>
      </c>
      <c r="R701" s="81"/>
      <c r="S701" s="81"/>
      <c r="T701" s="81"/>
      <c r="U701" s="85" t="str">
        <f>HYPERLINK("https://pbs.twimg.com/media/E_xVJy2VQAQerFe.jpg")</f>
        <v>https://pbs.twimg.com/media/E_xVJy2VQAQerFe.jpg</v>
      </c>
      <c r="V701" s="85" t="str">
        <f>HYPERLINK("https://pbs.twimg.com/media/E_xVJy2VQAQerFe.jpg")</f>
        <v>https://pbs.twimg.com/media/E_xVJy2VQAQerFe.jpg</v>
      </c>
      <c r="W701" s="83">
        <v>44460.665219907409</v>
      </c>
      <c r="X701" s="89">
        <v>44460</v>
      </c>
      <c r="Y701" s="87" t="s">
        <v>2213</v>
      </c>
      <c r="Z701" s="85" t="str">
        <f>HYPERLINK("https://twitter.com/bambangmoelyadi/status/1440344548098523140")</f>
        <v>https://twitter.com/bambangmoelyadi/status/1440344548098523140</v>
      </c>
      <c r="AA701" s="81"/>
      <c r="AB701" s="81"/>
      <c r="AC701" s="87" t="s">
        <v>3137</v>
      </c>
      <c r="AD701" s="81"/>
      <c r="AE701" s="81" t="b">
        <v>0</v>
      </c>
      <c r="AF701" s="81">
        <v>0</v>
      </c>
      <c r="AG701" s="87" t="s">
        <v>3875</v>
      </c>
      <c r="AH701" s="81" t="b">
        <v>0</v>
      </c>
      <c r="AI701" s="81" t="s">
        <v>4092</v>
      </c>
      <c r="AJ701" s="81"/>
      <c r="AK701" s="87" t="s">
        <v>3875</v>
      </c>
      <c r="AL701" s="81" t="b">
        <v>0</v>
      </c>
      <c r="AM701" s="81">
        <v>321</v>
      </c>
      <c r="AN701" s="87" t="s">
        <v>3520</v>
      </c>
      <c r="AO701" s="87" t="s">
        <v>4109</v>
      </c>
      <c r="AP701" s="81" t="b">
        <v>0</v>
      </c>
      <c r="AQ701" s="87" t="s">
        <v>3520</v>
      </c>
      <c r="AR701" s="81" t="s">
        <v>179</v>
      </c>
      <c r="AS701" s="81">
        <v>0</v>
      </c>
      <c r="AT701" s="81">
        <v>0</v>
      </c>
      <c r="AU701" s="81"/>
      <c r="AV701" s="81"/>
      <c r="AW701" s="81"/>
      <c r="AX701" s="81"/>
      <c r="AY701" s="81"/>
      <c r="AZ701" s="81"/>
      <c r="BA701" s="81"/>
      <c r="BB701" s="81"/>
    </row>
    <row r="702" spans="1:54" x14ac:dyDescent="0.35">
      <c r="A702" s="66" t="s">
        <v>608</v>
      </c>
      <c r="B702" s="66" t="s">
        <v>1055</v>
      </c>
      <c r="C702" s="67"/>
      <c r="D702" s="68"/>
      <c r="E702" s="69"/>
      <c r="F702" s="70"/>
      <c r="G702" s="67"/>
      <c r="H702" s="71"/>
      <c r="I702" s="72"/>
      <c r="J702" s="72"/>
      <c r="K702" s="36"/>
      <c r="L702" s="79"/>
      <c r="M702" s="79"/>
      <c r="N702" s="74"/>
      <c r="O702" s="81" t="s">
        <v>1207</v>
      </c>
      <c r="P702" s="83">
        <v>44460.676805555559</v>
      </c>
      <c r="Q702" s="81" t="s">
        <v>1324</v>
      </c>
      <c r="R702" s="81"/>
      <c r="S702" s="81"/>
      <c r="T702" s="81"/>
      <c r="U702" s="85" t="str">
        <f>HYPERLINK("https://pbs.twimg.com/media/E_xVJy2VQAQerFe.jpg")</f>
        <v>https://pbs.twimg.com/media/E_xVJy2VQAQerFe.jpg</v>
      </c>
      <c r="V702" s="85" t="str">
        <f>HYPERLINK("https://pbs.twimg.com/media/E_xVJy2VQAQerFe.jpg")</f>
        <v>https://pbs.twimg.com/media/E_xVJy2VQAQerFe.jpg</v>
      </c>
      <c r="W702" s="83">
        <v>44460.676805555559</v>
      </c>
      <c r="X702" s="89">
        <v>44460</v>
      </c>
      <c r="Y702" s="87" t="s">
        <v>2214</v>
      </c>
      <c r="Z702" s="85" t="str">
        <f>HYPERLINK("https://twitter.com/sibeseck/status/1440348745908948999")</f>
        <v>https://twitter.com/sibeseck/status/1440348745908948999</v>
      </c>
      <c r="AA702" s="81"/>
      <c r="AB702" s="81"/>
      <c r="AC702" s="87" t="s">
        <v>3138</v>
      </c>
      <c r="AD702" s="81"/>
      <c r="AE702" s="81" t="b">
        <v>0</v>
      </c>
      <c r="AF702" s="81">
        <v>0</v>
      </c>
      <c r="AG702" s="87" t="s">
        <v>3875</v>
      </c>
      <c r="AH702" s="81" t="b">
        <v>0</v>
      </c>
      <c r="AI702" s="81" t="s">
        <v>4092</v>
      </c>
      <c r="AJ702" s="81"/>
      <c r="AK702" s="87" t="s">
        <v>3875</v>
      </c>
      <c r="AL702" s="81" t="b">
        <v>0</v>
      </c>
      <c r="AM702" s="81">
        <v>321</v>
      </c>
      <c r="AN702" s="87" t="s">
        <v>3520</v>
      </c>
      <c r="AO702" s="87" t="s">
        <v>4109</v>
      </c>
      <c r="AP702" s="81" t="b">
        <v>0</v>
      </c>
      <c r="AQ702" s="87" t="s">
        <v>3520</v>
      </c>
      <c r="AR702" s="81" t="s">
        <v>179</v>
      </c>
      <c r="AS702" s="81">
        <v>0</v>
      </c>
      <c r="AT702" s="81">
        <v>0</v>
      </c>
      <c r="AU702" s="81"/>
      <c r="AV702" s="81"/>
      <c r="AW702" s="81"/>
      <c r="AX702" s="81"/>
      <c r="AY702" s="81"/>
      <c r="AZ702" s="81"/>
      <c r="BA702" s="81"/>
      <c r="BB702" s="81"/>
    </row>
    <row r="703" spans="1:54" x14ac:dyDescent="0.35">
      <c r="A703" s="66" t="s">
        <v>608</v>
      </c>
      <c r="B703" s="66" t="s">
        <v>910</v>
      </c>
      <c r="C703" s="67"/>
      <c r="D703" s="68"/>
      <c r="E703" s="69"/>
      <c r="F703" s="70"/>
      <c r="G703" s="67"/>
      <c r="H703" s="71"/>
      <c r="I703" s="72"/>
      <c r="J703" s="72"/>
      <c r="K703" s="36"/>
      <c r="L703" s="79"/>
      <c r="M703" s="79"/>
      <c r="N703" s="74"/>
      <c r="O703" s="81" t="s">
        <v>1205</v>
      </c>
      <c r="P703" s="83">
        <v>44460.676805555559</v>
      </c>
      <c r="Q703" s="81" t="s">
        <v>1324</v>
      </c>
      <c r="R703" s="81"/>
      <c r="S703" s="81"/>
      <c r="T703" s="81"/>
      <c r="U703" s="85" t="str">
        <f>HYPERLINK("https://pbs.twimg.com/media/E_xVJy2VQAQerFe.jpg")</f>
        <v>https://pbs.twimg.com/media/E_xVJy2VQAQerFe.jpg</v>
      </c>
      <c r="V703" s="85" t="str">
        <f>HYPERLINK("https://pbs.twimg.com/media/E_xVJy2VQAQerFe.jpg")</f>
        <v>https://pbs.twimg.com/media/E_xVJy2VQAQerFe.jpg</v>
      </c>
      <c r="W703" s="83">
        <v>44460.676805555559</v>
      </c>
      <c r="X703" s="89">
        <v>44460</v>
      </c>
      <c r="Y703" s="87" t="s">
        <v>2214</v>
      </c>
      <c r="Z703" s="85" t="str">
        <f>HYPERLINK("https://twitter.com/sibeseck/status/1440348745908948999")</f>
        <v>https://twitter.com/sibeseck/status/1440348745908948999</v>
      </c>
      <c r="AA703" s="81"/>
      <c r="AB703" s="81"/>
      <c r="AC703" s="87" t="s">
        <v>3138</v>
      </c>
      <c r="AD703" s="81"/>
      <c r="AE703" s="81" t="b">
        <v>0</v>
      </c>
      <c r="AF703" s="81">
        <v>0</v>
      </c>
      <c r="AG703" s="87" t="s">
        <v>3875</v>
      </c>
      <c r="AH703" s="81" t="b">
        <v>0</v>
      </c>
      <c r="AI703" s="81" t="s">
        <v>4092</v>
      </c>
      <c r="AJ703" s="81"/>
      <c r="AK703" s="87" t="s">
        <v>3875</v>
      </c>
      <c r="AL703" s="81" t="b">
        <v>0</v>
      </c>
      <c r="AM703" s="81">
        <v>321</v>
      </c>
      <c r="AN703" s="87" t="s">
        <v>3520</v>
      </c>
      <c r="AO703" s="87" t="s">
        <v>4109</v>
      </c>
      <c r="AP703" s="81" t="b">
        <v>0</v>
      </c>
      <c r="AQ703" s="87" t="s">
        <v>3520</v>
      </c>
      <c r="AR703" s="81" t="s">
        <v>179</v>
      </c>
      <c r="AS703" s="81">
        <v>0</v>
      </c>
      <c r="AT703" s="81">
        <v>0</v>
      </c>
      <c r="AU703" s="81"/>
      <c r="AV703" s="81"/>
      <c r="AW703" s="81"/>
      <c r="AX703" s="81"/>
      <c r="AY703" s="81"/>
      <c r="AZ703" s="81"/>
      <c r="BA703" s="81"/>
      <c r="BB703" s="81"/>
    </row>
    <row r="704" spans="1:54" x14ac:dyDescent="0.35">
      <c r="A704" s="66" t="s">
        <v>609</v>
      </c>
      <c r="B704" s="66" t="s">
        <v>1055</v>
      </c>
      <c r="C704" s="67"/>
      <c r="D704" s="68"/>
      <c r="E704" s="69"/>
      <c r="F704" s="70"/>
      <c r="G704" s="67"/>
      <c r="H704" s="71"/>
      <c r="I704" s="72"/>
      <c r="J704" s="72"/>
      <c r="K704" s="36"/>
      <c r="L704" s="79"/>
      <c r="M704" s="79"/>
      <c r="N704" s="74"/>
      <c r="O704" s="81" t="s">
        <v>1207</v>
      </c>
      <c r="P704" s="83">
        <v>44460.680763888886</v>
      </c>
      <c r="Q704" s="81" t="s">
        <v>1324</v>
      </c>
      <c r="R704" s="81"/>
      <c r="S704" s="81"/>
      <c r="T704" s="81"/>
      <c r="U704" s="85" t="str">
        <f>HYPERLINK("https://pbs.twimg.com/media/E_xVJy2VQAQerFe.jpg")</f>
        <v>https://pbs.twimg.com/media/E_xVJy2VQAQerFe.jpg</v>
      </c>
      <c r="V704" s="85" t="str">
        <f>HYPERLINK("https://pbs.twimg.com/media/E_xVJy2VQAQerFe.jpg")</f>
        <v>https://pbs.twimg.com/media/E_xVJy2VQAQerFe.jpg</v>
      </c>
      <c r="W704" s="83">
        <v>44460.680763888886</v>
      </c>
      <c r="X704" s="89">
        <v>44460</v>
      </c>
      <c r="Y704" s="87" t="s">
        <v>2215</v>
      </c>
      <c r="Z704" s="85" t="str">
        <f>HYPERLINK("https://twitter.com/laludatu/status/1440350184005726220")</f>
        <v>https://twitter.com/laludatu/status/1440350184005726220</v>
      </c>
      <c r="AA704" s="81"/>
      <c r="AB704" s="81"/>
      <c r="AC704" s="87" t="s">
        <v>3139</v>
      </c>
      <c r="AD704" s="81"/>
      <c r="AE704" s="81" t="b">
        <v>0</v>
      </c>
      <c r="AF704" s="81">
        <v>0</v>
      </c>
      <c r="AG704" s="87" t="s">
        <v>3875</v>
      </c>
      <c r="AH704" s="81" t="b">
        <v>0</v>
      </c>
      <c r="AI704" s="81" t="s">
        <v>4092</v>
      </c>
      <c r="AJ704" s="81"/>
      <c r="AK704" s="87" t="s">
        <v>3875</v>
      </c>
      <c r="AL704" s="81" t="b">
        <v>0</v>
      </c>
      <c r="AM704" s="81">
        <v>321</v>
      </c>
      <c r="AN704" s="87" t="s">
        <v>3520</v>
      </c>
      <c r="AO704" s="87" t="s">
        <v>4110</v>
      </c>
      <c r="AP704" s="81" t="b">
        <v>0</v>
      </c>
      <c r="AQ704" s="87" t="s">
        <v>3520</v>
      </c>
      <c r="AR704" s="81" t="s">
        <v>179</v>
      </c>
      <c r="AS704" s="81">
        <v>0</v>
      </c>
      <c r="AT704" s="81">
        <v>0</v>
      </c>
      <c r="AU704" s="81"/>
      <c r="AV704" s="81"/>
      <c r="AW704" s="81"/>
      <c r="AX704" s="81"/>
      <c r="AY704" s="81"/>
      <c r="AZ704" s="81"/>
      <c r="BA704" s="81"/>
      <c r="BB704" s="81"/>
    </row>
    <row r="705" spans="1:54" x14ac:dyDescent="0.35">
      <c r="A705" s="66" t="s">
        <v>609</v>
      </c>
      <c r="B705" s="66" t="s">
        <v>910</v>
      </c>
      <c r="C705" s="67"/>
      <c r="D705" s="68"/>
      <c r="E705" s="69"/>
      <c r="F705" s="70"/>
      <c r="G705" s="67"/>
      <c r="H705" s="71"/>
      <c r="I705" s="72"/>
      <c r="J705" s="72"/>
      <c r="K705" s="36"/>
      <c r="L705" s="79"/>
      <c r="M705" s="79"/>
      <c r="N705" s="74"/>
      <c r="O705" s="81" t="s">
        <v>1205</v>
      </c>
      <c r="P705" s="83">
        <v>44460.680763888886</v>
      </c>
      <c r="Q705" s="81" t="s">
        <v>1324</v>
      </c>
      <c r="R705" s="81"/>
      <c r="S705" s="81"/>
      <c r="T705" s="81"/>
      <c r="U705" s="85" t="str">
        <f>HYPERLINK("https://pbs.twimg.com/media/E_xVJy2VQAQerFe.jpg")</f>
        <v>https://pbs.twimg.com/media/E_xVJy2VQAQerFe.jpg</v>
      </c>
      <c r="V705" s="85" t="str">
        <f>HYPERLINK("https://pbs.twimg.com/media/E_xVJy2VQAQerFe.jpg")</f>
        <v>https://pbs.twimg.com/media/E_xVJy2VQAQerFe.jpg</v>
      </c>
      <c r="W705" s="83">
        <v>44460.680763888886</v>
      </c>
      <c r="X705" s="89">
        <v>44460</v>
      </c>
      <c r="Y705" s="87" t="s">
        <v>2215</v>
      </c>
      <c r="Z705" s="85" t="str">
        <f>HYPERLINK("https://twitter.com/laludatu/status/1440350184005726220")</f>
        <v>https://twitter.com/laludatu/status/1440350184005726220</v>
      </c>
      <c r="AA705" s="81"/>
      <c r="AB705" s="81"/>
      <c r="AC705" s="87" t="s">
        <v>3139</v>
      </c>
      <c r="AD705" s="81"/>
      <c r="AE705" s="81" t="b">
        <v>0</v>
      </c>
      <c r="AF705" s="81">
        <v>0</v>
      </c>
      <c r="AG705" s="87" t="s">
        <v>3875</v>
      </c>
      <c r="AH705" s="81" t="b">
        <v>0</v>
      </c>
      <c r="AI705" s="81" t="s">
        <v>4092</v>
      </c>
      <c r="AJ705" s="81"/>
      <c r="AK705" s="87" t="s">
        <v>3875</v>
      </c>
      <c r="AL705" s="81" t="b">
        <v>0</v>
      </c>
      <c r="AM705" s="81">
        <v>321</v>
      </c>
      <c r="AN705" s="87" t="s">
        <v>3520</v>
      </c>
      <c r="AO705" s="87" t="s">
        <v>4110</v>
      </c>
      <c r="AP705" s="81" t="b">
        <v>0</v>
      </c>
      <c r="AQ705" s="87" t="s">
        <v>3520</v>
      </c>
      <c r="AR705" s="81" t="s">
        <v>179</v>
      </c>
      <c r="AS705" s="81">
        <v>0</v>
      </c>
      <c r="AT705" s="81">
        <v>0</v>
      </c>
      <c r="AU705" s="81"/>
      <c r="AV705" s="81"/>
      <c r="AW705" s="81"/>
      <c r="AX705" s="81"/>
      <c r="AY705" s="81"/>
      <c r="AZ705" s="81"/>
      <c r="BA705" s="81"/>
      <c r="BB705" s="81"/>
    </row>
    <row r="706" spans="1:54" x14ac:dyDescent="0.35">
      <c r="A706" s="66" t="s">
        <v>610</v>
      </c>
      <c r="B706" s="66" t="s">
        <v>1055</v>
      </c>
      <c r="C706" s="67"/>
      <c r="D706" s="68"/>
      <c r="E706" s="69"/>
      <c r="F706" s="70"/>
      <c r="G706" s="67"/>
      <c r="H706" s="71"/>
      <c r="I706" s="72"/>
      <c r="J706" s="72"/>
      <c r="K706" s="36"/>
      <c r="L706" s="79"/>
      <c r="M706" s="79"/>
      <c r="N706" s="74"/>
      <c r="O706" s="81" t="s">
        <v>1207</v>
      </c>
      <c r="P706" s="83">
        <v>44460.683680555558</v>
      </c>
      <c r="Q706" s="81" t="s">
        <v>1324</v>
      </c>
      <c r="R706" s="81"/>
      <c r="S706" s="81"/>
      <c r="T706" s="81"/>
      <c r="U706" s="85" t="str">
        <f>HYPERLINK("https://pbs.twimg.com/media/E_xVJy2VQAQerFe.jpg")</f>
        <v>https://pbs.twimg.com/media/E_xVJy2VQAQerFe.jpg</v>
      </c>
      <c r="V706" s="85" t="str">
        <f>HYPERLINK("https://pbs.twimg.com/media/E_xVJy2VQAQerFe.jpg")</f>
        <v>https://pbs.twimg.com/media/E_xVJy2VQAQerFe.jpg</v>
      </c>
      <c r="W706" s="83">
        <v>44460.683680555558</v>
      </c>
      <c r="X706" s="89">
        <v>44460</v>
      </c>
      <c r="Y706" s="87" t="s">
        <v>2216</v>
      </c>
      <c r="Z706" s="85" t="str">
        <f>HYPERLINK("https://twitter.com/telorayamjantan/status/1440351240651640836")</f>
        <v>https://twitter.com/telorayamjantan/status/1440351240651640836</v>
      </c>
      <c r="AA706" s="81"/>
      <c r="AB706" s="81"/>
      <c r="AC706" s="87" t="s">
        <v>3140</v>
      </c>
      <c r="AD706" s="81"/>
      <c r="AE706" s="81" t="b">
        <v>0</v>
      </c>
      <c r="AF706" s="81">
        <v>0</v>
      </c>
      <c r="AG706" s="87" t="s">
        <v>3875</v>
      </c>
      <c r="AH706" s="81" t="b">
        <v>0</v>
      </c>
      <c r="AI706" s="81" t="s">
        <v>4092</v>
      </c>
      <c r="AJ706" s="81"/>
      <c r="AK706" s="87" t="s">
        <v>3875</v>
      </c>
      <c r="AL706" s="81" t="b">
        <v>0</v>
      </c>
      <c r="AM706" s="81">
        <v>321</v>
      </c>
      <c r="AN706" s="87" t="s">
        <v>3520</v>
      </c>
      <c r="AO706" s="87" t="s">
        <v>4109</v>
      </c>
      <c r="AP706" s="81" t="b">
        <v>0</v>
      </c>
      <c r="AQ706" s="87" t="s">
        <v>3520</v>
      </c>
      <c r="AR706" s="81" t="s">
        <v>179</v>
      </c>
      <c r="AS706" s="81">
        <v>0</v>
      </c>
      <c r="AT706" s="81">
        <v>0</v>
      </c>
      <c r="AU706" s="81"/>
      <c r="AV706" s="81"/>
      <c r="AW706" s="81"/>
      <c r="AX706" s="81"/>
      <c r="AY706" s="81"/>
      <c r="AZ706" s="81"/>
      <c r="BA706" s="81"/>
      <c r="BB706" s="81"/>
    </row>
    <row r="707" spans="1:54" x14ac:dyDescent="0.35">
      <c r="A707" s="66" t="s">
        <v>610</v>
      </c>
      <c r="B707" s="66" t="s">
        <v>910</v>
      </c>
      <c r="C707" s="67"/>
      <c r="D707" s="68"/>
      <c r="E707" s="69"/>
      <c r="F707" s="70"/>
      <c r="G707" s="67"/>
      <c r="H707" s="71"/>
      <c r="I707" s="72"/>
      <c r="J707" s="72"/>
      <c r="K707" s="36"/>
      <c r="L707" s="79"/>
      <c r="M707" s="79"/>
      <c r="N707" s="74"/>
      <c r="O707" s="81" t="s">
        <v>1205</v>
      </c>
      <c r="P707" s="83">
        <v>44460.683680555558</v>
      </c>
      <c r="Q707" s="81" t="s">
        <v>1324</v>
      </c>
      <c r="R707" s="81"/>
      <c r="S707" s="81"/>
      <c r="T707" s="81"/>
      <c r="U707" s="85" t="str">
        <f>HYPERLINK("https://pbs.twimg.com/media/E_xVJy2VQAQerFe.jpg")</f>
        <v>https://pbs.twimg.com/media/E_xVJy2VQAQerFe.jpg</v>
      </c>
      <c r="V707" s="85" t="str">
        <f>HYPERLINK("https://pbs.twimg.com/media/E_xVJy2VQAQerFe.jpg")</f>
        <v>https://pbs.twimg.com/media/E_xVJy2VQAQerFe.jpg</v>
      </c>
      <c r="W707" s="83">
        <v>44460.683680555558</v>
      </c>
      <c r="X707" s="89">
        <v>44460</v>
      </c>
      <c r="Y707" s="87" t="s">
        <v>2216</v>
      </c>
      <c r="Z707" s="85" t="str">
        <f>HYPERLINK("https://twitter.com/telorayamjantan/status/1440351240651640836")</f>
        <v>https://twitter.com/telorayamjantan/status/1440351240651640836</v>
      </c>
      <c r="AA707" s="81"/>
      <c r="AB707" s="81"/>
      <c r="AC707" s="87" t="s">
        <v>3140</v>
      </c>
      <c r="AD707" s="81"/>
      <c r="AE707" s="81" t="b">
        <v>0</v>
      </c>
      <c r="AF707" s="81">
        <v>0</v>
      </c>
      <c r="AG707" s="87" t="s">
        <v>3875</v>
      </c>
      <c r="AH707" s="81" t="b">
        <v>0</v>
      </c>
      <c r="AI707" s="81" t="s">
        <v>4092</v>
      </c>
      <c r="AJ707" s="81"/>
      <c r="AK707" s="87" t="s">
        <v>3875</v>
      </c>
      <c r="AL707" s="81" t="b">
        <v>0</v>
      </c>
      <c r="AM707" s="81">
        <v>321</v>
      </c>
      <c r="AN707" s="87" t="s">
        <v>3520</v>
      </c>
      <c r="AO707" s="87" t="s">
        <v>4109</v>
      </c>
      <c r="AP707" s="81" t="b">
        <v>0</v>
      </c>
      <c r="AQ707" s="87" t="s">
        <v>3520</v>
      </c>
      <c r="AR707" s="81" t="s">
        <v>179</v>
      </c>
      <c r="AS707" s="81">
        <v>0</v>
      </c>
      <c r="AT707" s="81">
        <v>0</v>
      </c>
      <c r="AU707" s="81"/>
      <c r="AV707" s="81"/>
      <c r="AW707" s="81"/>
      <c r="AX707" s="81"/>
      <c r="AY707" s="81"/>
      <c r="AZ707" s="81"/>
      <c r="BA707" s="81"/>
      <c r="BB707" s="81"/>
    </row>
    <row r="708" spans="1:54" x14ac:dyDescent="0.35">
      <c r="A708" s="66" t="s">
        <v>611</v>
      </c>
      <c r="B708" s="66" t="s">
        <v>1055</v>
      </c>
      <c r="C708" s="67"/>
      <c r="D708" s="68"/>
      <c r="E708" s="69"/>
      <c r="F708" s="70"/>
      <c r="G708" s="67"/>
      <c r="H708" s="71"/>
      <c r="I708" s="72"/>
      <c r="J708" s="72"/>
      <c r="K708" s="36"/>
      <c r="L708" s="79"/>
      <c r="M708" s="79"/>
      <c r="N708" s="74"/>
      <c r="O708" s="81" t="s">
        <v>1207</v>
      </c>
      <c r="P708" s="83">
        <v>44460.683819444443</v>
      </c>
      <c r="Q708" s="81" t="s">
        <v>1324</v>
      </c>
      <c r="R708" s="81"/>
      <c r="S708" s="81"/>
      <c r="T708" s="81"/>
      <c r="U708" s="85" t="str">
        <f>HYPERLINK("https://pbs.twimg.com/media/E_xVJy2VQAQerFe.jpg")</f>
        <v>https://pbs.twimg.com/media/E_xVJy2VQAQerFe.jpg</v>
      </c>
      <c r="V708" s="85" t="str">
        <f>HYPERLINK("https://pbs.twimg.com/media/E_xVJy2VQAQerFe.jpg")</f>
        <v>https://pbs.twimg.com/media/E_xVJy2VQAQerFe.jpg</v>
      </c>
      <c r="W708" s="83">
        <v>44460.683819444443</v>
      </c>
      <c r="X708" s="89">
        <v>44460</v>
      </c>
      <c r="Y708" s="87" t="s">
        <v>2217</v>
      </c>
      <c r="Z708" s="85" t="str">
        <f>HYPERLINK("https://twitter.com/godjila526/status/1440351287795597323")</f>
        <v>https://twitter.com/godjila526/status/1440351287795597323</v>
      </c>
      <c r="AA708" s="81"/>
      <c r="AB708" s="81"/>
      <c r="AC708" s="87" t="s">
        <v>3141</v>
      </c>
      <c r="AD708" s="81"/>
      <c r="AE708" s="81" t="b">
        <v>0</v>
      </c>
      <c r="AF708" s="81">
        <v>0</v>
      </c>
      <c r="AG708" s="87" t="s">
        <v>3875</v>
      </c>
      <c r="AH708" s="81" t="b">
        <v>0</v>
      </c>
      <c r="AI708" s="81" t="s">
        <v>4092</v>
      </c>
      <c r="AJ708" s="81"/>
      <c r="AK708" s="87" t="s">
        <v>3875</v>
      </c>
      <c r="AL708" s="81" t="b">
        <v>0</v>
      </c>
      <c r="AM708" s="81">
        <v>321</v>
      </c>
      <c r="AN708" s="87" t="s">
        <v>3520</v>
      </c>
      <c r="AO708" s="87" t="s">
        <v>4109</v>
      </c>
      <c r="AP708" s="81" t="b">
        <v>0</v>
      </c>
      <c r="AQ708" s="87" t="s">
        <v>3520</v>
      </c>
      <c r="AR708" s="81" t="s">
        <v>179</v>
      </c>
      <c r="AS708" s="81">
        <v>0</v>
      </c>
      <c r="AT708" s="81">
        <v>0</v>
      </c>
      <c r="AU708" s="81"/>
      <c r="AV708" s="81"/>
      <c r="AW708" s="81"/>
      <c r="AX708" s="81"/>
      <c r="AY708" s="81"/>
      <c r="AZ708" s="81"/>
      <c r="BA708" s="81"/>
      <c r="BB708" s="81"/>
    </row>
    <row r="709" spans="1:54" x14ac:dyDescent="0.35">
      <c r="A709" s="66" t="s">
        <v>611</v>
      </c>
      <c r="B709" s="66" t="s">
        <v>910</v>
      </c>
      <c r="C709" s="67"/>
      <c r="D709" s="68"/>
      <c r="E709" s="69"/>
      <c r="F709" s="70"/>
      <c r="G709" s="67"/>
      <c r="H709" s="71"/>
      <c r="I709" s="72"/>
      <c r="J709" s="72"/>
      <c r="K709" s="36"/>
      <c r="L709" s="79"/>
      <c r="M709" s="79"/>
      <c r="N709" s="74"/>
      <c r="O709" s="81" t="s">
        <v>1205</v>
      </c>
      <c r="P709" s="83">
        <v>44460.683819444443</v>
      </c>
      <c r="Q709" s="81" t="s">
        <v>1324</v>
      </c>
      <c r="R709" s="81"/>
      <c r="S709" s="81"/>
      <c r="T709" s="81"/>
      <c r="U709" s="85" t="str">
        <f>HYPERLINK("https://pbs.twimg.com/media/E_xVJy2VQAQerFe.jpg")</f>
        <v>https://pbs.twimg.com/media/E_xVJy2VQAQerFe.jpg</v>
      </c>
      <c r="V709" s="85" t="str">
        <f>HYPERLINK("https://pbs.twimg.com/media/E_xVJy2VQAQerFe.jpg")</f>
        <v>https://pbs.twimg.com/media/E_xVJy2VQAQerFe.jpg</v>
      </c>
      <c r="W709" s="83">
        <v>44460.683819444443</v>
      </c>
      <c r="X709" s="89">
        <v>44460</v>
      </c>
      <c r="Y709" s="87" t="s">
        <v>2217</v>
      </c>
      <c r="Z709" s="85" t="str">
        <f>HYPERLINK("https://twitter.com/godjila526/status/1440351287795597323")</f>
        <v>https://twitter.com/godjila526/status/1440351287795597323</v>
      </c>
      <c r="AA709" s="81"/>
      <c r="AB709" s="81"/>
      <c r="AC709" s="87" t="s">
        <v>3141</v>
      </c>
      <c r="AD709" s="81"/>
      <c r="AE709" s="81" t="b">
        <v>0</v>
      </c>
      <c r="AF709" s="81">
        <v>0</v>
      </c>
      <c r="AG709" s="87" t="s">
        <v>3875</v>
      </c>
      <c r="AH709" s="81" t="b">
        <v>0</v>
      </c>
      <c r="AI709" s="81" t="s">
        <v>4092</v>
      </c>
      <c r="AJ709" s="81"/>
      <c r="AK709" s="87" t="s">
        <v>3875</v>
      </c>
      <c r="AL709" s="81" t="b">
        <v>0</v>
      </c>
      <c r="AM709" s="81">
        <v>321</v>
      </c>
      <c r="AN709" s="87" t="s">
        <v>3520</v>
      </c>
      <c r="AO709" s="87" t="s">
        <v>4109</v>
      </c>
      <c r="AP709" s="81" t="b">
        <v>0</v>
      </c>
      <c r="AQ709" s="87" t="s">
        <v>3520</v>
      </c>
      <c r="AR709" s="81" t="s">
        <v>179</v>
      </c>
      <c r="AS709" s="81">
        <v>0</v>
      </c>
      <c r="AT709" s="81">
        <v>0</v>
      </c>
      <c r="AU709" s="81"/>
      <c r="AV709" s="81"/>
      <c r="AW709" s="81"/>
      <c r="AX709" s="81"/>
      <c r="AY709" s="81"/>
      <c r="AZ709" s="81"/>
      <c r="BA709" s="81"/>
      <c r="BB709" s="81"/>
    </row>
    <row r="710" spans="1:54" x14ac:dyDescent="0.35">
      <c r="A710" s="66" t="s">
        <v>612</v>
      </c>
      <c r="B710" s="66" t="s">
        <v>627</v>
      </c>
      <c r="C710" s="67"/>
      <c r="D710" s="68"/>
      <c r="E710" s="69"/>
      <c r="F710" s="70"/>
      <c r="G710" s="67"/>
      <c r="H710" s="71"/>
      <c r="I710" s="72"/>
      <c r="J710" s="72"/>
      <c r="K710" s="36"/>
      <c r="L710" s="79"/>
      <c r="M710" s="79"/>
      <c r="N710" s="74"/>
      <c r="O710" s="81" t="s">
        <v>1205</v>
      </c>
      <c r="P710" s="83">
        <v>44460.685914351852</v>
      </c>
      <c r="Q710" s="81" t="s">
        <v>1352</v>
      </c>
      <c r="R710" s="81"/>
      <c r="S710" s="81"/>
      <c r="T710" s="81"/>
      <c r="U710" s="85" t="str">
        <f>HYPERLINK("https://pbs.twimg.com/ext_tw_video_thumb/1440299049509216256/pu/img/cT_MZxt4m6rj8kZ2.jpg")</f>
        <v>https://pbs.twimg.com/ext_tw_video_thumb/1440299049509216256/pu/img/cT_MZxt4m6rj8kZ2.jpg</v>
      </c>
      <c r="V710" s="85" t="str">
        <f>HYPERLINK("https://pbs.twimg.com/ext_tw_video_thumb/1440299049509216256/pu/img/cT_MZxt4m6rj8kZ2.jpg")</f>
        <v>https://pbs.twimg.com/ext_tw_video_thumb/1440299049509216256/pu/img/cT_MZxt4m6rj8kZ2.jpg</v>
      </c>
      <c r="W710" s="83">
        <v>44460.685914351852</v>
      </c>
      <c r="X710" s="89">
        <v>44460</v>
      </c>
      <c r="Y710" s="87" t="s">
        <v>2218</v>
      </c>
      <c r="Z710" s="85" t="str">
        <f>HYPERLINK("https://twitter.com/kranjilatif/status/1440352047006568460")</f>
        <v>https://twitter.com/kranjilatif/status/1440352047006568460</v>
      </c>
      <c r="AA710" s="81"/>
      <c r="AB710" s="81"/>
      <c r="AC710" s="87" t="s">
        <v>3142</v>
      </c>
      <c r="AD710" s="81"/>
      <c r="AE710" s="81" t="b">
        <v>0</v>
      </c>
      <c r="AF710" s="81">
        <v>0</v>
      </c>
      <c r="AG710" s="87" t="s">
        <v>3875</v>
      </c>
      <c r="AH710" s="81" t="b">
        <v>0</v>
      </c>
      <c r="AI710" s="81" t="s">
        <v>4092</v>
      </c>
      <c r="AJ710" s="81"/>
      <c r="AK710" s="87" t="s">
        <v>3875</v>
      </c>
      <c r="AL710" s="81" t="b">
        <v>0</v>
      </c>
      <c r="AM710" s="81">
        <v>9</v>
      </c>
      <c r="AN710" s="87" t="s">
        <v>3157</v>
      </c>
      <c r="AO710" s="87" t="s">
        <v>4109</v>
      </c>
      <c r="AP710" s="81" t="b">
        <v>0</v>
      </c>
      <c r="AQ710" s="87" t="s">
        <v>3157</v>
      </c>
      <c r="AR710" s="81" t="s">
        <v>179</v>
      </c>
      <c r="AS710" s="81">
        <v>0</v>
      </c>
      <c r="AT710" s="81">
        <v>0</v>
      </c>
      <c r="AU710" s="81"/>
      <c r="AV710" s="81"/>
      <c r="AW710" s="81"/>
      <c r="AX710" s="81"/>
      <c r="AY710" s="81"/>
      <c r="AZ710" s="81"/>
      <c r="BA710" s="81"/>
      <c r="BB710" s="81"/>
    </row>
    <row r="711" spans="1:54" x14ac:dyDescent="0.35">
      <c r="A711" s="66" t="s">
        <v>613</v>
      </c>
      <c r="B711" s="66" t="s">
        <v>1034</v>
      </c>
      <c r="C711" s="67"/>
      <c r="D711" s="68"/>
      <c r="E711" s="69"/>
      <c r="F711" s="70"/>
      <c r="G711" s="67"/>
      <c r="H711" s="71"/>
      <c r="I711" s="72"/>
      <c r="J711" s="72"/>
      <c r="K711" s="36"/>
      <c r="L711" s="79"/>
      <c r="M711" s="79"/>
      <c r="N711" s="74"/>
      <c r="O711" s="81" t="s">
        <v>1208</v>
      </c>
      <c r="P711" s="83">
        <v>44460.687916666669</v>
      </c>
      <c r="Q711" s="81" t="s">
        <v>1365</v>
      </c>
      <c r="R711" s="85" t="str">
        <f>HYPERLINK("https://twitter.com/ib_ost/status/1440119631516082176")</f>
        <v>https://twitter.com/ib_ost/status/1440119631516082176</v>
      </c>
      <c r="S711" s="81" t="s">
        <v>1731</v>
      </c>
      <c r="T711" s="81"/>
      <c r="U711" s="81"/>
      <c r="V711" s="85" t="str">
        <f>HYPERLINK("https://pbs.twimg.com/profile_images/453758948567314432/k8UfPEFl_normal.jpeg")</f>
        <v>https://pbs.twimg.com/profile_images/453758948567314432/k8UfPEFl_normal.jpeg</v>
      </c>
      <c r="W711" s="83">
        <v>44460.687916666669</v>
      </c>
      <c r="X711" s="89">
        <v>44460</v>
      </c>
      <c r="Y711" s="87" t="s">
        <v>2219</v>
      </c>
      <c r="Z711" s="85" t="str">
        <f>HYPERLINK("https://twitter.com/shantymacika/status/1440352775846592513")</f>
        <v>https://twitter.com/shantymacika/status/1440352775846592513</v>
      </c>
      <c r="AA711" s="81"/>
      <c r="AB711" s="81"/>
      <c r="AC711" s="87" t="s">
        <v>3143</v>
      </c>
      <c r="AD711" s="81"/>
      <c r="AE711" s="81" t="b">
        <v>0</v>
      </c>
      <c r="AF711" s="81">
        <v>1</v>
      </c>
      <c r="AG711" s="87" t="s">
        <v>3913</v>
      </c>
      <c r="AH711" s="81" t="b">
        <v>1</v>
      </c>
      <c r="AI711" s="81" t="s">
        <v>4092</v>
      </c>
      <c r="AJ711" s="81"/>
      <c r="AK711" s="87" t="s">
        <v>3520</v>
      </c>
      <c r="AL711" s="81" t="b">
        <v>0</v>
      </c>
      <c r="AM711" s="81">
        <v>0</v>
      </c>
      <c r="AN711" s="87" t="s">
        <v>3875</v>
      </c>
      <c r="AO711" s="87" t="s">
        <v>4109</v>
      </c>
      <c r="AP711" s="81" t="b">
        <v>0</v>
      </c>
      <c r="AQ711" s="87" t="s">
        <v>3143</v>
      </c>
      <c r="AR711" s="81" t="s">
        <v>179</v>
      </c>
      <c r="AS711" s="81">
        <v>0</v>
      </c>
      <c r="AT711" s="81">
        <v>0</v>
      </c>
      <c r="AU711" s="81"/>
      <c r="AV711" s="81"/>
      <c r="AW711" s="81"/>
      <c r="AX711" s="81"/>
      <c r="AY711" s="81"/>
      <c r="AZ711" s="81"/>
      <c r="BA711" s="81"/>
      <c r="BB711" s="81"/>
    </row>
    <row r="712" spans="1:54" x14ac:dyDescent="0.35">
      <c r="A712" s="66" t="s">
        <v>614</v>
      </c>
      <c r="B712" s="66" t="s">
        <v>627</v>
      </c>
      <c r="C712" s="67"/>
      <c r="D712" s="68"/>
      <c r="E712" s="69"/>
      <c r="F712" s="70"/>
      <c r="G712" s="67"/>
      <c r="H712" s="71"/>
      <c r="I712" s="72"/>
      <c r="J712" s="72"/>
      <c r="K712" s="36"/>
      <c r="L712" s="79"/>
      <c r="M712" s="79"/>
      <c r="N712" s="74"/>
      <c r="O712" s="81" t="s">
        <v>1205</v>
      </c>
      <c r="P712" s="83">
        <v>44460.688032407408</v>
      </c>
      <c r="Q712" s="81" t="s">
        <v>1352</v>
      </c>
      <c r="R712" s="81"/>
      <c r="S712" s="81"/>
      <c r="T712" s="81"/>
      <c r="U712" s="85" t="str">
        <f>HYPERLINK("https://pbs.twimg.com/ext_tw_video_thumb/1440299049509216256/pu/img/cT_MZxt4m6rj8kZ2.jpg")</f>
        <v>https://pbs.twimg.com/ext_tw_video_thumb/1440299049509216256/pu/img/cT_MZxt4m6rj8kZ2.jpg</v>
      </c>
      <c r="V712" s="85" t="str">
        <f>HYPERLINK("https://pbs.twimg.com/ext_tw_video_thumb/1440299049509216256/pu/img/cT_MZxt4m6rj8kZ2.jpg")</f>
        <v>https://pbs.twimg.com/ext_tw_video_thumb/1440299049509216256/pu/img/cT_MZxt4m6rj8kZ2.jpg</v>
      </c>
      <c r="W712" s="83">
        <v>44460.688032407408</v>
      </c>
      <c r="X712" s="89">
        <v>44460</v>
      </c>
      <c r="Y712" s="87" t="s">
        <v>2220</v>
      </c>
      <c r="Z712" s="85" t="str">
        <f>HYPERLINK("https://twitter.com/addarul1/status/1440352816157970447")</f>
        <v>https://twitter.com/addarul1/status/1440352816157970447</v>
      </c>
      <c r="AA712" s="81"/>
      <c r="AB712" s="81"/>
      <c r="AC712" s="87" t="s">
        <v>3144</v>
      </c>
      <c r="AD712" s="81"/>
      <c r="AE712" s="81" t="b">
        <v>0</v>
      </c>
      <c r="AF712" s="81">
        <v>0</v>
      </c>
      <c r="AG712" s="87" t="s">
        <v>3875</v>
      </c>
      <c r="AH712" s="81" t="b">
        <v>0</v>
      </c>
      <c r="AI712" s="81" t="s">
        <v>4092</v>
      </c>
      <c r="AJ712" s="81"/>
      <c r="AK712" s="87" t="s">
        <v>3875</v>
      </c>
      <c r="AL712" s="81" t="b">
        <v>0</v>
      </c>
      <c r="AM712" s="81">
        <v>9</v>
      </c>
      <c r="AN712" s="87" t="s">
        <v>3157</v>
      </c>
      <c r="AO712" s="87" t="s">
        <v>4109</v>
      </c>
      <c r="AP712" s="81" t="b">
        <v>0</v>
      </c>
      <c r="AQ712" s="87" t="s">
        <v>3157</v>
      </c>
      <c r="AR712" s="81" t="s">
        <v>179</v>
      </c>
      <c r="AS712" s="81">
        <v>0</v>
      </c>
      <c r="AT712" s="81">
        <v>0</v>
      </c>
      <c r="AU712" s="81"/>
      <c r="AV712" s="81"/>
      <c r="AW712" s="81"/>
      <c r="AX712" s="81"/>
      <c r="AY712" s="81"/>
      <c r="AZ712" s="81"/>
      <c r="BA712" s="81"/>
      <c r="BB712" s="81"/>
    </row>
    <row r="713" spans="1:54" x14ac:dyDescent="0.35">
      <c r="A713" s="66" t="s">
        <v>615</v>
      </c>
      <c r="B713" s="66" t="s">
        <v>1055</v>
      </c>
      <c r="C713" s="67"/>
      <c r="D713" s="68"/>
      <c r="E713" s="69"/>
      <c r="F713" s="70"/>
      <c r="G713" s="67"/>
      <c r="H713" s="71"/>
      <c r="I713" s="72"/>
      <c r="J713" s="72"/>
      <c r="K713" s="36"/>
      <c r="L713" s="79"/>
      <c r="M713" s="79"/>
      <c r="N713" s="74"/>
      <c r="O713" s="81" t="s">
        <v>1207</v>
      </c>
      <c r="P713" s="83">
        <v>44460.689675925925</v>
      </c>
      <c r="Q713" s="81" t="s">
        <v>1324</v>
      </c>
      <c r="R713" s="81"/>
      <c r="S713" s="81"/>
      <c r="T713" s="81"/>
      <c r="U713" s="85" t="str">
        <f>HYPERLINK("https://pbs.twimg.com/media/E_xVJy2VQAQerFe.jpg")</f>
        <v>https://pbs.twimg.com/media/E_xVJy2VQAQerFe.jpg</v>
      </c>
      <c r="V713" s="85" t="str">
        <f>HYPERLINK("https://pbs.twimg.com/media/E_xVJy2VQAQerFe.jpg")</f>
        <v>https://pbs.twimg.com/media/E_xVJy2VQAQerFe.jpg</v>
      </c>
      <c r="W713" s="83">
        <v>44460.689675925925</v>
      </c>
      <c r="X713" s="89">
        <v>44460</v>
      </c>
      <c r="Y713" s="87" t="s">
        <v>2221</v>
      </c>
      <c r="Z713" s="85" t="str">
        <f>HYPERLINK("https://twitter.com/vian69633078/status/1440353412059525134")</f>
        <v>https://twitter.com/vian69633078/status/1440353412059525134</v>
      </c>
      <c r="AA713" s="81"/>
      <c r="AB713" s="81"/>
      <c r="AC713" s="87" t="s">
        <v>3145</v>
      </c>
      <c r="AD713" s="81"/>
      <c r="AE713" s="81" t="b">
        <v>0</v>
      </c>
      <c r="AF713" s="81">
        <v>0</v>
      </c>
      <c r="AG713" s="87" t="s">
        <v>3875</v>
      </c>
      <c r="AH713" s="81" t="b">
        <v>0</v>
      </c>
      <c r="AI713" s="81" t="s">
        <v>4092</v>
      </c>
      <c r="AJ713" s="81"/>
      <c r="AK713" s="87" t="s">
        <v>3875</v>
      </c>
      <c r="AL713" s="81" t="b">
        <v>0</v>
      </c>
      <c r="AM713" s="81">
        <v>321</v>
      </c>
      <c r="AN713" s="87" t="s">
        <v>3520</v>
      </c>
      <c r="AO713" s="87" t="s">
        <v>4109</v>
      </c>
      <c r="AP713" s="81" t="b">
        <v>0</v>
      </c>
      <c r="AQ713" s="87" t="s">
        <v>3520</v>
      </c>
      <c r="AR713" s="81" t="s">
        <v>179</v>
      </c>
      <c r="AS713" s="81">
        <v>0</v>
      </c>
      <c r="AT713" s="81">
        <v>0</v>
      </c>
      <c r="AU713" s="81"/>
      <c r="AV713" s="81"/>
      <c r="AW713" s="81"/>
      <c r="AX713" s="81"/>
      <c r="AY713" s="81"/>
      <c r="AZ713" s="81"/>
      <c r="BA713" s="81"/>
      <c r="BB713" s="81"/>
    </row>
    <row r="714" spans="1:54" x14ac:dyDescent="0.35">
      <c r="A714" s="66" t="s">
        <v>615</v>
      </c>
      <c r="B714" s="66" t="s">
        <v>910</v>
      </c>
      <c r="C714" s="67"/>
      <c r="D714" s="68"/>
      <c r="E714" s="69"/>
      <c r="F714" s="70"/>
      <c r="G714" s="67"/>
      <c r="H714" s="71"/>
      <c r="I714" s="72"/>
      <c r="J714" s="72"/>
      <c r="K714" s="36"/>
      <c r="L714" s="79"/>
      <c r="M714" s="79"/>
      <c r="N714" s="74"/>
      <c r="O714" s="81" t="s">
        <v>1205</v>
      </c>
      <c r="P714" s="83">
        <v>44460.689675925925</v>
      </c>
      <c r="Q714" s="81" t="s">
        <v>1324</v>
      </c>
      <c r="R714" s="81"/>
      <c r="S714" s="81"/>
      <c r="T714" s="81"/>
      <c r="U714" s="85" t="str">
        <f>HYPERLINK("https://pbs.twimg.com/media/E_xVJy2VQAQerFe.jpg")</f>
        <v>https://pbs.twimg.com/media/E_xVJy2VQAQerFe.jpg</v>
      </c>
      <c r="V714" s="85" t="str">
        <f>HYPERLINK("https://pbs.twimg.com/media/E_xVJy2VQAQerFe.jpg")</f>
        <v>https://pbs.twimg.com/media/E_xVJy2VQAQerFe.jpg</v>
      </c>
      <c r="W714" s="83">
        <v>44460.689675925925</v>
      </c>
      <c r="X714" s="89">
        <v>44460</v>
      </c>
      <c r="Y714" s="87" t="s">
        <v>2221</v>
      </c>
      <c r="Z714" s="85" t="str">
        <f>HYPERLINK("https://twitter.com/vian69633078/status/1440353412059525134")</f>
        <v>https://twitter.com/vian69633078/status/1440353412059525134</v>
      </c>
      <c r="AA714" s="81"/>
      <c r="AB714" s="81"/>
      <c r="AC714" s="87" t="s">
        <v>3145</v>
      </c>
      <c r="AD714" s="81"/>
      <c r="AE714" s="81" t="b">
        <v>0</v>
      </c>
      <c r="AF714" s="81">
        <v>0</v>
      </c>
      <c r="AG714" s="87" t="s">
        <v>3875</v>
      </c>
      <c r="AH714" s="81" t="b">
        <v>0</v>
      </c>
      <c r="AI714" s="81" t="s">
        <v>4092</v>
      </c>
      <c r="AJ714" s="81"/>
      <c r="AK714" s="87" t="s">
        <v>3875</v>
      </c>
      <c r="AL714" s="81" t="b">
        <v>0</v>
      </c>
      <c r="AM714" s="81">
        <v>321</v>
      </c>
      <c r="AN714" s="87" t="s">
        <v>3520</v>
      </c>
      <c r="AO714" s="87" t="s">
        <v>4109</v>
      </c>
      <c r="AP714" s="81" t="b">
        <v>0</v>
      </c>
      <c r="AQ714" s="87" t="s">
        <v>3520</v>
      </c>
      <c r="AR714" s="81" t="s">
        <v>179</v>
      </c>
      <c r="AS714" s="81">
        <v>0</v>
      </c>
      <c r="AT714" s="81">
        <v>0</v>
      </c>
      <c r="AU714" s="81"/>
      <c r="AV714" s="81"/>
      <c r="AW714" s="81"/>
      <c r="AX714" s="81"/>
      <c r="AY714" s="81"/>
      <c r="AZ714" s="81"/>
      <c r="BA714" s="81"/>
      <c r="BB714" s="81"/>
    </row>
    <row r="715" spans="1:54" x14ac:dyDescent="0.35">
      <c r="A715" s="66" t="s">
        <v>616</v>
      </c>
      <c r="B715" s="66" t="s">
        <v>1055</v>
      </c>
      <c r="C715" s="67"/>
      <c r="D715" s="68"/>
      <c r="E715" s="69"/>
      <c r="F715" s="70"/>
      <c r="G715" s="67"/>
      <c r="H715" s="71"/>
      <c r="I715" s="72"/>
      <c r="J715" s="72"/>
      <c r="K715" s="36"/>
      <c r="L715" s="79"/>
      <c r="M715" s="79"/>
      <c r="N715" s="74"/>
      <c r="O715" s="81" t="s">
        <v>1207</v>
      </c>
      <c r="P715" s="83">
        <v>44460.6953587963</v>
      </c>
      <c r="Q715" s="81" t="s">
        <v>1324</v>
      </c>
      <c r="R715" s="81"/>
      <c r="S715" s="81"/>
      <c r="T715" s="81"/>
      <c r="U715" s="85" t="str">
        <f>HYPERLINK("https://pbs.twimg.com/media/E_xVJy2VQAQerFe.jpg")</f>
        <v>https://pbs.twimg.com/media/E_xVJy2VQAQerFe.jpg</v>
      </c>
      <c r="V715" s="85" t="str">
        <f>HYPERLINK("https://pbs.twimg.com/media/E_xVJy2VQAQerFe.jpg")</f>
        <v>https://pbs.twimg.com/media/E_xVJy2VQAQerFe.jpg</v>
      </c>
      <c r="W715" s="83">
        <v>44460.6953587963</v>
      </c>
      <c r="X715" s="89">
        <v>44460</v>
      </c>
      <c r="Y715" s="87" t="s">
        <v>2222</v>
      </c>
      <c r="Z715" s="85" t="str">
        <f>HYPERLINK("https://twitter.com/zefry1974/status/1440355470384853006")</f>
        <v>https://twitter.com/zefry1974/status/1440355470384853006</v>
      </c>
      <c r="AA715" s="81"/>
      <c r="AB715" s="81"/>
      <c r="AC715" s="87" t="s">
        <v>3146</v>
      </c>
      <c r="AD715" s="81"/>
      <c r="AE715" s="81" t="b">
        <v>0</v>
      </c>
      <c r="AF715" s="81">
        <v>0</v>
      </c>
      <c r="AG715" s="87" t="s">
        <v>3875</v>
      </c>
      <c r="AH715" s="81" t="b">
        <v>0</v>
      </c>
      <c r="AI715" s="81" t="s">
        <v>4092</v>
      </c>
      <c r="AJ715" s="81"/>
      <c r="AK715" s="87" t="s">
        <v>3875</v>
      </c>
      <c r="AL715" s="81" t="b">
        <v>0</v>
      </c>
      <c r="AM715" s="81">
        <v>321</v>
      </c>
      <c r="AN715" s="87" t="s">
        <v>3520</v>
      </c>
      <c r="AO715" s="87" t="s">
        <v>4109</v>
      </c>
      <c r="AP715" s="81" t="b">
        <v>0</v>
      </c>
      <c r="AQ715" s="87" t="s">
        <v>3520</v>
      </c>
      <c r="AR715" s="81" t="s">
        <v>179</v>
      </c>
      <c r="AS715" s="81">
        <v>0</v>
      </c>
      <c r="AT715" s="81">
        <v>0</v>
      </c>
      <c r="AU715" s="81"/>
      <c r="AV715" s="81"/>
      <c r="AW715" s="81"/>
      <c r="AX715" s="81"/>
      <c r="AY715" s="81"/>
      <c r="AZ715" s="81"/>
      <c r="BA715" s="81"/>
      <c r="BB715" s="81"/>
    </row>
    <row r="716" spans="1:54" x14ac:dyDescent="0.35">
      <c r="A716" s="66" t="s">
        <v>616</v>
      </c>
      <c r="B716" s="66" t="s">
        <v>910</v>
      </c>
      <c r="C716" s="67"/>
      <c r="D716" s="68"/>
      <c r="E716" s="69"/>
      <c r="F716" s="70"/>
      <c r="G716" s="67"/>
      <c r="H716" s="71"/>
      <c r="I716" s="72"/>
      <c r="J716" s="72"/>
      <c r="K716" s="36"/>
      <c r="L716" s="79"/>
      <c r="M716" s="79"/>
      <c r="N716" s="74"/>
      <c r="O716" s="81" t="s">
        <v>1205</v>
      </c>
      <c r="P716" s="83">
        <v>44460.6953587963</v>
      </c>
      <c r="Q716" s="81" t="s">
        <v>1324</v>
      </c>
      <c r="R716" s="81"/>
      <c r="S716" s="81"/>
      <c r="T716" s="81"/>
      <c r="U716" s="85" t="str">
        <f>HYPERLINK("https://pbs.twimg.com/media/E_xVJy2VQAQerFe.jpg")</f>
        <v>https://pbs.twimg.com/media/E_xVJy2VQAQerFe.jpg</v>
      </c>
      <c r="V716" s="85" t="str">
        <f>HYPERLINK("https://pbs.twimg.com/media/E_xVJy2VQAQerFe.jpg")</f>
        <v>https://pbs.twimg.com/media/E_xVJy2VQAQerFe.jpg</v>
      </c>
      <c r="W716" s="83">
        <v>44460.6953587963</v>
      </c>
      <c r="X716" s="89">
        <v>44460</v>
      </c>
      <c r="Y716" s="87" t="s">
        <v>2222</v>
      </c>
      <c r="Z716" s="85" t="str">
        <f>HYPERLINK("https://twitter.com/zefry1974/status/1440355470384853006")</f>
        <v>https://twitter.com/zefry1974/status/1440355470384853006</v>
      </c>
      <c r="AA716" s="81"/>
      <c r="AB716" s="81"/>
      <c r="AC716" s="87" t="s">
        <v>3146</v>
      </c>
      <c r="AD716" s="81"/>
      <c r="AE716" s="81" t="b">
        <v>0</v>
      </c>
      <c r="AF716" s="81">
        <v>0</v>
      </c>
      <c r="AG716" s="87" t="s">
        <v>3875</v>
      </c>
      <c r="AH716" s="81" t="b">
        <v>0</v>
      </c>
      <c r="AI716" s="81" t="s">
        <v>4092</v>
      </c>
      <c r="AJ716" s="81"/>
      <c r="AK716" s="87" t="s">
        <v>3875</v>
      </c>
      <c r="AL716" s="81" t="b">
        <v>0</v>
      </c>
      <c r="AM716" s="81">
        <v>321</v>
      </c>
      <c r="AN716" s="87" t="s">
        <v>3520</v>
      </c>
      <c r="AO716" s="87" t="s">
        <v>4109</v>
      </c>
      <c r="AP716" s="81" t="b">
        <v>0</v>
      </c>
      <c r="AQ716" s="87" t="s">
        <v>3520</v>
      </c>
      <c r="AR716" s="81" t="s">
        <v>179</v>
      </c>
      <c r="AS716" s="81">
        <v>0</v>
      </c>
      <c r="AT716" s="81">
        <v>0</v>
      </c>
      <c r="AU716" s="81"/>
      <c r="AV716" s="81"/>
      <c r="AW716" s="81"/>
      <c r="AX716" s="81"/>
      <c r="AY716" s="81"/>
      <c r="AZ716" s="81"/>
      <c r="BA716" s="81"/>
      <c r="BB716" s="81"/>
    </row>
    <row r="717" spans="1:54" x14ac:dyDescent="0.35">
      <c r="A717" s="66" t="s">
        <v>617</v>
      </c>
      <c r="B717" s="66" t="s">
        <v>1055</v>
      </c>
      <c r="C717" s="67"/>
      <c r="D717" s="68"/>
      <c r="E717" s="69"/>
      <c r="F717" s="70"/>
      <c r="G717" s="67"/>
      <c r="H717" s="71"/>
      <c r="I717" s="72"/>
      <c r="J717" s="72"/>
      <c r="K717" s="36"/>
      <c r="L717" s="79"/>
      <c r="M717" s="79"/>
      <c r="N717" s="74"/>
      <c r="O717" s="81" t="s">
        <v>1207</v>
      </c>
      <c r="P717" s="83">
        <v>44460.705046296294</v>
      </c>
      <c r="Q717" s="81" t="s">
        <v>1324</v>
      </c>
      <c r="R717" s="81"/>
      <c r="S717" s="81"/>
      <c r="T717" s="81"/>
      <c r="U717" s="85" t="str">
        <f>HYPERLINK("https://pbs.twimg.com/media/E_xVJy2VQAQerFe.jpg")</f>
        <v>https://pbs.twimg.com/media/E_xVJy2VQAQerFe.jpg</v>
      </c>
      <c r="V717" s="85" t="str">
        <f>HYPERLINK("https://pbs.twimg.com/media/E_xVJy2VQAQerFe.jpg")</f>
        <v>https://pbs.twimg.com/media/E_xVJy2VQAQerFe.jpg</v>
      </c>
      <c r="W717" s="83">
        <v>44460.705046296294</v>
      </c>
      <c r="X717" s="89">
        <v>44460</v>
      </c>
      <c r="Y717" s="87" t="s">
        <v>2223</v>
      </c>
      <c r="Z717" s="85" t="str">
        <f>HYPERLINK("https://twitter.com/andianwar75/status/1440358983454248966")</f>
        <v>https://twitter.com/andianwar75/status/1440358983454248966</v>
      </c>
      <c r="AA717" s="81"/>
      <c r="AB717" s="81"/>
      <c r="AC717" s="87" t="s">
        <v>3147</v>
      </c>
      <c r="AD717" s="81"/>
      <c r="AE717" s="81" t="b">
        <v>0</v>
      </c>
      <c r="AF717" s="81">
        <v>0</v>
      </c>
      <c r="AG717" s="87" t="s">
        <v>3875</v>
      </c>
      <c r="AH717" s="81" t="b">
        <v>0</v>
      </c>
      <c r="AI717" s="81" t="s">
        <v>4092</v>
      </c>
      <c r="AJ717" s="81"/>
      <c r="AK717" s="87" t="s">
        <v>3875</v>
      </c>
      <c r="AL717" s="81" t="b">
        <v>0</v>
      </c>
      <c r="AM717" s="81">
        <v>321</v>
      </c>
      <c r="AN717" s="87" t="s">
        <v>3520</v>
      </c>
      <c r="AO717" s="87" t="s">
        <v>4109</v>
      </c>
      <c r="AP717" s="81" t="b">
        <v>0</v>
      </c>
      <c r="AQ717" s="87" t="s">
        <v>3520</v>
      </c>
      <c r="AR717" s="81" t="s">
        <v>179</v>
      </c>
      <c r="AS717" s="81">
        <v>0</v>
      </c>
      <c r="AT717" s="81">
        <v>0</v>
      </c>
      <c r="AU717" s="81"/>
      <c r="AV717" s="81"/>
      <c r="AW717" s="81"/>
      <c r="AX717" s="81"/>
      <c r="AY717" s="81"/>
      <c r="AZ717" s="81"/>
      <c r="BA717" s="81"/>
      <c r="BB717" s="81"/>
    </row>
    <row r="718" spans="1:54" x14ac:dyDescent="0.35">
      <c r="A718" s="66" t="s">
        <v>617</v>
      </c>
      <c r="B718" s="66" t="s">
        <v>910</v>
      </c>
      <c r="C718" s="67"/>
      <c r="D718" s="68"/>
      <c r="E718" s="69"/>
      <c r="F718" s="70"/>
      <c r="G718" s="67"/>
      <c r="H718" s="71"/>
      <c r="I718" s="72"/>
      <c r="J718" s="72"/>
      <c r="K718" s="36"/>
      <c r="L718" s="79"/>
      <c r="M718" s="79"/>
      <c r="N718" s="74"/>
      <c r="O718" s="81" t="s">
        <v>1205</v>
      </c>
      <c r="P718" s="83">
        <v>44460.705046296294</v>
      </c>
      <c r="Q718" s="81" t="s">
        <v>1324</v>
      </c>
      <c r="R718" s="81"/>
      <c r="S718" s="81"/>
      <c r="T718" s="81"/>
      <c r="U718" s="85" t="str">
        <f>HYPERLINK("https://pbs.twimg.com/media/E_xVJy2VQAQerFe.jpg")</f>
        <v>https://pbs.twimg.com/media/E_xVJy2VQAQerFe.jpg</v>
      </c>
      <c r="V718" s="85" t="str">
        <f>HYPERLINK("https://pbs.twimg.com/media/E_xVJy2VQAQerFe.jpg")</f>
        <v>https://pbs.twimg.com/media/E_xVJy2VQAQerFe.jpg</v>
      </c>
      <c r="W718" s="83">
        <v>44460.705046296294</v>
      </c>
      <c r="X718" s="89">
        <v>44460</v>
      </c>
      <c r="Y718" s="87" t="s">
        <v>2223</v>
      </c>
      <c r="Z718" s="85" t="str">
        <f>HYPERLINK("https://twitter.com/andianwar75/status/1440358983454248966")</f>
        <v>https://twitter.com/andianwar75/status/1440358983454248966</v>
      </c>
      <c r="AA718" s="81"/>
      <c r="AB718" s="81"/>
      <c r="AC718" s="87" t="s">
        <v>3147</v>
      </c>
      <c r="AD718" s="81"/>
      <c r="AE718" s="81" t="b">
        <v>0</v>
      </c>
      <c r="AF718" s="81">
        <v>0</v>
      </c>
      <c r="AG718" s="87" t="s">
        <v>3875</v>
      </c>
      <c r="AH718" s="81" t="b">
        <v>0</v>
      </c>
      <c r="AI718" s="81" t="s">
        <v>4092</v>
      </c>
      <c r="AJ718" s="81"/>
      <c r="AK718" s="87" t="s">
        <v>3875</v>
      </c>
      <c r="AL718" s="81" t="b">
        <v>0</v>
      </c>
      <c r="AM718" s="81">
        <v>321</v>
      </c>
      <c r="AN718" s="87" t="s">
        <v>3520</v>
      </c>
      <c r="AO718" s="87" t="s">
        <v>4109</v>
      </c>
      <c r="AP718" s="81" t="b">
        <v>0</v>
      </c>
      <c r="AQ718" s="87" t="s">
        <v>3520</v>
      </c>
      <c r="AR718" s="81" t="s">
        <v>179</v>
      </c>
      <c r="AS718" s="81">
        <v>0</v>
      </c>
      <c r="AT718" s="81">
        <v>0</v>
      </c>
      <c r="AU718" s="81"/>
      <c r="AV718" s="81"/>
      <c r="AW718" s="81"/>
      <c r="AX718" s="81"/>
      <c r="AY718" s="81"/>
      <c r="AZ718" s="81"/>
      <c r="BA718" s="81"/>
      <c r="BB718" s="81"/>
    </row>
    <row r="719" spans="1:54" x14ac:dyDescent="0.35">
      <c r="A719" s="66" t="s">
        <v>618</v>
      </c>
      <c r="B719" s="66" t="s">
        <v>1055</v>
      </c>
      <c r="C719" s="67"/>
      <c r="D719" s="68"/>
      <c r="E719" s="69"/>
      <c r="F719" s="70"/>
      <c r="G719" s="67"/>
      <c r="H719" s="71"/>
      <c r="I719" s="72"/>
      <c r="J719" s="72"/>
      <c r="K719" s="36"/>
      <c r="L719" s="79"/>
      <c r="M719" s="79"/>
      <c r="N719" s="74"/>
      <c r="O719" s="81" t="s">
        <v>1207</v>
      </c>
      <c r="P719" s="83">
        <v>44460.705266203702</v>
      </c>
      <c r="Q719" s="81" t="s">
        <v>1324</v>
      </c>
      <c r="R719" s="81"/>
      <c r="S719" s="81"/>
      <c r="T719" s="81"/>
      <c r="U719" s="85" t="str">
        <f>HYPERLINK("https://pbs.twimg.com/media/E_xVJy2VQAQerFe.jpg")</f>
        <v>https://pbs.twimg.com/media/E_xVJy2VQAQerFe.jpg</v>
      </c>
      <c r="V719" s="85" t="str">
        <f>HYPERLINK("https://pbs.twimg.com/media/E_xVJy2VQAQerFe.jpg")</f>
        <v>https://pbs.twimg.com/media/E_xVJy2VQAQerFe.jpg</v>
      </c>
      <c r="W719" s="83">
        <v>44460.705266203702</v>
      </c>
      <c r="X719" s="89">
        <v>44460</v>
      </c>
      <c r="Y719" s="87" t="s">
        <v>2224</v>
      </c>
      <c r="Z719" s="85" t="str">
        <f>HYPERLINK("https://twitter.com/katrnaaa14/status/1440359059937378311")</f>
        <v>https://twitter.com/katrnaaa14/status/1440359059937378311</v>
      </c>
      <c r="AA719" s="81"/>
      <c r="AB719" s="81"/>
      <c r="AC719" s="87" t="s">
        <v>3148</v>
      </c>
      <c r="AD719" s="81"/>
      <c r="AE719" s="81" t="b">
        <v>0</v>
      </c>
      <c r="AF719" s="81">
        <v>0</v>
      </c>
      <c r="AG719" s="87" t="s">
        <v>3875</v>
      </c>
      <c r="AH719" s="81" t="b">
        <v>0</v>
      </c>
      <c r="AI719" s="81" t="s">
        <v>4092</v>
      </c>
      <c r="AJ719" s="81"/>
      <c r="AK719" s="87" t="s">
        <v>3875</v>
      </c>
      <c r="AL719" s="81" t="b">
        <v>0</v>
      </c>
      <c r="AM719" s="81">
        <v>321</v>
      </c>
      <c r="AN719" s="87" t="s">
        <v>3520</v>
      </c>
      <c r="AO719" s="87" t="s">
        <v>4109</v>
      </c>
      <c r="AP719" s="81" t="b">
        <v>0</v>
      </c>
      <c r="AQ719" s="87" t="s">
        <v>3520</v>
      </c>
      <c r="AR719" s="81" t="s">
        <v>179</v>
      </c>
      <c r="AS719" s="81">
        <v>0</v>
      </c>
      <c r="AT719" s="81">
        <v>0</v>
      </c>
      <c r="AU719" s="81"/>
      <c r="AV719" s="81"/>
      <c r="AW719" s="81"/>
      <c r="AX719" s="81"/>
      <c r="AY719" s="81"/>
      <c r="AZ719" s="81"/>
      <c r="BA719" s="81"/>
      <c r="BB719" s="81"/>
    </row>
    <row r="720" spans="1:54" x14ac:dyDescent="0.35">
      <c r="A720" s="66" t="s">
        <v>618</v>
      </c>
      <c r="B720" s="66" t="s">
        <v>910</v>
      </c>
      <c r="C720" s="67"/>
      <c r="D720" s="68"/>
      <c r="E720" s="69"/>
      <c r="F720" s="70"/>
      <c r="G720" s="67"/>
      <c r="H720" s="71"/>
      <c r="I720" s="72"/>
      <c r="J720" s="72"/>
      <c r="K720" s="36"/>
      <c r="L720" s="79"/>
      <c r="M720" s="79"/>
      <c r="N720" s="74"/>
      <c r="O720" s="81" t="s">
        <v>1205</v>
      </c>
      <c r="P720" s="83">
        <v>44460.705266203702</v>
      </c>
      <c r="Q720" s="81" t="s">
        <v>1324</v>
      </c>
      <c r="R720" s="81"/>
      <c r="S720" s="81"/>
      <c r="T720" s="81"/>
      <c r="U720" s="85" t="str">
        <f>HYPERLINK("https://pbs.twimg.com/media/E_xVJy2VQAQerFe.jpg")</f>
        <v>https://pbs.twimg.com/media/E_xVJy2VQAQerFe.jpg</v>
      </c>
      <c r="V720" s="85" t="str">
        <f>HYPERLINK("https://pbs.twimg.com/media/E_xVJy2VQAQerFe.jpg")</f>
        <v>https://pbs.twimg.com/media/E_xVJy2VQAQerFe.jpg</v>
      </c>
      <c r="W720" s="83">
        <v>44460.705266203702</v>
      </c>
      <c r="X720" s="89">
        <v>44460</v>
      </c>
      <c r="Y720" s="87" t="s">
        <v>2224</v>
      </c>
      <c r="Z720" s="85" t="str">
        <f>HYPERLINK("https://twitter.com/katrnaaa14/status/1440359059937378311")</f>
        <v>https://twitter.com/katrnaaa14/status/1440359059937378311</v>
      </c>
      <c r="AA720" s="81"/>
      <c r="AB720" s="81"/>
      <c r="AC720" s="87" t="s">
        <v>3148</v>
      </c>
      <c r="AD720" s="81"/>
      <c r="AE720" s="81" t="b">
        <v>0</v>
      </c>
      <c r="AF720" s="81">
        <v>0</v>
      </c>
      <c r="AG720" s="87" t="s">
        <v>3875</v>
      </c>
      <c r="AH720" s="81" t="b">
        <v>0</v>
      </c>
      <c r="AI720" s="81" t="s">
        <v>4092</v>
      </c>
      <c r="AJ720" s="81"/>
      <c r="AK720" s="87" t="s">
        <v>3875</v>
      </c>
      <c r="AL720" s="81" t="b">
        <v>0</v>
      </c>
      <c r="AM720" s="81">
        <v>321</v>
      </c>
      <c r="AN720" s="87" t="s">
        <v>3520</v>
      </c>
      <c r="AO720" s="87" t="s">
        <v>4109</v>
      </c>
      <c r="AP720" s="81" t="b">
        <v>0</v>
      </c>
      <c r="AQ720" s="87" t="s">
        <v>3520</v>
      </c>
      <c r="AR720" s="81" t="s">
        <v>179</v>
      </c>
      <c r="AS720" s="81">
        <v>0</v>
      </c>
      <c r="AT720" s="81">
        <v>0</v>
      </c>
      <c r="AU720" s="81"/>
      <c r="AV720" s="81"/>
      <c r="AW720" s="81"/>
      <c r="AX720" s="81"/>
      <c r="AY720" s="81"/>
      <c r="AZ720" s="81"/>
      <c r="BA720" s="81"/>
      <c r="BB720" s="81"/>
    </row>
    <row r="721" spans="1:54" x14ac:dyDescent="0.35">
      <c r="A721" s="66" t="s">
        <v>619</v>
      </c>
      <c r="B721" s="66" t="s">
        <v>1055</v>
      </c>
      <c r="C721" s="67"/>
      <c r="D721" s="68"/>
      <c r="E721" s="69"/>
      <c r="F721" s="70"/>
      <c r="G721" s="67"/>
      <c r="H721" s="71"/>
      <c r="I721" s="72"/>
      <c r="J721" s="72"/>
      <c r="K721" s="36"/>
      <c r="L721" s="79"/>
      <c r="M721" s="79"/>
      <c r="N721" s="74"/>
      <c r="O721" s="81" t="s">
        <v>1207</v>
      </c>
      <c r="P721" s="83">
        <v>44460.707870370374</v>
      </c>
      <c r="Q721" s="81" t="s">
        <v>1324</v>
      </c>
      <c r="R721" s="81"/>
      <c r="S721" s="81"/>
      <c r="T721" s="81"/>
      <c r="U721" s="85" t="str">
        <f>HYPERLINK("https://pbs.twimg.com/media/E_xVJy2VQAQerFe.jpg")</f>
        <v>https://pbs.twimg.com/media/E_xVJy2VQAQerFe.jpg</v>
      </c>
      <c r="V721" s="85" t="str">
        <f>HYPERLINK("https://pbs.twimg.com/media/E_xVJy2VQAQerFe.jpg")</f>
        <v>https://pbs.twimg.com/media/E_xVJy2VQAQerFe.jpg</v>
      </c>
      <c r="W721" s="83">
        <v>44460.707870370374</v>
      </c>
      <c r="X721" s="89">
        <v>44460</v>
      </c>
      <c r="Y721" s="87" t="s">
        <v>2225</v>
      </c>
      <c r="Z721" s="85" t="str">
        <f>HYPERLINK("https://twitter.com/yswandi/status/1440360007233519616")</f>
        <v>https://twitter.com/yswandi/status/1440360007233519616</v>
      </c>
      <c r="AA721" s="81"/>
      <c r="AB721" s="81"/>
      <c r="AC721" s="87" t="s">
        <v>3149</v>
      </c>
      <c r="AD721" s="81"/>
      <c r="AE721" s="81" t="b">
        <v>0</v>
      </c>
      <c r="AF721" s="81">
        <v>0</v>
      </c>
      <c r="AG721" s="87" t="s">
        <v>3875</v>
      </c>
      <c r="AH721" s="81" t="b">
        <v>0</v>
      </c>
      <c r="AI721" s="81" t="s">
        <v>4092</v>
      </c>
      <c r="AJ721" s="81"/>
      <c r="AK721" s="87" t="s">
        <v>3875</v>
      </c>
      <c r="AL721" s="81" t="b">
        <v>0</v>
      </c>
      <c r="AM721" s="81">
        <v>321</v>
      </c>
      <c r="AN721" s="87" t="s">
        <v>3520</v>
      </c>
      <c r="AO721" s="87" t="s">
        <v>4109</v>
      </c>
      <c r="AP721" s="81" t="b">
        <v>0</v>
      </c>
      <c r="AQ721" s="87" t="s">
        <v>3520</v>
      </c>
      <c r="AR721" s="81" t="s">
        <v>179</v>
      </c>
      <c r="AS721" s="81">
        <v>0</v>
      </c>
      <c r="AT721" s="81">
        <v>0</v>
      </c>
      <c r="AU721" s="81"/>
      <c r="AV721" s="81"/>
      <c r="AW721" s="81"/>
      <c r="AX721" s="81"/>
      <c r="AY721" s="81"/>
      <c r="AZ721" s="81"/>
      <c r="BA721" s="81"/>
      <c r="BB721" s="81"/>
    </row>
    <row r="722" spans="1:54" x14ac:dyDescent="0.35">
      <c r="A722" s="66" t="s">
        <v>619</v>
      </c>
      <c r="B722" s="66" t="s">
        <v>910</v>
      </c>
      <c r="C722" s="67"/>
      <c r="D722" s="68"/>
      <c r="E722" s="69"/>
      <c r="F722" s="70"/>
      <c r="G722" s="67"/>
      <c r="H722" s="71"/>
      <c r="I722" s="72"/>
      <c r="J722" s="72"/>
      <c r="K722" s="36"/>
      <c r="L722" s="79"/>
      <c r="M722" s="79"/>
      <c r="N722" s="74"/>
      <c r="O722" s="81" t="s">
        <v>1205</v>
      </c>
      <c r="P722" s="83">
        <v>44460.707870370374</v>
      </c>
      <c r="Q722" s="81" t="s">
        <v>1324</v>
      </c>
      <c r="R722" s="81"/>
      <c r="S722" s="81"/>
      <c r="T722" s="81"/>
      <c r="U722" s="85" t="str">
        <f>HYPERLINK("https://pbs.twimg.com/media/E_xVJy2VQAQerFe.jpg")</f>
        <v>https://pbs.twimg.com/media/E_xVJy2VQAQerFe.jpg</v>
      </c>
      <c r="V722" s="85" t="str">
        <f>HYPERLINK("https://pbs.twimg.com/media/E_xVJy2VQAQerFe.jpg")</f>
        <v>https://pbs.twimg.com/media/E_xVJy2VQAQerFe.jpg</v>
      </c>
      <c r="W722" s="83">
        <v>44460.707870370374</v>
      </c>
      <c r="X722" s="89">
        <v>44460</v>
      </c>
      <c r="Y722" s="87" t="s">
        <v>2225</v>
      </c>
      <c r="Z722" s="85" t="str">
        <f>HYPERLINK("https://twitter.com/yswandi/status/1440360007233519616")</f>
        <v>https://twitter.com/yswandi/status/1440360007233519616</v>
      </c>
      <c r="AA722" s="81"/>
      <c r="AB722" s="81"/>
      <c r="AC722" s="87" t="s">
        <v>3149</v>
      </c>
      <c r="AD722" s="81"/>
      <c r="AE722" s="81" t="b">
        <v>0</v>
      </c>
      <c r="AF722" s="81">
        <v>0</v>
      </c>
      <c r="AG722" s="87" t="s">
        <v>3875</v>
      </c>
      <c r="AH722" s="81" t="b">
        <v>0</v>
      </c>
      <c r="AI722" s="81" t="s">
        <v>4092</v>
      </c>
      <c r="AJ722" s="81"/>
      <c r="AK722" s="87" t="s">
        <v>3875</v>
      </c>
      <c r="AL722" s="81" t="b">
        <v>0</v>
      </c>
      <c r="AM722" s="81">
        <v>321</v>
      </c>
      <c r="AN722" s="87" t="s">
        <v>3520</v>
      </c>
      <c r="AO722" s="87" t="s">
        <v>4109</v>
      </c>
      <c r="AP722" s="81" t="b">
        <v>0</v>
      </c>
      <c r="AQ722" s="87" t="s">
        <v>3520</v>
      </c>
      <c r="AR722" s="81" t="s">
        <v>179</v>
      </c>
      <c r="AS722" s="81">
        <v>0</v>
      </c>
      <c r="AT722" s="81">
        <v>0</v>
      </c>
      <c r="AU722" s="81"/>
      <c r="AV722" s="81"/>
      <c r="AW722" s="81"/>
      <c r="AX722" s="81"/>
      <c r="AY722" s="81"/>
      <c r="AZ722" s="81"/>
      <c r="BA722" s="81"/>
      <c r="BB722" s="81"/>
    </row>
    <row r="723" spans="1:54" x14ac:dyDescent="0.35">
      <c r="A723" s="66" t="s">
        <v>620</v>
      </c>
      <c r="B723" s="66" t="s">
        <v>620</v>
      </c>
      <c r="C723" s="67"/>
      <c r="D723" s="68"/>
      <c r="E723" s="69"/>
      <c r="F723" s="70"/>
      <c r="G723" s="67"/>
      <c r="H723" s="71"/>
      <c r="I723" s="72"/>
      <c r="J723" s="72"/>
      <c r="K723" s="36"/>
      <c r="L723" s="79"/>
      <c r="M723" s="79"/>
      <c r="N723" s="74"/>
      <c r="O723" s="81" t="s">
        <v>179</v>
      </c>
      <c r="P723" s="83">
        <v>44460.709756944445</v>
      </c>
      <c r="Q723" s="81" t="s">
        <v>1366</v>
      </c>
      <c r="R723" s="81"/>
      <c r="S723" s="81"/>
      <c r="T723" s="81"/>
      <c r="U723" s="81"/>
      <c r="V723" s="85" t="str">
        <f>HYPERLINK("https://pbs.twimg.com/profile_images/1441009226021736448/7DYyfPh-_normal.jpg")</f>
        <v>https://pbs.twimg.com/profile_images/1441009226021736448/7DYyfPh-_normal.jpg</v>
      </c>
      <c r="W723" s="83">
        <v>44460.709756944445</v>
      </c>
      <c r="X723" s="89">
        <v>44460</v>
      </c>
      <c r="Y723" s="87" t="s">
        <v>2226</v>
      </c>
      <c r="Z723" s="85" t="str">
        <f>HYPERLINK("https://twitter.com/karyndwiyanita/status/1440360688581447686")</f>
        <v>https://twitter.com/karyndwiyanita/status/1440360688581447686</v>
      </c>
      <c r="AA723" s="81"/>
      <c r="AB723" s="81"/>
      <c r="AC723" s="87" t="s">
        <v>3150</v>
      </c>
      <c r="AD723" s="81"/>
      <c r="AE723" s="81" t="b">
        <v>0</v>
      </c>
      <c r="AF723" s="81">
        <v>0</v>
      </c>
      <c r="AG723" s="87" t="s">
        <v>3875</v>
      </c>
      <c r="AH723" s="81" t="b">
        <v>0</v>
      </c>
      <c r="AI723" s="81" t="s">
        <v>4092</v>
      </c>
      <c r="AJ723" s="81"/>
      <c r="AK723" s="87" t="s">
        <v>3875</v>
      </c>
      <c r="AL723" s="81" t="b">
        <v>0</v>
      </c>
      <c r="AM723" s="81">
        <v>0</v>
      </c>
      <c r="AN723" s="87" t="s">
        <v>3875</v>
      </c>
      <c r="AO723" s="87" t="s">
        <v>4109</v>
      </c>
      <c r="AP723" s="81" t="b">
        <v>0</v>
      </c>
      <c r="AQ723" s="87" t="s">
        <v>3150</v>
      </c>
      <c r="AR723" s="81" t="s">
        <v>179</v>
      </c>
      <c r="AS723" s="81">
        <v>0</v>
      </c>
      <c r="AT723" s="81">
        <v>0</v>
      </c>
      <c r="AU723" s="81"/>
      <c r="AV723" s="81"/>
      <c r="AW723" s="81"/>
      <c r="AX723" s="81"/>
      <c r="AY723" s="81"/>
      <c r="AZ723" s="81"/>
      <c r="BA723" s="81"/>
      <c r="BB723" s="81"/>
    </row>
    <row r="724" spans="1:54" x14ac:dyDescent="0.35">
      <c r="A724" s="66" t="s">
        <v>621</v>
      </c>
      <c r="B724" s="66" t="s">
        <v>1055</v>
      </c>
      <c r="C724" s="67"/>
      <c r="D724" s="68"/>
      <c r="E724" s="69"/>
      <c r="F724" s="70"/>
      <c r="G724" s="67"/>
      <c r="H724" s="71"/>
      <c r="I724" s="72"/>
      <c r="J724" s="72"/>
      <c r="K724" s="36"/>
      <c r="L724" s="79"/>
      <c r="M724" s="79"/>
      <c r="N724" s="74"/>
      <c r="O724" s="81" t="s">
        <v>1207</v>
      </c>
      <c r="P724" s="83">
        <v>44460.723703703705</v>
      </c>
      <c r="Q724" s="81" t="s">
        <v>1324</v>
      </c>
      <c r="R724" s="81"/>
      <c r="S724" s="81"/>
      <c r="T724" s="81"/>
      <c r="U724" s="85" t="str">
        <f>HYPERLINK("https://pbs.twimg.com/media/E_xVJy2VQAQerFe.jpg")</f>
        <v>https://pbs.twimg.com/media/E_xVJy2VQAQerFe.jpg</v>
      </c>
      <c r="V724" s="85" t="str">
        <f>HYPERLINK("https://pbs.twimg.com/media/E_xVJy2VQAQerFe.jpg")</f>
        <v>https://pbs.twimg.com/media/E_xVJy2VQAQerFe.jpg</v>
      </c>
      <c r="W724" s="83">
        <v>44460.723703703705</v>
      </c>
      <c r="X724" s="89">
        <v>44460</v>
      </c>
      <c r="Y724" s="87" t="s">
        <v>2227</v>
      </c>
      <c r="Z724" s="85" t="str">
        <f>HYPERLINK("https://twitter.com/heru_pu2111/status/1440365741014880271")</f>
        <v>https://twitter.com/heru_pu2111/status/1440365741014880271</v>
      </c>
      <c r="AA724" s="81"/>
      <c r="AB724" s="81"/>
      <c r="AC724" s="87" t="s">
        <v>3151</v>
      </c>
      <c r="AD724" s="81"/>
      <c r="AE724" s="81" t="b">
        <v>0</v>
      </c>
      <c r="AF724" s="81">
        <v>0</v>
      </c>
      <c r="AG724" s="87" t="s">
        <v>3875</v>
      </c>
      <c r="AH724" s="81" t="b">
        <v>0</v>
      </c>
      <c r="AI724" s="81" t="s">
        <v>4092</v>
      </c>
      <c r="AJ724" s="81"/>
      <c r="AK724" s="87" t="s">
        <v>3875</v>
      </c>
      <c r="AL724" s="81" t="b">
        <v>0</v>
      </c>
      <c r="AM724" s="81">
        <v>321</v>
      </c>
      <c r="AN724" s="87" t="s">
        <v>3520</v>
      </c>
      <c r="AO724" s="87" t="s">
        <v>4110</v>
      </c>
      <c r="AP724" s="81" t="b">
        <v>0</v>
      </c>
      <c r="AQ724" s="87" t="s">
        <v>3520</v>
      </c>
      <c r="AR724" s="81" t="s">
        <v>179</v>
      </c>
      <c r="AS724" s="81">
        <v>0</v>
      </c>
      <c r="AT724" s="81">
        <v>0</v>
      </c>
      <c r="AU724" s="81"/>
      <c r="AV724" s="81"/>
      <c r="AW724" s="81"/>
      <c r="AX724" s="81"/>
      <c r="AY724" s="81"/>
      <c r="AZ724" s="81"/>
      <c r="BA724" s="81"/>
      <c r="BB724" s="81"/>
    </row>
    <row r="725" spans="1:54" x14ac:dyDescent="0.35">
      <c r="A725" s="66" t="s">
        <v>621</v>
      </c>
      <c r="B725" s="66" t="s">
        <v>910</v>
      </c>
      <c r="C725" s="67"/>
      <c r="D725" s="68"/>
      <c r="E725" s="69"/>
      <c r="F725" s="70"/>
      <c r="G725" s="67"/>
      <c r="H725" s="71"/>
      <c r="I725" s="72"/>
      <c r="J725" s="72"/>
      <c r="K725" s="36"/>
      <c r="L725" s="79"/>
      <c r="M725" s="79"/>
      <c r="N725" s="74"/>
      <c r="O725" s="81" t="s">
        <v>1205</v>
      </c>
      <c r="P725" s="83">
        <v>44460.723703703705</v>
      </c>
      <c r="Q725" s="81" t="s">
        <v>1324</v>
      </c>
      <c r="R725" s="81"/>
      <c r="S725" s="81"/>
      <c r="T725" s="81"/>
      <c r="U725" s="85" t="str">
        <f>HYPERLINK("https://pbs.twimg.com/media/E_xVJy2VQAQerFe.jpg")</f>
        <v>https://pbs.twimg.com/media/E_xVJy2VQAQerFe.jpg</v>
      </c>
      <c r="V725" s="85" t="str">
        <f>HYPERLINK("https://pbs.twimg.com/media/E_xVJy2VQAQerFe.jpg")</f>
        <v>https://pbs.twimg.com/media/E_xVJy2VQAQerFe.jpg</v>
      </c>
      <c r="W725" s="83">
        <v>44460.723703703705</v>
      </c>
      <c r="X725" s="89">
        <v>44460</v>
      </c>
      <c r="Y725" s="87" t="s">
        <v>2227</v>
      </c>
      <c r="Z725" s="85" t="str">
        <f>HYPERLINK("https://twitter.com/heru_pu2111/status/1440365741014880271")</f>
        <v>https://twitter.com/heru_pu2111/status/1440365741014880271</v>
      </c>
      <c r="AA725" s="81"/>
      <c r="AB725" s="81"/>
      <c r="AC725" s="87" t="s">
        <v>3151</v>
      </c>
      <c r="AD725" s="81"/>
      <c r="AE725" s="81" t="b">
        <v>0</v>
      </c>
      <c r="AF725" s="81">
        <v>0</v>
      </c>
      <c r="AG725" s="87" t="s">
        <v>3875</v>
      </c>
      <c r="AH725" s="81" t="b">
        <v>0</v>
      </c>
      <c r="AI725" s="81" t="s">
        <v>4092</v>
      </c>
      <c r="AJ725" s="81"/>
      <c r="AK725" s="87" t="s">
        <v>3875</v>
      </c>
      <c r="AL725" s="81" t="b">
        <v>0</v>
      </c>
      <c r="AM725" s="81">
        <v>321</v>
      </c>
      <c r="AN725" s="87" t="s">
        <v>3520</v>
      </c>
      <c r="AO725" s="87" t="s">
        <v>4110</v>
      </c>
      <c r="AP725" s="81" t="b">
        <v>0</v>
      </c>
      <c r="AQ725" s="87" t="s">
        <v>3520</v>
      </c>
      <c r="AR725" s="81" t="s">
        <v>179</v>
      </c>
      <c r="AS725" s="81">
        <v>0</v>
      </c>
      <c r="AT725" s="81">
        <v>0</v>
      </c>
      <c r="AU725" s="81"/>
      <c r="AV725" s="81"/>
      <c r="AW725" s="81"/>
      <c r="AX725" s="81"/>
      <c r="AY725" s="81"/>
      <c r="AZ725" s="81"/>
      <c r="BA725" s="81"/>
      <c r="BB725" s="81"/>
    </row>
    <row r="726" spans="1:54" x14ac:dyDescent="0.35">
      <c r="A726" s="66" t="s">
        <v>622</v>
      </c>
      <c r="B726" s="66" t="s">
        <v>1055</v>
      </c>
      <c r="C726" s="67"/>
      <c r="D726" s="68"/>
      <c r="E726" s="69"/>
      <c r="F726" s="70"/>
      <c r="G726" s="67"/>
      <c r="H726" s="71"/>
      <c r="I726" s="72"/>
      <c r="J726" s="72"/>
      <c r="K726" s="36"/>
      <c r="L726" s="79"/>
      <c r="M726" s="79"/>
      <c r="N726" s="74"/>
      <c r="O726" s="81" t="s">
        <v>1207</v>
      </c>
      <c r="P726" s="83">
        <v>44460.744814814818</v>
      </c>
      <c r="Q726" s="81" t="s">
        <v>1324</v>
      </c>
      <c r="R726" s="81"/>
      <c r="S726" s="81"/>
      <c r="T726" s="81"/>
      <c r="U726" s="85" t="str">
        <f>HYPERLINK("https://pbs.twimg.com/media/E_xVJy2VQAQerFe.jpg")</f>
        <v>https://pbs.twimg.com/media/E_xVJy2VQAQerFe.jpg</v>
      </c>
      <c r="V726" s="85" t="str">
        <f>HYPERLINK("https://pbs.twimg.com/media/E_xVJy2VQAQerFe.jpg")</f>
        <v>https://pbs.twimg.com/media/E_xVJy2VQAQerFe.jpg</v>
      </c>
      <c r="W726" s="83">
        <v>44460.744814814818</v>
      </c>
      <c r="X726" s="89">
        <v>44460</v>
      </c>
      <c r="Y726" s="87" t="s">
        <v>2228</v>
      </c>
      <c r="Z726" s="85" t="str">
        <f>HYPERLINK("https://twitter.com/soim_maskur/status/1440373393396695051")</f>
        <v>https://twitter.com/soim_maskur/status/1440373393396695051</v>
      </c>
      <c r="AA726" s="81"/>
      <c r="AB726" s="81"/>
      <c r="AC726" s="87" t="s">
        <v>3152</v>
      </c>
      <c r="AD726" s="81"/>
      <c r="AE726" s="81" t="b">
        <v>0</v>
      </c>
      <c r="AF726" s="81">
        <v>0</v>
      </c>
      <c r="AG726" s="87" t="s">
        <v>3875</v>
      </c>
      <c r="AH726" s="81" t="b">
        <v>0</v>
      </c>
      <c r="AI726" s="81" t="s">
        <v>4092</v>
      </c>
      <c r="AJ726" s="81"/>
      <c r="AK726" s="87" t="s">
        <v>3875</v>
      </c>
      <c r="AL726" s="81" t="b">
        <v>0</v>
      </c>
      <c r="AM726" s="81">
        <v>321</v>
      </c>
      <c r="AN726" s="87" t="s">
        <v>3520</v>
      </c>
      <c r="AO726" s="87" t="s">
        <v>4109</v>
      </c>
      <c r="AP726" s="81" t="b">
        <v>0</v>
      </c>
      <c r="AQ726" s="87" t="s">
        <v>3520</v>
      </c>
      <c r="AR726" s="81" t="s">
        <v>179</v>
      </c>
      <c r="AS726" s="81">
        <v>0</v>
      </c>
      <c r="AT726" s="81">
        <v>0</v>
      </c>
      <c r="AU726" s="81"/>
      <c r="AV726" s="81"/>
      <c r="AW726" s="81"/>
      <c r="AX726" s="81"/>
      <c r="AY726" s="81"/>
      <c r="AZ726" s="81"/>
      <c r="BA726" s="81"/>
      <c r="BB726" s="81"/>
    </row>
    <row r="727" spans="1:54" x14ac:dyDescent="0.35">
      <c r="A727" s="66" t="s">
        <v>622</v>
      </c>
      <c r="B727" s="66" t="s">
        <v>910</v>
      </c>
      <c r="C727" s="67"/>
      <c r="D727" s="68"/>
      <c r="E727" s="69"/>
      <c r="F727" s="70"/>
      <c r="G727" s="67"/>
      <c r="H727" s="71"/>
      <c r="I727" s="72"/>
      <c r="J727" s="72"/>
      <c r="K727" s="36"/>
      <c r="L727" s="79"/>
      <c r="M727" s="79"/>
      <c r="N727" s="74"/>
      <c r="O727" s="81" t="s">
        <v>1205</v>
      </c>
      <c r="P727" s="83">
        <v>44460.744814814818</v>
      </c>
      <c r="Q727" s="81" t="s">
        <v>1324</v>
      </c>
      <c r="R727" s="81"/>
      <c r="S727" s="81"/>
      <c r="T727" s="81"/>
      <c r="U727" s="85" t="str">
        <f>HYPERLINK("https://pbs.twimg.com/media/E_xVJy2VQAQerFe.jpg")</f>
        <v>https://pbs.twimg.com/media/E_xVJy2VQAQerFe.jpg</v>
      </c>
      <c r="V727" s="85" t="str">
        <f>HYPERLINK("https://pbs.twimg.com/media/E_xVJy2VQAQerFe.jpg")</f>
        <v>https://pbs.twimg.com/media/E_xVJy2VQAQerFe.jpg</v>
      </c>
      <c r="W727" s="83">
        <v>44460.744814814818</v>
      </c>
      <c r="X727" s="89">
        <v>44460</v>
      </c>
      <c r="Y727" s="87" t="s">
        <v>2228</v>
      </c>
      <c r="Z727" s="85" t="str">
        <f>HYPERLINK("https://twitter.com/soim_maskur/status/1440373393396695051")</f>
        <v>https://twitter.com/soim_maskur/status/1440373393396695051</v>
      </c>
      <c r="AA727" s="81"/>
      <c r="AB727" s="81"/>
      <c r="AC727" s="87" t="s">
        <v>3152</v>
      </c>
      <c r="AD727" s="81"/>
      <c r="AE727" s="81" t="b">
        <v>0</v>
      </c>
      <c r="AF727" s="81">
        <v>0</v>
      </c>
      <c r="AG727" s="87" t="s">
        <v>3875</v>
      </c>
      <c r="AH727" s="81" t="b">
        <v>0</v>
      </c>
      <c r="AI727" s="81" t="s">
        <v>4092</v>
      </c>
      <c r="AJ727" s="81"/>
      <c r="AK727" s="87" t="s">
        <v>3875</v>
      </c>
      <c r="AL727" s="81" t="b">
        <v>0</v>
      </c>
      <c r="AM727" s="81">
        <v>321</v>
      </c>
      <c r="AN727" s="87" t="s">
        <v>3520</v>
      </c>
      <c r="AO727" s="87" t="s">
        <v>4109</v>
      </c>
      <c r="AP727" s="81" t="b">
        <v>0</v>
      </c>
      <c r="AQ727" s="87" t="s">
        <v>3520</v>
      </c>
      <c r="AR727" s="81" t="s">
        <v>179</v>
      </c>
      <c r="AS727" s="81">
        <v>0</v>
      </c>
      <c r="AT727" s="81">
        <v>0</v>
      </c>
      <c r="AU727" s="81"/>
      <c r="AV727" s="81"/>
      <c r="AW727" s="81"/>
      <c r="AX727" s="81"/>
      <c r="AY727" s="81"/>
      <c r="AZ727" s="81"/>
      <c r="BA727" s="81"/>
      <c r="BB727" s="81"/>
    </row>
    <row r="728" spans="1:54" x14ac:dyDescent="0.35">
      <c r="A728" s="66" t="s">
        <v>623</v>
      </c>
      <c r="B728" s="66" t="s">
        <v>1055</v>
      </c>
      <c r="C728" s="67"/>
      <c r="D728" s="68"/>
      <c r="E728" s="69"/>
      <c r="F728" s="70"/>
      <c r="G728" s="67"/>
      <c r="H728" s="71"/>
      <c r="I728" s="72"/>
      <c r="J728" s="72"/>
      <c r="K728" s="36"/>
      <c r="L728" s="79"/>
      <c r="M728" s="79"/>
      <c r="N728" s="74"/>
      <c r="O728" s="81" t="s">
        <v>1207</v>
      </c>
      <c r="P728" s="83">
        <v>44460.7656712963</v>
      </c>
      <c r="Q728" s="81" t="s">
        <v>1324</v>
      </c>
      <c r="R728" s="81"/>
      <c r="S728" s="81"/>
      <c r="T728" s="81"/>
      <c r="U728" s="85" t="str">
        <f>HYPERLINK("https://pbs.twimg.com/media/E_xVJy2VQAQerFe.jpg")</f>
        <v>https://pbs.twimg.com/media/E_xVJy2VQAQerFe.jpg</v>
      </c>
      <c r="V728" s="85" t="str">
        <f>HYPERLINK("https://pbs.twimg.com/media/E_xVJy2VQAQerFe.jpg")</f>
        <v>https://pbs.twimg.com/media/E_xVJy2VQAQerFe.jpg</v>
      </c>
      <c r="W728" s="83">
        <v>44460.7656712963</v>
      </c>
      <c r="X728" s="89">
        <v>44460</v>
      </c>
      <c r="Y728" s="87" t="s">
        <v>2229</v>
      </c>
      <c r="Z728" s="85" t="str">
        <f>HYPERLINK("https://twitter.com/damendra78/status/1440380952803373061")</f>
        <v>https://twitter.com/damendra78/status/1440380952803373061</v>
      </c>
      <c r="AA728" s="81"/>
      <c r="AB728" s="81"/>
      <c r="AC728" s="87" t="s">
        <v>3153</v>
      </c>
      <c r="AD728" s="81"/>
      <c r="AE728" s="81" t="b">
        <v>0</v>
      </c>
      <c r="AF728" s="81">
        <v>0</v>
      </c>
      <c r="AG728" s="87" t="s">
        <v>3875</v>
      </c>
      <c r="AH728" s="81" t="b">
        <v>0</v>
      </c>
      <c r="AI728" s="81" t="s">
        <v>4092</v>
      </c>
      <c r="AJ728" s="81"/>
      <c r="AK728" s="87" t="s">
        <v>3875</v>
      </c>
      <c r="AL728" s="81" t="b">
        <v>0</v>
      </c>
      <c r="AM728" s="81">
        <v>321</v>
      </c>
      <c r="AN728" s="87" t="s">
        <v>3520</v>
      </c>
      <c r="AO728" s="87" t="s">
        <v>4109</v>
      </c>
      <c r="AP728" s="81" t="b">
        <v>0</v>
      </c>
      <c r="AQ728" s="87" t="s">
        <v>3520</v>
      </c>
      <c r="AR728" s="81" t="s">
        <v>179</v>
      </c>
      <c r="AS728" s="81">
        <v>0</v>
      </c>
      <c r="AT728" s="81">
        <v>0</v>
      </c>
      <c r="AU728" s="81"/>
      <c r="AV728" s="81"/>
      <c r="AW728" s="81"/>
      <c r="AX728" s="81"/>
      <c r="AY728" s="81"/>
      <c r="AZ728" s="81"/>
      <c r="BA728" s="81"/>
      <c r="BB728" s="81"/>
    </row>
    <row r="729" spans="1:54" x14ac:dyDescent="0.35">
      <c r="A729" s="66" t="s">
        <v>623</v>
      </c>
      <c r="B729" s="66" t="s">
        <v>910</v>
      </c>
      <c r="C729" s="67"/>
      <c r="D729" s="68"/>
      <c r="E729" s="69"/>
      <c r="F729" s="70"/>
      <c r="G729" s="67"/>
      <c r="H729" s="71"/>
      <c r="I729" s="72"/>
      <c r="J729" s="72"/>
      <c r="K729" s="36"/>
      <c r="L729" s="79"/>
      <c r="M729" s="79"/>
      <c r="N729" s="74"/>
      <c r="O729" s="81" t="s">
        <v>1205</v>
      </c>
      <c r="P729" s="83">
        <v>44460.7656712963</v>
      </c>
      <c r="Q729" s="81" t="s">
        <v>1324</v>
      </c>
      <c r="R729" s="81"/>
      <c r="S729" s="81"/>
      <c r="T729" s="81"/>
      <c r="U729" s="85" t="str">
        <f>HYPERLINK("https://pbs.twimg.com/media/E_xVJy2VQAQerFe.jpg")</f>
        <v>https://pbs.twimg.com/media/E_xVJy2VQAQerFe.jpg</v>
      </c>
      <c r="V729" s="85" t="str">
        <f>HYPERLINK("https://pbs.twimg.com/media/E_xVJy2VQAQerFe.jpg")</f>
        <v>https://pbs.twimg.com/media/E_xVJy2VQAQerFe.jpg</v>
      </c>
      <c r="W729" s="83">
        <v>44460.7656712963</v>
      </c>
      <c r="X729" s="89">
        <v>44460</v>
      </c>
      <c r="Y729" s="87" t="s">
        <v>2229</v>
      </c>
      <c r="Z729" s="85" t="str">
        <f>HYPERLINK("https://twitter.com/damendra78/status/1440380952803373061")</f>
        <v>https://twitter.com/damendra78/status/1440380952803373061</v>
      </c>
      <c r="AA729" s="81"/>
      <c r="AB729" s="81"/>
      <c r="AC729" s="87" t="s">
        <v>3153</v>
      </c>
      <c r="AD729" s="81"/>
      <c r="AE729" s="81" t="b">
        <v>0</v>
      </c>
      <c r="AF729" s="81">
        <v>0</v>
      </c>
      <c r="AG729" s="87" t="s">
        <v>3875</v>
      </c>
      <c r="AH729" s="81" t="b">
        <v>0</v>
      </c>
      <c r="AI729" s="81" t="s">
        <v>4092</v>
      </c>
      <c r="AJ729" s="81"/>
      <c r="AK729" s="87" t="s">
        <v>3875</v>
      </c>
      <c r="AL729" s="81" t="b">
        <v>0</v>
      </c>
      <c r="AM729" s="81">
        <v>321</v>
      </c>
      <c r="AN729" s="87" t="s">
        <v>3520</v>
      </c>
      <c r="AO729" s="87" t="s">
        <v>4109</v>
      </c>
      <c r="AP729" s="81" t="b">
        <v>0</v>
      </c>
      <c r="AQ729" s="87" t="s">
        <v>3520</v>
      </c>
      <c r="AR729" s="81" t="s">
        <v>179</v>
      </c>
      <c r="AS729" s="81">
        <v>0</v>
      </c>
      <c r="AT729" s="81">
        <v>0</v>
      </c>
      <c r="AU729" s="81"/>
      <c r="AV729" s="81"/>
      <c r="AW729" s="81"/>
      <c r="AX729" s="81"/>
      <c r="AY729" s="81"/>
      <c r="AZ729" s="81"/>
      <c r="BA729" s="81"/>
      <c r="BB729" s="81"/>
    </row>
    <row r="730" spans="1:54" x14ac:dyDescent="0.35">
      <c r="A730" s="66" t="s">
        <v>624</v>
      </c>
      <c r="B730" s="66" t="s">
        <v>1055</v>
      </c>
      <c r="C730" s="67"/>
      <c r="D730" s="68"/>
      <c r="E730" s="69"/>
      <c r="F730" s="70"/>
      <c r="G730" s="67"/>
      <c r="H730" s="71"/>
      <c r="I730" s="72"/>
      <c r="J730" s="72"/>
      <c r="K730" s="36"/>
      <c r="L730" s="79"/>
      <c r="M730" s="79"/>
      <c r="N730" s="74"/>
      <c r="O730" s="81" t="s">
        <v>1207</v>
      </c>
      <c r="P730" s="83">
        <v>44460.767777777779</v>
      </c>
      <c r="Q730" s="81" t="s">
        <v>1324</v>
      </c>
      <c r="R730" s="81"/>
      <c r="S730" s="81"/>
      <c r="T730" s="81"/>
      <c r="U730" s="85" t="str">
        <f>HYPERLINK("https://pbs.twimg.com/media/E_xVJy2VQAQerFe.jpg")</f>
        <v>https://pbs.twimg.com/media/E_xVJy2VQAQerFe.jpg</v>
      </c>
      <c r="V730" s="85" t="str">
        <f>HYPERLINK("https://pbs.twimg.com/media/E_xVJy2VQAQerFe.jpg")</f>
        <v>https://pbs.twimg.com/media/E_xVJy2VQAQerFe.jpg</v>
      </c>
      <c r="W730" s="83">
        <v>44460.767777777779</v>
      </c>
      <c r="X730" s="89">
        <v>44460</v>
      </c>
      <c r="Y730" s="87" t="s">
        <v>2230</v>
      </c>
      <c r="Z730" s="85" t="str">
        <f>HYPERLINK("https://twitter.com/its_jakobus/status/1440381715029970960")</f>
        <v>https://twitter.com/its_jakobus/status/1440381715029970960</v>
      </c>
      <c r="AA730" s="81"/>
      <c r="AB730" s="81"/>
      <c r="AC730" s="87" t="s">
        <v>3154</v>
      </c>
      <c r="AD730" s="81"/>
      <c r="AE730" s="81" t="b">
        <v>0</v>
      </c>
      <c r="AF730" s="81">
        <v>0</v>
      </c>
      <c r="AG730" s="87" t="s">
        <v>3875</v>
      </c>
      <c r="AH730" s="81" t="b">
        <v>0</v>
      </c>
      <c r="AI730" s="81" t="s">
        <v>4092</v>
      </c>
      <c r="AJ730" s="81"/>
      <c r="AK730" s="87" t="s">
        <v>3875</v>
      </c>
      <c r="AL730" s="81" t="b">
        <v>0</v>
      </c>
      <c r="AM730" s="81">
        <v>321</v>
      </c>
      <c r="AN730" s="87" t="s">
        <v>3520</v>
      </c>
      <c r="AO730" s="87" t="s">
        <v>4109</v>
      </c>
      <c r="AP730" s="81" t="b">
        <v>0</v>
      </c>
      <c r="AQ730" s="87" t="s">
        <v>3520</v>
      </c>
      <c r="AR730" s="81" t="s">
        <v>179</v>
      </c>
      <c r="AS730" s="81">
        <v>0</v>
      </c>
      <c r="AT730" s="81">
        <v>0</v>
      </c>
      <c r="AU730" s="81"/>
      <c r="AV730" s="81"/>
      <c r="AW730" s="81"/>
      <c r="AX730" s="81"/>
      <c r="AY730" s="81"/>
      <c r="AZ730" s="81"/>
      <c r="BA730" s="81"/>
      <c r="BB730" s="81"/>
    </row>
    <row r="731" spans="1:54" x14ac:dyDescent="0.35">
      <c r="A731" s="66" t="s">
        <v>624</v>
      </c>
      <c r="B731" s="66" t="s">
        <v>910</v>
      </c>
      <c r="C731" s="67"/>
      <c r="D731" s="68"/>
      <c r="E731" s="69"/>
      <c r="F731" s="70"/>
      <c r="G731" s="67"/>
      <c r="H731" s="71"/>
      <c r="I731" s="72"/>
      <c r="J731" s="72"/>
      <c r="K731" s="36"/>
      <c r="L731" s="79"/>
      <c r="M731" s="79"/>
      <c r="N731" s="74"/>
      <c r="O731" s="81" t="s">
        <v>1205</v>
      </c>
      <c r="P731" s="83">
        <v>44460.767777777779</v>
      </c>
      <c r="Q731" s="81" t="s">
        <v>1324</v>
      </c>
      <c r="R731" s="81"/>
      <c r="S731" s="81"/>
      <c r="T731" s="81"/>
      <c r="U731" s="85" t="str">
        <f>HYPERLINK("https://pbs.twimg.com/media/E_xVJy2VQAQerFe.jpg")</f>
        <v>https://pbs.twimg.com/media/E_xVJy2VQAQerFe.jpg</v>
      </c>
      <c r="V731" s="85" t="str">
        <f>HYPERLINK("https://pbs.twimg.com/media/E_xVJy2VQAQerFe.jpg")</f>
        <v>https://pbs.twimg.com/media/E_xVJy2VQAQerFe.jpg</v>
      </c>
      <c r="W731" s="83">
        <v>44460.767777777779</v>
      </c>
      <c r="X731" s="89">
        <v>44460</v>
      </c>
      <c r="Y731" s="87" t="s">
        <v>2230</v>
      </c>
      <c r="Z731" s="85" t="str">
        <f>HYPERLINK("https://twitter.com/its_jakobus/status/1440381715029970960")</f>
        <v>https://twitter.com/its_jakobus/status/1440381715029970960</v>
      </c>
      <c r="AA731" s="81"/>
      <c r="AB731" s="81"/>
      <c r="AC731" s="87" t="s">
        <v>3154</v>
      </c>
      <c r="AD731" s="81"/>
      <c r="AE731" s="81" t="b">
        <v>0</v>
      </c>
      <c r="AF731" s="81">
        <v>0</v>
      </c>
      <c r="AG731" s="87" t="s">
        <v>3875</v>
      </c>
      <c r="AH731" s="81" t="b">
        <v>0</v>
      </c>
      <c r="AI731" s="81" t="s">
        <v>4092</v>
      </c>
      <c r="AJ731" s="81"/>
      <c r="AK731" s="87" t="s">
        <v>3875</v>
      </c>
      <c r="AL731" s="81" t="b">
        <v>0</v>
      </c>
      <c r="AM731" s="81">
        <v>321</v>
      </c>
      <c r="AN731" s="87" t="s">
        <v>3520</v>
      </c>
      <c r="AO731" s="87" t="s">
        <v>4109</v>
      </c>
      <c r="AP731" s="81" t="b">
        <v>0</v>
      </c>
      <c r="AQ731" s="87" t="s">
        <v>3520</v>
      </c>
      <c r="AR731" s="81" t="s">
        <v>179</v>
      </c>
      <c r="AS731" s="81">
        <v>0</v>
      </c>
      <c r="AT731" s="81">
        <v>0</v>
      </c>
      <c r="AU731" s="81"/>
      <c r="AV731" s="81"/>
      <c r="AW731" s="81"/>
      <c r="AX731" s="81"/>
      <c r="AY731" s="81"/>
      <c r="AZ731" s="81"/>
      <c r="BA731" s="81"/>
      <c r="BB731" s="81"/>
    </row>
    <row r="732" spans="1:54" x14ac:dyDescent="0.35">
      <c r="A732" s="66" t="s">
        <v>625</v>
      </c>
      <c r="B732" s="66" t="s">
        <v>1055</v>
      </c>
      <c r="C732" s="67"/>
      <c r="D732" s="68"/>
      <c r="E732" s="69"/>
      <c r="F732" s="70"/>
      <c r="G732" s="67"/>
      <c r="H732" s="71"/>
      <c r="I732" s="72"/>
      <c r="J732" s="72"/>
      <c r="K732" s="36"/>
      <c r="L732" s="79"/>
      <c r="M732" s="79"/>
      <c r="N732" s="74"/>
      <c r="O732" s="81" t="s">
        <v>1207</v>
      </c>
      <c r="P732" s="83">
        <v>44460.783391203702</v>
      </c>
      <c r="Q732" s="81" t="s">
        <v>1324</v>
      </c>
      <c r="R732" s="81"/>
      <c r="S732" s="81"/>
      <c r="T732" s="81"/>
      <c r="U732" s="85" t="str">
        <f>HYPERLINK("https://pbs.twimg.com/media/E_xVJy2VQAQerFe.jpg")</f>
        <v>https://pbs.twimg.com/media/E_xVJy2VQAQerFe.jpg</v>
      </c>
      <c r="V732" s="85" t="str">
        <f>HYPERLINK("https://pbs.twimg.com/media/E_xVJy2VQAQerFe.jpg")</f>
        <v>https://pbs.twimg.com/media/E_xVJy2VQAQerFe.jpg</v>
      </c>
      <c r="W732" s="83">
        <v>44460.783391203702</v>
      </c>
      <c r="X732" s="89">
        <v>44460</v>
      </c>
      <c r="Y732" s="87" t="s">
        <v>2231</v>
      </c>
      <c r="Z732" s="85" t="str">
        <f>HYPERLINK("https://twitter.com/effhariadi/status/1440387373754306561")</f>
        <v>https://twitter.com/effhariadi/status/1440387373754306561</v>
      </c>
      <c r="AA732" s="81"/>
      <c r="AB732" s="81"/>
      <c r="AC732" s="87" t="s">
        <v>3155</v>
      </c>
      <c r="AD732" s="81"/>
      <c r="AE732" s="81" t="b">
        <v>0</v>
      </c>
      <c r="AF732" s="81">
        <v>0</v>
      </c>
      <c r="AG732" s="87" t="s">
        <v>3875</v>
      </c>
      <c r="AH732" s="81" t="b">
        <v>0</v>
      </c>
      <c r="AI732" s="81" t="s">
        <v>4092</v>
      </c>
      <c r="AJ732" s="81"/>
      <c r="AK732" s="87" t="s">
        <v>3875</v>
      </c>
      <c r="AL732" s="81" t="b">
        <v>0</v>
      </c>
      <c r="AM732" s="81">
        <v>321</v>
      </c>
      <c r="AN732" s="87" t="s">
        <v>3520</v>
      </c>
      <c r="AO732" s="87" t="s">
        <v>4111</v>
      </c>
      <c r="AP732" s="81" t="b">
        <v>0</v>
      </c>
      <c r="AQ732" s="87" t="s">
        <v>3520</v>
      </c>
      <c r="AR732" s="81" t="s">
        <v>179</v>
      </c>
      <c r="AS732" s="81">
        <v>0</v>
      </c>
      <c r="AT732" s="81">
        <v>0</v>
      </c>
      <c r="AU732" s="81"/>
      <c r="AV732" s="81"/>
      <c r="AW732" s="81"/>
      <c r="AX732" s="81"/>
      <c r="AY732" s="81"/>
      <c r="AZ732" s="81"/>
      <c r="BA732" s="81"/>
      <c r="BB732" s="81"/>
    </row>
    <row r="733" spans="1:54" x14ac:dyDescent="0.35">
      <c r="A733" s="66" t="s">
        <v>625</v>
      </c>
      <c r="B733" s="66" t="s">
        <v>910</v>
      </c>
      <c r="C733" s="67"/>
      <c r="D733" s="68"/>
      <c r="E733" s="69"/>
      <c r="F733" s="70"/>
      <c r="G733" s="67"/>
      <c r="H733" s="71"/>
      <c r="I733" s="72"/>
      <c r="J733" s="72"/>
      <c r="K733" s="36"/>
      <c r="L733" s="79"/>
      <c r="M733" s="79"/>
      <c r="N733" s="74"/>
      <c r="O733" s="81" t="s">
        <v>1205</v>
      </c>
      <c r="P733" s="83">
        <v>44460.783391203702</v>
      </c>
      <c r="Q733" s="81" t="s">
        <v>1324</v>
      </c>
      <c r="R733" s="81"/>
      <c r="S733" s="81"/>
      <c r="T733" s="81"/>
      <c r="U733" s="85" t="str">
        <f>HYPERLINK("https://pbs.twimg.com/media/E_xVJy2VQAQerFe.jpg")</f>
        <v>https://pbs.twimg.com/media/E_xVJy2VQAQerFe.jpg</v>
      </c>
      <c r="V733" s="85" t="str">
        <f>HYPERLINK("https://pbs.twimg.com/media/E_xVJy2VQAQerFe.jpg")</f>
        <v>https://pbs.twimg.com/media/E_xVJy2VQAQerFe.jpg</v>
      </c>
      <c r="W733" s="83">
        <v>44460.783391203702</v>
      </c>
      <c r="X733" s="89">
        <v>44460</v>
      </c>
      <c r="Y733" s="87" t="s">
        <v>2231</v>
      </c>
      <c r="Z733" s="85" t="str">
        <f>HYPERLINK("https://twitter.com/effhariadi/status/1440387373754306561")</f>
        <v>https://twitter.com/effhariadi/status/1440387373754306561</v>
      </c>
      <c r="AA733" s="81"/>
      <c r="AB733" s="81"/>
      <c r="AC733" s="87" t="s">
        <v>3155</v>
      </c>
      <c r="AD733" s="81"/>
      <c r="AE733" s="81" t="b">
        <v>0</v>
      </c>
      <c r="AF733" s="81">
        <v>0</v>
      </c>
      <c r="AG733" s="87" t="s">
        <v>3875</v>
      </c>
      <c r="AH733" s="81" t="b">
        <v>0</v>
      </c>
      <c r="AI733" s="81" t="s">
        <v>4092</v>
      </c>
      <c r="AJ733" s="81"/>
      <c r="AK733" s="87" t="s">
        <v>3875</v>
      </c>
      <c r="AL733" s="81" t="b">
        <v>0</v>
      </c>
      <c r="AM733" s="81">
        <v>321</v>
      </c>
      <c r="AN733" s="87" t="s">
        <v>3520</v>
      </c>
      <c r="AO733" s="87" t="s">
        <v>4111</v>
      </c>
      <c r="AP733" s="81" t="b">
        <v>0</v>
      </c>
      <c r="AQ733" s="87" t="s">
        <v>3520</v>
      </c>
      <c r="AR733" s="81" t="s">
        <v>179</v>
      </c>
      <c r="AS733" s="81">
        <v>0</v>
      </c>
      <c r="AT733" s="81">
        <v>0</v>
      </c>
      <c r="AU733" s="81"/>
      <c r="AV733" s="81"/>
      <c r="AW733" s="81"/>
      <c r="AX733" s="81"/>
      <c r="AY733" s="81"/>
      <c r="AZ733" s="81"/>
      <c r="BA733" s="81"/>
      <c r="BB733" s="81"/>
    </row>
    <row r="734" spans="1:54" x14ac:dyDescent="0.35">
      <c r="A734" s="66" t="s">
        <v>626</v>
      </c>
      <c r="B734" s="66" t="s">
        <v>1073</v>
      </c>
      <c r="C734" s="67"/>
      <c r="D734" s="68"/>
      <c r="E734" s="69"/>
      <c r="F734" s="70"/>
      <c r="G734" s="67"/>
      <c r="H734" s="71"/>
      <c r="I734" s="72"/>
      <c r="J734" s="72"/>
      <c r="K734" s="36"/>
      <c r="L734" s="79"/>
      <c r="M734" s="79"/>
      <c r="N734" s="74"/>
      <c r="O734" s="81" t="s">
        <v>1208</v>
      </c>
      <c r="P734" s="83">
        <v>44460.785243055558</v>
      </c>
      <c r="Q734" s="81" t="s">
        <v>1367</v>
      </c>
      <c r="R734" s="81"/>
      <c r="S734" s="81"/>
      <c r="T734" s="81"/>
      <c r="U734" s="81"/>
      <c r="V734" s="85" t="str">
        <f>HYPERLINK("https://pbs.twimg.com/profile_images/1431930510331179015/ZCb4f4hb_normal.jpg")</f>
        <v>https://pbs.twimg.com/profile_images/1431930510331179015/ZCb4f4hb_normal.jpg</v>
      </c>
      <c r="W734" s="83">
        <v>44460.785243055558</v>
      </c>
      <c r="X734" s="89">
        <v>44460</v>
      </c>
      <c r="Y734" s="87" t="s">
        <v>2232</v>
      </c>
      <c r="Z734" s="85" t="str">
        <f>HYPERLINK("https://twitter.com/julyas43/status/1440388043395846146")</f>
        <v>https://twitter.com/julyas43/status/1440388043395846146</v>
      </c>
      <c r="AA734" s="81"/>
      <c r="AB734" s="81"/>
      <c r="AC734" s="87" t="s">
        <v>3156</v>
      </c>
      <c r="AD734" s="87" t="s">
        <v>3727</v>
      </c>
      <c r="AE734" s="81" t="b">
        <v>0</v>
      </c>
      <c r="AF734" s="81">
        <v>0</v>
      </c>
      <c r="AG734" s="87" t="s">
        <v>3949</v>
      </c>
      <c r="AH734" s="81" t="b">
        <v>0</v>
      </c>
      <c r="AI734" s="81" t="s">
        <v>4092</v>
      </c>
      <c r="AJ734" s="81"/>
      <c r="AK734" s="87" t="s">
        <v>3875</v>
      </c>
      <c r="AL734" s="81" t="b">
        <v>0</v>
      </c>
      <c r="AM734" s="81">
        <v>0</v>
      </c>
      <c r="AN734" s="87" t="s">
        <v>3875</v>
      </c>
      <c r="AO734" s="87" t="s">
        <v>4109</v>
      </c>
      <c r="AP734" s="81" t="b">
        <v>0</v>
      </c>
      <c r="AQ734" s="87" t="s">
        <v>3727</v>
      </c>
      <c r="AR734" s="81" t="s">
        <v>179</v>
      </c>
      <c r="AS734" s="81">
        <v>0</v>
      </c>
      <c r="AT734" s="81">
        <v>0</v>
      </c>
      <c r="AU734" s="81"/>
      <c r="AV734" s="81"/>
      <c r="AW734" s="81"/>
      <c r="AX734" s="81"/>
      <c r="AY734" s="81"/>
      <c r="AZ734" s="81"/>
      <c r="BA734" s="81"/>
      <c r="BB734" s="81"/>
    </row>
    <row r="735" spans="1:54" x14ac:dyDescent="0.35">
      <c r="A735" s="66" t="s">
        <v>627</v>
      </c>
      <c r="B735" s="66" t="s">
        <v>627</v>
      </c>
      <c r="C735" s="67"/>
      <c r="D735" s="68"/>
      <c r="E735" s="69"/>
      <c r="F735" s="70"/>
      <c r="G735" s="67"/>
      <c r="H735" s="71"/>
      <c r="I735" s="72"/>
      <c r="J735" s="72"/>
      <c r="K735" s="36"/>
      <c r="L735" s="79"/>
      <c r="M735" s="79"/>
      <c r="N735" s="74"/>
      <c r="O735" s="81" t="s">
        <v>179</v>
      </c>
      <c r="P735" s="83">
        <v>44460.540173611109</v>
      </c>
      <c r="Q735" s="81" t="s">
        <v>1352</v>
      </c>
      <c r="R735" s="81"/>
      <c r="S735" s="81"/>
      <c r="T735" s="81"/>
      <c r="U735" s="85" t="str">
        <f>HYPERLINK("https://pbs.twimg.com/ext_tw_video_thumb/1440299049509216256/pu/img/cT_MZxt4m6rj8kZ2.jpg")</f>
        <v>https://pbs.twimg.com/ext_tw_video_thumb/1440299049509216256/pu/img/cT_MZxt4m6rj8kZ2.jpg</v>
      </c>
      <c r="V735" s="85" t="str">
        <f>HYPERLINK("https://pbs.twimg.com/ext_tw_video_thumb/1440299049509216256/pu/img/cT_MZxt4m6rj8kZ2.jpg")</f>
        <v>https://pbs.twimg.com/ext_tw_video_thumb/1440299049509216256/pu/img/cT_MZxt4m6rj8kZ2.jpg</v>
      </c>
      <c r="W735" s="83">
        <v>44460.540173611109</v>
      </c>
      <c r="X735" s="89">
        <v>44460</v>
      </c>
      <c r="Y735" s="87" t="s">
        <v>2233</v>
      </c>
      <c r="Z735" s="85" t="str">
        <f>HYPERLINK("https://twitter.com/yaniarsim/status/1440299233551142917")</f>
        <v>https://twitter.com/yaniarsim/status/1440299233551142917</v>
      </c>
      <c r="AA735" s="81"/>
      <c r="AB735" s="81"/>
      <c r="AC735" s="87" t="s">
        <v>3157</v>
      </c>
      <c r="AD735" s="87" t="s">
        <v>3728</v>
      </c>
      <c r="AE735" s="81" t="b">
        <v>0</v>
      </c>
      <c r="AF735" s="81">
        <v>8</v>
      </c>
      <c r="AG735" s="87" t="s">
        <v>3950</v>
      </c>
      <c r="AH735" s="81" t="b">
        <v>0</v>
      </c>
      <c r="AI735" s="81" t="s">
        <v>4092</v>
      </c>
      <c r="AJ735" s="81"/>
      <c r="AK735" s="87" t="s">
        <v>3875</v>
      </c>
      <c r="AL735" s="81" t="b">
        <v>0</v>
      </c>
      <c r="AM735" s="81">
        <v>9</v>
      </c>
      <c r="AN735" s="87" t="s">
        <v>3875</v>
      </c>
      <c r="AO735" s="87" t="s">
        <v>4109</v>
      </c>
      <c r="AP735" s="81" t="b">
        <v>0</v>
      </c>
      <c r="AQ735" s="87" t="s">
        <v>3728</v>
      </c>
      <c r="AR735" s="81" t="s">
        <v>179</v>
      </c>
      <c r="AS735" s="81">
        <v>0</v>
      </c>
      <c r="AT735" s="81">
        <v>0</v>
      </c>
      <c r="AU735" s="81"/>
      <c r="AV735" s="81"/>
      <c r="AW735" s="81"/>
      <c r="AX735" s="81"/>
      <c r="AY735" s="81"/>
      <c r="AZ735" s="81"/>
      <c r="BA735" s="81"/>
      <c r="BB735" s="81"/>
    </row>
    <row r="736" spans="1:54" x14ac:dyDescent="0.35">
      <c r="A736" s="66" t="s">
        <v>628</v>
      </c>
      <c r="B736" s="66" t="s">
        <v>627</v>
      </c>
      <c r="C736" s="67"/>
      <c r="D736" s="68"/>
      <c r="E736" s="69"/>
      <c r="F736" s="70"/>
      <c r="G736" s="67"/>
      <c r="H736" s="71"/>
      <c r="I736" s="72"/>
      <c r="J736" s="72"/>
      <c r="K736" s="36"/>
      <c r="L736" s="79"/>
      <c r="M736" s="79"/>
      <c r="N736" s="74"/>
      <c r="O736" s="81" t="s">
        <v>1205</v>
      </c>
      <c r="P736" s="83">
        <v>44460.836643518516</v>
      </c>
      <c r="Q736" s="81" t="s">
        <v>1352</v>
      </c>
      <c r="R736" s="81"/>
      <c r="S736" s="81"/>
      <c r="T736" s="81"/>
      <c r="U736" s="85" t="str">
        <f>HYPERLINK("https://pbs.twimg.com/ext_tw_video_thumb/1440299049509216256/pu/img/cT_MZxt4m6rj8kZ2.jpg")</f>
        <v>https://pbs.twimg.com/ext_tw_video_thumb/1440299049509216256/pu/img/cT_MZxt4m6rj8kZ2.jpg</v>
      </c>
      <c r="V736" s="85" t="str">
        <f>HYPERLINK("https://pbs.twimg.com/ext_tw_video_thumb/1440299049509216256/pu/img/cT_MZxt4m6rj8kZ2.jpg")</f>
        <v>https://pbs.twimg.com/ext_tw_video_thumb/1440299049509216256/pu/img/cT_MZxt4m6rj8kZ2.jpg</v>
      </c>
      <c r="W736" s="83">
        <v>44460.836643518516</v>
      </c>
      <c r="X736" s="89">
        <v>44460</v>
      </c>
      <c r="Y736" s="87" t="s">
        <v>2234</v>
      </c>
      <c r="Z736" s="85" t="str">
        <f>HYPERLINK("https://twitter.com/dewa13127757/status/1440406669968568323")</f>
        <v>https://twitter.com/dewa13127757/status/1440406669968568323</v>
      </c>
      <c r="AA736" s="81"/>
      <c r="AB736" s="81"/>
      <c r="AC736" s="87" t="s">
        <v>3158</v>
      </c>
      <c r="AD736" s="81"/>
      <c r="AE736" s="81" t="b">
        <v>0</v>
      </c>
      <c r="AF736" s="81">
        <v>0</v>
      </c>
      <c r="AG736" s="87" t="s">
        <v>3875</v>
      </c>
      <c r="AH736" s="81" t="b">
        <v>0</v>
      </c>
      <c r="AI736" s="81" t="s">
        <v>4092</v>
      </c>
      <c r="AJ736" s="81"/>
      <c r="AK736" s="87" t="s">
        <v>3875</v>
      </c>
      <c r="AL736" s="81" t="b">
        <v>0</v>
      </c>
      <c r="AM736" s="81">
        <v>9</v>
      </c>
      <c r="AN736" s="87" t="s">
        <v>3157</v>
      </c>
      <c r="AO736" s="87" t="s">
        <v>4109</v>
      </c>
      <c r="AP736" s="81" t="b">
        <v>0</v>
      </c>
      <c r="AQ736" s="87" t="s">
        <v>3157</v>
      </c>
      <c r="AR736" s="81" t="s">
        <v>179</v>
      </c>
      <c r="AS736" s="81">
        <v>0</v>
      </c>
      <c r="AT736" s="81">
        <v>0</v>
      </c>
      <c r="AU736" s="81"/>
      <c r="AV736" s="81"/>
      <c r="AW736" s="81"/>
      <c r="AX736" s="81"/>
      <c r="AY736" s="81"/>
      <c r="AZ736" s="81"/>
      <c r="BA736" s="81"/>
      <c r="BB736" s="81"/>
    </row>
    <row r="737" spans="1:54" x14ac:dyDescent="0.35">
      <c r="A737" s="66" t="s">
        <v>629</v>
      </c>
      <c r="B737" s="66" t="s">
        <v>1055</v>
      </c>
      <c r="C737" s="67"/>
      <c r="D737" s="68"/>
      <c r="E737" s="69"/>
      <c r="F737" s="70"/>
      <c r="G737" s="67"/>
      <c r="H737" s="71"/>
      <c r="I737" s="72"/>
      <c r="J737" s="72"/>
      <c r="K737" s="36"/>
      <c r="L737" s="79"/>
      <c r="M737" s="79"/>
      <c r="N737" s="74"/>
      <c r="O737" s="81" t="s">
        <v>1207</v>
      </c>
      <c r="P737" s="83">
        <v>44460.856273148151</v>
      </c>
      <c r="Q737" s="81" t="s">
        <v>1324</v>
      </c>
      <c r="R737" s="81"/>
      <c r="S737" s="81"/>
      <c r="T737" s="81"/>
      <c r="U737" s="85" t="str">
        <f>HYPERLINK("https://pbs.twimg.com/media/E_xVJy2VQAQerFe.jpg")</f>
        <v>https://pbs.twimg.com/media/E_xVJy2VQAQerFe.jpg</v>
      </c>
      <c r="V737" s="85" t="str">
        <f>HYPERLINK("https://pbs.twimg.com/media/E_xVJy2VQAQerFe.jpg")</f>
        <v>https://pbs.twimg.com/media/E_xVJy2VQAQerFe.jpg</v>
      </c>
      <c r="W737" s="83">
        <v>44460.856273148151</v>
      </c>
      <c r="X737" s="89">
        <v>44460</v>
      </c>
      <c r="Y737" s="87" t="s">
        <v>2235</v>
      </c>
      <c r="Z737" s="85" t="str">
        <f>HYPERLINK("https://twitter.com/bambam30424539/status/1440413786330963972")</f>
        <v>https://twitter.com/bambam30424539/status/1440413786330963972</v>
      </c>
      <c r="AA737" s="81"/>
      <c r="AB737" s="81"/>
      <c r="AC737" s="87" t="s">
        <v>3159</v>
      </c>
      <c r="AD737" s="81"/>
      <c r="AE737" s="81" t="b">
        <v>0</v>
      </c>
      <c r="AF737" s="81">
        <v>0</v>
      </c>
      <c r="AG737" s="87" t="s">
        <v>3875</v>
      </c>
      <c r="AH737" s="81" t="b">
        <v>0</v>
      </c>
      <c r="AI737" s="81" t="s">
        <v>4092</v>
      </c>
      <c r="AJ737" s="81"/>
      <c r="AK737" s="87" t="s">
        <v>3875</v>
      </c>
      <c r="AL737" s="81" t="b">
        <v>0</v>
      </c>
      <c r="AM737" s="81">
        <v>321</v>
      </c>
      <c r="AN737" s="87" t="s">
        <v>3520</v>
      </c>
      <c r="AO737" s="87" t="s">
        <v>4109</v>
      </c>
      <c r="AP737" s="81" t="b">
        <v>0</v>
      </c>
      <c r="AQ737" s="87" t="s">
        <v>3520</v>
      </c>
      <c r="AR737" s="81" t="s">
        <v>179</v>
      </c>
      <c r="AS737" s="81">
        <v>0</v>
      </c>
      <c r="AT737" s="81">
        <v>0</v>
      </c>
      <c r="AU737" s="81"/>
      <c r="AV737" s="81"/>
      <c r="AW737" s="81"/>
      <c r="AX737" s="81"/>
      <c r="AY737" s="81"/>
      <c r="AZ737" s="81"/>
      <c r="BA737" s="81"/>
      <c r="BB737" s="81"/>
    </row>
    <row r="738" spans="1:54" x14ac:dyDescent="0.35">
      <c r="A738" s="66" t="s">
        <v>629</v>
      </c>
      <c r="B738" s="66" t="s">
        <v>910</v>
      </c>
      <c r="C738" s="67"/>
      <c r="D738" s="68"/>
      <c r="E738" s="69"/>
      <c r="F738" s="70"/>
      <c r="G738" s="67"/>
      <c r="H738" s="71"/>
      <c r="I738" s="72"/>
      <c r="J738" s="72"/>
      <c r="K738" s="36"/>
      <c r="L738" s="79"/>
      <c r="M738" s="79"/>
      <c r="N738" s="74"/>
      <c r="O738" s="81" t="s">
        <v>1205</v>
      </c>
      <c r="P738" s="83">
        <v>44460.856273148151</v>
      </c>
      <c r="Q738" s="81" t="s">
        <v>1324</v>
      </c>
      <c r="R738" s="81"/>
      <c r="S738" s="81"/>
      <c r="T738" s="81"/>
      <c r="U738" s="85" t="str">
        <f>HYPERLINK("https://pbs.twimg.com/media/E_xVJy2VQAQerFe.jpg")</f>
        <v>https://pbs.twimg.com/media/E_xVJy2VQAQerFe.jpg</v>
      </c>
      <c r="V738" s="85" t="str">
        <f>HYPERLINK("https://pbs.twimg.com/media/E_xVJy2VQAQerFe.jpg")</f>
        <v>https://pbs.twimg.com/media/E_xVJy2VQAQerFe.jpg</v>
      </c>
      <c r="W738" s="83">
        <v>44460.856273148151</v>
      </c>
      <c r="X738" s="89">
        <v>44460</v>
      </c>
      <c r="Y738" s="87" t="s">
        <v>2235</v>
      </c>
      <c r="Z738" s="85" t="str">
        <f>HYPERLINK("https://twitter.com/bambam30424539/status/1440413786330963972")</f>
        <v>https://twitter.com/bambam30424539/status/1440413786330963972</v>
      </c>
      <c r="AA738" s="81"/>
      <c r="AB738" s="81"/>
      <c r="AC738" s="87" t="s">
        <v>3159</v>
      </c>
      <c r="AD738" s="81"/>
      <c r="AE738" s="81" t="b">
        <v>0</v>
      </c>
      <c r="AF738" s="81">
        <v>0</v>
      </c>
      <c r="AG738" s="87" t="s">
        <v>3875</v>
      </c>
      <c r="AH738" s="81" t="b">
        <v>0</v>
      </c>
      <c r="AI738" s="81" t="s">
        <v>4092</v>
      </c>
      <c r="AJ738" s="81"/>
      <c r="AK738" s="87" t="s">
        <v>3875</v>
      </c>
      <c r="AL738" s="81" t="b">
        <v>0</v>
      </c>
      <c r="AM738" s="81">
        <v>321</v>
      </c>
      <c r="AN738" s="87" t="s">
        <v>3520</v>
      </c>
      <c r="AO738" s="87" t="s">
        <v>4109</v>
      </c>
      <c r="AP738" s="81" t="b">
        <v>0</v>
      </c>
      <c r="AQ738" s="87" t="s">
        <v>3520</v>
      </c>
      <c r="AR738" s="81" t="s">
        <v>179</v>
      </c>
      <c r="AS738" s="81">
        <v>0</v>
      </c>
      <c r="AT738" s="81">
        <v>0</v>
      </c>
      <c r="AU738" s="81"/>
      <c r="AV738" s="81"/>
      <c r="AW738" s="81"/>
      <c r="AX738" s="81"/>
      <c r="AY738" s="81"/>
      <c r="AZ738" s="81"/>
      <c r="BA738" s="81"/>
      <c r="BB738" s="81"/>
    </row>
    <row r="739" spans="1:54" x14ac:dyDescent="0.35">
      <c r="A739" s="66" t="s">
        <v>630</v>
      </c>
      <c r="B739" s="66" t="s">
        <v>1055</v>
      </c>
      <c r="C739" s="67"/>
      <c r="D739" s="68"/>
      <c r="E739" s="69"/>
      <c r="F739" s="70"/>
      <c r="G739" s="67"/>
      <c r="H739" s="71"/>
      <c r="I739" s="72"/>
      <c r="J739" s="72"/>
      <c r="K739" s="36"/>
      <c r="L739" s="79"/>
      <c r="M739" s="79"/>
      <c r="N739" s="74"/>
      <c r="O739" s="81" t="s">
        <v>1207</v>
      </c>
      <c r="P739" s="83">
        <v>44460.884988425925</v>
      </c>
      <c r="Q739" s="81" t="s">
        <v>1324</v>
      </c>
      <c r="R739" s="81"/>
      <c r="S739" s="81"/>
      <c r="T739" s="81"/>
      <c r="U739" s="85" t="str">
        <f>HYPERLINK("https://pbs.twimg.com/media/E_xVJy2VQAQerFe.jpg")</f>
        <v>https://pbs.twimg.com/media/E_xVJy2VQAQerFe.jpg</v>
      </c>
      <c r="V739" s="85" t="str">
        <f>HYPERLINK("https://pbs.twimg.com/media/E_xVJy2VQAQerFe.jpg")</f>
        <v>https://pbs.twimg.com/media/E_xVJy2VQAQerFe.jpg</v>
      </c>
      <c r="W739" s="83">
        <v>44460.884988425925</v>
      </c>
      <c r="X739" s="89">
        <v>44460</v>
      </c>
      <c r="Y739" s="87" t="s">
        <v>2236</v>
      </c>
      <c r="Z739" s="85" t="str">
        <f>HYPERLINK("https://twitter.com/jakartastar/status/1440424191027646468")</f>
        <v>https://twitter.com/jakartastar/status/1440424191027646468</v>
      </c>
      <c r="AA739" s="81"/>
      <c r="AB739" s="81"/>
      <c r="AC739" s="87" t="s">
        <v>3160</v>
      </c>
      <c r="AD739" s="81"/>
      <c r="AE739" s="81" t="b">
        <v>0</v>
      </c>
      <c r="AF739" s="81">
        <v>0</v>
      </c>
      <c r="AG739" s="87" t="s">
        <v>3875</v>
      </c>
      <c r="AH739" s="81" t="b">
        <v>0</v>
      </c>
      <c r="AI739" s="81" t="s">
        <v>4092</v>
      </c>
      <c r="AJ739" s="81"/>
      <c r="AK739" s="87" t="s">
        <v>3875</v>
      </c>
      <c r="AL739" s="81" t="b">
        <v>0</v>
      </c>
      <c r="AM739" s="81">
        <v>321</v>
      </c>
      <c r="AN739" s="87" t="s">
        <v>3520</v>
      </c>
      <c r="AO739" s="87" t="s">
        <v>4109</v>
      </c>
      <c r="AP739" s="81" t="b">
        <v>0</v>
      </c>
      <c r="AQ739" s="87" t="s">
        <v>3520</v>
      </c>
      <c r="AR739" s="81" t="s">
        <v>179</v>
      </c>
      <c r="AS739" s="81">
        <v>0</v>
      </c>
      <c r="AT739" s="81">
        <v>0</v>
      </c>
      <c r="AU739" s="81"/>
      <c r="AV739" s="81"/>
      <c r="AW739" s="81"/>
      <c r="AX739" s="81"/>
      <c r="AY739" s="81"/>
      <c r="AZ739" s="81"/>
      <c r="BA739" s="81"/>
      <c r="BB739" s="81"/>
    </row>
    <row r="740" spans="1:54" x14ac:dyDescent="0.35">
      <c r="A740" s="66" t="s">
        <v>630</v>
      </c>
      <c r="B740" s="66" t="s">
        <v>910</v>
      </c>
      <c r="C740" s="67"/>
      <c r="D740" s="68"/>
      <c r="E740" s="69"/>
      <c r="F740" s="70"/>
      <c r="G740" s="67"/>
      <c r="H740" s="71"/>
      <c r="I740" s="72"/>
      <c r="J740" s="72"/>
      <c r="K740" s="36"/>
      <c r="L740" s="79"/>
      <c r="M740" s="79"/>
      <c r="N740" s="74"/>
      <c r="O740" s="81" t="s">
        <v>1205</v>
      </c>
      <c r="P740" s="83">
        <v>44460.884988425925</v>
      </c>
      <c r="Q740" s="81" t="s">
        <v>1324</v>
      </c>
      <c r="R740" s="81"/>
      <c r="S740" s="81"/>
      <c r="T740" s="81"/>
      <c r="U740" s="85" t="str">
        <f>HYPERLINK("https://pbs.twimg.com/media/E_xVJy2VQAQerFe.jpg")</f>
        <v>https://pbs.twimg.com/media/E_xVJy2VQAQerFe.jpg</v>
      </c>
      <c r="V740" s="85" t="str">
        <f>HYPERLINK("https://pbs.twimg.com/media/E_xVJy2VQAQerFe.jpg")</f>
        <v>https://pbs.twimg.com/media/E_xVJy2VQAQerFe.jpg</v>
      </c>
      <c r="W740" s="83">
        <v>44460.884988425925</v>
      </c>
      <c r="X740" s="89">
        <v>44460</v>
      </c>
      <c r="Y740" s="87" t="s">
        <v>2236</v>
      </c>
      <c r="Z740" s="85" t="str">
        <f>HYPERLINK("https://twitter.com/jakartastar/status/1440424191027646468")</f>
        <v>https://twitter.com/jakartastar/status/1440424191027646468</v>
      </c>
      <c r="AA740" s="81"/>
      <c r="AB740" s="81"/>
      <c r="AC740" s="87" t="s">
        <v>3160</v>
      </c>
      <c r="AD740" s="81"/>
      <c r="AE740" s="81" t="b">
        <v>0</v>
      </c>
      <c r="AF740" s="81">
        <v>0</v>
      </c>
      <c r="AG740" s="87" t="s">
        <v>3875</v>
      </c>
      <c r="AH740" s="81" t="b">
        <v>0</v>
      </c>
      <c r="AI740" s="81" t="s">
        <v>4092</v>
      </c>
      <c r="AJ740" s="81"/>
      <c r="AK740" s="87" t="s">
        <v>3875</v>
      </c>
      <c r="AL740" s="81" t="b">
        <v>0</v>
      </c>
      <c r="AM740" s="81">
        <v>321</v>
      </c>
      <c r="AN740" s="87" t="s">
        <v>3520</v>
      </c>
      <c r="AO740" s="87" t="s">
        <v>4109</v>
      </c>
      <c r="AP740" s="81" t="b">
        <v>0</v>
      </c>
      <c r="AQ740" s="87" t="s">
        <v>3520</v>
      </c>
      <c r="AR740" s="81" t="s">
        <v>179</v>
      </c>
      <c r="AS740" s="81">
        <v>0</v>
      </c>
      <c r="AT740" s="81">
        <v>0</v>
      </c>
      <c r="AU740" s="81"/>
      <c r="AV740" s="81"/>
      <c r="AW740" s="81"/>
      <c r="AX740" s="81"/>
      <c r="AY740" s="81"/>
      <c r="AZ740" s="81"/>
      <c r="BA740" s="81"/>
      <c r="BB740" s="81"/>
    </row>
    <row r="741" spans="1:54" x14ac:dyDescent="0.35">
      <c r="A741" s="66" t="s">
        <v>631</v>
      </c>
      <c r="B741" s="66" t="s">
        <v>1074</v>
      </c>
      <c r="C741" s="67"/>
      <c r="D741" s="68"/>
      <c r="E741" s="69"/>
      <c r="F741" s="70"/>
      <c r="G741" s="67"/>
      <c r="H741" s="71"/>
      <c r="I741" s="72"/>
      <c r="J741" s="72"/>
      <c r="K741" s="36"/>
      <c r="L741" s="79"/>
      <c r="M741" s="79"/>
      <c r="N741" s="74"/>
      <c r="O741" s="81" t="s">
        <v>1208</v>
      </c>
      <c r="P741" s="83">
        <v>44460.887662037036</v>
      </c>
      <c r="Q741" s="81" t="s">
        <v>1368</v>
      </c>
      <c r="R741" s="81"/>
      <c r="S741" s="81"/>
      <c r="T741" s="81"/>
      <c r="U741" s="81"/>
      <c r="V741" s="85" t="str">
        <f>HYPERLINK("https://pbs.twimg.com/profile_images/1069768909107036160/7jGx1nGH_normal.jpg")</f>
        <v>https://pbs.twimg.com/profile_images/1069768909107036160/7jGx1nGH_normal.jpg</v>
      </c>
      <c r="W741" s="83">
        <v>44460.887662037036</v>
      </c>
      <c r="X741" s="89">
        <v>44460</v>
      </c>
      <c r="Y741" s="87" t="s">
        <v>2237</v>
      </c>
      <c r="Z741" s="85" t="str">
        <f>HYPERLINK("https://twitter.com/sujono_prawiro/status/1440425160868126720")</f>
        <v>https://twitter.com/sujono_prawiro/status/1440425160868126720</v>
      </c>
      <c r="AA741" s="81"/>
      <c r="AB741" s="81"/>
      <c r="AC741" s="87" t="s">
        <v>3161</v>
      </c>
      <c r="AD741" s="87" t="s">
        <v>3729</v>
      </c>
      <c r="AE741" s="81" t="b">
        <v>0</v>
      </c>
      <c r="AF741" s="81">
        <v>1</v>
      </c>
      <c r="AG741" s="87" t="s">
        <v>3951</v>
      </c>
      <c r="AH741" s="81" t="b">
        <v>0</v>
      </c>
      <c r="AI741" s="81" t="s">
        <v>4092</v>
      </c>
      <c r="AJ741" s="81"/>
      <c r="AK741" s="87" t="s">
        <v>3875</v>
      </c>
      <c r="AL741" s="81" t="b">
        <v>0</v>
      </c>
      <c r="AM741" s="81">
        <v>0</v>
      </c>
      <c r="AN741" s="87" t="s">
        <v>3875</v>
      </c>
      <c r="AO741" s="87" t="s">
        <v>4109</v>
      </c>
      <c r="AP741" s="81" t="b">
        <v>0</v>
      </c>
      <c r="AQ741" s="87" t="s">
        <v>3729</v>
      </c>
      <c r="AR741" s="81" t="s">
        <v>179</v>
      </c>
      <c r="AS741" s="81">
        <v>0</v>
      </c>
      <c r="AT741" s="81">
        <v>0</v>
      </c>
      <c r="AU741" s="81"/>
      <c r="AV741" s="81"/>
      <c r="AW741" s="81"/>
      <c r="AX741" s="81"/>
      <c r="AY741" s="81"/>
      <c r="AZ741" s="81"/>
      <c r="BA741" s="81"/>
      <c r="BB741" s="81"/>
    </row>
    <row r="742" spans="1:54" x14ac:dyDescent="0.35">
      <c r="A742" s="66" t="s">
        <v>632</v>
      </c>
      <c r="B742" s="66" t="s">
        <v>1055</v>
      </c>
      <c r="C742" s="67"/>
      <c r="D742" s="68"/>
      <c r="E742" s="69"/>
      <c r="F742" s="70"/>
      <c r="G742" s="67"/>
      <c r="H742" s="71"/>
      <c r="I742" s="72"/>
      <c r="J742" s="72"/>
      <c r="K742" s="36"/>
      <c r="L742" s="79"/>
      <c r="M742" s="79"/>
      <c r="N742" s="74"/>
      <c r="O742" s="81" t="s">
        <v>1207</v>
      </c>
      <c r="P742" s="83">
        <v>44460.901238425926</v>
      </c>
      <c r="Q742" s="81" t="s">
        <v>1324</v>
      </c>
      <c r="R742" s="81"/>
      <c r="S742" s="81"/>
      <c r="T742" s="81"/>
      <c r="U742" s="85" t="str">
        <f>HYPERLINK("https://pbs.twimg.com/media/E_xVJy2VQAQerFe.jpg")</f>
        <v>https://pbs.twimg.com/media/E_xVJy2VQAQerFe.jpg</v>
      </c>
      <c r="V742" s="85" t="str">
        <f>HYPERLINK("https://pbs.twimg.com/media/E_xVJy2VQAQerFe.jpg")</f>
        <v>https://pbs.twimg.com/media/E_xVJy2VQAQerFe.jpg</v>
      </c>
      <c r="W742" s="83">
        <v>44460.901238425926</v>
      </c>
      <c r="X742" s="89">
        <v>44460</v>
      </c>
      <c r="Y742" s="87" t="s">
        <v>2238</v>
      </c>
      <c r="Z742" s="85" t="str">
        <f>HYPERLINK("https://twitter.com/luluk1683/status/1440430080669335560")</f>
        <v>https://twitter.com/luluk1683/status/1440430080669335560</v>
      </c>
      <c r="AA742" s="81"/>
      <c r="AB742" s="81"/>
      <c r="AC742" s="87" t="s">
        <v>3162</v>
      </c>
      <c r="AD742" s="81"/>
      <c r="AE742" s="81" t="b">
        <v>0</v>
      </c>
      <c r="AF742" s="81">
        <v>0</v>
      </c>
      <c r="AG742" s="87" t="s">
        <v>3875</v>
      </c>
      <c r="AH742" s="81" t="b">
        <v>0</v>
      </c>
      <c r="AI742" s="81" t="s">
        <v>4092</v>
      </c>
      <c r="AJ742" s="81"/>
      <c r="AK742" s="87" t="s">
        <v>3875</v>
      </c>
      <c r="AL742" s="81" t="b">
        <v>0</v>
      </c>
      <c r="AM742" s="81">
        <v>321</v>
      </c>
      <c r="AN742" s="87" t="s">
        <v>3520</v>
      </c>
      <c r="AO742" s="87" t="s">
        <v>4109</v>
      </c>
      <c r="AP742" s="81" t="b">
        <v>0</v>
      </c>
      <c r="AQ742" s="87" t="s">
        <v>3520</v>
      </c>
      <c r="AR742" s="81" t="s">
        <v>179</v>
      </c>
      <c r="AS742" s="81">
        <v>0</v>
      </c>
      <c r="AT742" s="81">
        <v>0</v>
      </c>
      <c r="AU742" s="81"/>
      <c r="AV742" s="81"/>
      <c r="AW742" s="81"/>
      <c r="AX742" s="81"/>
      <c r="AY742" s="81"/>
      <c r="AZ742" s="81"/>
      <c r="BA742" s="81"/>
      <c r="BB742" s="81"/>
    </row>
    <row r="743" spans="1:54" x14ac:dyDescent="0.35">
      <c r="A743" s="66" t="s">
        <v>632</v>
      </c>
      <c r="B743" s="66" t="s">
        <v>910</v>
      </c>
      <c r="C743" s="67"/>
      <c r="D743" s="68"/>
      <c r="E743" s="69"/>
      <c r="F743" s="70"/>
      <c r="G743" s="67"/>
      <c r="H743" s="71"/>
      <c r="I743" s="72"/>
      <c r="J743" s="72"/>
      <c r="K743" s="36"/>
      <c r="L743" s="79"/>
      <c r="M743" s="79"/>
      <c r="N743" s="74"/>
      <c r="O743" s="81" t="s">
        <v>1205</v>
      </c>
      <c r="P743" s="83">
        <v>44460.901238425926</v>
      </c>
      <c r="Q743" s="81" t="s">
        <v>1324</v>
      </c>
      <c r="R743" s="81"/>
      <c r="S743" s="81"/>
      <c r="T743" s="81"/>
      <c r="U743" s="85" t="str">
        <f>HYPERLINK("https://pbs.twimg.com/media/E_xVJy2VQAQerFe.jpg")</f>
        <v>https://pbs.twimg.com/media/E_xVJy2VQAQerFe.jpg</v>
      </c>
      <c r="V743" s="85" t="str">
        <f>HYPERLINK("https://pbs.twimg.com/media/E_xVJy2VQAQerFe.jpg")</f>
        <v>https://pbs.twimg.com/media/E_xVJy2VQAQerFe.jpg</v>
      </c>
      <c r="W743" s="83">
        <v>44460.901238425926</v>
      </c>
      <c r="X743" s="89">
        <v>44460</v>
      </c>
      <c r="Y743" s="87" t="s">
        <v>2238</v>
      </c>
      <c r="Z743" s="85" t="str">
        <f>HYPERLINK("https://twitter.com/luluk1683/status/1440430080669335560")</f>
        <v>https://twitter.com/luluk1683/status/1440430080669335560</v>
      </c>
      <c r="AA743" s="81"/>
      <c r="AB743" s="81"/>
      <c r="AC743" s="87" t="s">
        <v>3162</v>
      </c>
      <c r="AD743" s="81"/>
      <c r="AE743" s="81" t="b">
        <v>0</v>
      </c>
      <c r="AF743" s="81">
        <v>0</v>
      </c>
      <c r="AG743" s="87" t="s">
        <v>3875</v>
      </c>
      <c r="AH743" s="81" t="b">
        <v>0</v>
      </c>
      <c r="AI743" s="81" t="s">
        <v>4092</v>
      </c>
      <c r="AJ743" s="81"/>
      <c r="AK743" s="87" t="s">
        <v>3875</v>
      </c>
      <c r="AL743" s="81" t="b">
        <v>0</v>
      </c>
      <c r="AM743" s="81">
        <v>321</v>
      </c>
      <c r="AN743" s="87" t="s">
        <v>3520</v>
      </c>
      <c r="AO743" s="87" t="s">
        <v>4109</v>
      </c>
      <c r="AP743" s="81" t="b">
        <v>0</v>
      </c>
      <c r="AQ743" s="87" t="s">
        <v>3520</v>
      </c>
      <c r="AR743" s="81" t="s">
        <v>179</v>
      </c>
      <c r="AS743" s="81">
        <v>0</v>
      </c>
      <c r="AT743" s="81">
        <v>0</v>
      </c>
      <c r="AU743" s="81"/>
      <c r="AV743" s="81"/>
      <c r="AW743" s="81"/>
      <c r="AX743" s="81"/>
      <c r="AY743" s="81"/>
      <c r="AZ743" s="81"/>
      <c r="BA743" s="81"/>
      <c r="BB743" s="81"/>
    </row>
    <row r="744" spans="1:54" x14ac:dyDescent="0.35">
      <c r="A744" s="66" t="s">
        <v>633</v>
      </c>
      <c r="B744" s="66" t="s">
        <v>1055</v>
      </c>
      <c r="C744" s="67"/>
      <c r="D744" s="68"/>
      <c r="E744" s="69"/>
      <c r="F744" s="70"/>
      <c r="G744" s="67"/>
      <c r="H744" s="71"/>
      <c r="I744" s="72"/>
      <c r="J744" s="72"/>
      <c r="K744" s="36"/>
      <c r="L744" s="79"/>
      <c r="M744" s="79"/>
      <c r="N744" s="74"/>
      <c r="O744" s="81" t="s">
        <v>1207</v>
      </c>
      <c r="P744" s="83">
        <v>44460.901712962965</v>
      </c>
      <c r="Q744" s="81" t="s">
        <v>1324</v>
      </c>
      <c r="R744" s="81"/>
      <c r="S744" s="81"/>
      <c r="T744" s="81"/>
      <c r="U744" s="85" t="str">
        <f>HYPERLINK("https://pbs.twimg.com/media/E_xVJy2VQAQerFe.jpg")</f>
        <v>https://pbs.twimg.com/media/E_xVJy2VQAQerFe.jpg</v>
      </c>
      <c r="V744" s="85" t="str">
        <f>HYPERLINK("https://pbs.twimg.com/media/E_xVJy2VQAQerFe.jpg")</f>
        <v>https://pbs.twimg.com/media/E_xVJy2VQAQerFe.jpg</v>
      </c>
      <c r="W744" s="83">
        <v>44460.901712962965</v>
      </c>
      <c r="X744" s="89">
        <v>44460</v>
      </c>
      <c r="Y744" s="87" t="s">
        <v>2239</v>
      </c>
      <c r="Z744" s="85" t="str">
        <f>HYPERLINK("https://twitter.com/hutamarizky20/status/1440430252279296007")</f>
        <v>https://twitter.com/hutamarizky20/status/1440430252279296007</v>
      </c>
      <c r="AA744" s="81"/>
      <c r="AB744" s="81"/>
      <c r="AC744" s="87" t="s">
        <v>3163</v>
      </c>
      <c r="AD744" s="81"/>
      <c r="AE744" s="81" t="b">
        <v>0</v>
      </c>
      <c r="AF744" s="81">
        <v>0</v>
      </c>
      <c r="AG744" s="87" t="s">
        <v>3875</v>
      </c>
      <c r="AH744" s="81" t="b">
        <v>0</v>
      </c>
      <c r="AI744" s="81" t="s">
        <v>4092</v>
      </c>
      <c r="AJ744" s="81"/>
      <c r="AK744" s="87" t="s">
        <v>3875</v>
      </c>
      <c r="AL744" s="81" t="b">
        <v>0</v>
      </c>
      <c r="AM744" s="81">
        <v>321</v>
      </c>
      <c r="AN744" s="87" t="s">
        <v>3520</v>
      </c>
      <c r="AO744" s="87" t="s">
        <v>4110</v>
      </c>
      <c r="AP744" s="81" t="b">
        <v>0</v>
      </c>
      <c r="AQ744" s="87" t="s">
        <v>3520</v>
      </c>
      <c r="AR744" s="81" t="s">
        <v>179</v>
      </c>
      <c r="AS744" s="81">
        <v>0</v>
      </c>
      <c r="AT744" s="81">
        <v>0</v>
      </c>
      <c r="AU744" s="81"/>
      <c r="AV744" s="81"/>
      <c r="AW744" s="81"/>
      <c r="AX744" s="81"/>
      <c r="AY744" s="81"/>
      <c r="AZ744" s="81"/>
      <c r="BA744" s="81"/>
      <c r="BB744" s="81"/>
    </row>
    <row r="745" spans="1:54" x14ac:dyDescent="0.35">
      <c r="A745" s="66" t="s">
        <v>633</v>
      </c>
      <c r="B745" s="66" t="s">
        <v>910</v>
      </c>
      <c r="C745" s="67"/>
      <c r="D745" s="68"/>
      <c r="E745" s="69"/>
      <c r="F745" s="70"/>
      <c r="G745" s="67"/>
      <c r="H745" s="71"/>
      <c r="I745" s="72"/>
      <c r="J745" s="72"/>
      <c r="K745" s="36"/>
      <c r="L745" s="79"/>
      <c r="M745" s="79"/>
      <c r="N745" s="74"/>
      <c r="O745" s="81" t="s">
        <v>1205</v>
      </c>
      <c r="P745" s="83">
        <v>44460.901712962965</v>
      </c>
      <c r="Q745" s="81" t="s">
        <v>1324</v>
      </c>
      <c r="R745" s="81"/>
      <c r="S745" s="81"/>
      <c r="T745" s="81"/>
      <c r="U745" s="85" t="str">
        <f>HYPERLINK("https://pbs.twimg.com/media/E_xVJy2VQAQerFe.jpg")</f>
        <v>https://pbs.twimg.com/media/E_xVJy2VQAQerFe.jpg</v>
      </c>
      <c r="V745" s="85" t="str">
        <f>HYPERLINK("https://pbs.twimg.com/media/E_xVJy2VQAQerFe.jpg")</f>
        <v>https://pbs.twimg.com/media/E_xVJy2VQAQerFe.jpg</v>
      </c>
      <c r="W745" s="83">
        <v>44460.901712962965</v>
      </c>
      <c r="X745" s="89">
        <v>44460</v>
      </c>
      <c r="Y745" s="87" t="s">
        <v>2239</v>
      </c>
      <c r="Z745" s="85" t="str">
        <f>HYPERLINK("https://twitter.com/hutamarizky20/status/1440430252279296007")</f>
        <v>https://twitter.com/hutamarizky20/status/1440430252279296007</v>
      </c>
      <c r="AA745" s="81"/>
      <c r="AB745" s="81"/>
      <c r="AC745" s="87" t="s">
        <v>3163</v>
      </c>
      <c r="AD745" s="81"/>
      <c r="AE745" s="81" t="b">
        <v>0</v>
      </c>
      <c r="AF745" s="81">
        <v>0</v>
      </c>
      <c r="AG745" s="87" t="s">
        <v>3875</v>
      </c>
      <c r="AH745" s="81" t="b">
        <v>0</v>
      </c>
      <c r="AI745" s="81" t="s">
        <v>4092</v>
      </c>
      <c r="AJ745" s="81"/>
      <c r="AK745" s="87" t="s">
        <v>3875</v>
      </c>
      <c r="AL745" s="81" t="b">
        <v>0</v>
      </c>
      <c r="AM745" s="81">
        <v>321</v>
      </c>
      <c r="AN745" s="87" t="s">
        <v>3520</v>
      </c>
      <c r="AO745" s="87" t="s">
        <v>4110</v>
      </c>
      <c r="AP745" s="81" t="b">
        <v>0</v>
      </c>
      <c r="AQ745" s="87" t="s">
        <v>3520</v>
      </c>
      <c r="AR745" s="81" t="s">
        <v>179</v>
      </c>
      <c r="AS745" s="81">
        <v>0</v>
      </c>
      <c r="AT745" s="81">
        <v>0</v>
      </c>
      <c r="AU745" s="81"/>
      <c r="AV745" s="81"/>
      <c r="AW745" s="81"/>
      <c r="AX745" s="81"/>
      <c r="AY745" s="81"/>
      <c r="AZ745" s="81"/>
      <c r="BA745" s="81"/>
      <c r="BB745" s="81"/>
    </row>
    <row r="746" spans="1:54" x14ac:dyDescent="0.35">
      <c r="A746" s="66" t="s">
        <v>634</v>
      </c>
      <c r="B746" s="66" t="s">
        <v>1055</v>
      </c>
      <c r="C746" s="67"/>
      <c r="D746" s="68"/>
      <c r="E746" s="69"/>
      <c r="F746" s="70"/>
      <c r="G746" s="67"/>
      <c r="H746" s="71"/>
      <c r="I746" s="72"/>
      <c r="J746" s="72"/>
      <c r="K746" s="36"/>
      <c r="L746" s="79"/>
      <c r="M746" s="79"/>
      <c r="N746" s="74"/>
      <c r="O746" s="81" t="s">
        <v>1207</v>
      </c>
      <c r="P746" s="83">
        <v>44460.902592592596</v>
      </c>
      <c r="Q746" s="81" t="s">
        <v>1324</v>
      </c>
      <c r="R746" s="81"/>
      <c r="S746" s="81"/>
      <c r="T746" s="81"/>
      <c r="U746" s="85" t="str">
        <f>HYPERLINK("https://pbs.twimg.com/media/E_xVJy2VQAQerFe.jpg")</f>
        <v>https://pbs.twimg.com/media/E_xVJy2VQAQerFe.jpg</v>
      </c>
      <c r="V746" s="85" t="str">
        <f>HYPERLINK("https://pbs.twimg.com/media/E_xVJy2VQAQerFe.jpg")</f>
        <v>https://pbs.twimg.com/media/E_xVJy2VQAQerFe.jpg</v>
      </c>
      <c r="W746" s="83">
        <v>44460.902592592596</v>
      </c>
      <c r="X746" s="89">
        <v>44460</v>
      </c>
      <c r="Y746" s="87" t="s">
        <v>2240</v>
      </c>
      <c r="Z746" s="85" t="str">
        <f>HYPERLINK("https://twitter.com/omkodoq/status/1440430570077450243")</f>
        <v>https://twitter.com/omkodoq/status/1440430570077450243</v>
      </c>
      <c r="AA746" s="81"/>
      <c r="AB746" s="81"/>
      <c r="AC746" s="87" t="s">
        <v>3164</v>
      </c>
      <c r="AD746" s="81"/>
      <c r="AE746" s="81" t="b">
        <v>0</v>
      </c>
      <c r="AF746" s="81">
        <v>0</v>
      </c>
      <c r="AG746" s="87" t="s">
        <v>3875</v>
      </c>
      <c r="AH746" s="81" t="b">
        <v>0</v>
      </c>
      <c r="AI746" s="81" t="s">
        <v>4092</v>
      </c>
      <c r="AJ746" s="81"/>
      <c r="AK746" s="87" t="s">
        <v>3875</v>
      </c>
      <c r="AL746" s="81" t="b">
        <v>0</v>
      </c>
      <c r="AM746" s="81">
        <v>321</v>
      </c>
      <c r="AN746" s="87" t="s">
        <v>3520</v>
      </c>
      <c r="AO746" s="87" t="s">
        <v>4109</v>
      </c>
      <c r="AP746" s="81" t="b">
        <v>0</v>
      </c>
      <c r="AQ746" s="87" t="s">
        <v>3520</v>
      </c>
      <c r="AR746" s="81" t="s">
        <v>179</v>
      </c>
      <c r="AS746" s="81">
        <v>0</v>
      </c>
      <c r="AT746" s="81">
        <v>0</v>
      </c>
      <c r="AU746" s="81"/>
      <c r="AV746" s="81"/>
      <c r="AW746" s="81"/>
      <c r="AX746" s="81"/>
      <c r="AY746" s="81"/>
      <c r="AZ746" s="81"/>
      <c r="BA746" s="81"/>
      <c r="BB746" s="81"/>
    </row>
    <row r="747" spans="1:54" x14ac:dyDescent="0.35">
      <c r="A747" s="66" t="s">
        <v>634</v>
      </c>
      <c r="B747" s="66" t="s">
        <v>910</v>
      </c>
      <c r="C747" s="67"/>
      <c r="D747" s="68"/>
      <c r="E747" s="69"/>
      <c r="F747" s="70"/>
      <c r="G747" s="67"/>
      <c r="H747" s="71"/>
      <c r="I747" s="72"/>
      <c r="J747" s="72"/>
      <c r="K747" s="36"/>
      <c r="L747" s="79"/>
      <c r="M747" s="79"/>
      <c r="N747" s="74"/>
      <c r="O747" s="81" t="s">
        <v>1205</v>
      </c>
      <c r="P747" s="83">
        <v>44460.902592592596</v>
      </c>
      <c r="Q747" s="81" t="s">
        <v>1324</v>
      </c>
      <c r="R747" s="81"/>
      <c r="S747" s="81"/>
      <c r="T747" s="81"/>
      <c r="U747" s="85" t="str">
        <f>HYPERLINK("https://pbs.twimg.com/media/E_xVJy2VQAQerFe.jpg")</f>
        <v>https://pbs.twimg.com/media/E_xVJy2VQAQerFe.jpg</v>
      </c>
      <c r="V747" s="85" t="str">
        <f>HYPERLINK("https://pbs.twimg.com/media/E_xVJy2VQAQerFe.jpg")</f>
        <v>https://pbs.twimg.com/media/E_xVJy2VQAQerFe.jpg</v>
      </c>
      <c r="W747" s="83">
        <v>44460.902592592596</v>
      </c>
      <c r="X747" s="89">
        <v>44460</v>
      </c>
      <c r="Y747" s="87" t="s">
        <v>2240</v>
      </c>
      <c r="Z747" s="85" t="str">
        <f>HYPERLINK("https://twitter.com/omkodoq/status/1440430570077450243")</f>
        <v>https://twitter.com/omkodoq/status/1440430570077450243</v>
      </c>
      <c r="AA747" s="81"/>
      <c r="AB747" s="81"/>
      <c r="AC747" s="87" t="s">
        <v>3164</v>
      </c>
      <c r="AD747" s="81"/>
      <c r="AE747" s="81" t="b">
        <v>0</v>
      </c>
      <c r="AF747" s="81">
        <v>0</v>
      </c>
      <c r="AG747" s="87" t="s">
        <v>3875</v>
      </c>
      <c r="AH747" s="81" t="b">
        <v>0</v>
      </c>
      <c r="AI747" s="81" t="s">
        <v>4092</v>
      </c>
      <c r="AJ747" s="81"/>
      <c r="AK747" s="87" t="s">
        <v>3875</v>
      </c>
      <c r="AL747" s="81" t="b">
        <v>0</v>
      </c>
      <c r="AM747" s="81">
        <v>321</v>
      </c>
      <c r="AN747" s="87" t="s">
        <v>3520</v>
      </c>
      <c r="AO747" s="87" t="s">
        <v>4109</v>
      </c>
      <c r="AP747" s="81" t="b">
        <v>0</v>
      </c>
      <c r="AQ747" s="87" t="s">
        <v>3520</v>
      </c>
      <c r="AR747" s="81" t="s">
        <v>179</v>
      </c>
      <c r="AS747" s="81">
        <v>0</v>
      </c>
      <c r="AT747" s="81">
        <v>0</v>
      </c>
      <c r="AU747" s="81"/>
      <c r="AV747" s="81"/>
      <c r="AW747" s="81"/>
      <c r="AX747" s="81"/>
      <c r="AY747" s="81"/>
      <c r="AZ747" s="81"/>
      <c r="BA747" s="81"/>
      <c r="BB747" s="81"/>
    </row>
    <row r="748" spans="1:54" x14ac:dyDescent="0.35">
      <c r="A748" s="66" t="s">
        <v>635</v>
      </c>
      <c r="B748" s="66" t="s">
        <v>1055</v>
      </c>
      <c r="C748" s="67"/>
      <c r="D748" s="68"/>
      <c r="E748" s="69"/>
      <c r="F748" s="70"/>
      <c r="G748" s="67"/>
      <c r="H748" s="71"/>
      <c r="I748" s="72"/>
      <c r="J748" s="72"/>
      <c r="K748" s="36"/>
      <c r="L748" s="79"/>
      <c r="M748" s="79"/>
      <c r="N748" s="74"/>
      <c r="O748" s="81" t="s">
        <v>1207</v>
      </c>
      <c r="P748" s="83">
        <v>44460.905289351853</v>
      </c>
      <c r="Q748" s="81" t="s">
        <v>1324</v>
      </c>
      <c r="R748" s="81"/>
      <c r="S748" s="81"/>
      <c r="T748" s="81"/>
      <c r="U748" s="85" t="str">
        <f>HYPERLINK("https://pbs.twimg.com/media/E_xVJy2VQAQerFe.jpg")</f>
        <v>https://pbs.twimg.com/media/E_xVJy2VQAQerFe.jpg</v>
      </c>
      <c r="V748" s="85" t="str">
        <f>HYPERLINK("https://pbs.twimg.com/media/E_xVJy2VQAQerFe.jpg")</f>
        <v>https://pbs.twimg.com/media/E_xVJy2VQAQerFe.jpg</v>
      </c>
      <c r="W748" s="83">
        <v>44460.905289351853</v>
      </c>
      <c r="X748" s="89">
        <v>44460</v>
      </c>
      <c r="Y748" s="87" t="s">
        <v>2241</v>
      </c>
      <c r="Z748" s="85" t="str">
        <f>HYPERLINK("https://twitter.com/eoh_axela/status/1440431548017242122")</f>
        <v>https://twitter.com/eoh_axela/status/1440431548017242122</v>
      </c>
      <c r="AA748" s="81"/>
      <c r="AB748" s="81"/>
      <c r="AC748" s="87" t="s">
        <v>3165</v>
      </c>
      <c r="AD748" s="81"/>
      <c r="AE748" s="81" t="b">
        <v>0</v>
      </c>
      <c r="AF748" s="81">
        <v>0</v>
      </c>
      <c r="AG748" s="87" t="s">
        <v>3875</v>
      </c>
      <c r="AH748" s="81" t="b">
        <v>0</v>
      </c>
      <c r="AI748" s="81" t="s">
        <v>4092</v>
      </c>
      <c r="AJ748" s="81"/>
      <c r="AK748" s="87" t="s">
        <v>3875</v>
      </c>
      <c r="AL748" s="81" t="b">
        <v>0</v>
      </c>
      <c r="AM748" s="81">
        <v>321</v>
      </c>
      <c r="AN748" s="87" t="s">
        <v>3520</v>
      </c>
      <c r="AO748" s="87" t="s">
        <v>4109</v>
      </c>
      <c r="AP748" s="81" t="b">
        <v>0</v>
      </c>
      <c r="AQ748" s="87" t="s">
        <v>3520</v>
      </c>
      <c r="AR748" s="81" t="s">
        <v>179</v>
      </c>
      <c r="AS748" s="81">
        <v>0</v>
      </c>
      <c r="AT748" s="81">
        <v>0</v>
      </c>
      <c r="AU748" s="81"/>
      <c r="AV748" s="81"/>
      <c r="AW748" s="81"/>
      <c r="AX748" s="81"/>
      <c r="AY748" s="81"/>
      <c r="AZ748" s="81"/>
      <c r="BA748" s="81"/>
      <c r="BB748" s="81"/>
    </row>
    <row r="749" spans="1:54" x14ac:dyDescent="0.35">
      <c r="A749" s="66" t="s">
        <v>635</v>
      </c>
      <c r="B749" s="66" t="s">
        <v>910</v>
      </c>
      <c r="C749" s="67"/>
      <c r="D749" s="68"/>
      <c r="E749" s="69"/>
      <c r="F749" s="70"/>
      <c r="G749" s="67"/>
      <c r="H749" s="71"/>
      <c r="I749" s="72"/>
      <c r="J749" s="72"/>
      <c r="K749" s="36"/>
      <c r="L749" s="79"/>
      <c r="M749" s="79"/>
      <c r="N749" s="74"/>
      <c r="O749" s="81" t="s">
        <v>1205</v>
      </c>
      <c r="P749" s="83">
        <v>44460.905289351853</v>
      </c>
      <c r="Q749" s="81" t="s">
        <v>1324</v>
      </c>
      <c r="R749" s="81"/>
      <c r="S749" s="81"/>
      <c r="T749" s="81"/>
      <c r="U749" s="85" t="str">
        <f>HYPERLINK("https://pbs.twimg.com/media/E_xVJy2VQAQerFe.jpg")</f>
        <v>https://pbs.twimg.com/media/E_xVJy2VQAQerFe.jpg</v>
      </c>
      <c r="V749" s="85" t="str">
        <f>HYPERLINK("https://pbs.twimg.com/media/E_xVJy2VQAQerFe.jpg")</f>
        <v>https://pbs.twimg.com/media/E_xVJy2VQAQerFe.jpg</v>
      </c>
      <c r="W749" s="83">
        <v>44460.905289351853</v>
      </c>
      <c r="X749" s="89">
        <v>44460</v>
      </c>
      <c r="Y749" s="87" t="s">
        <v>2241</v>
      </c>
      <c r="Z749" s="85" t="str">
        <f>HYPERLINK("https://twitter.com/eoh_axela/status/1440431548017242122")</f>
        <v>https://twitter.com/eoh_axela/status/1440431548017242122</v>
      </c>
      <c r="AA749" s="81"/>
      <c r="AB749" s="81"/>
      <c r="AC749" s="87" t="s">
        <v>3165</v>
      </c>
      <c r="AD749" s="81"/>
      <c r="AE749" s="81" t="b">
        <v>0</v>
      </c>
      <c r="AF749" s="81">
        <v>0</v>
      </c>
      <c r="AG749" s="87" t="s">
        <v>3875</v>
      </c>
      <c r="AH749" s="81" t="b">
        <v>0</v>
      </c>
      <c r="AI749" s="81" t="s">
        <v>4092</v>
      </c>
      <c r="AJ749" s="81"/>
      <c r="AK749" s="87" t="s">
        <v>3875</v>
      </c>
      <c r="AL749" s="81" t="b">
        <v>0</v>
      </c>
      <c r="AM749" s="81">
        <v>321</v>
      </c>
      <c r="AN749" s="87" t="s">
        <v>3520</v>
      </c>
      <c r="AO749" s="87" t="s">
        <v>4109</v>
      </c>
      <c r="AP749" s="81" t="b">
        <v>0</v>
      </c>
      <c r="AQ749" s="87" t="s">
        <v>3520</v>
      </c>
      <c r="AR749" s="81" t="s">
        <v>179</v>
      </c>
      <c r="AS749" s="81">
        <v>0</v>
      </c>
      <c r="AT749" s="81">
        <v>0</v>
      </c>
      <c r="AU749" s="81"/>
      <c r="AV749" s="81"/>
      <c r="AW749" s="81"/>
      <c r="AX749" s="81"/>
      <c r="AY749" s="81"/>
      <c r="AZ749" s="81"/>
      <c r="BA749" s="81"/>
      <c r="BB749" s="81"/>
    </row>
    <row r="750" spans="1:54" x14ac:dyDescent="0.35">
      <c r="A750" s="66" t="s">
        <v>636</v>
      </c>
      <c r="B750" s="66" t="s">
        <v>1055</v>
      </c>
      <c r="C750" s="67"/>
      <c r="D750" s="68"/>
      <c r="E750" s="69"/>
      <c r="F750" s="70"/>
      <c r="G750" s="67"/>
      <c r="H750" s="71"/>
      <c r="I750" s="72"/>
      <c r="J750" s="72"/>
      <c r="K750" s="36"/>
      <c r="L750" s="79"/>
      <c r="M750" s="79"/>
      <c r="N750" s="74"/>
      <c r="O750" s="81" t="s">
        <v>1207</v>
      </c>
      <c r="P750" s="83">
        <v>44460.912430555552</v>
      </c>
      <c r="Q750" s="81" t="s">
        <v>1324</v>
      </c>
      <c r="R750" s="81"/>
      <c r="S750" s="81"/>
      <c r="T750" s="81"/>
      <c r="U750" s="85" t="str">
        <f>HYPERLINK("https://pbs.twimg.com/media/E_xVJy2VQAQerFe.jpg")</f>
        <v>https://pbs.twimg.com/media/E_xVJy2VQAQerFe.jpg</v>
      </c>
      <c r="V750" s="85" t="str">
        <f>HYPERLINK("https://pbs.twimg.com/media/E_xVJy2VQAQerFe.jpg")</f>
        <v>https://pbs.twimg.com/media/E_xVJy2VQAQerFe.jpg</v>
      </c>
      <c r="W750" s="83">
        <v>44460.912430555552</v>
      </c>
      <c r="X750" s="89">
        <v>44460</v>
      </c>
      <c r="Y750" s="87" t="s">
        <v>2242</v>
      </c>
      <c r="Z750" s="85" t="str">
        <f>HYPERLINK("https://twitter.com/hanjenifd/status/1440434135185592322")</f>
        <v>https://twitter.com/hanjenifd/status/1440434135185592322</v>
      </c>
      <c r="AA750" s="81"/>
      <c r="AB750" s="81"/>
      <c r="AC750" s="87" t="s">
        <v>3166</v>
      </c>
      <c r="AD750" s="81"/>
      <c r="AE750" s="81" t="b">
        <v>0</v>
      </c>
      <c r="AF750" s="81">
        <v>0</v>
      </c>
      <c r="AG750" s="87" t="s">
        <v>3875</v>
      </c>
      <c r="AH750" s="81" t="b">
        <v>0</v>
      </c>
      <c r="AI750" s="81" t="s">
        <v>4092</v>
      </c>
      <c r="AJ750" s="81"/>
      <c r="AK750" s="87" t="s">
        <v>3875</v>
      </c>
      <c r="AL750" s="81" t="b">
        <v>0</v>
      </c>
      <c r="AM750" s="81">
        <v>321</v>
      </c>
      <c r="AN750" s="87" t="s">
        <v>3520</v>
      </c>
      <c r="AO750" s="87" t="s">
        <v>4109</v>
      </c>
      <c r="AP750" s="81" t="b">
        <v>0</v>
      </c>
      <c r="AQ750" s="87" t="s">
        <v>3520</v>
      </c>
      <c r="AR750" s="81" t="s">
        <v>179</v>
      </c>
      <c r="AS750" s="81">
        <v>0</v>
      </c>
      <c r="AT750" s="81">
        <v>0</v>
      </c>
      <c r="AU750" s="81"/>
      <c r="AV750" s="81"/>
      <c r="AW750" s="81"/>
      <c r="AX750" s="81"/>
      <c r="AY750" s="81"/>
      <c r="AZ750" s="81"/>
      <c r="BA750" s="81"/>
      <c r="BB750" s="81"/>
    </row>
    <row r="751" spans="1:54" x14ac:dyDescent="0.35">
      <c r="A751" s="66" t="s">
        <v>636</v>
      </c>
      <c r="B751" s="66" t="s">
        <v>910</v>
      </c>
      <c r="C751" s="67"/>
      <c r="D751" s="68"/>
      <c r="E751" s="69"/>
      <c r="F751" s="70"/>
      <c r="G751" s="67"/>
      <c r="H751" s="71"/>
      <c r="I751" s="72"/>
      <c r="J751" s="72"/>
      <c r="K751" s="36"/>
      <c r="L751" s="79"/>
      <c r="M751" s="79"/>
      <c r="N751" s="74"/>
      <c r="O751" s="81" t="s">
        <v>1205</v>
      </c>
      <c r="P751" s="83">
        <v>44460.912430555552</v>
      </c>
      <c r="Q751" s="81" t="s">
        <v>1324</v>
      </c>
      <c r="R751" s="81"/>
      <c r="S751" s="81"/>
      <c r="T751" s="81"/>
      <c r="U751" s="85" t="str">
        <f>HYPERLINK("https://pbs.twimg.com/media/E_xVJy2VQAQerFe.jpg")</f>
        <v>https://pbs.twimg.com/media/E_xVJy2VQAQerFe.jpg</v>
      </c>
      <c r="V751" s="85" t="str">
        <f>HYPERLINK("https://pbs.twimg.com/media/E_xVJy2VQAQerFe.jpg")</f>
        <v>https://pbs.twimg.com/media/E_xVJy2VQAQerFe.jpg</v>
      </c>
      <c r="W751" s="83">
        <v>44460.912430555552</v>
      </c>
      <c r="X751" s="89">
        <v>44460</v>
      </c>
      <c r="Y751" s="87" t="s">
        <v>2242</v>
      </c>
      <c r="Z751" s="85" t="str">
        <f>HYPERLINK("https://twitter.com/hanjenifd/status/1440434135185592322")</f>
        <v>https://twitter.com/hanjenifd/status/1440434135185592322</v>
      </c>
      <c r="AA751" s="81"/>
      <c r="AB751" s="81"/>
      <c r="AC751" s="87" t="s">
        <v>3166</v>
      </c>
      <c r="AD751" s="81"/>
      <c r="AE751" s="81" t="b">
        <v>0</v>
      </c>
      <c r="AF751" s="81">
        <v>0</v>
      </c>
      <c r="AG751" s="87" t="s">
        <v>3875</v>
      </c>
      <c r="AH751" s="81" t="b">
        <v>0</v>
      </c>
      <c r="AI751" s="81" t="s">
        <v>4092</v>
      </c>
      <c r="AJ751" s="81"/>
      <c r="AK751" s="87" t="s">
        <v>3875</v>
      </c>
      <c r="AL751" s="81" t="b">
        <v>0</v>
      </c>
      <c r="AM751" s="81">
        <v>321</v>
      </c>
      <c r="AN751" s="87" t="s">
        <v>3520</v>
      </c>
      <c r="AO751" s="87" t="s">
        <v>4109</v>
      </c>
      <c r="AP751" s="81" t="b">
        <v>0</v>
      </c>
      <c r="AQ751" s="87" t="s">
        <v>3520</v>
      </c>
      <c r="AR751" s="81" t="s">
        <v>179</v>
      </c>
      <c r="AS751" s="81">
        <v>0</v>
      </c>
      <c r="AT751" s="81">
        <v>0</v>
      </c>
      <c r="AU751" s="81"/>
      <c r="AV751" s="81"/>
      <c r="AW751" s="81"/>
      <c r="AX751" s="81"/>
      <c r="AY751" s="81"/>
      <c r="AZ751" s="81"/>
      <c r="BA751" s="81"/>
      <c r="BB751" s="81"/>
    </row>
    <row r="752" spans="1:54" x14ac:dyDescent="0.35">
      <c r="A752" s="66" t="s">
        <v>637</v>
      </c>
      <c r="B752" s="66" t="s">
        <v>1055</v>
      </c>
      <c r="C752" s="67"/>
      <c r="D752" s="68"/>
      <c r="E752" s="69"/>
      <c r="F752" s="70"/>
      <c r="G752" s="67"/>
      <c r="H752" s="71"/>
      <c r="I752" s="72"/>
      <c r="J752" s="72"/>
      <c r="K752" s="36"/>
      <c r="L752" s="79"/>
      <c r="M752" s="79"/>
      <c r="N752" s="74"/>
      <c r="O752" s="81" t="s">
        <v>1207</v>
      </c>
      <c r="P752" s="83">
        <v>44460.930104166669</v>
      </c>
      <c r="Q752" s="81" t="s">
        <v>1324</v>
      </c>
      <c r="R752" s="81"/>
      <c r="S752" s="81"/>
      <c r="T752" s="81"/>
      <c r="U752" s="85" t="str">
        <f>HYPERLINK("https://pbs.twimg.com/media/E_xVJy2VQAQerFe.jpg")</f>
        <v>https://pbs.twimg.com/media/E_xVJy2VQAQerFe.jpg</v>
      </c>
      <c r="V752" s="85" t="str">
        <f>HYPERLINK("https://pbs.twimg.com/media/E_xVJy2VQAQerFe.jpg")</f>
        <v>https://pbs.twimg.com/media/E_xVJy2VQAQerFe.jpg</v>
      </c>
      <c r="W752" s="83">
        <v>44460.930104166669</v>
      </c>
      <c r="X752" s="89">
        <v>44460</v>
      </c>
      <c r="Y752" s="87" t="s">
        <v>2243</v>
      </c>
      <c r="Z752" s="85" t="str">
        <f>HYPERLINK("https://twitter.com/mohsyfri/status/1440440539942305798")</f>
        <v>https://twitter.com/mohsyfri/status/1440440539942305798</v>
      </c>
      <c r="AA752" s="81"/>
      <c r="AB752" s="81"/>
      <c r="AC752" s="87" t="s">
        <v>3167</v>
      </c>
      <c r="AD752" s="81"/>
      <c r="AE752" s="81" t="b">
        <v>0</v>
      </c>
      <c r="AF752" s="81">
        <v>0</v>
      </c>
      <c r="AG752" s="87" t="s">
        <v>3875</v>
      </c>
      <c r="AH752" s="81" t="b">
        <v>0</v>
      </c>
      <c r="AI752" s="81" t="s">
        <v>4092</v>
      </c>
      <c r="AJ752" s="81"/>
      <c r="AK752" s="87" t="s">
        <v>3875</v>
      </c>
      <c r="AL752" s="81" t="b">
        <v>0</v>
      </c>
      <c r="AM752" s="81">
        <v>321</v>
      </c>
      <c r="AN752" s="87" t="s">
        <v>3520</v>
      </c>
      <c r="AO752" s="87" t="s">
        <v>4109</v>
      </c>
      <c r="AP752" s="81" t="b">
        <v>0</v>
      </c>
      <c r="AQ752" s="87" t="s">
        <v>3520</v>
      </c>
      <c r="AR752" s="81" t="s">
        <v>179</v>
      </c>
      <c r="AS752" s="81">
        <v>0</v>
      </c>
      <c r="AT752" s="81">
        <v>0</v>
      </c>
      <c r="AU752" s="81"/>
      <c r="AV752" s="81"/>
      <c r="AW752" s="81"/>
      <c r="AX752" s="81"/>
      <c r="AY752" s="81"/>
      <c r="AZ752" s="81"/>
      <c r="BA752" s="81"/>
      <c r="BB752" s="81"/>
    </row>
    <row r="753" spans="1:54" x14ac:dyDescent="0.35">
      <c r="A753" s="66" t="s">
        <v>637</v>
      </c>
      <c r="B753" s="66" t="s">
        <v>910</v>
      </c>
      <c r="C753" s="67"/>
      <c r="D753" s="68"/>
      <c r="E753" s="69"/>
      <c r="F753" s="70"/>
      <c r="G753" s="67"/>
      <c r="H753" s="71"/>
      <c r="I753" s="72"/>
      <c r="J753" s="72"/>
      <c r="K753" s="36"/>
      <c r="L753" s="79"/>
      <c r="M753" s="79"/>
      <c r="N753" s="74"/>
      <c r="O753" s="81" t="s">
        <v>1205</v>
      </c>
      <c r="P753" s="83">
        <v>44460.930104166669</v>
      </c>
      <c r="Q753" s="81" t="s">
        <v>1324</v>
      </c>
      <c r="R753" s="81"/>
      <c r="S753" s="81"/>
      <c r="T753" s="81"/>
      <c r="U753" s="85" t="str">
        <f>HYPERLINK("https://pbs.twimg.com/media/E_xVJy2VQAQerFe.jpg")</f>
        <v>https://pbs.twimg.com/media/E_xVJy2VQAQerFe.jpg</v>
      </c>
      <c r="V753" s="85" t="str">
        <f>HYPERLINK("https://pbs.twimg.com/media/E_xVJy2VQAQerFe.jpg")</f>
        <v>https://pbs.twimg.com/media/E_xVJy2VQAQerFe.jpg</v>
      </c>
      <c r="W753" s="83">
        <v>44460.930104166669</v>
      </c>
      <c r="X753" s="89">
        <v>44460</v>
      </c>
      <c r="Y753" s="87" t="s">
        <v>2243</v>
      </c>
      <c r="Z753" s="85" t="str">
        <f>HYPERLINK("https://twitter.com/mohsyfri/status/1440440539942305798")</f>
        <v>https://twitter.com/mohsyfri/status/1440440539942305798</v>
      </c>
      <c r="AA753" s="81"/>
      <c r="AB753" s="81"/>
      <c r="AC753" s="87" t="s">
        <v>3167</v>
      </c>
      <c r="AD753" s="81"/>
      <c r="AE753" s="81" t="b">
        <v>0</v>
      </c>
      <c r="AF753" s="81">
        <v>0</v>
      </c>
      <c r="AG753" s="87" t="s">
        <v>3875</v>
      </c>
      <c r="AH753" s="81" t="b">
        <v>0</v>
      </c>
      <c r="AI753" s="81" t="s">
        <v>4092</v>
      </c>
      <c r="AJ753" s="81"/>
      <c r="AK753" s="87" t="s">
        <v>3875</v>
      </c>
      <c r="AL753" s="81" t="b">
        <v>0</v>
      </c>
      <c r="AM753" s="81">
        <v>321</v>
      </c>
      <c r="AN753" s="87" t="s">
        <v>3520</v>
      </c>
      <c r="AO753" s="87" t="s">
        <v>4109</v>
      </c>
      <c r="AP753" s="81" t="b">
        <v>0</v>
      </c>
      <c r="AQ753" s="87" t="s">
        <v>3520</v>
      </c>
      <c r="AR753" s="81" t="s">
        <v>179</v>
      </c>
      <c r="AS753" s="81">
        <v>0</v>
      </c>
      <c r="AT753" s="81">
        <v>0</v>
      </c>
      <c r="AU753" s="81"/>
      <c r="AV753" s="81"/>
      <c r="AW753" s="81"/>
      <c r="AX753" s="81"/>
      <c r="AY753" s="81"/>
      <c r="AZ753" s="81"/>
      <c r="BA753" s="81"/>
      <c r="BB753" s="81"/>
    </row>
    <row r="754" spans="1:54" x14ac:dyDescent="0.35">
      <c r="A754" s="66" t="s">
        <v>638</v>
      </c>
      <c r="B754" s="66" t="s">
        <v>1055</v>
      </c>
      <c r="C754" s="67"/>
      <c r="D754" s="68"/>
      <c r="E754" s="69"/>
      <c r="F754" s="70"/>
      <c r="G754" s="67"/>
      <c r="H754" s="71"/>
      <c r="I754" s="72"/>
      <c r="J754" s="72"/>
      <c r="K754" s="36"/>
      <c r="L754" s="79"/>
      <c r="M754" s="79"/>
      <c r="N754" s="74"/>
      <c r="O754" s="81" t="s">
        <v>1207</v>
      </c>
      <c r="P754" s="83">
        <v>44460.946238425924</v>
      </c>
      <c r="Q754" s="81" t="s">
        <v>1324</v>
      </c>
      <c r="R754" s="81"/>
      <c r="S754" s="81"/>
      <c r="T754" s="81"/>
      <c r="U754" s="85" t="str">
        <f>HYPERLINK("https://pbs.twimg.com/media/E_xVJy2VQAQerFe.jpg")</f>
        <v>https://pbs.twimg.com/media/E_xVJy2VQAQerFe.jpg</v>
      </c>
      <c r="V754" s="85" t="str">
        <f>HYPERLINK("https://pbs.twimg.com/media/E_xVJy2VQAQerFe.jpg")</f>
        <v>https://pbs.twimg.com/media/E_xVJy2VQAQerFe.jpg</v>
      </c>
      <c r="W754" s="83">
        <v>44460.946238425924</v>
      </c>
      <c r="X754" s="89">
        <v>44460</v>
      </c>
      <c r="Y754" s="87" t="s">
        <v>2244</v>
      </c>
      <c r="Z754" s="85" t="str">
        <f>HYPERLINK("https://twitter.com/jayun72997066/status/1440446388731404312")</f>
        <v>https://twitter.com/jayun72997066/status/1440446388731404312</v>
      </c>
      <c r="AA754" s="81"/>
      <c r="AB754" s="81"/>
      <c r="AC754" s="87" t="s">
        <v>3168</v>
      </c>
      <c r="AD754" s="81"/>
      <c r="AE754" s="81" t="b">
        <v>0</v>
      </c>
      <c r="AF754" s="81">
        <v>0</v>
      </c>
      <c r="AG754" s="87" t="s">
        <v>3875</v>
      </c>
      <c r="AH754" s="81" t="b">
        <v>0</v>
      </c>
      <c r="AI754" s="81" t="s">
        <v>4092</v>
      </c>
      <c r="AJ754" s="81"/>
      <c r="AK754" s="87" t="s">
        <v>3875</v>
      </c>
      <c r="AL754" s="81" t="b">
        <v>0</v>
      </c>
      <c r="AM754" s="81">
        <v>321</v>
      </c>
      <c r="AN754" s="87" t="s">
        <v>3520</v>
      </c>
      <c r="AO754" s="87" t="s">
        <v>4109</v>
      </c>
      <c r="AP754" s="81" t="b">
        <v>0</v>
      </c>
      <c r="AQ754" s="87" t="s">
        <v>3520</v>
      </c>
      <c r="AR754" s="81" t="s">
        <v>179</v>
      </c>
      <c r="AS754" s="81">
        <v>0</v>
      </c>
      <c r="AT754" s="81">
        <v>0</v>
      </c>
      <c r="AU754" s="81"/>
      <c r="AV754" s="81"/>
      <c r="AW754" s="81"/>
      <c r="AX754" s="81"/>
      <c r="AY754" s="81"/>
      <c r="AZ754" s="81"/>
      <c r="BA754" s="81"/>
      <c r="BB754" s="81"/>
    </row>
    <row r="755" spans="1:54" x14ac:dyDescent="0.35">
      <c r="A755" s="66" t="s">
        <v>638</v>
      </c>
      <c r="B755" s="66" t="s">
        <v>910</v>
      </c>
      <c r="C755" s="67"/>
      <c r="D755" s="68"/>
      <c r="E755" s="69"/>
      <c r="F755" s="70"/>
      <c r="G755" s="67"/>
      <c r="H755" s="71"/>
      <c r="I755" s="72"/>
      <c r="J755" s="72"/>
      <c r="K755" s="36"/>
      <c r="L755" s="79"/>
      <c r="M755" s="79"/>
      <c r="N755" s="74"/>
      <c r="O755" s="81" t="s">
        <v>1205</v>
      </c>
      <c r="P755" s="83">
        <v>44460.946238425924</v>
      </c>
      <c r="Q755" s="81" t="s">
        <v>1324</v>
      </c>
      <c r="R755" s="81"/>
      <c r="S755" s="81"/>
      <c r="T755" s="81"/>
      <c r="U755" s="85" t="str">
        <f>HYPERLINK("https://pbs.twimg.com/media/E_xVJy2VQAQerFe.jpg")</f>
        <v>https://pbs.twimg.com/media/E_xVJy2VQAQerFe.jpg</v>
      </c>
      <c r="V755" s="85" t="str">
        <f>HYPERLINK("https://pbs.twimg.com/media/E_xVJy2VQAQerFe.jpg")</f>
        <v>https://pbs.twimg.com/media/E_xVJy2VQAQerFe.jpg</v>
      </c>
      <c r="W755" s="83">
        <v>44460.946238425924</v>
      </c>
      <c r="X755" s="89">
        <v>44460</v>
      </c>
      <c r="Y755" s="87" t="s">
        <v>2244</v>
      </c>
      <c r="Z755" s="85" t="str">
        <f>HYPERLINK("https://twitter.com/jayun72997066/status/1440446388731404312")</f>
        <v>https://twitter.com/jayun72997066/status/1440446388731404312</v>
      </c>
      <c r="AA755" s="81"/>
      <c r="AB755" s="81"/>
      <c r="AC755" s="87" t="s">
        <v>3168</v>
      </c>
      <c r="AD755" s="81"/>
      <c r="AE755" s="81" t="b">
        <v>0</v>
      </c>
      <c r="AF755" s="81">
        <v>0</v>
      </c>
      <c r="AG755" s="87" t="s">
        <v>3875</v>
      </c>
      <c r="AH755" s="81" t="b">
        <v>0</v>
      </c>
      <c r="AI755" s="81" t="s">
        <v>4092</v>
      </c>
      <c r="AJ755" s="81"/>
      <c r="AK755" s="87" t="s">
        <v>3875</v>
      </c>
      <c r="AL755" s="81" t="b">
        <v>0</v>
      </c>
      <c r="AM755" s="81">
        <v>321</v>
      </c>
      <c r="AN755" s="87" t="s">
        <v>3520</v>
      </c>
      <c r="AO755" s="87" t="s">
        <v>4109</v>
      </c>
      <c r="AP755" s="81" t="b">
        <v>0</v>
      </c>
      <c r="AQ755" s="87" t="s">
        <v>3520</v>
      </c>
      <c r="AR755" s="81" t="s">
        <v>179</v>
      </c>
      <c r="AS755" s="81">
        <v>0</v>
      </c>
      <c r="AT755" s="81">
        <v>0</v>
      </c>
      <c r="AU755" s="81"/>
      <c r="AV755" s="81"/>
      <c r="AW755" s="81"/>
      <c r="AX755" s="81"/>
      <c r="AY755" s="81"/>
      <c r="AZ755" s="81"/>
      <c r="BA755" s="81"/>
      <c r="BB755" s="81"/>
    </row>
    <row r="756" spans="1:54" x14ac:dyDescent="0.35">
      <c r="A756" s="66" t="s">
        <v>639</v>
      </c>
      <c r="B756" s="66" t="s">
        <v>1055</v>
      </c>
      <c r="C756" s="67"/>
      <c r="D756" s="68"/>
      <c r="E756" s="69"/>
      <c r="F756" s="70"/>
      <c r="G756" s="67"/>
      <c r="H756" s="71"/>
      <c r="I756" s="72"/>
      <c r="J756" s="72"/>
      <c r="K756" s="36"/>
      <c r="L756" s="79"/>
      <c r="M756" s="79"/>
      <c r="N756" s="74"/>
      <c r="O756" s="81" t="s">
        <v>1207</v>
      </c>
      <c r="P756" s="83">
        <v>44460.948344907411</v>
      </c>
      <c r="Q756" s="81" t="s">
        <v>1324</v>
      </c>
      <c r="R756" s="81"/>
      <c r="S756" s="81"/>
      <c r="T756" s="81"/>
      <c r="U756" s="85" t="str">
        <f>HYPERLINK("https://pbs.twimg.com/media/E_xVJy2VQAQerFe.jpg")</f>
        <v>https://pbs.twimg.com/media/E_xVJy2VQAQerFe.jpg</v>
      </c>
      <c r="V756" s="85" t="str">
        <f>HYPERLINK("https://pbs.twimg.com/media/E_xVJy2VQAQerFe.jpg")</f>
        <v>https://pbs.twimg.com/media/E_xVJy2VQAQerFe.jpg</v>
      </c>
      <c r="W756" s="83">
        <v>44460.948344907411</v>
      </c>
      <c r="X756" s="89">
        <v>44460</v>
      </c>
      <c r="Y756" s="87" t="s">
        <v>2245</v>
      </c>
      <c r="Z756" s="85" t="str">
        <f>HYPERLINK("https://twitter.com/herwatoe/status/1440447148269572096")</f>
        <v>https://twitter.com/herwatoe/status/1440447148269572096</v>
      </c>
      <c r="AA756" s="81"/>
      <c r="AB756" s="81"/>
      <c r="AC756" s="87" t="s">
        <v>3169</v>
      </c>
      <c r="AD756" s="81"/>
      <c r="AE756" s="81" t="b">
        <v>0</v>
      </c>
      <c r="AF756" s="81">
        <v>0</v>
      </c>
      <c r="AG756" s="87" t="s">
        <v>3875</v>
      </c>
      <c r="AH756" s="81" t="b">
        <v>0</v>
      </c>
      <c r="AI756" s="81" t="s">
        <v>4092</v>
      </c>
      <c r="AJ756" s="81"/>
      <c r="AK756" s="87" t="s">
        <v>3875</v>
      </c>
      <c r="AL756" s="81" t="b">
        <v>0</v>
      </c>
      <c r="AM756" s="81">
        <v>321</v>
      </c>
      <c r="AN756" s="87" t="s">
        <v>3520</v>
      </c>
      <c r="AO756" s="87" t="s">
        <v>4109</v>
      </c>
      <c r="AP756" s="81" t="b">
        <v>0</v>
      </c>
      <c r="AQ756" s="87" t="s">
        <v>3520</v>
      </c>
      <c r="AR756" s="81" t="s">
        <v>179</v>
      </c>
      <c r="AS756" s="81">
        <v>0</v>
      </c>
      <c r="AT756" s="81">
        <v>0</v>
      </c>
      <c r="AU756" s="81"/>
      <c r="AV756" s="81"/>
      <c r="AW756" s="81"/>
      <c r="AX756" s="81"/>
      <c r="AY756" s="81"/>
      <c r="AZ756" s="81"/>
      <c r="BA756" s="81"/>
      <c r="BB756" s="81"/>
    </row>
    <row r="757" spans="1:54" x14ac:dyDescent="0.35">
      <c r="A757" s="66" t="s">
        <v>639</v>
      </c>
      <c r="B757" s="66" t="s">
        <v>910</v>
      </c>
      <c r="C757" s="67"/>
      <c r="D757" s="68"/>
      <c r="E757" s="69"/>
      <c r="F757" s="70"/>
      <c r="G757" s="67"/>
      <c r="H757" s="71"/>
      <c r="I757" s="72"/>
      <c r="J757" s="72"/>
      <c r="K757" s="36"/>
      <c r="L757" s="79"/>
      <c r="M757" s="79"/>
      <c r="N757" s="74"/>
      <c r="O757" s="81" t="s">
        <v>1205</v>
      </c>
      <c r="P757" s="83">
        <v>44460.948344907411</v>
      </c>
      <c r="Q757" s="81" t="s">
        <v>1324</v>
      </c>
      <c r="R757" s="81"/>
      <c r="S757" s="81"/>
      <c r="T757" s="81"/>
      <c r="U757" s="85" t="str">
        <f>HYPERLINK("https://pbs.twimg.com/media/E_xVJy2VQAQerFe.jpg")</f>
        <v>https://pbs.twimg.com/media/E_xVJy2VQAQerFe.jpg</v>
      </c>
      <c r="V757" s="85" t="str">
        <f>HYPERLINK("https://pbs.twimg.com/media/E_xVJy2VQAQerFe.jpg")</f>
        <v>https://pbs.twimg.com/media/E_xVJy2VQAQerFe.jpg</v>
      </c>
      <c r="W757" s="83">
        <v>44460.948344907411</v>
      </c>
      <c r="X757" s="89">
        <v>44460</v>
      </c>
      <c r="Y757" s="87" t="s">
        <v>2245</v>
      </c>
      <c r="Z757" s="85" t="str">
        <f>HYPERLINK("https://twitter.com/herwatoe/status/1440447148269572096")</f>
        <v>https://twitter.com/herwatoe/status/1440447148269572096</v>
      </c>
      <c r="AA757" s="81"/>
      <c r="AB757" s="81"/>
      <c r="AC757" s="87" t="s">
        <v>3169</v>
      </c>
      <c r="AD757" s="81"/>
      <c r="AE757" s="81" t="b">
        <v>0</v>
      </c>
      <c r="AF757" s="81">
        <v>0</v>
      </c>
      <c r="AG757" s="87" t="s">
        <v>3875</v>
      </c>
      <c r="AH757" s="81" t="b">
        <v>0</v>
      </c>
      <c r="AI757" s="81" t="s">
        <v>4092</v>
      </c>
      <c r="AJ757" s="81"/>
      <c r="AK757" s="87" t="s">
        <v>3875</v>
      </c>
      <c r="AL757" s="81" t="b">
        <v>0</v>
      </c>
      <c r="AM757" s="81">
        <v>321</v>
      </c>
      <c r="AN757" s="87" t="s">
        <v>3520</v>
      </c>
      <c r="AO757" s="87" t="s">
        <v>4109</v>
      </c>
      <c r="AP757" s="81" t="b">
        <v>0</v>
      </c>
      <c r="AQ757" s="87" t="s">
        <v>3520</v>
      </c>
      <c r="AR757" s="81" t="s">
        <v>179</v>
      </c>
      <c r="AS757" s="81">
        <v>0</v>
      </c>
      <c r="AT757" s="81">
        <v>0</v>
      </c>
      <c r="AU757" s="81"/>
      <c r="AV757" s="81"/>
      <c r="AW757" s="81"/>
      <c r="AX757" s="81"/>
      <c r="AY757" s="81"/>
      <c r="AZ757" s="81"/>
      <c r="BA757" s="81"/>
      <c r="BB757" s="81"/>
    </row>
    <row r="758" spans="1:54" x14ac:dyDescent="0.35">
      <c r="A758" s="66" t="s">
        <v>640</v>
      </c>
      <c r="B758" s="66" t="s">
        <v>1055</v>
      </c>
      <c r="C758" s="67"/>
      <c r="D758" s="68"/>
      <c r="E758" s="69"/>
      <c r="F758" s="70"/>
      <c r="G758" s="67"/>
      <c r="H758" s="71"/>
      <c r="I758" s="72"/>
      <c r="J758" s="72"/>
      <c r="K758" s="36"/>
      <c r="L758" s="79"/>
      <c r="M758" s="79"/>
      <c r="N758" s="74"/>
      <c r="O758" s="81" t="s">
        <v>1207</v>
      </c>
      <c r="P758" s="83">
        <v>44460.94972222222</v>
      </c>
      <c r="Q758" s="81" t="s">
        <v>1324</v>
      </c>
      <c r="R758" s="81"/>
      <c r="S758" s="81"/>
      <c r="T758" s="81"/>
      <c r="U758" s="85" t="str">
        <f>HYPERLINK("https://pbs.twimg.com/media/E_xVJy2VQAQerFe.jpg")</f>
        <v>https://pbs.twimg.com/media/E_xVJy2VQAQerFe.jpg</v>
      </c>
      <c r="V758" s="85" t="str">
        <f>HYPERLINK("https://pbs.twimg.com/media/E_xVJy2VQAQerFe.jpg")</f>
        <v>https://pbs.twimg.com/media/E_xVJy2VQAQerFe.jpg</v>
      </c>
      <c r="W758" s="83">
        <v>44460.94972222222</v>
      </c>
      <c r="X758" s="89">
        <v>44460</v>
      </c>
      <c r="Y758" s="87" t="s">
        <v>2246</v>
      </c>
      <c r="Z758" s="85" t="str">
        <f>HYPERLINK("https://twitter.com/juvestalker/status/1440447650201882636")</f>
        <v>https://twitter.com/juvestalker/status/1440447650201882636</v>
      </c>
      <c r="AA758" s="81"/>
      <c r="AB758" s="81"/>
      <c r="AC758" s="87" t="s">
        <v>3170</v>
      </c>
      <c r="AD758" s="81"/>
      <c r="AE758" s="81" t="b">
        <v>0</v>
      </c>
      <c r="AF758" s="81">
        <v>0</v>
      </c>
      <c r="AG758" s="87" t="s">
        <v>3875</v>
      </c>
      <c r="AH758" s="81" t="b">
        <v>0</v>
      </c>
      <c r="AI758" s="81" t="s">
        <v>4092</v>
      </c>
      <c r="AJ758" s="81"/>
      <c r="AK758" s="87" t="s">
        <v>3875</v>
      </c>
      <c r="AL758" s="81" t="b">
        <v>0</v>
      </c>
      <c r="AM758" s="81">
        <v>321</v>
      </c>
      <c r="AN758" s="87" t="s">
        <v>3520</v>
      </c>
      <c r="AO758" s="87" t="s">
        <v>4109</v>
      </c>
      <c r="AP758" s="81" t="b">
        <v>0</v>
      </c>
      <c r="AQ758" s="87" t="s">
        <v>3520</v>
      </c>
      <c r="AR758" s="81" t="s">
        <v>179</v>
      </c>
      <c r="AS758" s="81">
        <v>0</v>
      </c>
      <c r="AT758" s="81">
        <v>0</v>
      </c>
      <c r="AU758" s="81"/>
      <c r="AV758" s="81"/>
      <c r="AW758" s="81"/>
      <c r="AX758" s="81"/>
      <c r="AY758" s="81"/>
      <c r="AZ758" s="81"/>
      <c r="BA758" s="81"/>
      <c r="BB758" s="81"/>
    </row>
    <row r="759" spans="1:54" x14ac:dyDescent="0.35">
      <c r="A759" s="66" t="s">
        <v>640</v>
      </c>
      <c r="B759" s="66" t="s">
        <v>910</v>
      </c>
      <c r="C759" s="67"/>
      <c r="D759" s="68"/>
      <c r="E759" s="69"/>
      <c r="F759" s="70"/>
      <c r="G759" s="67"/>
      <c r="H759" s="71"/>
      <c r="I759" s="72"/>
      <c r="J759" s="72"/>
      <c r="K759" s="36"/>
      <c r="L759" s="79"/>
      <c r="M759" s="79"/>
      <c r="N759" s="74"/>
      <c r="O759" s="81" t="s">
        <v>1205</v>
      </c>
      <c r="P759" s="83">
        <v>44460.94972222222</v>
      </c>
      <c r="Q759" s="81" t="s">
        <v>1324</v>
      </c>
      <c r="R759" s="81"/>
      <c r="S759" s="81"/>
      <c r="T759" s="81"/>
      <c r="U759" s="85" t="str">
        <f>HYPERLINK("https://pbs.twimg.com/media/E_xVJy2VQAQerFe.jpg")</f>
        <v>https://pbs.twimg.com/media/E_xVJy2VQAQerFe.jpg</v>
      </c>
      <c r="V759" s="85" t="str">
        <f>HYPERLINK("https://pbs.twimg.com/media/E_xVJy2VQAQerFe.jpg")</f>
        <v>https://pbs.twimg.com/media/E_xVJy2VQAQerFe.jpg</v>
      </c>
      <c r="W759" s="83">
        <v>44460.94972222222</v>
      </c>
      <c r="X759" s="89">
        <v>44460</v>
      </c>
      <c r="Y759" s="87" t="s">
        <v>2246</v>
      </c>
      <c r="Z759" s="85" t="str">
        <f>HYPERLINK("https://twitter.com/juvestalker/status/1440447650201882636")</f>
        <v>https://twitter.com/juvestalker/status/1440447650201882636</v>
      </c>
      <c r="AA759" s="81"/>
      <c r="AB759" s="81"/>
      <c r="AC759" s="87" t="s">
        <v>3170</v>
      </c>
      <c r="AD759" s="81"/>
      <c r="AE759" s="81" t="b">
        <v>0</v>
      </c>
      <c r="AF759" s="81">
        <v>0</v>
      </c>
      <c r="AG759" s="87" t="s">
        <v>3875</v>
      </c>
      <c r="AH759" s="81" t="b">
        <v>0</v>
      </c>
      <c r="AI759" s="81" t="s">
        <v>4092</v>
      </c>
      <c r="AJ759" s="81"/>
      <c r="AK759" s="87" t="s">
        <v>3875</v>
      </c>
      <c r="AL759" s="81" t="b">
        <v>0</v>
      </c>
      <c r="AM759" s="81">
        <v>321</v>
      </c>
      <c r="AN759" s="87" t="s">
        <v>3520</v>
      </c>
      <c r="AO759" s="87" t="s">
        <v>4109</v>
      </c>
      <c r="AP759" s="81" t="b">
        <v>0</v>
      </c>
      <c r="AQ759" s="87" t="s">
        <v>3520</v>
      </c>
      <c r="AR759" s="81" t="s">
        <v>179</v>
      </c>
      <c r="AS759" s="81">
        <v>0</v>
      </c>
      <c r="AT759" s="81">
        <v>0</v>
      </c>
      <c r="AU759" s="81"/>
      <c r="AV759" s="81"/>
      <c r="AW759" s="81"/>
      <c r="AX759" s="81"/>
      <c r="AY759" s="81"/>
      <c r="AZ759" s="81"/>
      <c r="BA759" s="81"/>
      <c r="BB759" s="81"/>
    </row>
    <row r="760" spans="1:54" x14ac:dyDescent="0.35">
      <c r="A760" s="66" t="s">
        <v>641</v>
      </c>
      <c r="B760" s="66" t="s">
        <v>1075</v>
      </c>
      <c r="C760" s="67"/>
      <c r="D760" s="68"/>
      <c r="E760" s="69"/>
      <c r="F760" s="70"/>
      <c r="G760" s="67"/>
      <c r="H760" s="71"/>
      <c r="I760" s="72"/>
      <c r="J760" s="72"/>
      <c r="K760" s="36"/>
      <c r="L760" s="79"/>
      <c r="M760" s="79"/>
      <c r="N760" s="74"/>
      <c r="O760" s="81" t="s">
        <v>1208</v>
      </c>
      <c r="P760" s="83">
        <v>44460.958645833336</v>
      </c>
      <c r="Q760" s="81" t="s">
        <v>1369</v>
      </c>
      <c r="R760" s="81"/>
      <c r="S760" s="81"/>
      <c r="T760" s="81"/>
      <c r="U760" s="81"/>
      <c r="V760" s="85" t="str">
        <f>HYPERLINK("https://pbs.twimg.com/profile_images/1414044073489436681/dc6pkEdy_normal.jpg")</f>
        <v>https://pbs.twimg.com/profile_images/1414044073489436681/dc6pkEdy_normal.jpg</v>
      </c>
      <c r="W760" s="83">
        <v>44460.958645833336</v>
      </c>
      <c r="X760" s="89">
        <v>44460</v>
      </c>
      <c r="Y760" s="87" t="s">
        <v>2247</v>
      </c>
      <c r="Z760" s="85" t="str">
        <f>HYPERLINK("https://twitter.com/renjunsbun/status/1440450883804794880")</f>
        <v>https://twitter.com/renjunsbun/status/1440450883804794880</v>
      </c>
      <c r="AA760" s="81"/>
      <c r="AB760" s="81"/>
      <c r="AC760" s="87" t="s">
        <v>3171</v>
      </c>
      <c r="AD760" s="87" t="s">
        <v>3730</v>
      </c>
      <c r="AE760" s="81" t="b">
        <v>0</v>
      </c>
      <c r="AF760" s="81">
        <v>0</v>
      </c>
      <c r="AG760" s="87" t="s">
        <v>3952</v>
      </c>
      <c r="AH760" s="81" t="b">
        <v>0</v>
      </c>
      <c r="AI760" s="81" t="s">
        <v>4092</v>
      </c>
      <c r="AJ760" s="81"/>
      <c r="AK760" s="87" t="s">
        <v>3875</v>
      </c>
      <c r="AL760" s="81" t="b">
        <v>0</v>
      </c>
      <c r="AM760" s="81">
        <v>0</v>
      </c>
      <c r="AN760" s="87" t="s">
        <v>3875</v>
      </c>
      <c r="AO760" s="87" t="s">
        <v>4110</v>
      </c>
      <c r="AP760" s="81" t="b">
        <v>0</v>
      </c>
      <c r="AQ760" s="87" t="s">
        <v>3730</v>
      </c>
      <c r="AR760" s="81" t="s">
        <v>179</v>
      </c>
      <c r="AS760" s="81">
        <v>0</v>
      </c>
      <c r="AT760" s="81">
        <v>0</v>
      </c>
      <c r="AU760" s="81"/>
      <c r="AV760" s="81"/>
      <c r="AW760" s="81"/>
      <c r="AX760" s="81"/>
      <c r="AY760" s="81"/>
      <c r="AZ760" s="81"/>
      <c r="BA760" s="81"/>
      <c r="BB760" s="81"/>
    </row>
    <row r="761" spans="1:54" x14ac:dyDescent="0.35">
      <c r="A761" s="66" t="s">
        <v>642</v>
      </c>
      <c r="B761" s="66" t="s">
        <v>1055</v>
      </c>
      <c r="C761" s="67"/>
      <c r="D761" s="68"/>
      <c r="E761" s="69"/>
      <c r="F761" s="70"/>
      <c r="G761" s="67"/>
      <c r="H761" s="71"/>
      <c r="I761" s="72"/>
      <c r="J761" s="72"/>
      <c r="K761" s="36"/>
      <c r="L761" s="79"/>
      <c r="M761" s="79"/>
      <c r="N761" s="74"/>
      <c r="O761" s="81" t="s">
        <v>1207</v>
      </c>
      <c r="P761" s="83">
        <v>44460.962314814817</v>
      </c>
      <c r="Q761" s="81" t="s">
        <v>1324</v>
      </c>
      <c r="R761" s="81"/>
      <c r="S761" s="81"/>
      <c r="T761" s="81"/>
      <c r="U761" s="85" t="str">
        <f>HYPERLINK("https://pbs.twimg.com/media/E_xVJy2VQAQerFe.jpg")</f>
        <v>https://pbs.twimg.com/media/E_xVJy2VQAQerFe.jpg</v>
      </c>
      <c r="V761" s="85" t="str">
        <f>HYPERLINK("https://pbs.twimg.com/media/E_xVJy2VQAQerFe.jpg")</f>
        <v>https://pbs.twimg.com/media/E_xVJy2VQAQerFe.jpg</v>
      </c>
      <c r="W761" s="83">
        <v>44460.962314814817</v>
      </c>
      <c r="X761" s="89">
        <v>44460</v>
      </c>
      <c r="Y761" s="87" t="s">
        <v>2248</v>
      </c>
      <c r="Z761" s="85" t="str">
        <f>HYPERLINK("https://twitter.com/prihandono72/status/1440452212434489346")</f>
        <v>https://twitter.com/prihandono72/status/1440452212434489346</v>
      </c>
      <c r="AA761" s="81"/>
      <c r="AB761" s="81"/>
      <c r="AC761" s="87" t="s">
        <v>3172</v>
      </c>
      <c r="AD761" s="81"/>
      <c r="AE761" s="81" t="b">
        <v>0</v>
      </c>
      <c r="AF761" s="81">
        <v>0</v>
      </c>
      <c r="AG761" s="87" t="s">
        <v>3875</v>
      </c>
      <c r="AH761" s="81" t="b">
        <v>0</v>
      </c>
      <c r="AI761" s="81" t="s">
        <v>4092</v>
      </c>
      <c r="AJ761" s="81"/>
      <c r="AK761" s="87" t="s">
        <v>3875</v>
      </c>
      <c r="AL761" s="81" t="b">
        <v>0</v>
      </c>
      <c r="AM761" s="81">
        <v>321</v>
      </c>
      <c r="AN761" s="87" t="s">
        <v>3520</v>
      </c>
      <c r="AO761" s="87" t="s">
        <v>4109</v>
      </c>
      <c r="AP761" s="81" t="b">
        <v>0</v>
      </c>
      <c r="AQ761" s="87" t="s">
        <v>3520</v>
      </c>
      <c r="AR761" s="81" t="s">
        <v>179</v>
      </c>
      <c r="AS761" s="81">
        <v>0</v>
      </c>
      <c r="AT761" s="81">
        <v>0</v>
      </c>
      <c r="AU761" s="81"/>
      <c r="AV761" s="81"/>
      <c r="AW761" s="81"/>
      <c r="AX761" s="81"/>
      <c r="AY761" s="81"/>
      <c r="AZ761" s="81"/>
      <c r="BA761" s="81"/>
      <c r="BB761" s="81"/>
    </row>
    <row r="762" spans="1:54" x14ac:dyDescent="0.35">
      <c r="A762" s="66" t="s">
        <v>642</v>
      </c>
      <c r="B762" s="66" t="s">
        <v>910</v>
      </c>
      <c r="C762" s="67"/>
      <c r="D762" s="68"/>
      <c r="E762" s="69"/>
      <c r="F762" s="70"/>
      <c r="G762" s="67"/>
      <c r="H762" s="71"/>
      <c r="I762" s="72"/>
      <c r="J762" s="72"/>
      <c r="K762" s="36"/>
      <c r="L762" s="79"/>
      <c r="M762" s="79"/>
      <c r="N762" s="74"/>
      <c r="O762" s="81" t="s">
        <v>1205</v>
      </c>
      <c r="P762" s="83">
        <v>44460.962314814817</v>
      </c>
      <c r="Q762" s="81" t="s">
        <v>1324</v>
      </c>
      <c r="R762" s="81"/>
      <c r="S762" s="81"/>
      <c r="T762" s="81"/>
      <c r="U762" s="85" t="str">
        <f>HYPERLINK("https://pbs.twimg.com/media/E_xVJy2VQAQerFe.jpg")</f>
        <v>https://pbs.twimg.com/media/E_xVJy2VQAQerFe.jpg</v>
      </c>
      <c r="V762" s="85" t="str">
        <f>HYPERLINK("https://pbs.twimg.com/media/E_xVJy2VQAQerFe.jpg")</f>
        <v>https://pbs.twimg.com/media/E_xVJy2VQAQerFe.jpg</v>
      </c>
      <c r="W762" s="83">
        <v>44460.962314814817</v>
      </c>
      <c r="X762" s="89">
        <v>44460</v>
      </c>
      <c r="Y762" s="87" t="s">
        <v>2248</v>
      </c>
      <c r="Z762" s="85" t="str">
        <f>HYPERLINK("https://twitter.com/prihandono72/status/1440452212434489346")</f>
        <v>https://twitter.com/prihandono72/status/1440452212434489346</v>
      </c>
      <c r="AA762" s="81"/>
      <c r="AB762" s="81"/>
      <c r="AC762" s="87" t="s">
        <v>3172</v>
      </c>
      <c r="AD762" s="81"/>
      <c r="AE762" s="81" t="b">
        <v>0</v>
      </c>
      <c r="AF762" s="81">
        <v>0</v>
      </c>
      <c r="AG762" s="87" t="s">
        <v>3875</v>
      </c>
      <c r="AH762" s="81" t="b">
        <v>0</v>
      </c>
      <c r="AI762" s="81" t="s">
        <v>4092</v>
      </c>
      <c r="AJ762" s="81"/>
      <c r="AK762" s="87" t="s">
        <v>3875</v>
      </c>
      <c r="AL762" s="81" t="b">
        <v>0</v>
      </c>
      <c r="AM762" s="81">
        <v>321</v>
      </c>
      <c r="AN762" s="87" t="s">
        <v>3520</v>
      </c>
      <c r="AO762" s="87" t="s">
        <v>4109</v>
      </c>
      <c r="AP762" s="81" t="b">
        <v>0</v>
      </c>
      <c r="AQ762" s="87" t="s">
        <v>3520</v>
      </c>
      <c r="AR762" s="81" t="s">
        <v>179</v>
      </c>
      <c r="AS762" s="81">
        <v>0</v>
      </c>
      <c r="AT762" s="81">
        <v>0</v>
      </c>
      <c r="AU762" s="81"/>
      <c r="AV762" s="81"/>
      <c r="AW762" s="81"/>
      <c r="AX762" s="81"/>
      <c r="AY762" s="81"/>
      <c r="AZ762" s="81"/>
      <c r="BA762" s="81"/>
      <c r="BB762" s="81"/>
    </row>
    <row r="763" spans="1:54" x14ac:dyDescent="0.35">
      <c r="A763" s="66" t="s">
        <v>643</v>
      </c>
      <c r="B763" s="66" t="s">
        <v>1055</v>
      </c>
      <c r="C763" s="67"/>
      <c r="D763" s="68"/>
      <c r="E763" s="69"/>
      <c r="F763" s="70"/>
      <c r="G763" s="67"/>
      <c r="H763" s="71"/>
      <c r="I763" s="72"/>
      <c r="J763" s="72"/>
      <c r="K763" s="36"/>
      <c r="L763" s="79"/>
      <c r="M763" s="79"/>
      <c r="N763" s="74"/>
      <c r="O763" s="81" t="s">
        <v>1207</v>
      </c>
      <c r="P763" s="83">
        <v>44460.967476851853</v>
      </c>
      <c r="Q763" s="81" t="s">
        <v>1324</v>
      </c>
      <c r="R763" s="81"/>
      <c r="S763" s="81"/>
      <c r="T763" s="81"/>
      <c r="U763" s="85" t="str">
        <f>HYPERLINK("https://pbs.twimg.com/media/E_xVJy2VQAQerFe.jpg")</f>
        <v>https://pbs.twimg.com/media/E_xVJy2VQAQerFe.jpg</v>
      </c>
      <c r="V763" s="85" t="str">
        <f>HYPERLINK("https://pbs.twimg.com/media/E_xVJy2VQAQerFe.jpg")</f>
        <v>https://pbs.twimg.com/media/E_xVJy2VQAQerFe.jpg</v>
      </c>
      <c r="W763" s="83">
        <v>44460.967476851853</v>
      </c>
      <c r="X763" s="89">
        <v>44460</v>
      </c>
      <c r="Y763" s="87" t="s">
        <v>2249</v>
      </c>
      <c r="Z763" s="85" t="str">
        <f>HYPERLINK("https://twitter.com/anjaypisan/status/1440454083706441729")</f>
        <v>https://twitter.com/anjaypisan/status/1440454083706441729</v>
      </c>
      <c r="AA763" s="81"/>
      <c r="AB763" s="81"/>
      <c r="AC763" s="87" t="s">
        <v>3173</v>
      </c>
      <c r="AD763" s="81"/>
      <c r="AE763" s="81" t="b">
        <v>0</v>
      </c>
      <c r="AF763" s="81">
        <v>0</v>
      </c>
      <c r="AG763" s="87" t="s">
        <v>3875</v>
      </c>
      <c r="AH763" s="81" t="b">
        <v>0</v>
      </c>
      <c r="AI763" s="81" t="s">
        <v>4092</v>
      </c>
      <c r="AJ763" s="81"/>
      <c r="AK763" s="87" t="s">
        <v>3875</v>
      </c>
      <c r="AL763" s="81" t="b">
        <v>0</v>
      </c>
      <c r="AM763" s="81">
        <v>321</v>
      </c>
      <c r="AN763" s="87" t="s">
        <v>3520</v>
      </c>
      <c r="AO763" s="87" t="s">
        <v>4109</v>
      </c>
      <c r="AP763" s="81" t="b">
        <v>0</v>
      </c>
      <c r="AQ763" s="87" t="s">
        <v>3520</v>
      </c>
      <c r="AR763" s="81" t="s">
        <v>179</v>
      </c>
      <c r="AS763" s="81">
        <v>0</v>
      </c>
      <c r="AT763" s="81">
        <v>0</v>
      </c>
      <c r="AU763" s="81"/>
      <c r="AV763" s="81"/>
      <c r="AW763" s="81"/>
      <c r="AX763" s="81"/>
      <c r="AY763" s="81"/>
      <c r="AZ763" s="81"/>
      <c r="BA763" s="81"/>
      <c r="BB763" s="81"/>
    </row>
    <row r="764" spans="1:54" x14ac:dyDescent="0.35">
      <c r="A764" s="66" t="s">
        <v>643</v>
      </c>
      <c r="B764" s="66" t="s">
        <v>910</v>
      </c>
      <c r="C764" s="67"/>
      <c r="D764" s="68"/>
      <c r="E764" s="69"/>
      <c r="F764" s="70"/>
      <c r="G764" s="67"/>
      <c r="H764" s="71"/>
      <c r="I764" s="72"/>
      <c r="J764" s="72"/>
      <c r="K764" s="36"/>
      <c r="L764" s="79"/>
      <c r="M764" s="79"/>
      <c r="N764" s="74"/>
      <c r="O764" s="81" t="s">
        <v>1205</v>
      </c>
      <c r="P764" s="83">
        <v>44460.967476851853</v>
      </c>
      <c r="Q764" s="81" t="s">
        <v>1324</v>
      </c>
      <c r="R764" s="81"/>
      <c r="S764" s="81"/>
      <c r="T764" s="81"/>
      <c r="U764" s="85" t="str">
        <f>HYPERLINK("https://pbs.twimg.com/media/E_xVJy2VQAQerFe.jpg")</f>
        <v>https://pbs.twimg.com/media/E_xVJy2VQAQerFe.jpg</v>
      </c>
      <c r="V764" s="85" t="str">
        <f>HYPERLINK("https://pbs.twimg.com/media/E_xVJy2VQAQerFe.jpg")</f>
        <v>https://pbs.twimg.com/media/E_xVJy2VQAQerFe.jpg</v>
      </c>
      <c r="W764" s="83">
        <v>44460.967476851853</v>
      </c>
      <c r="X764" s="89">
        <v>44460</v>
      </c>
      <c r="Y764" s="87" t="s">
        <v>2249</v>
      </c>
      <c r="Z764" s="85" t="str">
        <f>HYPERLINK("https://twitter.com/anjaypisan/status/1440454083706441729")</f>
        <v>https://twitter.com/anjaypisan/status/1440454083706441729</v>
      </c>
      <c r="AA764" s="81"/>
      <c r="AB764" s="81"/>
      <c r="AC764" s="87" t="s">
        <v>3173</v>
      </c>
      <c r="AD764" s="81"/>
      <c r="AE764" s="81" t="b">
        <v>0</v>
      </c>
      <c r="AF764" s="81">
        <v>0</v>
      </c>
      <c r="AG764" s="87" t="s">
        <v>3875</v>
      </c>
      <c r="AH764" s="81" t="b">
        <v>0</v>
      </c>
      <c r="AI764" s="81" t="s">
        <v>4092</v>
      </c>
      <c r="AJ764" s="81"/>
      <c r="AK764" s="87" t="s">
        <v>3875</v>
      </c>
      <c r="AL764" s="81" t="b">
        <v>0</v>
      </c>
      <c r="AM764" s="81">
        <v>321</v>
      </c>
      <c r="AN764" s="87" t="s">
        <v>3520</v>
      </c>
      <c r="AO764" s="87" t="s">
        <v>4109</v>
      </c>
      <c r="AP764" s="81" t="b">
        <v>0</v>
      </c>
      <c r="AQ764" s="87" t="s">
        <v>3520</v>
      </c>
      <c r="AR764" s="81" t="s">
        <v>179</v>
      </c>
      <c r="AS764" s="81">
        <v>0</v>
      </c>
      <c r="AT764" s="81">
        <v>0</v>
      </c>
      <c r="AU764" s="81"/>
      <c r="AV764" s="81"/>
      <c r="AW764" s="81"/>
      <c r="AX764" s="81"/>
      <c r="AY764" s="81"/>
      <c r="AZ764" s="81"/>
      <c r="BA764" s="81"/>
      <c r="BB764" s="81"/>
    </row>
    <row r="765" spans="1:54" x14ac:dyDescent="0.35">
      <c r="A765" s="66" t="s">
        <v>644</v>
      </c>
      <c r="B765" s="66" t="s">
        <v>1055</v>
      </c>
      <c r="C765" s="67"/>
      <c r="D765" s="68"/>
      <c r="E765" s="69"/>
      <c r="F765" s="70"/>
      <c r="G765" s="67"/>
      <c r="H765" s="71"/>
      <c r="I765" s="72"/>
      <c r="J765" s="72"/>
      <c r="K765" s="36"/>
      <c r="L765" s="79"/>
      <c r="M765" s="79"/>
      <c r="N765" s="74"/>
      <c r="O765" s="81" t="s">
        <v>1207</v>
      </c>
      <c r="P765" s="83">
        <v>44460.96875</v>
      </c>
      <c r="Q765" s="81" t="s">
        <v>1324</v>
      </c>
      <c r="R765" s="81"/>
      <c r="S765" s="81"/>
      <c r="T765" s="81"/>
      <c r="U765" s="85" t="str">
        <f>HYPERLINK("https://pbs.twimg.com/media/E_xVJy2VQAQerFe.jpg")</f>
        <v>https://pbs.twimg.com/media/E_xVJy2VQAQerFe.jpg</v>
      </c>
      <c r="V765" s="85" t="str">
        <f>HYPERLINK("https://pbs.twimg.com/media/E_xVJy2VQAQerFe.jpg")</f>
        <v>https://pbs.twimg.com/media/E_xVJy2VQAQerFe.jpg</v>
      </c>
      <c r="W765" s="83">
        <v>44460.96875</v>
      </c>
      <c r="X765" s="89">
        <v>44460</v>
      </c>
      <c r="Y765" s="87" t="s">
        <v>2250</v>
      </c>
      <c r="Z765" s="85" t="str">
        <f>HYPERLINK("https://twitter.com/hank_jkt/status/1440454543892836357")</f>
        <v>https://twitter.com/hank_jkt/status/1440454543892836357</v>
      </c>
      <c r="AA765" s="81"/>
      <c r="AB765" s="81"/>
      <c r="AC765" s="87" t="s">
        <v>3174</v>
      </c>
      <c r="AD765" s="81"/>
      <c r="AE765" s="81" t="b">
        <v>0</v>
      </c>
      <c r="AF765" s="81">
        <v>0</v>
      </c>
      <c r="AG765" s="87" t="s">
        <v>3875</v>
      </c>
      <c r="AH765" s="81" t="b">
        <v>0</v>
      </c>
      <c r="AI765" s="81" t="s">
        <v>4092</v>
      </c>
      <c r="AJ765" s="81"/>
      <c r="AK765" s="87" t="s">
        <v>3875</v>
      </c>
      <c r="AL765" s="81" t="b">
        <v>0</v>
      </c>
      <c r="AM765" s="81">
        <v>321</v>
      </c>
      <c r="AN765" s="87" t="s">
        <v>3520</v>
      </c>
      <c r="AO765" s="87" t="s">
        <v>4109</v>
      </c>
      <c r="AP765" s="81" t="b">
        <v>0</v>
      </c>
      <c r="AQ765" s="87" t="s">
        <v>3520</v>
      </c>
      <c r="AR765" s="81" t="s">
        <v>179</v>
      </c>
      <c r="AS765" s="81">
        <v>0</v>
      </c>
      <c r="AT765" s="81">
        <v>0</v>
      </c>
      <c r="AU765" s="81"/>
      <c r="AV765" s="81"/>
      <c r="AW765" s="81"/>
      <c r="AX765" s="81"/>
      <c r="AY765" s="81"/>
      <c r="AZ765" s="81"/>
      <c r="BA765" s="81"/>
      <c r="BB765" s="81"/>
    </row>
    <row r="766" spans="1:54" x14ac:dyDescent="0.35">
      <c r="A766" s="66" t="s">
        <v>644</v>
      </c>
      <c r="B766" s="66" t="s">
        <v>910</v>
      </c>
      <c r="C766" s="67"/>
      <c r="D766" s="68"/>
      <c r="E766" s="69"/>
      <c r="F766" s="70"/>
      <c r="G766" s="67"/>
      <c r="H766" s="71"/>
      <c r="I766" s="72"/>
      <c r="J766" s="72"/>
      <c r="K766" s="36"/>
      <c r="L766" s="79"/>
      <c r="M766" s="79"/>
      <c r="N766" s="74"/>
      <c r="O766" s="81" t="s">
        <v>1205</v>
      </c>
      <c r="P766" s="83">
        <v>44460.96875</v>
      </c>
      <c r="Q766" s="81" t="s">
        <v>1324</v>
      </c>
      <c r="R766" s="81"/>
      <c r="S766" s="81"/>
      <c r="T766" s="81"/>
      <c r="U766" s="85" t="str">
        <f>HYPERLINK("https://pbs.twimg.com/media/E_xVJy2VQAQerFe.jpg")</f>
        <v>https://pbs.twimg.com/media/E_xVJy2VQAQerFe.jpg</v>
      </c>
      <c r="V766" s="85" t="str">
        <f>HYPERLINK("https://pbs.twimg.com/media/E_xVJy2VQAQerFe.jpg")</f>
        <v>https://pbs.twimg.com/media/E_xVJy2VQAQerFe.jpg</v>
      </c>
      <c r="W766" s="83">
        <v>44460.96875</v>
      </c>
      <c r="X766" s="89">
        <v>44460</v>
      </c>
      <c r="Y766" s="87" t="s">
        <v>2250</v>
      </c>
      <c r="Z766" s="85" t="str">
        <f>HYPERLINK("https://twitter.com/hank_jkt/status/1440454543892836357")</f>
        <v>https://twitter.com/hank_jkt/status/1440454543892836357</v>
      </c>
      <c r="AA766" s="81"/>
      <c r="AB766" s="81"/>
      <c r="AC766" s="87" t="s">
        <v>3174</v>
      </c>
      <c r="AD766" s="81"/>
      <c r="AE766" s="81" t="b">
        <v>0</v>
      </c>
      <c r="AF766" s="81">
        <v>0</v>
      </c>
      <c r="AG766" s="87" t="s">
        <v>3875</v>
      </c>
      <c r="AH766" s="81" t="b">
        <v>0</v>
      </c>
      <c r="AI766" s="81" t="s">
        <v>4092</v>
      </c>
      <c r="AJ766" s="81"/>
      <c r="AK766" s="87" t="s">
        <v>3875</v>
      </c>
      <c r="AL766" s="81" t="b">
        <v>0</v>
      </c>
      <c r="AM766" s="81">
        <v>321</v>
      </c>
      <c r="AN766" s="87" t="s">
        <v>3520</v>
      </c>
      <c r="AO766" s="87" t="s">
        <v>4109</v>
      </c>
      <c r="AP766" s="81" t="b">
        <v>0</v>
      </c>
      <c r="AQ766" s="87" t="s">
        <v>3520</v>
      </c>
      <c r="AR766" s="81" t="s">
        <v>179</v>
      </c>
      <c r="AS766" s="81">
        <v>0</v>
      </c>
      <c r="AT766" s="81">
        <v>0</v>
      </c>
      <c r="AU766" s="81"/>
      <c r="AV766" s="81"/>
      <c r="AW766" s="81"/>
      <c r="AX766" s="81"/>
      <c r="AY766" s="81"/>
      <c r="AZ766" s="81"/>
      <c r="BA766" s="81"/>
      <c r="BB766" s="81"/>
    </row>
    <row r="767" spans="1:54" x14ac:dyDescent="0.35">
      <c r="A767" s="66" t="s">
        <v>645</v>
      </c>
      <c r="B767" s="66" t="s">
        <v>1055</v>
      </c>
      <c r="C767" s="67"/>
      <c r="D767" s="68"/>
      <c r="E767" s="69"/>
      <c r="F767" s="70"/>
      <c r="G767" s="67"/>
      <c r="H767" s="71"/>
      <c r="I767" s="72"/>
      <c r="J767" s="72"/>
      <c r="K767" s="36"/>
      <c r="L767" s="79"/>
      <c r="M767" s="79"/>
      <c r="N767" s="74"/>
      <c r="O767" s="81" t="s">
        <v>1207</v>
      </c>
      <c r="P767" s="83">
        <v>44460.979189814818</v>
      </c>
      <c r="Q767" s="81" t="s">
        <v>1324</v>
      </c>
      <c r="R767" s="81"/>
      <c r="S767" s="81"/>
      <c r="T767" s="81"/>
      <c r="U767" s="85" t="str">
        <f>HYPERLINK("https://pbs.twimg.com/media/E_xVJy2VQAQerFe.jpg")</f>
        <v>https://pbs.twimg.com/media/E_xVJy2VQAQerFe.jpg</v>
      </c>
      <c r="V767" s="85" t="str">
        <f>HYPERLINK("https://pbs.twimg.com/media/E_xVJy2VQAQerFe.jpg")</f>
        <v>https://pbs.twimg.com/media/E_xVJy2VQAQerFe.jpg</v>
      </c>
      <c r="W767" s="83">
        <v>44460.979189814818</v>
      </c>
      <c r="X767" s="89">
        <v>44460</v>
      </c>
      <c r="Y767" s="87" t="s">
        <v>2251</v>
      </c>
      <c r="Z767" s="85" t="str">
        <f>HYPERLINK("https://twitter.com/aswa_13/status/1440458328283377675")</f>
        <v>https://twitter.com/aswa_13/status/1440458328283377675</v>
      </c>
      <c r="AA767" s="81"/>
      <c r="AB767" s="81"/>
      <c r="AC767" s="87" t="s">
        <v>3175</v>
      </c>
      <c r="AD767" s="81"/>
      <c r="AE767" s="81" t="b">
        <v>0</v>
      </c>
      <c r="AF767" s="81">
        <v>0</v>
      </c>
      <c r="AG767" s="87" t="s">
        <v>3875</v>
      </c>
      <c r="AH767" s="81" t="b">
        <v>0</v>
      </c>
      <c r="AI767" s="81" t="s">
        <v>4092</v>
      </c>
      <c r="AJ767" s="81"/>
      <c r="AK767" s="87" t="s">
        <v>3875</v>
      </c>
      <c r="AL767" s="81" t="b">
        <v>0</v>
      </c>
      <c r="AM767" s="81">
        <v>321</v>
      </c>
      <c r="AN767" s="87" t="s">
        <v>3520</v>
      </c>
      <c r="AO767" s="87" t="s">
        <v>4110</v>
      </c>
      <c r="AP767" s="81" t="b">
        <v>0</v>
      </c>
      <c r="AQ767" s="87" t="s">
        <v>3520</v>
      </c>
      <c r="AR767" s="81" t="s">
        <v>179</v>
      </c>
      <c r="AS767" s="81">
        <v>0</v>
      </c>
      <c r="AT767" s="81">
        <v>0</v>
      </c>
      <c r="AU767" s="81"/>
      <c r="AV767" s="81"/>
      <c r="AW767" s="81"/>
      <c r="AX767" s="81"/>
      <c r="AY767" s="81"/>
      <c r="AZ767" s="81"/>
      <c r="BA767" s="81"/>
      <c r="BB767" s="81"/>
    </row>
    <row r="768" spans="1:54" x14ac:dyDescent="0.35">
      <c r="A768" s="66" t="s">
        <v>645</v>
      </c>
      <c r="B768" s="66" t="s">
        <v>910</v>
      </c>
      <c r="C768" s="67"/>
      <c r="D768" s="68"/>
      <c r="E768" s="69"/>
      <c r="F768" s="70"/>
      <c r="G768" s="67"/>
      <c r="H768" s="71"/>
      <c r="I768" s="72"/>
      <c r="J768" s="72"/>
      <c r="K768" s="36"/>
      <c r="L768" s="79"/>
      <c r="M768" s="79"/>
      <c r="N768" s="74"/>
      <c r="O768" s="81" t="s">
        <v>1205</v>
      </c>
      <c r="P768" s="83">
        <v>44460.979189814818</v>
      </c>
      <c r="Q768" s="81" t="s">
        <v>1324</v>
      </c>
      <c r="R768" s="81"/>
      <c r="S768" s="81"/>
      <c r="T768" s="81"/>
      <c r="U768" s="85" t="str">
        <f>HYPERLINK("https://pbs.twimg.com/media/E_xVJy2VQAQerFe.jpg")</f>
        <v>https://pbs.twimg.com/media/E_xVJy2VQAQerFe.jpg</v>
      </c>
      <c r="V768" s="85" t="str">
        <f>HYPERLINK("https://pbs.twimg.com/media/E_xVJy2VQAQerFe.jpg")</f>
        <v>https://pbs.twimg.com/media/E_xVJy2VQAQerFe.jpg</v>
      </c>
      <c r="W768" s="83">
        <v>44460.979189814818</v>
      </c>
      <c r="X768" s="89">
        <v>44460</v>
      </c>
      <c r="Y768" s="87" t="s">
        <v>2251</v>
      </c>
      <c r="Z768" s="85" t="str">
        <f>HYPERLINK("https://twitter.com/aswa_13/status/1440458328283377675")</f>
        <v>https://twitter.com/aswa_13/status/1440458328283377675</v>
      </c>
      <c r="AA768" s="81"/>
      <c r="AB768" s="81"/>
      <c r="AC768" s="87" t="s">
        <v>3175</v>
      </c>
      <c r="AD768" s="81"/>
      <c r="AE768" s="81" t="b">
        <v>0</v>
      </c>
      <c r="AF768" s="81">
        <v>0</v>
      </c>
      <c r="AG768" s="87" t="s">
        <v>3875</v>
      </c>
      <c r="AH768" s="81" t="b">
        <v>0</v>
      </c>
      <c r="AI768" s="81" t="s">
        <v>4092</v>
      </c>
      <c r="AJ768" s="81"/>
      <c r="AK768" s="87" t="s">
        <v>3875</v>
      </c>
      <c r="AL768" s="81" t="b">
        <v>0</v>
      </c>
      <c r="AM768" s="81">
        <v>321</v>
      </c>
      <c r="AN768" s="87" t="s">
        <v>3520</v>
      </c>
      <c r="AO768" s="87" t="s">
        <v>4110</v>
      </c>
      <c r="AP768" s="81" t="b">
        <v>0</v>
      </c>
      <c r="AQ768" s="87" t="s">
        <v>3520</v>
      </c>
      <c r="AR768" s="81" t="s">
        <v>179</v>
      </c>
      <c r="AS768" s="81">
        <v>0</v>
      </c>
      <c r="AT768" s="81">
        <v>0</v>
      </c>
      <c r="AU768" s="81"/>
      <c r="AV768" s="81"/>
      <c r="AW768" s="81"/>
      <c r="AX768" s="81"/>
      <c r="AY768" s="81"/>
      <c r="AZ768" s="81"/>
      <c r="BA768" s="81"/>
      <c r="BB768" s="81"/>
    </row>
    <row r="769" spans="1:54" x14ac:dyDescent="0.35">
      <c r="A769" s="66" t="s">
        <v>646</v>
      </c>
      <c r="B769" s="66" t="s">
        <v>1055</v>
      </c>
      <c r="C769" s="67"/>
      <c r="D769" s="68"/>
      <c r="E769" s="69"/>
      <c r="F769" s="70"/>
      <c r="G769" s="67"/>
      <c r="H769" s="71"/>
      <c r="I769" s="72"/>
      <c r="J769" s="72"/>
      <c r="K769" s="36"/>
      <c r="L769" s="79"/>
      <c r="M769" s="79"/>
      <c r="N769" s="74"/>
      <c r="O769" s="81" t="s">
        <v>1207</v>
      </c>
      <c r="P769" s="83">
        <v>44460.987245370372</v>
      </c>
      <c r="Q769" s="81" t="s">
        <v>1324</v>
      </c>
      <c r="R769" s="81"/>
      <c r="S769" s="81"/>
      <c r="T769" s="81"/>
      <c r="U769" s="85" t="str">
        <f>HYPERLINK("https://pbs.twimg.com/media/E_xVJy2VQAQerFe.jpg")</f>
        <v>https://pbs.twimg.com/media/E_xVJy2VQAQerFe.jpg</v>
      </c>
      <c r="V769" s="85" t="str">
        <f>HYPERLINK("https://pbs.twimg.com/media/E_xVJy2VQAQerFe.jpg")</f>
        <v>https://pbs.twimg.com/media/E_xVJy2VQAQerFe.jpg</v>
      </c>
      <c r="W769" s="83">
        <v>44460.987245370372</v>
      </c>
      <c r="X769" s="89">
        <v>44460</v>
      </c>
      <c r="Y769" s="87" t="s">
        <v>2252</v>
      </c>
      <c r="Z769" s="85" t="str">
        <f>HYPERLINK("https://twitter.com/anthony888889/status/1440461248965926920")</f>
        <v>https://twitter.com/anthony888889/status/1440461248965926920</v>
      </c>
      <c r="AA769" s="81"/>
      <c r="AB769" s="81"/>
      <c r="AC769" s="87" t="s">
        <v>3176</v>
      </c>
      <c r="AD769" s="81"/>
      <c r="AE769" s="81" t="b">
        <v>0</v>
      </c>
      <c r="AF769" s="81">
        <v>0</v>
      </c>
      <c r="AG769" s="87" t="s">
        <v>3875</v>
      </c>
      <c r="AH769" s="81" t="b">
        <v>0</v>
      </c>
      <c r="AI769" s="81" t="s">
        <v>4092</v>
      </c>
      <c r="AJ769" s="81"/>
      <c r="AK769" s="87" t="s">
        <v>3875</v>
      </c>
      <c r="AL769" s="81" t="b">
        <v>0</v>
      </c>
      <c r="AM769" s="81">
        <v>321</v>
      </c>
      <c r="AN769" s="87" t="s">
        <v>3520</v>
      </c>
      <c r="AO769" s="87" t="s">
        <v>4109</v>
      </c>
      <c r="AP769" s="81" t="b">
        <v>0</v>
      </c>
      <c r="AQ769" s="87" t="s">
        <v>3520</v>
      </c>
      <c r="AR769" s="81" t="s">
        <v>179</v>
      </c>
      <c r="AS769" s="81">
        <v>0</v>
      </c>
      <c r="AT769" s="81">
        <v>0</v>
      </c>
      <c r="AU769" s="81"/>
      <c r="AV769" s="81"/>
      <c r="AW769" s="81"/>
      <c r="AX769" s="81"/>
      <c r="AY769" s="81"/>
      <c r="AZ769" s="81"/>
      <c r="BA769" s="81"/>
      <c r="BB769" s="81"/>
    </row>
    <row r="770" spans="1:54" x14ac:dyDescent="0.35">
      <c r="A770" s="66" t="s">
        <v>646</v>
      </c>
      <c r="B770" s="66" t="s">
        <v>910</v>
      </c>
      <c r="C770" s="67"/>
      <c r="D770" s="68"/>
      <c r="E770" s="69"/>
      <c r="F770" s="70"/>
      <c r="G770" s="67"/>
      <c r="H770" s="71"/>
      <c r="I770" s="72"/>
      <c r="J770" s="72"/>
      <c r="K770" s="36"/>
      <c r="L770" s="79"/>
      <c r="M770" s="79"/>
      <c r="N770" s="74"/>
      <c r="O770" s="81" t="s">
        <v>1205</v>
      </c>
      <c r="P770" s="83">
        <v>44460.987245370372</v>
      </c>
      <c r="Q770" s="81" t="s">
        <v>1324</v>
      </c>
      <c r="R770" s="81"/>
      <c r="S770" s="81"/>
      <c r="T770" s="81"/>
      <c r="U770" s="85" t="str">
        <f>HYPERLINK("https://pbs.twimg.com/media/E_xVJy2VQAQerFe.jpg")</f>
        <v>https://pbs.twimg.com/media/E_xVJy2VQAQerFe.jpg</v>
      </c>
      <c r="V770" s="85" t="str">
        <f>HYPERLINK("https://pbs.twimg.com/media/E_xVJy2VQAQerFe.jpg")</f>
        <v>https://pbs.twimg.com/media/E_xVJy2VQAQerFe.jpg</v>
      </c>
      <c r="W770" s="83">
        <v>44460.987245370372</v>
      </c>
      <c r="X770" s="89">
        <v>44460</v>
      </c>
      <c r="Y770" s="87" t="s">
        <v>2252</v>
      </c>
      <c r="Z770" s="85" t="str">
        <f>HYPERLINK("https://twitter.com/anthony888889/status/1440461248965926920")</f>
        <v>https://twitter.com/anthony888889/status/1440461248965926920</v>
      </c>
      <c r="AA770" s="81"/>
      <c r="AB770" s="81"/>
      <c r="AC770" s="87" t="s">
        <v>3176</v>
      </c>
      <c r="AD770" s="81"/>
      <c r="AE770" s="81" t="b">
        <v>0</v>
      </c>
      <c r="AF770" s="81">
        <v>0</v>
      </c>
      <c r="AG770" s="87" t="s">
        <v>3875</v>
      </c>
      <c r="AH770" s="81" t="b">
        <v>0</v>
      </c>
      <c r="AI770" s="81" t="s">
        <v>4092</v>
      </c>
      <c r="AJ770" s="81"/>
      <c r="AK770" s="87" t="s">
        <v>3875</v>
      </c>
      <c r="AL770" s="81" t="b">
        <v>0</v>
      </c>
      <c r="AM770" s="81">
        <v>321</v>
      </c>
      <c r="AN770" s="87" t="s">
        <v>3520</v>
      </c>
      <c r="AO770" s="87" t="s">
        <v>4109</v>
      </c>
      <c r="AP770" s="81" t="b">
        <v>0</v>
      </c>
      <c r="AQ770" s="87" t="s">
        <v>3520</v>
      </c>
      <c r="AR770" s="81" t="s">
        <v>179</v>
      </c>
      <c r="AS770" s="81">
        <v>0</v>
      </c>
      <c r="AT770" s="81">
        <v>0</v>
      </c>
      <c r="AU770" s="81"/>
      <c r="AV770" s="81"/>
      <c r="AW770" s="81"/>
      <c r="AX770" s="81"/>
      <c r="AY770" s="81"/>
      <c r="AZ770" s="81"/>
      <c r="BA770" s="81"/>
      <c r="BB770" s="81"/>
    </row>
    <row r="771" spans="1:54" x14ac:dyDescent="0.35">
      <c r="A771" s="66" t="s">
        <v>647</v>
      </c>
      <c r="B771" s="66" t="s">
        <v>1055</v>
      </c>
      <c r="C771" s="67"/>
      <c r="D771" s="68"/>
      <c r="E771" s="69"/>
      <c r="F771" s="70"/>
      <c r="G771" s="67"/>
      <c r="H771" s="71"/>
      <c r="I771" s="72"/>
      <c r="J771" s="72"/>
      <c r="K771" s="36"/>
      <c r="L771" s="79"/>
      <c r="M771" s="79"/>
      <c r="N771" s="74"/>
      <c r="O771" s="81" t="s">
        <v>1207</v>
      </c>
      <c r="P771" s="83">
        <v>44460.988449074073</v>
      </c>
      <c r="Q771" s="81" t="s">
        <v>1324</v>
      </c>
      <c r="R771" s="81"/>
      <c r="S771" s="81"/>
      <c r="T771" s="81"/>
      <c r="U771" s="85" t="str">
        <f>HYPERLINK("https://pbs.twimg.com/media/E_xVJy2VQAQerFe.jpg")</f>
        <v>https://pbs.twimg.com/media/E_xVJy2VQAQerFe.jpg</v>
      </c>
      <c r="V771" s="85" t="str">
        <f>HYPERLINK("https://pbs.twimg.com/media/E_xVJy2VQAQerFe.jpg")</f>
        <v>https://pbs.twimg.com/media/E_xVJy2VQAQerFe.jpg</v>
      </c>
      <c r="W771" s="83">
        <v>44460.988449074073</v>
      </c>
      <c r="X771" s="89">
        <v>44460</v>
      </c>
      <c r="Y771" s="87" t="s">
        <v>2253</v>
      </c>
      <c r="Z771" s="85" t="str">
        <f>HYPERLINK("https://twitter.com/naibahopahotan/status/1440461684921888771")</f>
        <v>https://twitter.com/naibahopahotan/status/1440461684921888771</v>
      </c>
      <c r="AA771" s="81"/>
      <c r="AB771" s="81"/>
      <c r="AC771" s="87" t="s">
        <v>3177</v>
      </c>
      <c r="AD771" s="81"/>
      <c r="AE771" s="81" t="b">
        <v>0</v>
      </c>
      <c r="AF771" s="81">
        <v>0</v>
      </c>
      <c r="AG771" s="87" t="s">
        <v>3875</v>
      </c>
      <c r="AH771" s="81" t="b">
        <v>0</v>
      </c>
      <c r="AI771" s="81" t="s">
        <v>4092</v>
      </c>
      <c r="AJ771" s="81"/>
      <c r="AK771" s="87" t="s">
        <v>3875</v>
      </c>
      <c r="AL771" s="81" t="b">
        <v>0</v>
      </c>
      <c r="AM771" s="81">
        <v>321</v>
      </c>
      <c r="AN771" s="87" t="s">
        <v>3520</v>
      </c>
      <c r="AO771" s="87" t="s">
        <v>4109</v>
      </c>
      <c r="AP771" s="81" t="b">
        <v>0</v>
      </c>
      <c r="AQ771" s="87" t="s">
        <v>3520</v>
      </c>
      <c r="AR771" s="81" t="s">
        <v>179</v>
      </c>
      <c r="AS771" s="81">
        <v>0</v>
      </c>
      <c r="AT771" s="81">
        <v>0</v>
      </c>
      <c r="AU771" s="81"/>
      <c r="AV771" s="81"/>
      <c r="AW771" s="81"/>
      <c r="AX771" s="81"/>
      <c r="AY771" s="81"/>
      <c r="AZ771" s="81"/>
      <c r="BA771" s="81"/>
      <c r="BB771" s="81"/>
    </row>
    <row r="772" spans="1:54" x14ac:dyDescent="0.35">
      <c r="A772" s="66" t="s">
        <v>647</v>
      </c>
      <c r="B772" s="66" t="s">
        <v>910</v>
      </c>
      <c r="C772" s="67"/>
      <c r="D772" s="68"/>
      <c r="E772" s="69"/>
      <c r="F772" s="70"/>
      <c r="G772" s="67"/>
      <c r="H772" s="71"/>
      <c r="I772" s="72"/>
      <c r="J772" s="72"/>
      <c r="K772" s="36"/>
      <c r="L772" s="79"/>
      <c r="M772" s="79"/>
      <c r="N772" s="74"/>
      <c r="O772" s="81" t="s">
        <v>1205</v>
      </c>
      <c r="P772" s="83">
        <v>44460.988449074073</v>
      </c>
      <c r="Q772" s="81" t="s">
        <v>1324</v>
      </c>
      <c r="R772" s="81"/>
      <c r="S772" s="81"/>
      <c r="T772" s="81"/>
      <c r="U772" s="85" t="str">
        <f>HYPERLINK("https://pbs.twimg.com/media/E_xVJy2VQAQerFe.jpg")</f>
        <v>https://pbs.twimg.com/media/E_xVJy2VQAQerFe.jpg</v>
      </c>
      <c r="V772" s="85" t="str">
        <f>HYPERLINK("https://pbs.twimg.com/media/E_xVJy2VQAQerFe.jpg")</f>
        <v>https://pbs.twimg.com/media/E_xVJy2VQAQerFe.jpg</v>
      </c>
      <c r="W772" s="83">
        <v>44460.988449074073</v>
      </c>
      <c r="X772" s="89">
        <v>44460</v>
      </c>
      <c r="Y772" s="87" t="s">
        <v>2253</v>
      </c>
      <c r="Z772" s="85" t="str">
        <f>HYPERLINK("https://twitter.com/naibahopahotan/status/1440461684921888771")</f>
        <v>https://twitter.com/naibahopahotan/status/1440461684921888771</v>
      </c>
      <c r="AA772" s="81"/>
      <c r="AB772" s="81"/>
      <c r="AC772" s="87" t="s">
        <v>3177</v>
      </c>
      <c r="AD772" s="81"/>
      <c r="AE772" s="81" t="b">
        <v>0</v>
      </c>
      <c r="AF772" s="81">
        <v>0</v>
      </c>
      <c r="AG772" s="87" t="s">
        <v>3875</v>
      </c>
      <c r="AH772" s="81" t="b">
        <v>0</v>
      </c>
      <c r="AI772" s="81" t="s">
        <v>4092</v>
      </c>
      <c r="AJ772" s="81"/>
      <c r="AK772" s="87" t="s">
        <v>3875</v>
      </c>
      <c r="AL772" s="81" t="b">
        <v>0</v>
      </c>
      <c r="AM772" s="81">
        <v>321</v>
      </c>
      <c r="AN772" s="87" t="s">
        <v>3520</v>
      </c>
      <c r="AO772" s="87" t="s">
        <v>4109</v>
      </c>
      <c r="AP772" s="81" t="b">
        <v>0</v>
      </c>
      <c r="AQ772" s="87" t="s">
        <v>3520</v>
      </c>
      <c r="AR772" s="81" t="s">
        <v>179</v>
      </c>
      <c r="AS772" s="81">
        <v>0</v>
      </c>
      <c r="AT772" s="81">
        <v>0</v>
      </c>
      <c r="AU772" s="81"/>
      <c r="AV772" s="81"/>
      <c r="AW772" s="81"/>
      <c r="AX772" s="81"/>
      <c r="AY772" s="81"/>
      <c r="AZ772" s="81"/>
      <c r="BA772" s="81"/>
      <c r="BB772" s="81"/>
    </row>
    <row r="773" spans="1:54" x14ac:dyDescent="0.35">
      <c r="A773" s="66" t="s">
        <v>648</v>
      </c>
      <c r="B773" s="66" t="s">
        <v>1055</v>
      </c>
      <c r="C773" s="67"/>
      <c r="D773" s="68"/>
      <c r="E773" s="69"/>
      <c r="F773" s="70"/>
      <c r="G773" s="67"/>
      <c r="H773" s="71"/>
      <c r="I773" s="72"/>
      <c r="J773" s="72"/>
      <c r="K773" s="36"/>
      <c r="L773" s="79"/>
      <c r="M773" s="79"/>
      <c r="N773" s="74"/>
      <c r="O773" s="81" t="s">
        <v>1207</v>
      </c>
      <c r="P773" s="83">
        <v>44460.996296296296</v>
      </c>
      <c r="Q773" s="81" t="s">
        <v>1324</v>
      </c>
      <c r="R773" s="81"/>
      <c r="S773" s="81"/>
      <c r="T773" s="81"/>
      <c r="U773" s="85" t="str">
        <f>HYPERLINK("https://pbs.twimg.com/media/E_xVJy2VQAQerFe.jpg")</f>
        <v>https://pbs.twimg.com/media/E_xVJy2VQAQerFe.jpg</v>
      </c>
      <c r="V773" s="85" t="str">
        <f>HYPERLINK("https://pbs.twimg.com/media/E_xVJy2VQAQerFe.jpg")</f>
        <v>https://pbs.twimg.com/media/E_xVJy2VQAQerFe.jpg</v>
      </c>
      <c r="W773" s="83">
        <v>44460.996296296296</v>
      </c>
      <c r="X773" s="89">
        <v>44460</v>
      </c>
      <c r="Y773" s="87" t="s">
        <v>2254</v>
      </c>
      <c r="Z773" s="85" t="str">
        <f>HYPERLINK("https://twitter.com/lia_yash/status/1440464526504181760")</f>
        <v>https://twitter.com/lia_yash/status/1440464526504181760</v>
      </c>
      <c r="AA773" s="81"/>
      <c r="AB773" s="81"/>
      <c r="AC773" s="87" t="s">
        <v>3178</v>
      </c>
      <c r="AD773" s="81"/>
      <c r="AE773" s="81" t="b">
        <v>0</v>
      </c>
      <c r="AF773" s="81">
        <v>0</v>
      </c>
      <c r="AG773" s="87" t="s">
        <v>3875</v>
      </c>
      <c r="AH773" s="81" t="b">
        <v>0</v>
      </c>
      <c r="AI773" s="81" t="s">
        <v>4092</v>
      </c>
      <c r="AJ773" s="81"/>
      <c r="AK773" s="87" t="s">
        <v>3875</v>
      </c>
      <c r="AL773" s="81" t="b">
        <v>0</v>
      </c>
      <c r="AM773" s="81">
        <v>321</v>
      </c>
      <c r="AN773" s="87" t="s">
        <v>3520</v>
      </c>
      <c r="AO773" s="87" t="s">
        <v>4109</v>
      </c>
      <c r="AP773" s="81" t="b">
        <v>0</v>
      </c>
      <c r="AQ773" s="87" t="s">
        <v>3520</v>
      </c>
      <c r="AR773" s="81" t="s">
        <v>179</v>
      </c>
      <c r="AS773" s="81">
        <v>0</v>
      </c>
      <c r="AT773" s="81">
        <v>0</v>
      </c>
      <c r="AU773" s="81"/>
      <c r="AV773" s="81"/>
      <c r="AW773" s="81"/>
      <c r="AX773" s="81"/>
      <c r="AY773" s="81"/>
      <c r="AZ773" s="81"/>
      <c r="BA773" s="81"/>
      <c r="BB773" s="81"/>
    </row>
    <row r="774" spans="1:54" x14ac:dyDescent="0.35">
      <c r="A774" s="66" t="s">
        <v>648</v>
      </c>
      <c r="B774" s="66" t="s">
        <v>910</v>
      </c>
      <c r="C774" s="67"/>
      <c r="D774" s="68"/>
      <c r="E774" s="69"/>
      <c r="F774" s="70"/>
      <c r="G774" s="67"/>
      <c r="H774" s="71"/>
      <c r="I774" s="72"/>
      <c r="J774" s="72"/>
      <c r="K774" s="36"/>
      <c r="L774" s="79"/>
      <c r="M774" s="79"/>
      <c r="N774" s="74"/>
      <c r="O774" s="81" t="s">
        <v>1205</v>
      </c>
      <c r="P774" s="83">
        <v>44460.996296296296</v>
      </c>
      <c r="Q774" s="81" t="s">
        <v>1324</v>
      </c>
      <c r="R774" s="81"/>
      <c r="S774" s="81"/>
      <c r="T774" s="81"/>
      <c r="U774" s="85" t="str">
        <f>HYPERLINK("https://pbs.twimg.com/media/E_xVJy2VQAQerFe.jpg")</f>
        <v>https://pbs.twimg.com/media/E_xVJy2VQAQerFe.jpg</v>
      </c>
      <c r="V774" s="85" t="str">
        <f>HYPERLINK("https://pbs.twimg.com/media/E_xVJy2VQAQerFe.jpg")</f>
        <v>https://pbs.twimg.com/media/E_xVJy2VQAQerFe.jpg</v>
      </c>
      <c r="W774" s="83">
        <v>44460.996296296296</v>
      </c>
      <c r="X774" s="89">
        <v>44460</v>
      </c>
      <c r="Y774" s="87" t="s">
        <v>2254</v>
      </c>
      <c r="Z774" s="85" t="str">
        <f>HYPERLINK("https://twitter.com/lia_yash/status/1440464526504181760")</f>
        <v>https://twitter.com/lia_yash/status/1440464526504181760</v>
      </c>
      <c r="AA774" s="81"/>
      <c r="AB774" s="81"/>
      <c r="AC774" s="87" t="s">
        <v>3178</v>
      </c>
      <c r="AD774" s="81"/>
      <c r="AE774" s="81" t="b">
        <v>0</v>
      </c>
      <c r="AF774" s="81">
        <v>0</v>
      </c>
      <c r="AG774" s="87" t="s">
        <v>3875</v>
      </c>
      <c r="AH774" s="81" t="b">
        <v>0</v>
      </c>
      <c r="AI774" s="81" t="s">
        <v>4092</v>
      </c>
      <c r="AJ774" s="81"/>
      <c r="AK774" s="87" t="s">
        <v>3875</v>
      </c>
      <c r="AL774" s="81" t="b">
        <v>0</v>
      </c>
      <c r="AM774" s="81">
        <v>321</v>
      </c>
      <c r="AN774" s="87" t="s">
        <v>3520</v>
      </c>
      <c r="AO774" s="87" t="s">
        <v>4109</v>
      </c>
      <c r="AP774" s="81" t="b">
        <v>0</v>
      </c>
      <c r="AQ774" s="87" t="s">
        <v>3520</v>
      </c>
      <c r="AR774" s="81" t="s">
        <v>179</v>
      </c>
      <c r="AS774" s="81">
        <v>0</v>
      </c>
      <c r="AT774" s="81">
        <v>0</v>
      </c>
      <c r="AU774" s="81"/>
      <c r="AV774" s="81"/>
      <c r="AW774" s="81"/>
      <c r="AX774" s="81"/>
      <c r="AY774" s="81"/>
      <c r="AZ774" s="81"/>
      <c r="BA774" s="81"/>
      <c r="BB774" s="81"/>
    </row>
    <row r="775" spans="1:54" x14ac:dyDescent="0.35">
      <c r="A775" s="66" t="s">
        <v>649</v>
      </c>
      <c r="B775" s="66" t="s">
        <v>1055</v>
      </c>
      <c r="C775" s="67"/>
      <c r="D775" s="68"/>
      <c r="E775" s="69"/>
      <c r="F775" s="70"/>
      <c r="G775" s="67"/>
      <c r="H775" s="71"/>
      <c r="I775" s="72"/>
      <c r="J775" s="72"/>
      <c r="K775" s="36"/>
      <c r="L775" s="79"/>
      <c r="M775" s="79"/>
      <c r="N775" s="74"/>
      <c r="O775" s="81" t="s">
        <v>1207</v>
      </c>
      <c r="P775" s="83">
        <v>44460.999606481484</v>
      </c>
      <c r="Q775" s="81" t="s">
        <v>1324</v>
      </c>
      <c r="R775" s="81"/>
      <c r="S775" s="81"/>
      <c r="T775" s="81"/>
      <c r="U775" s="85" t="str">
        <f>HYPERLINK("https://pbs.twimg.com/media/E_xVJy2VQAQerFe.jpg")</f>
        <v>https://pbs.twimg.com/media/E_xVJy2VQAQerFe.jpg</v>
      </c>
      <c r="V775" s="85" t="str">
        <f>HYPERLINK("https://pbs.twimg.com/media/E_xVJy2VQAQerFe.jpg")</f>
        <v>https://pbs.twimg.com/media/E_xVJy2VQAQerFe.jpg</v>
      </c>
      <c r="W775" s="83">
        <v>44460.999606481484</v>
      </c>
      <c r="X775" s="89">
        <v>44460</v>
      </c>
      <c r="Y775" s="87" t="s">
        <v>2255</v>
      </c>
      <c r="Z775" s="85" t="str">
        <f>HYPERLINK("https://twitter.com/jamescastello8/status/1440465725118771204")</f>
        <v>https://twitter.com/jamescastello8/status/1440465725118771204</v>
      </c>
      <c r="AA775" s="81"/>
      <c r="AB775" s="81"/>
      <c r="AC775" s="87" t="s">
        <v>3179</v>
      </c>
      <c r="AD775" s="81"/>
      <c r="AE775" s="81" t="b">
        <v>0</v>
      </c>
      <c r="AF775" s="81">
        <v>0</v>
      </c>
      <c r="AG775" s="87" t="s">
        <v>3875</v>
      </c>
      <c r="AH775" s="81" t="b">
        <v>0</v>
      </c>
      <c r="AI775" s="81" t="s">
        <v>4092</v>
      </c>
      <c r="AJ775" s="81"/>
      <c r="AK775" s="87" t="s">
        <v>3875</v>
      </c>
      <c r="AL775" s="81" t="b">
        <v>0</v>
      </c>
      <c r="AM775" s="81">
        <v>321</v>
      </c>
      <c r="AN775" s="87" t="s">
        <v>3520</v>
      </c>
      <c r="AO775" s="87" t="s">
        <v>4109</v>
      </c>
      <c r="AP775" s="81" t="b">
        <v>0</v>
      </c>
      <c r="AQ775" s="87" t="s">
        <v>3520</v>
      </c>
      <c r="AR775" s="81" t="s">
        <v>179</v>
      </c>
      <c r="AS775" s="81">
        <v>0</v>
      </c>
      <c r="AT775" s="81">
        <v>0</v>
      </c>
      <c r="AU775" s="81"/>
      <c r="AV775" s="81"/>
      <c r="AW775" s="81"/>
      <c r="AX775" s="81"/>
      <c r="AY775" s="81"/>
      <c r="AZ775" s="81"/>
      <c r="BA775" s="81"/>
      <c r="BB775" s="81"/>
    </row>
    <row r="776" spans="1:54" x14ac:dyDescent="0.35">
      <c r="A776" s="66" t="s">
        <v>649</v>
      </c>
      <c r="B776" s="66" t="s">
        <v>910</v>
      </c>
      <c r="C776" s="67"/>
      <c r="D776" s="68"/>
      <c r="E776" s="69"/>
      <c r="F776" s="70"/>
      <c r="G776" s="67"/>
      <c r="H776" s="71"/>
      <c r="I776" s="72"/>
      <c r="J776" s="72"/>
      <c r="K776" s="36"/>
      <c r="L776" s="79"/>
      <c r="M776" s="79"/>
      <c r="N776" s="74"/>
      <c r="O776" s="81" t="s">
        <v>1205</v>
      </c>
      <c r="P776" s="83">
        <v>44460.999606481484</v>
      </c>
      <c r="Q776" s="81" t="s">
        <v>1324</v>
      </c>
      <c r="R776" s="81"/>
      <c r="S776" s="81"/>
      <c r="T776" s="81"/>
      <c r="U776" s="85" t="str">
        <f>HYPERLINK("https://pbs.twimg.com/media/E_xVJy2VQAQerFe.jpg")</f>
        <v>https://pbs.twimg.com/media/E_xVJy2VQAQerFe.jpg</v>
      </c>
      <c r="V776" s="85" t="str">
        <f>HYPERLINK("https://pbs.twimg.com/media/E_xVJy2VQAQerFe.jpg")</f>
        <v>https://pbs.twimg.com/media/E_xVJy2VQAQerFe.jpg</v>
      </c>
      <c r="W776" s="83">
        <v>44460.999606481484</v>
      </c>
      <c r="X776" s="89">
        <v>44460</v>
      </c>
      <c r="Y776" s="87" t="s">
        <v>2255</v>
      </c>
      <c r="Z776" s="85" t="str">
        <f>HYPERLINK("https://twitter.com/jamescastello8/status/1440465725118771204")</f>
        <v>https://twitter.com/jamescastello8/status/1440465725118771204</v>
      </c>
      <c r="AA776" s="81"/>
      <c r="AB776" s="81"/>
      <c r="AC776" s="87" t="s">
        <v>3179</v>
      </c>
      <c r="AD776" s="81"/>
      <c r="AE776" s="81" t="b">
        <v>0</v>
      </c>
      <c r="AF776" s="81">
        <v>0</v>
      </c>
      <c r="AG776" s="87" t="s">
        <v>3875</v>
      </c>
      <c r="AH776" s="81" t="b">
        <v>0</v>
      </c>
      <c r="AI776" s="81" t="s">
        <v>4092</v>
      </c>
      <c r="AJ776" s="81"/>
      <c r="AK776" s="87" t="s">
        <v>3875</v>
      </c>
      <c r="AL776" s="81" t="b">
        <v>0</v>
      </c>
      <c r="AM776" s="81">
        <v>321</v>
      </c>
      <c r="AN776" s="87" t="s">
        <v>3520</v>
      </c>
      <c r="AO776" s="87" t="s">
        <v>4109</v>
      </c>
      <c r="AP776" s="81" t="b">
        <v>0</v>
      </c>
      <c r="AQ776" s="87" t="s">
        <v>3520</v>
      </c>
      <c r="AR776" s="81" t="s">
        <v>179</v>
      </c>
      <c r="AS776" s="81">
        <v>0</v>
      </c>
      <c r="AT776" s="81">
        <v>0</v>
      </c>
      <c r="AU776" s="81"/>
      <c r="AV776" s="81"/>
      <c r="AW776" s="81"/>
      <c r="AX776" s="81"/>
      <c r="AY776" s="81"/>
      <c r="AZ776" s="81"/>
      <c r="BA776" s="81"/>
      <c r="BB776" s="81"/>
    </row>
    <row r="777" spans="1:54" x14ac:dyDescent="0.35">
      <c r="A777" s="66" t="s">
        <v>650</v>
      </c>
      <c r="B777" s="66" t="s">
        <v>1055</v>
      </c>
      <c r="C777" s="67"/>
      <c r="D777" s="68"/>
      <c r="E777" s="69"/>
      <c r="F777" s="70"/>
      <c r="G777" s="67"/>
      <c r="H777" s="71"/>
      <c r="I777" s="72"/>
      <c r="J777" s="72"/>
      <c r="K777" s="36"/>
      <c r="L777" s="79"/>
      <c r="M777" s="79"/>
      <c r="N777" s="74"/>
      <c r="O777" s="81" t="s">
        <v>1207</v>
      </c>
      <c r="P777" s="83">
        <v>44460.999756944446</v>
      </c>
      <c r="Q777" s="81" t="s">
        <v>1324</v>
      </c>
      <c r="R777" s="81"/>
      <c r="S777" s="81"/>
      <c r="T777" s="81"/>
      <c r="U777" s="85" t="str">
        <f>HYPERLINK("https://pbs.twimg.com/media/E_xVJy2VQAQerFe.jpg")</f>
        <v>https://pbs.twimg.com/media/E_xVJy2VQAQerFe.jpg</v>
      </c>
      <c r="V777" s="85" t="str">
        <f>HYPERLINK("https://pbs.twimg.com/media/E_xVJy2VQAQerFe.jpg")</f>
        <v>https://pbs.twimg.com/media/E_xVJy2VQAQerFe.jpg</v>
      </c>
      <c r="W777" s="83">
        <v>44460.999756944446</v>
      </c>
      <c r="X777" s="89">
        <v>44460</v>
      </c>
      <c r="Y777" s="87" t="s">
        <v>2256</v>
      </c>
      <c r="Z777" s="85" t="str">
        <f>HYPERLINK("https://twitter.com/kenarok10193945/status/1440465782933049345")</f>
        <v>https://twitter.com/kenarok10193945/status/1440465782933049345</v>
      </c>
      <c r="AA777" s="81"/>
      <c r="AB777" s="81"/>
      <c r="AC777" s="87" t="s">
        <v>3180</v>
      </c>
      <c r="AD777" s="81"/>
      <c r="AE777" s="81" t="b">
        <v>0</v>
      </c>
      <c r="AF777" s="81">
        <v>0</v>
      </c>
      <c r="AG777" s="87" t="s">
        <v>3875</v>
      </c>
      <c r="AH777" s="81" t="b">
        <v>0</v>
      </c>
      <c r="AI777" s="81" t="s">
        <v>4092</v>
      </c>
      <c r="AJ777" s="81"/>
      <c r="AK777" s="87" t="s">
        <v>3875</v>
      </c>
      <c r="AL777" s="81" t="b">
        <v>0</v>
      </c>
      <c r="AM777" s="81">
        <v>321</v>
      </c>
      <c r="AN777" s="87" t="s">
        <v>3520</v>
      </c>
      <c r="AO777" s="87" t="s">
        <v>4111</v>
      </c>
      <c r="AP777" s="81" t="b">
        <v>0</v>
      </c>
      <c r="AQ777" s="87" t="s">
        <v>3520</v>
      </c>
      <c r="AR777" s="81" t="s">
        <v>179</v>
      </c>
      <c r="AS777" s="81">
        <v>0</v>
      </c>
      <c r="AT777" s="81">
        <v>0</v>
      </c>
      <c r="AU777" s="81"/>
      <c r="AV777" s="81"/>
      <c r="AW777" s="81"/>
      <c r="AX777" s="81"/>
      <c r="AY777" s="81"/>
      <c r="AZ777" s="81"/>
      <c r="BA777" s="81"/>
      <c r="BB777" s="81"/>
    </row>
    <row r="778" spans="1:54" x14ac:dyDescent="0.35">
      <c r="A778" s="66" t="s">
        <v>650</v>
      </c>
      <c r="B778" s="66" t="s">
        <v>910</v>
      </c>
      <c r="C778" s="67"/>
      <c r="D778" s="68"/>
      <c r="E778" s="69"/>
      <c r="F778" s="70"/>
      <c r="G778" s="67"/>
      <c r="H778" s="71"/>
      <c r="I778" s="72"/>
      <c r="J778" s="72"/>
      <c r="K778" s="36"/>
      <c r="L778" s="79"/>
      <c r="M778" s="79"/>
      <c r="N778" s="74"/>
      <c r="O778" s="81" t="s">
        <v>1205</v>
      </c>
      <c r="P778" s="83">
        <v>44460.999756944446</v>
      </c>
      <c r="Q778" s="81" t="s">
        <v>1324</v>
      </c>
      <c r="R778" s="81"/>
      <c r="S778" s="81"/>
      <c r="T778" s="81"/>
      <c r="U778" s="85" t="str">
        <f>HYPERLINK("https://pbs.twimg.com/media/E_xVJy2VQAQerFe.jpg")</f>
        <v>https://pbs.twimg.com/media/E_xVJy2VQAQerFe.jpg</v>
      </c>
      <c r="V778" s="85" t="str">
        <f>HYPERLINK("https://pbs.twimg.com/media/E_xVJy2VQAQerFe.jpg")</f>
        <v>https://pbs.twimg.com/media/E_xVJy2VQAQerFe.jpg</v>
      </c>
      <c r="W778" s="83">
        <v>44460.999756944446</v>
      </c>
      <c r="X778" s="89">
        <v>44460</v>
      </c>
      <c r="Y778" s="87" t="s">
        <v>2256</v>
      </c>
      <c r="Z778" s="85" t="str">
        <f>HYPERLINK("https://twitter.com/kenarok10193945/status/1440465782933049345")</f>
        <v>https://twitter.com/kenarok10193945/status/1440465782933049345</v>
      </c>
      <c r="AA778" s="81"/>
      <c r="AB778" s="81"/>
      <c r="AC778" s="87" t="s">
        <v>3180</v>
      </c>
      <c r="AD778" s="81"/>
      <c r="AE778" s="81" t="b">
        <v>0</v>
      </c>
      <c r="AF778" s="81">
        <v>0</v>
      </c>
      <c r="AG778" s="87" t="s">
        <v>3875</v>
      </c>
      <c r="AH778" s="81" t="b">
        <v>0</v>
      </c>
      <c r="AI778" s="81" t="s">
        <v>4092</v>
      </c>
      <c r="AJ778" s="81"/>
      <c r="AK778" s="87" t="s">
        <v>3875</v>
      </c>
      <c r="AL778" s="81" t="b">
        <v>0</v>
      </c>
      <c r="AM778" s="81">
        <v>321</v>
      </c>
      <c r="AN778" s="87" t="s">
        <v>3520</v>
      </c>
      <c r="AO778" s="87" t="s">
        <v>4111</v>
      </c>
      <c r="AP778" s="81" t="b">
        <v>0</v>
      </c>
      <c r="AQ778" s="87" t="s">
        <v>3520</v>
      </c>
      <c r="AR778" s="81" t="s">
        <v>179</v>
      </c>
      <c r="AS778" s="81">
        <v>0</v>
      </c>
      <c r="AT778" s="81">
        <v>0</v>
      </c>
      <c r="AU778" s="81"/>
      <c r="AV778" s="81"/>
      <c r="AW778" s="81"/>
      <c r="AX778" s="81"/>
      <c r="AY778" s="81"/>
      <c r="AZ778" s="81"/>
      <c r="BA778" s="81"/>
      <c r="BB778" s="81"/>
    </row>
    <row r="779" spans="1:54" x14ac:dyDescent="0.35">
      <c r="A779" s="66" t="s">
        <v>651</v>
      </c>
      <c r="B779" s="66" t="s">
        <v>1055</v>
      </c>
      <c r="C779" s="67"/>
      <c r="D779" s="68"/>
      <c r="E779" s="69"/>
      <c r="F779" s="70"/>
      <c r="G779" s="67"/>
      <c r="H779" s="71"/>
      <c r="I779" s="72"/>
      <c r="J779" s="72"/>
      <c r="K779" s="36"/>
      <c r="L779" s="79"/>
      <c r="M779" s="79"/>
      <c r="N779" s="74"/>
      <c r="O779" s="81" t="s">
        <v>1207</v>
      </c>
      <c r="P779" s="83">
        <v>44461.003113425926</v>
      </c>
      <c r="Q779" s="81" t="s">
        <v>1324</v>
      </c>
      <c r="R779" s="81"/>
      <c r="S779" s="81"/>
      <c r="T779" s="81"/>
      <c r="U779" s="85" t="str">
        <f>HYPERLINK("https://pbs.twimg.com/media/E_xVJy2VQAQerFe.jpg")</f>
        <v>https://pbs.twimg.com/media/E_xVJy2VQAQerFe.jpg</v>
      </c>
      <c r="V779" s="85" t="str">
        <f>HYPERLINK("https://pbs.twimg.com/media/E_xVJy2VQAQerFe.jpg")</f>
        <v>https://pbs.twimg.com/media/E_xVJy2VQAQerFe.jpg</v>
      </c>
      <c r="W779" s="83">
        <v>44461.003113425926</v>
      </c>
      <c r="X779" s="89">
        <v>44461</v>
      </c>
      <c r="Y779" s="87" t="s">
        <v>2257</v>
      </c>
      <c r="Z779" s="85" t="str">
        <f>HYPERLINK("https://twitter.com/herui18740920/status/1440466997989363727")</f>
        <v>https://twitter.com/herui18740920/status/1440466997989363727</v>
      </c>
      <c r="AA779" s="81"/>
      <c r="AB779" s="81"/>
      <c r="AC779" s="87" t="s">
        <v>3181</v>
      </c>
      <c r="AD779" s="81"/>
      <c r="AE779" s="81" t="b">
        <v>0</v>
      </c>
      <c r="AF779" s="81">
        <v>0</v>
      </c>
      <c r="AG779" s="87" t="s">
        <v>3875</v>
      </c>
      <c r="AH779" s="81" t="b">
        <v>0</v>
      </c>
      <c r="AI779" s="81" t="s">
        <v>4092</v>
      </c>
      <c r="AJ779" s="81"/>
      <c r="AK779" s="87" t="s">
        <v>3875</v>
      </c>
      <c r="AL779" s="81" t="b">
        <v>0</v>
      </c>
      <c r="AM779" s="81">
        <v>321</v>
      </c>
      <c r="AN779" s="87" t="s">
        <v>3520</v>
      </c>
      <c r="AO779" s="87" t="s">
        <v>4111</v>
      </c>
      <c r="AP779" s="81" t="b">
        <v>0</v>
      </c>
      <c r="AQ779" s="87" t="s">
        <v>3520</v>
      </c>
      <c r="AR779" s="81" t="s">
        <v>179</v>
      </c>
      <c r="AS779" s="81">
        <v>0</v>
      </c>
      <c r="AT779" s="81">
        <v>0</v>
      </c>
      <c r="AU779" s="81"/>
      <c r="AV779" s="81"/>
      <c r="AW779" s="81"/>
      <c r="AX779" s="81"/>
      <c r="AY779" s="81"/>
      <c r="AZ779" s="81"/>
      <c r="BA779" s="81"/>
      <c r="BB779" s="81"/>
    </row>
    <row r="780" spans="1:54" x14ac:dyDescent="0.35">
      <c r="A780" s="66" t="s">
        <v>651</v>
      </c>
      <c r="B780" s="66" t="s">
        <v>910</v>
      </c>
      <c r="C780" s="67"/>
      <c r="D780" s="68"/>
      <c r="E780" s="69"/>
      <c r="F780" s="70"/>
      <c r="G780" s="67"/>
      <c r="H780" s="71"/>
      <c r="I780" s="72"/>
      <c r="J780" s="72"/>
      <c r="K780" s="36"/>
      <c r="L780" s="79"/>
      <c r="M780" s="79"/>
      <c r="N780" s="74"/>
      <c r="O780" s="81" t="s">
        <v>1205</v>
      </c>
      <c r="P780" s="83">
        <v>44461.003113425926</v>
      </c>
      <c r="Q780" s="81" t="s">
        <v>1324</v>
      </c>
      <c r="R780" s="81"/>
      <c r="S780" s="81"/>
      <c r="T780" s="81"/>
      <c r="U780" s="85" t="str">
        <f>HYPERLINK("https://pbs.twimg.com/media/E_xVJy2VQAQerFe.jpg")</f>
        <v>https://pbs.twimg.com/media/E_xVJy2VQAQerFe.jpg</v>
      </c>
      <c r="V780" s="85" t="str">
        <f>HYPERLINK("https://pbs.twimg.com/media/E_xVJy2VQAQerFe.jpg")</f>
        <v>https://pbs.twimg.com/media/E_xVJy2VQAQerFe.jpg</v>
      </c>
      <c r="W780" s="83">
        <v>44461.003113425926</v>
      </c>
      <c r="X780" s="89">
        <v>44461</v>
      </c>
      <c r="Y780" s="87" t="s">
        <v>2257</v>
      </c>
      <c r="Z780" s="85" t="str">
        <f>HYPERLINK("https://twitter.com/herui18740920/status/1440466997989363727")</f>
        <v>https://twitter.com/herui18740920/status/1440466997989363727</v>
      </c>
      <c r="AA780" s="81"/>
      <c r="AB780" s="81"/>
      <c r="AC780" s="87" t="s">
        <v>3181</v>
      </c>
      <c r="AD780" s="81"/>
      <c r="AE780" s="81" t="b">
        <v>0</v>
      </c>
      <c r="AF780" s="81">
        <v>0</v>
      </c>
      <c r="AG780" s="87" t="s">
        <v>3875</v>
      </c>
      <c r="AH780" s="81" t="b">
        <v>0</v>
      </c>
      <c r="AI780" s="81" t="s">
        <v>4092</v>
      </c>
      <c r="AJ780" s="81"/>
      <c r="AK780" s="87" t="s">
        <v>3875</v>
      </c>
      <c r="AL780" s="81" t="b">
        <v>0</v>
      </c>
      <c r="AM780" s="81">
        <v>321</v>
      </c>
      <c r="AN780" s="87" t="s">
        <v>3520</v>
      </c>
      <c r="AO780" s="87" t="s">
        <v>4111</v>
      </c>
      <c r="AP780" s="81" t="b">
        <v>0</v>
      </c>
      <c r="AQ780" s="87" t="s">
        <v>3520</v>
      </c>
      <c r="AR780" s="81" t="s">
        <v>179</v>
      </c>
      <c r="AS780" s="81">
        <v>0</v>
      </c>
      <c r="AT780" s="81">
        <v>0</v>
      </c>
      <c r="AU780" s="81"/>
      <c r="AV780" s="81"/>
      <c r="AW780" s="81"/>
      <c r="AX780" s="81"/>
      <c r="AY780" s="81"/>
      <c r="AZ780" s="81"/>
      <c r="BA780" s="81"/>
      <c r="BB780" s="81"/>
    </row>
    <row r="781" spans="1:54" x14ac:dyDescent="0.35">
      <c r="A781" s="66" t="s">
        <v>652</v>
      </c>
      <c r="B781" s="66" t="s">
        <v>1055</v>
      </c>
      <c r="C781" s="67"/>
      <c r="D781" s="68"/>
      <c r="E781" s="69"/>
      <c r="F781" s="70"/>
      <c r="G781" s="67"/>
      <c r="H781" s="71"/>
      <c r="I781" s="72"/>
      <c r="J781" s="72"/>
      <c r="K781" s="36"/>
      <c r="L781" s="79"/>
      <c r="M781" s="79"/>
      <c r="N781" s="74"/>
      <c r="O781" s="81" t="s">
        <v>1207</v>
      </c>
      <c r="P781" s="83">
        <v>44461.004606481481</v>
      </c>
      <c r="Q781" s="81" t="s">
        <v>1324</v>
      </c>
      <c r="R781" s="81"/>
      <c r="S781" s="81"/>
      <c r="T781" s="81"/>
      <c r="U781" s="85" t="str">
        <f>HYPERLINK("https://pbs.twimg.com/media/E_xVJy2VQAQerFe.jpg")</f>
        <v>https://pbs.twimg.com/media/E_xVJy2VQAQerFe.jpg</v>
      </c>
      <c r="V781" s="85" t="str">
        <f>HYPERLINK("https://pbs.twimg.com/media/E_xVJy2VQAQerFe.jpg")</f>
        <v>https://pbs.twimg.com/media/E_xVJy2VQAQerFe.jpg</v>
      </c>
      <c r="W781" s="83">
        <v>44461.004606481481</v>
      </c>
      <c r="X781" s="89">
        <v>44461</v>
      </c>
      <c r="Y781" s="87" t="s">
        <v>2258</v>
      </c>
      <c r="Z781" s="85" t="str">
        <f>HYPERLINK("https://twitter.com/dietzno/status/1440467537272008713")</f>
        <v>https://twitter.com/dietzno/status/1440467537272008713</v>
      </c>
      <c r="AA781" s="81"/>
      <c r="AB781" s="81"/>
      <c r="AC781" s="87" t="s">
        <v>3182</v>
      </c>
      <c r="AD781" s="81"/>
      <c r="AE781" s="81" t="b">
        <v>0</v>
      </c>
      <c r="AF781" s="81">
        <v>0</v>
      </c>
      <c r="AG781" s="87" t="s">
        <v>3875</v>
      </c>
      <c r="AH781" s="81" t="b">
        <v>0</v>
      </c>
      <c r="AI781" s="81" t="s">
        <v>4092</v>
      </c>
      <c r="AJ781" s="81"/>
      <c r="AK781" s="87" t="s">
        <v>3875</v>
      </c>
      <c r="AL781" s="81" t="b">
        <v>0</v>
      </c>
      <c r="AM781" s="81">
        <v>321</v>
      </c>
      <c r="AN781" s="87" t="s">
        <v>3520</v>
      </c>
      <c r="AO781" s="87" t="s">
        <v>4109</v>
      </c>
      <c r="AP781" s="81" t="b">
        <v>0</v>
      </c>
      <c r="AQ781" s="87" t="s">
        <v>3520</v>
      </c>
      <c r="AR781" s="81" t="s">
        <v>179</v>
      </c>
      <c r="AS781" s="81">
        <v>0</v>
      </c>
      <c r="AT781" s="81">
        <v>0</v>
      </c>
      <c r="AU781" s="81"/>
      <c r="AV781" s="81"/>
      <c r="AW781" s="81"/>
      <c r="AX781" s="81"/>
      <c r="AY781" s="81"/>
      <c r="AZ781" s="81"/>
      <c r="BA781" s="81"/>
      <c r="BB781" s="81"/>
    </row>
    <row r="782" spans="1:54" x14ac:dyDescent="0.35">
      <c r="A782" s="66" t="s">
        <v>652</v>
      </c>
      <c r="B782" s="66" t="s">
        <v>910</v>
      </c>
      <c r="C782" s="67"/>
      <c r="D782" s="68"/>
      <c r="E782" s="69"/>
      <c r="F782" s="70"/>
      <c r="G782" s="67"/>
      <c r="H782" s="71"/>
      <c r="I782" s="72"/>
      <c r="J782" s="72"/>
      <c r="K782" s="36"/>
      <c r="L782" s="79"/>
      <c r="M782" s="79"/>
      <c r="N782" s="74"/>
      <c r="O782" s="81" t="s">
        <v>1205</v>
      </c>
      <c r="P782" s="83">
        <v>44461.004606481481</v>
      </c>
      <c r="Q782" s="81" t="s">
        <v>1324</v>
      </c>
      <c r="R782" s="81"/>
      <c r="S782" s="81"/>
      <c r="T782" s="81"/>
      <c r="U782" s="85" t="str">
        <f>HYPERLINK("https://pbs.twimg.com/media/E_xVJy2VQAQerFe.jpg")</f>
        <v>https://pbs.twimg.com/media/E_xVJy2VQAQerFe.jpg</v>
      </c>
      <c r="V782" s="85" t="str">
        <f>HYPERLINK("https://pbs.twimg.com/media/E_xVJy2VQAQerFe.jpg")</f>
        <v>https://pbs.twimg.com/media/E_xVJy2VQAQerFe.jpg</v>
      </c>
      <c r="W782" s="83">
        <v>44461.004606481481</v>
      </c>
      <c r="X782" s="89">
        <v>44461</v>
      </c>
      <c r="Y782" s="87" t="s">
        <v>2258</v>
      </c>
      <c r="Z782" s="85" t="str">
        <f>HYPERLINK("https://twitter.com/dietzno/status/1440467537272008713")</f>
        <v>https://twitter.com/dietzno/status/1440467537272008713</v>
      </c>
      <c r="AA782" s="81"/>
      <c r="AB782" s="81"/>
      <c r="AC782" s="87" t="s">
        <v>3182</v>
      </c>
      <c r="AD782" s="81"/>
      <c r="AE782" s="81" t="b">
        <v>0</v>
      </c>
      <c r="AF782" s="81">
        <v>0</v>
      </c>
      <c r="AG782" s="87" t="s">
        <v>3875</v>
      </c>
      <c r="AH782" s="81" t="b">
        <v>0</v>
      </c>
      <c r="AI782" s="81" t="s">
        <v>4092</v>
      </c>
      <c r="AJ782" s="81"/>
      <c r="AK782" s="87" t="s">
        <v>3875</v>
      </c>
      <c r="AL782" s="81" t="b">
        <v>0</v>
      </c>
      <c r="AM782" s="81">
        <v>321</v>
      </c>
      <c r="AN782" s="87" t="s">
        <v>3520</v>
      </c>
      <c r="AO782" s="87" t="s">
        <v>4109</v>
      </c>
      <c r="AP782" s="81" t="b">
        <v>0</v>
      </c>
      <c r="AQ782" s="87" t="s">
        <v>3520</v>
      </c>
      <c r="AR782" s="81" t="s">
        <v>179</v>
      </c>
      <c r="AS782" s="81">
        <v>0</v>
      </c>
      <c r="AT782" s="81">
        <v>0</v>
      </c>
      <c r="AU782" s="81"/>
      <c r="AV782" s="81"/>
      <c r="AW782" s="81"/>
      <c r="AX782" s="81"/>
      <c r="AY782" s="81"/>
      <c r="AZ782" s="81"/>
      <c r="BA782" s="81"/>
      <c r="BB782" s="81"/>
    </row>
    <row r="783" spans="1:54" x14ac:dyDescent="0.35">
      <c r="A783" s="66" t="s">
        <v>653</v>
      </c>
      <c r="B783" s="66" t="s">
        <v>1055</v>
      </c>
      <c r="C783" s="67"/>
      <c r="D783" s="68"/>
      <c r="E783" s="69"/>
      <c r="F783" s="70"/>
      <c r="G783" s="67"/>
      <c r="H783" s="71"/>
      <c r="I783" s="72"/>
      <c r="J783" s="72"/>
      <c r="K783" s="36"/>
      <c r="L783" s="79"/>
      <c r="M783" s="79"/>
      <c r="N783" s="74"/>
      <c r="O783" s="81" t="s">
        <v>1207</v>
      </c>
      <c r="P783" s="83">
        <v>44461.017337962963</v>
      </c>
      <c r="Q783" s="81" t="s">
        <v>1324</v>
      </c>
      <c r="R783" s="81"/>
      <c r="S783" s="81"/>
      <c r="T783" s="81"/>
      <c r="U783" s="85" t="str">
        <f>HYPERLINK("https://pbs.twimg.com/media/E_xVJy2VQAQerFe.jpg")</f>
        <v>https://pbs.twimg.com/media/E_xVJy2VQAQerFe.jpg</v>
      </c>
      <c r="V783" s="85" t="str">
        <f>HYPERLINK("https://pbs.twimg.com/media/E_xVJy2VQAQerFe.jpg")</f>
        <v>https://pbs.twimg.com/media/E_xVJy2VQAQerFe.jpg</v>
      </c>
      <c r="W783" s="83">
        <v>44461.017337962963</v>
      </c>
      <c r="X783" s="89">
        <v>44461</v>
      </c>
      <c r="Y783" s="87" t="s">
        <v>2259</v>
      </c>
      <c r="Z783" s="85" t="str">
        <f>HYPERLINK("https://twitter.com/iyat_jabbari/status/1440472151895654403")</f>
        <v>https://twitter.com/iyat_jabbari/status/1440472151895654403</v>
      </c>
      <c r="AA783" s="81"/>
      <c r="AB783" s="81"/>
      <c r="AC783" s="87" t="s">
        <v>3183</v>
      </c>
      <c r="AD783" s="81"/>
      <c r="AE783" s="81" t="b">
        <v>0</v>
      </c>
      <c r="AF783" s="81">
        <v>0</v>
      </c>
      <c r="AG783" s="87" t="s">
        <v>3875</v>
      </c>
      <c r="AH783" s="81" t="b">
        <v>0</v>
      </c>
      <c r="AI783" s="81" t="s">
        <v>4092</v>
      </c>
      <c r="AJ783" s="81"/>
      <c r="AK783" s="87" t="s">
        <v>3875</v>
      </c>
      <c r="AL783" s="81" t="b">
        <v>0</v>
      </c>
      <c r="AM783" s="81">
        <v>321</v>
      </c>
      <c r="AN783" s="87" t="s">
        <v>3520</v>
      </c>
      <c r="AO783" s="87" t="s">
        <v>4109</v>
      </c>
      <c r="AP783" s="81" t="b">
        <v>0</v>
      </c>
      <c r="AQ783" s="87" t="s">
        <v>3520</v>
      </c>
      <c r="AR783" s="81" t="s">
        <v>179</v>
      </c>
      <c r="AS783" s="81">
        <v>0</v>
      </c>
      <c r="AT783" s="81">
        <v>0</v>
      </c>
      <c r="AU783" s="81"/>
      <c r="AV783" s="81"/>
      <c r="AW783" s="81"/>
      <c r="AX783" s="81"/>
      <c r="AY783" s="81"/>
      <c r="AZ783" s="81"/>
      <c r="BA783" s="81"/>
      <c r="BB783" s="81"/>
    </row>
    <row r="784" spans="1:54" x14ac:dyDescent="0.35">
      <c r="A784" s="66" t="s">
        <v>653</v>
      </c>
      <c r="B784" s="66" t="s">
        <v>910</v>
      </c>
      <c r="C784" s="67"/>
      <c r="D784" s="68"/>
      <c r="E784" s="69"/>
      <c r="F784" s="70"/>
      <c r="G784" s="67"/>
      <c r="H784" s="71"/>
      <c r="I784" s="72"/>
      <c r="J784" s="72"/>
      <c r="K784" s="36"/>
      <c r="L784" s="79"/>
      <c r="M784" s="79"/>
      <c r="N784" s="74"/>
      <c r="O784" s="81" t="s">
        <v>1205</v>
      </c>
      <c r="P784" s="83">
        <v>44461.017337962963</v>
      </c>
      <c r="Q784" s="81" t="s">
        <v>1324</v>
      </c>
      <c r="R784" s="81"/>
      <c r="S784" s="81"/>
      <c r="T784" s="81"/>
      <c r="U784" s="85" t="str">
        <f>HYPERLINK("https://pbs.twimg.com/media/E_xVJy2VQAQerFe.jpg")</f>
        <v>https://pbs.twimg.com/media/E_xVJy2VQAQerFe.jpg</v>
      </c>
      <c r="V784" s="85" t="str">
        <f>HYPERLINK("https://pbs.twimg.com/media/E_xVJy2VQAQerFe.jpg")</f>
        <v>https://pbs.twimg.com/media/E_xVJy2VQAQerFe.jpg</v>
      </c>
      <c r="W784" s="83">
        <v>44461.017337962963</v>
      </c>
      <c r="X784" s="89">
        <v>44461</v>
      </c>
      <c r="Y784" s="87" t="s">
        <v>2259</v>
      </c>
      <c r="Z784" s="85" t="str">
        <f>HYPERLINK("https://twitter.com/iyat_jabbari/status/1440472151895654403")</f>
        <v>https://twitter.com/iyat_jabbari/status/1440472151895654403</v>
      </c>
      <c r="AA784" s="81"/>
      <c r="AB784" s="81"/>
      <c r="AC784" s="87" t="s">
        <v>3183</v>
      </c>
      <c r="AD784" s="81"/>
      <c r="AE784" s="81" t="b">
        <v>0</v>
      </c>
      <c r="AF784" s="81">
        <v>0</v>
      </c>
      <c r="AG784" s="87" t="s">
        <v>3875</v>
      </c>
      <c r="AH784" s="81" t="b">
        <v>0</v>
      </c>
      <c r="AI784" s="81" t="s">
        <v>4092</v>
      </c>
      <c r="AJ784" s="81"/>
      <c r="AK784" s="87" t="s">
        <v>3875</v>
      </c>
      <c r="AL784" s="81" t="b">
        <v>0</v>
      </c>
      <c r="AM784" s="81">
        <v>321</v>
      </c>
      <c r="AN784" s="87" t="s">
        <v>3520</v>
      </c>
      <c r="AO784" s="87" t="s">
        <v>4109</v>
      </c>
      <c r="AP784" s="81" t="b">
        <v>0</v>
      </c>
      <c r="AQ784" s="87" t="s">
        <v>3520</v>
      </c>
      <c r="AR784" s="81" t="s">
        <v>179</v>
      </c>
      <c r="AS784" s="81">
        <v>0</v>
      </c>
      <c r="AT784" s="81">
        <v>0</v>
      </c>
      <c r="AU784" s="81"/>
      <c r="AV784" s="81"/>
      <c r="AW784" s="81"/>
      <c r="AX784" s="81"/>
      <c r="AY784" s="81"/>
      <c r="AZ784" s="81"/>
      <c r="BA784" s="81"/>
      <c r="BB784" s="81"/>
    </row>
    <row r="785" spans="1:54" x14ac:dyDescent="0.35">
      <c r="A785" s="66" t="s">
        <v>654</v>
      </c>
      <c r="B785" s="66" t="s">
        <v>981</v>
      </c>
      <c r="C785" s="67"/>
      <c r="D785" s="68"/>
      <c r="E785" s="69"/>
      <c r="F785" s="70"/>
      <c r="G785" s="67"/>
      <c r="H785" s="71"/>
      <c r="I785" s="72"/>
      <c r="J785" s="72"/>
      <c r="K785" s="36"/>
      <c r="L785" s="79"/>
      <c r="M785" s="79"/>
      <c r="N785" s="74"/>
      <c r="O785" s="81" t="s">
        <v>1205</v>
      </c>
      <c r="P785" s="83">
        <v>44461.020289351851</v>
      </c>
      <c r="Q785" s="81" t="s">
        <v>1370</v>
      </c>
      <c r="R785" s="81"/>
      <c r="S785" s="81"/>
      <c r="T785" s="87" t="s">
        <v>1761</v>
      </c>
      <c r="U785" s="85" t="str">
        <f>HYPERLINK("https://pbs.twimg.com/media/E_2F2szVgAAqDwo.jpg")</f>
        <v>https://pbs.twimg.com/media/E_2F2szVgAAqDwo.jpg</v>
      </c>
      <c r="V785" s="85" t="str">
        <f>HYPERLINK("https://pbs.twimg.com/media/E_2F2szVgAAqDwo.jpg")</f>
        <v>https://pbs.twimg.com/media/E_2F2szVgAAqDwo.jpg</v>
      </c>
      <c r="W785" s="83">
        <v>44461.020289351851</v>
      </c>
      <c r="X785" s="89">
        <v>44461</v>
      </c>
      <c r="Y785" s="87" t="s">
        <v>2260</v>
      </c>
      <c r="Z785" s="85" t="str">
        <f>HYPERLINK("https://twitter.com/ikhanovitsari/status/1440473220608524294")</f>
        <v>https://twitter.com/ikhanovitsari/status/1440473220608524294</v>
      </c>
      <c r="AA785" s="81"/>
      <c r="AB785" s="81"/>
      <c r="AC785" s="87" t="s">
        <v>3184</v>
      </c>
      <c r="AD785" s="81"/>
      <c r="AE785" s="81" t="b">
        <v>0</v>
      </c>
      <c r="AF785" s="81">
        <v>0</v>
      </c>
      <c r="AG785" s="87" t="s">
        <v>3875</v>
      </c>
      <c r="AH785" s="81" t="b">
        <v>0</v>
      </c>
      <c r="AI785" s="81" t="s">
        <v>4092</v>
      </c>
      <c r="AJ785" s="81"/>
      <c r="AK785" s="87" t="s">
        <v>3875</v>
      </c>
      <c r="AL785" s="81" t="b">
        <v>0</v>
      </c>
      <c r="AM785" s="81">
        <v>3</v>
      </c>
      <c r="AN785" s="87" t="s">
        <v>3621</v>
      </c>
      <c r="AO785" s="87" t="s">
        <v>4111</v>
      </c>
      <c r="AP785" s="81" t="b">
        <v>0</v>
      </c>
      <c r="AQ785" s="87" t="s">
        <v>3621</v>
      </c>
      <c r="AR785" s="81" t="s">
        <v>179</v>
      </c>
      <c r="AS785" s="81">
        <v>0</v>
      </c>
      <c r="AT785" s="81">
        <v>0</v>
      </c>
      <c r="AU785" s="81"/>
      <c r="AV785" s="81"/>
      <c r="AW785" s="81"/>
      <c r="AX785" s="81"/>
      <c r="AY785" s="81"/>
      <c r="AZ785" s="81"/>
      <c r="BA785" s="81"/>
      <c r="BB785" s="81"/>
    </row>
    <row r="786" spans="1:54" x14ac:dyDescent="0.35">
      <c r="A786" s="66" t="s">
        <v>655</v>
      </c>
      <c r="B786" s="66" t="s">
        <v>1055</v>
      </c>
      <c r="C786" s="67"/>
      <c r="D786" s="68"/>
      <c r="E786" s="69"/>
      <c r="F786" s="70"/>
      <c r="G786" s="67"/>
      <c r="H786" s="71"/>
      <c r="I786" s="72"/>
      <c r="J786" s="72"/>
      <c r="K786" s="36"/>
      <c r="L786" s="79"/>
      <c r="M786" s="79"/>
      <c r="N786" s="74"/>
      <c r="O786" s="81" t="s">
        <v>1207</v>
      </c>
      <c r="P786" s="83">
        <v>44461.021689814814</v>
      </c>
      <c r="Q786" s="81" t="s">
        <v>1324</v>
      </c>
      <c r="R786" s="81"/>
      <c r="S786" s="81"/>
      <c r="T786" s="81"/>
      <c r="U786" s="85" t="str">
        <f>HYPERLINK("https://pbs.twimg.com/media/E_xVJy2VQAQerFe.jpg")</f>
        <v>https://pbs.twimg.com/media/E_xVJy2VQAQerFe.jpg</v>
      </c>
      <c r="V786" s="85" t="str">
        <f>HYPERLINK("https://pbs.twimg.com/media/E_xVJy2VQAQerFe.jpg")</f>
        <v>https://pbs.twimg.com/media/E_xVJy2VQAQerFe.jpg</v>
      </c>
      <c r="W786" s="83">
        <v>44461.021689814814</v>
      </c>
      <c r="X786" s="89">
        <v>44461</v>
      </c>
      <c r="Y786" s="87" t="s">
        <v>2261</v>
      </c>
      <c r="Z786" s="85" t="str">
        <f>HYPERLINK("https://twitter.com/lans2610/status/1440473729830584322")</f>
        <v>https://twitter.com/lans2610/status/1440473729830584322</v>
      </c>
      <c r="AA786" s="81"/>
      <c r="AB786" s="81"/>
      <c r="AC786" s="87" t="s">
        <v>3185</v>
      </c>
      <c r="AD786" s="81"/>
      <c r="AE786" s="81" t="b">
        <v>0</v>
      </c>
      <c r="AF786" s="81">
        <v>0</v>
      </c>
      <c r="AG786" s="87" t="s">
        <v>3875</v>
      </c>
      <c r="AH786" s="81" t="b">
        <v>0</v>
      </c>
      <c r="AI786" s="81" t="s">
        <v>4092</v>
      </c>
      <c r="AJ786" s="81"/>
      <c r="AK786" s="87" t="s">
        <v>3875</v>
      </c>
      <c r="AL786" s="81" t="b">
        <v>0</v>
      </c>
      <c r="AM786" s="81">
        <v>321</v>
      </c>
      <c r="AN786" s="87" t="s">
        <v>3520</v>
      </c>
      <c r="AO786" s="87" t="s">
        <v>4109</v>
      </c>
      <c r="AP786" s="81" t="b">
        <v>0</v>
      </c>
      <c r="AQ786" s="87" t="s">
        <v>3520</v>
      </c>
      <c r="AR786" s="81" t="s">
        <v>179</v>
      </c>
      <c r="AS786" s="81">
        <v>0</v>
      </c>
      <c r="AT786" s="81">
        <v>0</v>
      </c>
      <c r="AU786" s="81"/>
      <c r="AV786" s="81"/>
      <c r="AW786" s="81"/>
      <c r="AX786" s="81"/>
      <c r="AY786" s="81"/>
      <c r="AZ786" s="81"/>
      <c r="BA786" s="81"/>
      <c r="BB786" s="81"/>
    </row>
    <row r="787" spans="1:54" x14ac:dyDescent="0.35">
      <c r="A787" s="66" t="s">
        <v>655</v>
      </c>
      <c r="B787" s="66" t="s">
        <v>910</v>
      </c>
      <c r="C787" s="67"/>
      <c r="D787" s="68"/>
      <c r="E787" s="69"/>
      <c r="F787" s="70"/>
      <c r="G787" s="67"/>
      <c r="H787" s="71"/>
      <c r="I787" s="72"/>
      <c r="J787" s="72"/>
      <c r="K787" s="36"/>
      <c r="L787" s="79"/>
      <c r="M787" s="79"/>
      <c r="N787" s="74"/>
      <c r="O787" s="81" t="s">
        <v>1205</v>
      </c>
      <c r="P787" s="83">
        <v>44461.021689814814</v>
      </c>
      <c r="Q787" s="81" t="s">
        <v>1324</v>
      </c>
      <c r="R787" s="81"/>
      <c r="S787" s="81"/>
      <c r="T787" s="81"/>
      <c r="U787" s="85" t="str">
        <f>HYPERLINK("https://pbs.twimg.com/media/E_xVJy2VQAQerFe.jpg")</f>
        <v>https://pbs.twimg.com/media/E_xVJy2VQAQerFe.jpg</v>
      </c>
      <c r="V787" s="85" t="str">
        <f>HYPERLINK("https://pbs.twimg.com/media/E_xVJy2VQAQerFe.jpg")</f>
        <v>https://pbs.twimg.com/media/E_xVJy2VQAQerFe.jpg</v>
      </c>
      <c r="W787" s="83">
        <v>44461.021689814814</v>
      </c>
      <c r="X787" s="89">
        <v>44461</v>
      </c>
      <c r="Y787" s="87" t="s">
        <v>2261</v>
      </c>
      <c r="Z787" s="85" t="str">
        <f>HYPERLINK("https://twitter.com/lans2610/status/1440473729830584322")</f>
        <v>https://twitter.com/lans2610/status/1440473729830584322</v>
      </c>
      <c r="AA787" s="81"/>
      <c r="AB787" s="81"/>
      <c r="AC787" s="87" t="s">
        <v>3185</v>
      </c>
      <c r="AD787" s="81"/>
      <c r="AE787" s="81" t="b">
        <v>0</v>
      </c>
      <c r="AF787" s="81">
        <v>0</v>
      </c>
      <c r="AG787" s="87" t="s">
        <v>3875</v>
      </c>
      <c r="AH787" s="81" t="b">
        <v>0</v>
      </c>
      <c r="AI787" s="81" t="s">
        <v>4092</v>
      </c>
      <c r="AJ787" s="81"/>
      <c r="AK787" s="87" t="s">
        <v>3875</v>
      </c>
      <c r="AL787" s="81" t="b">
        <v>0</v>
      </c>
      <c r="AM787" s="81">
        <v>321</v>
      </c>
      <c r="AN787" s="87" t="s">
        <v>3520</v>
      </c>
      <c r="AO787" s="87" t="s">
        <v>4109</v>
      </c>
      <c r="AP787" s="81" t="b">
        <v>0</v>
      </c>
      <c r="AQ787" s="87" t="s">
        <v>3520</v>
      </c>
      <c r="AR787" s="81" t="s">
        <v>179</v>
      </c>
      <c r="AS787" s="81">
        <v>0</v>
      </c>
      <c r="AT787" s="81">
        <v>0</v>
      </c>
      <c r="AU787" s="81"/>
      <c r="AV787" s="81"/>
      <c r="AW787" s="81"/>
      <c r="AX787" s="81"/>
      <c r="AY787" s="81"/>
      <c r="AZ787" s="81"/>
      <c r="BA787" s="81"/>
      <c r="BB787" s="81"/>
    </row>
    <row r="788" spans="1:54" x14ac:dyDescent="0.35">
      <c r="A788" s="66" t="s">
        <v>656</v>
      </c>
      <c r="B788" s="66" t="s">
        <v>1055</v>
      </c>
      <c r="C788" s="67"/>
      <c r="D788" s="68"/>
      <c r="E788" s="69"/>
      <c r="F788" s="70"/>
      <c r="G788" s="67"/>
      <c r="H788" s="71"/>
      <c r="I788" s="72"/>
      <c r="J788" s="72"/>
      <c r="K788" s="36"/>
      <c r="L788" s="79"/>
      <c r="M788" s="79"/>
      <c r="N788" s="74"/>
      <c r="O788" s="81" t="s">
        <v>1207</v>
      </c>
      <c r="P788" s="83">
        <v>44461.024108796293</v>
      </c>
      <c r="Q788" s="81" t="s">
        <v>1324</v>
      </c>
      <c r="R788" s="81"/>
      <c r="S788" s="81"/>
      <c r="T788" s="81"/>
      <c r="U788" s="85" t="str">
        <f>HYPERLINK("https://pbs.twimg.com/media/E_xVJy2VQAQerFe.jpg")</f>
        <v>https://pbs.twimg.com/media/E_xVJy2VQAQerFe.jpg</v>
      </c>
      <c r="V788" s="85" t="str">
        <f>HYPERLINK("https://pbs.twimg.com/media/E_xVJy2VQAQerFe.jpg")</f>
        <v>https://pbs.twimg.com/media/E_xVJy2VQAQerFe.jpg</v>
      </c>
      <c r="W788" s="83">
        <v>44461.024108796293</v>
      </c>
      <c r="X788" s="89">
        <v>44461</v>
      </c>
      <c r="Y788" s="87" t="s">
        <v>2262</v>
      </c>
      <c r="Z788" s="85" t="str">
        <f>HYPERLINK("https://twitter.com/galang01587086/status/1440474606213623812")</f>
        <v>https://twitter.com/galang01587086/status/1440474606213623812</v>
      </c>
      <c r="AA788" s="81"/>
      <c r="AB788" s="81"/>
      <c r="AC788" s="87" t="s">
        <v>3186</v>
      </c>
      <c r="AD788" s="81"/>
      <c r="AE788" s="81" t="b">
        <v>0</v>
      </c>
      <c r="AF788" s="81">
        <v>0</v>
      </c>
      <c r="AG788" s="87" t="s">
        <v>3875</v>
      </c>
      <c r="AH788" s="81" t="b">
        <v>0</v>
      </c>
      <c r="AI788" s="81" t="s">
        <v>4092</v>
      </c>
      <c r="AJ788" s="81"/>
      <c r="AK788" s="87" t="s">
        <v>3875</v>
      </c>
      <c r="AL788" s="81" t="b">
        <v>0</v>
      </c>
      <c r="AM788" s="81">
        <v>321</v>
      </c>
      <c r="AN788" s="87" t="s">
        <v>3520</v>
      </c>
      <c r="AO788" s="87" t="s">
        <v>4109</v>
      </c>
      <c r="AP788" s="81" t="b">
        <v>0</v>
      </c>
      <c r="AQ788" s="87" t="s">
        <v>3520</v>
      </c>
      <c r="AR788" s="81" t="s">
        <v>179</v>
      </c>
      <c r="AS788" s="81">
        <v>0</v>
      </c>
      <c r="AT788" s="81">
        <v>0</v>
      </c>
      <c r="AU788" s="81"/>
      <c r="AV788" s="81"/>
      <c r="AW788" s="81"/>
      <c r="AX788" s="81"/>
      <c r="AY788" s="81"/>
      <c r="AZ788" s="81"/>
      <c r="BA788" s="81"/>
      <c r="BB788" s="81"/>
    </row>
    <row r="789" spans="1:54" x14ac:dyDescent="0.35">
      <c r="A789" s="66" t="s">
        <v>656</v>
      </c>
      <c r="B789" s="66" t="s">
        <v>910</v>
      </c>
      <c r="C789" s="67"/>
      <c r="D789" s="68"/>
      <c r="E789" s="69"/>
      <c r="F789" s="70"/>
      <c r="G789" s="67"/>
      <c r="H789" s="71"/>
      <c r="I789" s="72"/>
      <c r="J789" s="72"/>
      <c r="K789" s="36"/>
      <c r="L789" s="79"/>
      <c r="M789" s="79"/>
      <c r="N789" s="74"/>
      <c r="O789" s="81" t="s">
        <v>1205</v>
      </c>
      <c r="P789" s="83">
        <v>44461.024108796293</v>
      </c>
      <c r="Q789" s="81" t="s">
        <v>1324</v>
      </c>
      <c r="R789" s="81"/>
      <c r="S789" s="81"/>
      <c r="T789" s="81"/>
      <c r="U789" s="85" t="str">
        <f>HYPERLINK("https://pbs.twimg.com/media/E_xVJy2VQAQerFe.jpg")</f>
        <v>https://pbs.twimg.com/media/E_xVJy2VQAQerFe.jpg</v>
      </c>
      <c r="V789" s="85" t="str">
        <f>HYPERLINK("https://pbs.twimg.com/media/E_xVJy2VQAQerFe.jpg")</f>
        <v>https://pbs.twimg.com/media/E_xVJy2VQAQerFe.jpg</v>
      </c>
      <c r="W789" s="83">
        <v>44461.024108796293</v>
      </c>
      <c r="X789" s="89">
        <v>44461</v>
      </c>
      <c r="Y789" s="87" t="s">
        <v>2262</v>
      </c>
      <c r="Z789" s="85" t="str">
        <f>HYPERLINK("https://twitter.com/galang01587086/status/1440474606213623812")</f>
        <v>https://twitter.com/galang01587086/status/1440474606213623812</v>
      </c>
      <c r="AA789" s="81"/>
      <c r="AB789" s="81"/>
      <c r="AC789" s="87" t="s">
        <v>3186</v>
      </c>
      <c r="AD789" s="81"/>
      <c r="AE789" s="81" t="b">
        <v>0</v>
      </c>
      <c r="AF789" s="81">
        <v>0</v>
      </c>
      <c r="AG789" s="87" t="s">
        <v>3875</v>
      </c>
      <c r="AH789" s="81" t="b">
        <v>0</v>
      </c>
      <c r="AI789" s="81" t="s">
        <v>4092</v>
      </c>
      <c r="AJ789" s="81"/>
      <c r="AK789" s="87" t="s">
        <v>3875</v>
      </c>
      <c r="AL789" s="81" t="b">
        <v>0</v>
      </c>
      <c r="AM789" s="81">
        <v>321</v>
      </c>
      <c r="AN789" s="87" t="s">
        <v>3520</v>
      </c>
      <c r="AO789" s="87" t="s">
        <v>4109</v>
      </c>
      <c r="AP789" s="81" t="b">
        <v>0</v>
      </c>
      <c r="AQ789" s="87" t="s">
        <v>3520</v>
      </c>
      <c r="AR789" s="81" t="s">
        <v>179</v>
      </c>
      <c r="AS789" s="81">
        <v>0</v>
      </c>
      <c r="AT789" s="81">
        <v>0</v>
      </c>
      <c r="AU789" s="81"/>
      <c r="AV789" s="81"/>
      <c r="AW789" s="81"/>
      <c r="AX789" s="81"/>
      <c r="AY789" s="81"/>
      <c r="AZ789" s="81"/>
      <c r="BA789" s="81"/>
      <c r="BB789" s="81"/>
    </row>
    <row r="790" spans="1:54" x14ac:dyDescent="0.35">
      <c r="A790" s="66" t="s">
        <v>657</v>
      </c>
      <c r="B790" s="66" t="s">
        <v>1055</v>
      </c>
      <c r="C790" s="67"/>
      <c r="D790" s="68"/>
      <c r="E790" s="69"/>
      <c r="F790" s="70"/>
      <c r="G790" s="67"/>
      <c r="H790" s="71"/>
      <c r="I790" s="72"/>
      <c r="J790" s="72"/>
      <c r="K790" s="36"/>
      <c r="L790" s="79"/>
      <c r="M790" s="79"/>
      <c r="N790" s="74"/>
      <c r="O790" s="81" t="s">
        <v>1207</v>
      </c>
      <c r="P790" s="83">
        <v>44461.027997685182</v>
      </c>
      <c r="Q790" s="81" t="s">
        <v>1324</v>
      </c>
      <c r="R790" s="81"/>
      <c r="S790" s="81"/>
      <c r="T790" s="81"/>
      <c r="U790" s="85" t="str">
        <f>HYPERLINK("https://pbs.twimg.com/media/E_xVJy2VQAQerFe.jpg")</f>
        <v>https://pbs.twimg.com/media/E_xVJy2VQAQerFe.jpg</v>
      </c>
      <c r="V790" s="85" t="str">
        <f>HYPERLINK("https://pbs.twimg.com/media/E_xVJy2VQAQerFe.jpg")</f>
        <v>https://pbs.twimg.com/media/E_xVJy2VQAQerFe.jpg</v>
      </c>
      <c r="W790" s="83">
        <v>44461.027997685182</v>
      </c>
      <c r="X790" s="89">
        <v>44461</v>
      </c>
      <c r="Y790" s="87" t="s">
        <v>2263</v>
      </c>
      <c r="Z790" s="85" t="str">
        <f>HYPERLINK("https://twitter.com/zonevenomwar/status/1440476017487876103")</f>
        <v>https://twitter.com/zonevenomwar/status/1440476017487876103</v>
      </c>
      <c r="AA790" s="81"/>
      <c r="AB790" s="81"/>
      <c r="AC790" s="87" t="s">
        <v>3187</v>
      </c>
      <c r="AD790" s="81"/>
      <c r="AE790" s="81" t="b">
        <v>0</v>
      </c>
      <c r="AF790" s="81">
        <v>0</v>
      </c>
      <c r="AG790" s="87" t="s">
        <v>3875</v>
      </c>
      <c r="AH790" s="81" t="b">
        <v>0</v>
      </c>
      <c r="AI790" s="81" t="s">
        <v>4092</v>
      </c>
      <c r="AJ790" s="81"/>
      <c r="AK790" s="87" t="s">
        <v>3875</v>
      </c>
      <c r="AL790" s="81" t="b">
        <v>0</v>
      </c>
      <c r="AM790" s="81">
        <v>321</v>
      </c>
      <c r="AN790" s="87" t="s">
        <v>3520</v>
      </c>
      <c r="AO790" s="87" t="s">
        <v>4109</v>
      </c>
      <c r="AP790" s="81" t="b">
        <v>0</v>
      </c>
      <c r="AQ790" s="87" t="s">
        <v>3520</v>
      </c>
      <c r="AR790" s="81" t="s">
        <v>179</v>
      </c>
      <c r="AS790" s="81">
        <v>0</v>
      </c>
      <c r="AT790" s="81">
        <v>0</v>
      </c>
      <c r="AU790" s="81"/>
      <c r="AV790" s="81"/>
      <c r="AW790" s="81"/>
      <c r="AX790" s="81"/>
      <c r="AY790" s="81"/>
      <c r="AZ790" s="81"/>
      <c r="BA790" s="81"/>
      <c r="BB790" s="81"/>
    </row>
    <row r="791" spans="1:54" x14ac:dyDescent="0.35">
      <c r="A791" s="66" t="s">
        <v>657</v>
      </c>
      <c r="B791" s="66" t="s">
        <v>910</v>
      </c>
      <c r="C791" s="67"/>
      <c r="D791" s="68"/>
      <c r="E791" s="69"/>
      <c r="F791" s="70"/>
      <c r="G791" s="67"/>
      <c r="H791" s="71"/>
      <c r="I791" s="72"/>
      <c r="J791" s="72"/>
      <c r="K791" s="36"/>
      <c r="L791" s="79"/>
      <c r="M791" s="79"/>
      <c r="N791" s="74"/>
      <c r="O791" s="81" t="s">
        <v>1205</v>
      </c>
      <c r="P791" s="83">
        <v>44461.027997685182</v>
      </c>
      <c r="Q791" s="81" t="s">
        <v>1324</v>
      </c>
      <c r="R791" s="81"/>
      <c r="S791" s="81"/>
      <c r="T791" s="81"/>
      <c r="U791" s="85" t="str">
        <f>HYPERLINK("https://pbs.twimg.com/media/E_xVJy2VQAQerFe.jpg")</f>
        <v>https://pbs.twimg.com/media/E_xVJy2VQAQerFe.jpg</v>
      </c>
      <c r="V791" s="85" t="str">
        <f>HYPERLINK("https://pbs.twimg.com/media/E_xVJy2VQAQerFe.jpg")</f>
        <v>https://pbs.twimg.com/media/E_xVJy2VQAQerFe.jpg</v>
      </c>
      <c r="W791" s="83">
        <v>44461.027997685182</v>
      </c>
      <c r="X791" s="89">
        <v>44461</v>
      </c>
      <c r="Y791" s="87" t="s">
        <v>2263</v>
      </c>
      <c r="Z791" s="85" t="str">
        <f>HYPERLINK("https://twitter.com/zonevenomwar/status/1440476017487876103")</f>
        <v>https://twitter.com/zonevenomwar/status/1440476017487876103</v>
      </c>
      <c r="AA791" s="81"/>
      <c r="AB791" s="81"/>
      <c r="AC791" s="87" t="s">
        <v>3187</v>
      </c>
      <c r="AD791" s="81"/>
      <c r="AE791" s="81" t="b">
        <v>0</v>
      </c>
      <c r="AF791" s="81">
        <v>0</v>
      </c>
      <c r="AG791" s="87" t="s">
        <v>3875</v>
      </c>
      <c r="AH791" s="81" t="b">
        <v>0</v>
      </c>
      <c r="AI791" s="81" t="s">
        <v>4092</v>
      </c>
      <c r="AJ791" s="81"/>
      <c r="AK791" s="87" t="s">
        <v>3875</v>
      </c>
      <c r="AL791" s="81" t="b">
        <v>0</v>
      </c>
      <c r="AM791" s="81">
        <v>321</v>
      </c>
      <c r="AN791" s="87" t="s">
        <v>3520</v>
      </c>
      <c r="AO791" s="87" t="s">
        <v>4109</v>
      </c>
      <c r="AP791" s="81" t="b">
        <v>0</v>
      </c>
      <c r="AQ791" s="87" t="s">
        <v>3520</v>
      </c>
      <c r="AR791" s="81" t="s">
        <v>179</v>
      </c>
      <c r="AS791" s="81">
        <v>0</v>
      </c>
      <c r="AT791" s="81">
        <v>0</v>
      </c>
      <c r="AU791" s="81"/>
      <c r="AV791" s="81"/>
      <c r="AW791" s="81"/>
      <c r="AX791" s="81"/>
      <c r="AY791" s="81"/>
      <c r="AZ791" s="81"/>
      <c r="BA791" s="81"/>
      <c r="BB791" s="81"/>
    </row>
    <row r="792" spans="1:54" x14ac:dyDescent="0.35">
      <c r="A792" s="66" t="s">
        <v>658</v>
      </c>
      <c r="B792" s="66" t="s">
        <v>1076</v>
      </c>
      <c r="C792" s="67"/>
      <c r="D792" s="68"/>
      <c r="E792" s="69"/>
      <c r="F792" s="70"/>
      <c r="G792" s="67"/>
      <c r="H792" s="71"/>
      <c r="I792" s="72"/>
      <c r="J792" s="72"/>
      <c r="K792" s="36"/>
      <c r="L792" s="79"/>
      <c r="M792" s="79"/>
      <c r="N792" s="74"/>
      <c r="O792" s="81" t="s">
        <v>1208</v>
      </c>
      <c r="P792" s="83">
        <v>44461.03292824074</v>
      </c>
      <c r="Q792" s="81" t="s">
        <v>1371</v>
      </c>
      <c r="R792" s="81"/>
      <c r="S792" s="81"/>
      <c r="T792" s="81"/>
      <c r="U792" s="81"/>
      <c r="V792" s="85" t="str">
        <f>HYPERLINK("https://pbs.twimg.com/profile_images/1414408997973594112/gqooTrnB_normal.jpg")</f>
        <v>https://pbs.twimg.com/profile_images/1414408997973594112/gqooTrnB_normal.jpg</v>
      </c>
      <c r="W792" s="83">
        <v>44461.03292824074</v>
      </c>
      <c r="X792" s="89">
        <v>44461</v>
      </c>
      <c r="Y792" s="87" t="s">
        <v>2264</v>
      </c>
      <c r="Z792" s="85" t="str">
        <f>HYPERLINK("https://twitter.com/mibalbuceo/status/1440477801480556552")</f>
        <v>https://twitter.com/mibalbuceo/status/1440477801480556552</v>
      </c>
      <c r="AA792" s="81"/>
      <c r="AB792" s="81"/>
      <c r="AC792" s="87" t="s">
        <v>3188</v>
      </c>
      <c r="AD792" s="87" t="s">
        <v>3731</v>
      </c>
      <c r="AE792" s="81" t="b">
        <v>0</v>
      </c>
      <c r="AF792" s="81">
        <v>1</v>
      </c>
      <c r="AG792" s="87" t="s">
        <v>3953</v>
      </c>
      <c r="AH792" s="81" t="b">
        <v>0</v>
      </c>
      <c r="AI792" s="81" t="s">
        <v>4093</v>
      </c>
      <c r="AJ792" s="81"/>
      <c r="AK792" s="87" t="s">
        <v>3875</v>
      </c>
      <c r="AL792" s="81" t="b">
        <v>0</v>
      </c>
      <c r="AM792" s="81">
        <v>0</v>
      </c>
      <c r="AN792" s="87" t="s">
        <v>3875</v>
      </c>
      <c r="AO792" s="87" t="s">
        <v>4110</v>
      </c>
      <c r="AP792" s="81" t="b">
        <v>0</v>
      </c>
      <c r="AQ792" s="87" t="s">
        <v>3731</v>
      </c>
      <c r="AR792" s="81" t="s">
        <v>179</v>
      </c>
      <c r="AS792" s="81">
        <v>0</v>
      </c>
      <c r="AT792" s="81">
        <v>0</v>
      </c>
      <c r="AU792" s="81"/>
      <c r="AV792" s="81"/>
      <c r="AW792" s="81"/>
      <c r="AX792" s="81"/>
      <c r="AY792" s="81"/>
      <c r="AZ792" s="81"/>
      <c r="BA792" s="81"/>
      <c r="BB792" s="81"/>
    </row>
    <row r="793" spans="1:54" x14ac:dyDescent="0.35">
      <c r="A793" s="66" t="s">
        <v>659</v>
      </c>
      <c r="B793" s="66" t="s">
        <v>1055</v>
      </c>
      <c r="C793" s="67"/>
      <c r="D793" s="68"/>
      <c r="E793" s="69"/>
      <c r="F793" s="70"/>
      <c r="G793" s="67"/>
      <c r="H793" s="71"/>
      <c r="I793" s="72"/>
      <c r="J793" s="72"/>
      <c r="K793" s="36"/>
      <c r="L793" s="79"/>
      <c r="M793" s="79"/>
      <c r="N793" s="74"/>
      <c r="O793" s="81" t="s">
        <v>1207</v>
      </c>
      <c r="P793" s="83">
        <v>44461.032638888886</v>
      </c>
      <c r="Q793" s="81" t="s">
        <v>1324</v>
      </c>
      <c r="R793" s="81"/>
      <c r="S793" s="81"/>
      <c r="T793" s="81"/>
      <c r="U793" s="85" t="str">
        <f>HYPERLINK("https://pbs.twimg.com/media/E_xVJy2VQAQerFe.jpg")</f>
        <v>https://pbs.twimg.com/media/E_xVJy2VQAQerFe.jpg</v>
      </c>
      <c r="V793" s="85" t="str">
        <f>HYPERLINK("https://pbs.twimg.com/media/E_xVJy2VQAQerFe.jpg")</f>
        <v>https://pbs.twimg.com/media/E_xVJy2VQAQerFe.jpg</v>
      </c>
      <c r="W793" s="83">
        <v>44461.032638888886</v>
      </c>
      <c r="X793" s="89">
        <v>44461</v>
      </c>
      <c r="Y793" s="87" t="s">
        <v>2265</v>
      </c>
      <c r="Z793" s="85" t="str">
        <f>HYPERLINK("https://twitter.com/hgberry/status/1440477697574989837")</f>
        <v>https://twitter.com/hgberry/status/1440477697574989837</v>
      </c>
      <c r="AA793" s="81"/>
      <c r="AB793" s="81"/>
      <c r="AC793" s="87" t="s">
        <v>3189</v>
      </c>
      <c r="AD793" s="81"/>
      <c r="AE793" s="81" t="b">
        <v>0</v>
      </c>
      <c r="AF793" s="81">
        <v>0</v>
      </c>
      <c r="AG793" s="87" t="s">
        <v>3875</v>
      </c>
      <c r="AH793" s="81" t="b">
        <v>0</v>
      </c>
      <c r="AI793" s="81" t="s">
        <v>4092</v>
      </c>
      <c r="AJ793" s="81"/>
      <c r="AK793" s="87" t="s">
        <v>3875</v>
      </c>
      <c r="AL793" s="81" t="b">
        <v>0</v>
      </c>
      <c r="AM793" s="81">
        <v>321</v>
      </c>
      <c r="AN793" s="87" t="s">
        <v>3520</v>
      </c>
      <c r="AO793" s="87" t="s">
        <v>4109</v>
      </c>
      <c r="AP793" s="81" t="b">
        <v>0</v>
      </c>
      <c r="AQ793" s="87" t="s">
        <v>3520</v>
      </c>
      <c r="AR793" s="81" t="s">
        <v>179</v>
      </c>
      <c r="AS793" s="81">
        <v>0</v>
      </c>
      <c r="AT793" s="81">
        <v>0</v>
      </c>
      <c r="AU793" s="81"/>
      <c r="AV793" s="81"/>
      <c r="AW793" s="81"/>
      <c r="AX793" s="81"/>
      <c r="AY793" s="81"/>
      <c r="AZ793" s="81"/>
      <c r="BA793" s="81"/>
      <c r="BB793" s="81"/>
    </row>
    <row r="794" spans="1:54" x14ac:dyDescent="0.35">
      <c r="A794" s="66" t="s">
        <v>659</v>
      </c>
      <c r="B794" s="66" t="s">
        <v>910</v>
      </c>
      <c r="C794" s="67"/>
      <c r="D794" s="68"/>
      <c r="E794" s="69"/>
      <c r="F794" s="70"/>
      <c r="G794" s="67"/>
      <c r="H794" s="71"/>
      <c r="I794" s="72"/>
      <c r="J794" s="72"/>
      <c r="K794" s="36"/>
      <c r="L794" s="79"/>
      <c r="M794" s="79"/>
      <c r="N794" s="74"/>
      <c r="O794" s="81" t="s">
        <v>1205</v>
      </c>
      <c r="P794" s="83">
        <v>44461.032638888886</v>
      </c>
      <c r="Q794" s="81" t="s">
        <v>1324</v>
      </c>
      <c r="R794" s="81"/>
      <c r="S794" s="81"/>
      <c r="T794" s="81"/>
      <c r="U794" s="85" t="str">
        <f>HYPERLINK("https://pbs.twimg.com/media/E_xVJy2VQAQerFe.jpg")</f>
        <v>https://pbs.twimg.com/media/E_xVJy2VQAQerFe.jpg</v>
      </c>
      <c r="V794" s="85" t="str">
        <f>HYPERLINK("https://pbs.twimg.com/media/E_xVJy2VQAQerFe.jpg")</f>
        <v>https://pbs.twimg.com/media/E_xVJy2VQAQerFe.jpg</v>
      </c>
      <c r="W794" s="83">
        <v>44461.032638888886</v>
      </c>
      <c r="X794" s="89">
        <v>44461</v>
      </c>
      <c r="Y794" s="87" t="s">
        <v>2265</v>
      </c>
      <c r="Z794" s="85" t="str">
        <f>HYPERLINK("https://twitter.com/hgberry/status/1440477697574989837")</f>
        <v>https://twitter.com/hgberry/status/1440477697574989837</v>
      </c>
      <c r="AA794" s="81"/>
      <c r="AB794" s="81"/>
      <c r="AC794" s="87" t="s">
        <v>3189</v>
      </c>
      <c r="AD794" s="81"/>
      <c r="AE794" s="81" t="b">
        <v>0</v>
      </c>
      <c r="AF794" s="81">
        <v>0</v>
      </c>
      <c r="AG794" s="87" t="s">
        <v>3875</v>
      </c>
      <c r="AH794" s="81" t="b">
        <v>0</v>
      </c>
      <c r="AI794" s="81" t="s">
        <v>4092</v>
      </c>
      <c r="AJ794" s="81"/>
      <c r="AK794" s="87" t="s">
        <v>3875</v>
      </c>
      <c r="AL794" s="81" t="b">
        <v>0</v>
      </c>
      <c r="AM794" s="81">
        <v>321</v>
      </c>
      <c r="AN794" s="87" t="s">
        <v>3520</v>
      </c>
      <c r="AO794" s="87" t="s">
        <v>4109</v>
      </c>
      <c r="AP794" s="81" t="b">
        <v>0</v>
      </c>
      <c r="AQ794" s="87" t="s">
        <v>3520</v>
      </c>
      <c r="AR794" s="81" t="s">
        <v>179</v>
      </c>
      <c r="AS794" s="81">
        <v>0</v>
      </c>
      <c r="AT794" s="81">
        <v>0</v>
      </c>
      <c r="AU794" s="81"/>
      <c r="AV794" s="81"/>
      <c r="AW794" s="81"/>
      <c r="AX794" s="81"/>
      <c r="AY794" s="81"/>
      <c r="AZ794" s="81"/>
      <c r="BA794" s="81"/>
      <c r="BB794" s="81"/>
    </row>
    <row r="795" spans="1:54" x14ac:dyDescent="0.35">
      <c r="A795" s="66" t="s">
        <v>659</v>
      </c>
      <c r="B795" s="66" t="s">
        <v>1034</v>
      </c>
      <c r="C795" s="67"/>
      <c r="D795" s="68"/>
      <c r="E795" s="69"/>
      <c r="F795" s="70"/>
      <c r="G795" s="67"/>
      <c r="H795" s="71"/>
      <c r="I795" s="72"/>
      <c r="J795" s="72"/>
      <c r="K795" s="36"/>
      <c r="L795" s="79"/>
      <c r="M795" s="79"/>
      <c r="N795" s="74"/>
      <c r="O795" s="81" t="s">
        <v>1207</v>
      </c>
      <c r="P795" s="83">
        <v>44461.033009259256</v>
      </c>
      <c r="Q795" s="81" t="s">
        <v>1334</v>
      </c>
      <c r="R795" s="81"/>
      <c r="S795" s="81"/>
      <c r="T795" s="81"/>
      <c r="U795" s="81"/>
      <c r="V795" s="85" t="str">
        <f>HYPERLINK("https://pbs.twimg.com/profile_images/869552591507660800/TVIr5M1u_normal.jpg")</f>
        <v>https://pbs.twimg.com/profile_images/869552591507660800/TVIr5M1u_normal.jpg</v>
      </c>
      <c r="W795" s="83">
        <v>44461.033009259256</v>
      </c>
      <c r="X795" s="89">
        <v>44461</v>
      </c>
      <c r="Y795" s="87" t="s">
        <v>2266</v>
      </c>
      <c r="Z795" s="85" t="str">
        <f>HYPERLINK("https://twitter.com/hgberry/status/1440477832056950785")</f>
        <v>https://twitter.com/hgberry/status/1440477832056950785</v>
      </c>
      <c r="AA795" s="81"/>
      <c r="AB795" s="81"/>
      <c r="AC795" s="87" t="s">
        <v>3190</v>
      </c>
      <c r="AD795" s="81"/>
      <c r="AE795" s="81" t="b">
        <v>0</v>
      </c>
      <c r="AF795" s="81">
        <v>0</v>
      </c>
      <c r="AG795" s="87" t="s">
        <v>3875</v>
      </c>
      <c r="AH795" s="81" t="b">
        <v>0</v>
      </c>
      <c r="AI795" s="81" t="s">
        <v>4092</v>
      </c>
      <c r="AJ795" s="81"/>
      <c r="AK795" s="87" t="s">
        <v>3875</v>
      </c>
      <c r="AL795" s="81" t="b">
        <v>0</v>
      </c>
      <c r="AM795" s="81">
        <v>4</v>
      </c>
      <c r="AN795" s="87" t="s">
        <v>3487</v>
      </c>
      <c r="AO795" s="87" t="s">
        <v>4109</v>
      </c>
      <c r="AP795" s="81" t="b">
        <v>0</v>
      </c>
      <c r="AQ795" s="87" t="s">
        <v>3487</v>
      </c>
      <c r="AR795" s="81" t="s">
        <v>179</v>
      </c>
      <c r="AS795" s="81">
        <v>0</v>
      </c>
      <c r="AT795" s="81">
        <v>0</v>
      </c>
      <c r="AU795" s="81"/>
      <c r="AV795" s="81"/>
      <c r="AW795" s="81"/>
      <c r="AX795" s="81"/>
      <c r="AY795" s="81"/>
      <c r="AZ795" s="81"/>
      <c r="BA795" s="81"/>
      <c r="BB795" s="81"/>
    </row>
    <row r="796" spans="1:54" x14ac:dyDescent="0.35">
      <c r="A796" s="66" t="s">
        <v>659</v>
      </c>
      <c r="B796" s="66" t="s">
        <v>910</v>
      </c>
      <c r="C796" s="67"/>
      <c r="D796" s="68"/>
      <c r="E796" s="69"/>
      <c r="F796" s="70"/>
      <c r="G796" s="67"/>
      <c r="H796" s="71"/>
      <c r="I796" s="72"/>
      <c r="J796" s="72"/>
      <c r="K796" s="36"/>
      <c r="L796" s="79"/>
      <c r="M796" s="79"/>
      <c r="N796" s="74"/>
      <c r="O796" s="81" t="s">
        <v>1205</v>
      </c>
      <c r="P796" s="83">
        <v>44461.033009259256</v>
      </c>
      <c r="Q796" s="81" t="s">
        <v>1334</v>
      </c>
      <c r="R796" s="81"/>
      <c r="S796" s="81"/>
      <c r="T796" s="81"/>
      <c r="U796" s="81"/>
      <c r="V796" s="85" t="str">
        <f>HYPERLINK("https://pbs.twimg.com/profile_images/869552591507660800/TVIr5M1u_normal.jpg")</f>
        <v>https://pbs.twimg.com/profile_images/869552591507660800/TVIr5M1u_normal.jpg</v>
      </c>
      <c r="W796" s="83">
        <v>44461.033009259256</v>
      </c>
      <c r="X796" s="89">
        <v>44461</v>
      </c>
      <c r="Y796" s="87" t="s">
        <v>2266</v>
      </c>
      <c r="Z796" s="85" t="str">
        <f>HYPERLINK("https://twitter.com/hgberry/status/1440477832056950785")</f>
        <v>https://twitter.com/hgberry/status/1440477832056950785</v>
      </c>
      <c r="AA796" s="81"/>
      <c r="AB796" s="81"/>
      <c r="AC796" s="87" t="s">
        <v>3190</v>
      </c>
      <c r="AD796" s="81"/>
      <c r="AE796" s="81" t="b">
        <v>0</v>
      </c>
      <c r="AF796" s="81">
        <v>0</v>
      </c>
      <c r="AG796" s="87" t="s">
        <v>3875</v>
      </c>
      <c r="AH796" s="81" t="b">
        <v>0</v>
      </c>
      <c r="AI796" s="81" t="s">
        <v>4092</v>
      </c>
      <c r="AJ796" s="81"/>
      <c r="AK796" s="87" t="s">
        <v>3875</v>
      </c>
      <c r="AL796" s="81" t="b">
        <v>0</v>
      </c>
      <c r="AM796" s="81">
        <v>4</v>
      </c>
      <c r="AN796" s="87" t="s">
        <v>3487</v>
      </c>
      <c r="AO796" s="87" t="s">
        <v>4109</v>
      </c>
      <c r="AP796" s="81" t="b">
        <v>0</v>
      </c>
      <c r="AQ796" s="87" t="s">
        <v>3487</v>
      </c>
      <c r="AR796" s="81" t="s">
        <v>179</v>
      </c>
      <c r="AS796" s="81">
        <v>0</v>
      </c>
      <c r="AT796" s="81">
        <v>0</v>
      </c>
      <c r="AU796" s="81"/>
      <c r="AV796" s="81"/>
      <c r="AW796" s="81"/>
      <c r="AX796" s="81"/>
      <c r="AY796" s="81"/>
      <c r="AZ796" s="81"/>
      <c r="BA796" s="81"/>
      <c r="BB796" s="81"/>
    </row>
    <row r="797" spans="1:54" x14ac:dyDescent="0.35">
      <c r="A797" s="66" t="s">
        <v>659</v>
      </c>
      <c r="B797" s="66" t="s">
        <v>1055</v>
      </c>
      <c r="C797" s="67"/>
      <c r="D797" s="68"/>
      <c r="E797" s="69"/>
      <c r="F797" s="70"/>
      <c r="G797" s="67"/>
      <c r="H797" s="71"/>
      <c r="I797" s="72"/>
      <c r="J797" s="72"/>
      <c r="K797" s="36"/>
      <c r="L797" s="79"/>
      <c r="M797" s="79"/>
      <c r="N797" s="74"/>
      <c r="O797" s="81" t="s">
        <v>1208</v>
      </c>
      <c r="P797" s="83">
        <v>44461.033009259256</v>
      </c>
      <c r="Q797" s="81" t="s">
        <v>1334</v>
      </c>
      <c r="R797" s="81"/>
      <c r="S797" s="81"/>
      <c r="T797" s="81"/>
      <c r="U797" s="81"/>
      <c r="V797" s="85" t="str">
        <f>HYPERLINK("https://pbs.twimg.com/profile_images/869552591507660800/TVIr5M1u_normal.jpg")</f>
        <v>https://pbs.twimg.com/profile_images/869552591507660800/TVIr5M1u_normal.jpg</v>
      </c>
      <c r="W797" s="83">
        <v>44461.033009259256</v>
      </c>
      <c r="X797" s="89">
        <v>44461</v>
      </c>
      <c r="Y797" s="87" t="s">
        <v>2266</v>
      </c>
      <c r="Z797" s="85" t="str">
        <f>HYPERLINK("https://twitter.com/hgberry/status/1440477832056950785")</f>
        <v>https://twitter.com/hgberry/status/1440477832056950785</v>
      </c>
      <c r="AA797" s="81"/>
      <c r="AB797" s="81"/>
      <c r="AC797" s="87" t="s">
        <v>3190</v>
      </c>
      <c r="AD797" s="81"/>
      <c r="AE797" s="81" t="b">
        <v>0</v>
      </c>
      <c r="AF797" s="81">
        <v>0</v>
      </c>
      <c r="AG797" s="87" t="s">
        <v>3875</v>
      </c>
      <c r="AH797" s="81" t="b">
        <v>0</v>
      </c>
      <c r="AI797" s="81" t="s">
        <v>4092</v>
      </c>
      <c r="AJ797" s="81"/>
      <c r="AK797" s="87" t="s">
        <v>3875</v>
      </c>
      <c r="AL797" s="81" t="b">
        <v>0</v>
      </c>
      <c r="AM797" s="81">
        <v>4</v>
      </c>
      <c r="AN797" s="87" t="s">
        <v>3487</v>
      </c>
      <c r="AO797" s="87" t="s">
        <v>4109</v>
      </c>
      <c r="AP797" s="81" t="b">
        <v>0</v>
      </c>
      <c r="AQ797" s="87" t="s">
        <v>3487</v>
      </c>
      <c r="AR797" s="81" t="s">
        <v>179</v>
      </c>
      <c r="AS797" s="81">
        <v>0</v>
      </c>
      <c r="AT797" s="81">
        <v>0</v>
      </c>
      <c r="AU797" s="81"/>
      <c r="AV797" s="81"/>
      <c r="AW797" s="81"/>
      <c r="AX797" s="81"/>
      <c r="AY797" s="81"/>
      <c r="AZ797" s="81"/>
      <c r="BA797" s="81"/>
      <c r="BB797" s="81"/>
    </row>
    <row r="798" spans="1:54" x14ac:dyDescent="0.35">
      <c r="A798" s="66" t="s">
        <v>660</v>
      </c>
      <c r="B798" s="66" t="s">
        <v>1055</v>
      </c>
      <c r="C798" s="67"/>
      <c r="D798" s="68"/>
      <c r="E798" s="69"/>
      <c r="F798" s="70"/>
      <c r="G798" s="67"/>
      <c r="H798" s="71"/>
      <c r="I798" s="72"/>
      <c r="J798" s="72"/>
      <c r="K798" s="36"/>
      <c r="L798" s="79"/>
      <c r="M798" s="79"/>
      <c r="N798" s="74"/>
      <c r="O798" s="81" t="s">
        <v>1207</v>
      </c>
      <c r="P798" s="83">
        <v>44461.037499999999</v>
      </c>
      <c r="Q798" s="81" t="s">
        <v>1324</v>
      </c>
      <c r="R798" s="81"/>
      <c r="S798" s="81"/>
      <c r="T798" s="81"/>
      <c r="U798" s="85" t="str">
        <f>HYPERLINK("https://pbs.twimg.com/media/E_xVJy2VQAQerFe.jpg")</f>
        <v>https://pbs.twimg.com/media/E_xVJy2VQAQerFe.jpg</v>
      </c>
      <c r="V798" s="85" t="str">
        <f>HYPERLINK("https://pbs.twimg.com/media/E_xVJy2VQAQerFe.jpg")</f>
        <v>https://pbs.twimg.com/media/E_xVJy2VQAQerFe.jpg</v>
      </c>
      <c r="W798" s="83">
        <v>44461.037499999999</v>
      </c>
      <c r="X798" s="89">
        <v>44461</v>
      </c>
      <c r="Y798" s="87" t="s">
        <v>2267</v>
      </c>
      <c r="Z798" s="85" t="str">
        <f>HYPERLINK("https://twitter.com/sigitwaluyo02/status/1440479460273188868")</f>
        <v>https://twitter.com/sigitwaluyo02/status/1440479460273188868</v>
      </c>
      <c r="AA798" s="81"/>
      <c r="AB798" s="81"/>
      <c r="AC798" s="87" t="s">
        <v>3191</v>
      </c>
      <c r="AD798" s="81"/>
      <c r="AE798" s="81" t="b">
        <v>0</v>
      </c>
      <c r="AF798" s="81">
        <v>0</v>
      </c>
      <c r="AG798" s="87" t="s">
        <v>3875</v>
      </c>
      <c r="AH798" s="81" t="b">
        <v>0</v>
      </c>
      <c r="AI798" s="81" t="s">
        <v>4092</v>
      </c>
      <c r="AJ798" s="81"/>
      <c r="AK798" s="87" t="s">
        <v>3875</v>
      </c>
      <c r="AL798" s="81" t="b">
        <v>0</v>
      </c>
      <c r="AM798" s="81">
        <v>321</v>
      </c>
      <c r="AN798" s="87" t="s">
        <v>3520</v>
      </c>
      <c r="AO798" s="87" t="s">
        <v>4109</v>
      </c>
      <c r="AP798" s="81" t="b">
        <v>0</v>
      </c>
      <c r="AQ798" s="87" t="s">
        <v>3520</v>
      </c>
      <c r="AR798" s="81" t="s">
        <v>179</v>
      </c>
      <c r="AS798" s="81">
        <v>0</v>
      </c>
      <c r="AT798" s="81">
        <v>0</v>
      </c>
      <c r="AU798" s="81"/>
      <c r="AV798" s="81"/>
      <c r="AW798" s="81"/>
      <c r="AX798" s="81"/>
      <c r="AY798" s="81"/>
      <c r="AZ798" s="81"/>
      <c r="BA798" s="81"/>
      <c r="BB798" s="81"/>
    </row>
    <row r="799" spans="1:54" x14ac:dyDescent="0.35">
      <c r="A799" s="66" t="s">
        <v>660</v>
      </c>
      <c r="B799" s="66" t="s">
        <v>910</v>
      </c>
      <c r="C799" s="67"/>
      <c r="D799" s="68"/>
      <c r="E799" s="69"/>
      <c r="F799" s="70"/>
      <c r="G799" s="67"/>
      <c r="H799" s="71"/>
      <c r="I799" s="72"/>
      <c r="J799" s="72"/>
      <c r="K799" s="36"/>
      <c r="L799" s="79"/>
      <c r="M799" s="79"/>
      <c r="N799" s="74"/>
      <c r="O799" s="81" t="s">
        <v>1205</v>
      </c>
      <c r="P799" s="83">
        <v>44461.037499999999</v>
      </c>
      <c r="Q799" s="81" t="s">
        <v>1324</v>
      </c>
      <c r="R799" s="81"/>
      <c r="S799" s="81"/>
      <c r="T799" s="81"/>
      <c r="U799" s="85" t="str">
        <f>HYPERLINK("https://pbs.twimg.com/media/E_xVJy2VQAQerFe.jpg")</f>
        <v>https://pbs.twimg.com/media/E_xVJy2VQAQerFe.jpg</v>
      </c>
      <c r="V799" s="85" t="str">
        <f>HYPERLINK("https://pbs.twimg.com/media/E_xVJy2VQAQerFe.jpg")</f>
        <v>https://pbs.twimg.com/media/E_xVJy2VQAQerFe.jpg</v>
      </c>
      <c r="W799" s="83">
        <v>44461.037499999999</v>
      </c>
      <c r="X799" s="89">
        <v>44461</v>
      </c>
      <c r="Y799" s="87" t="s">
        <v>2267</v>
      </c>
      <c r="Z799" s="85" t="str">
        <f>HYPERLINK("https://twitter.com/sigitwaluyo02/status/1440479460273188868")</f>
        <v>https://twitter.com/sigitwaluyo02/status/1440479460273188868</v>
      </c>
      <c r="AA799" s="81"/>
      <c r="AB799" s="81"/>
      <c r="AC799" s="87" t="s">
        <v>3191</v>
      </c>
      <c r="AD799" s="81"/>
      <c r="AE799" s="81" t="b">
        <v>0</v>
      </c>
      <c r="AF799" s="81">
        <v>0</v>
      </c>
      <c r="AG799" s="87" t="s">
        <v>3875</v>
      </c>
      <c r="AH799" s="81" t="b">
        <v>0</v>
      </c>
      <c r="AI799" s="81" t="s">
        <v>4092</v>
      </c>
      <c r="AJ799" s="81"/>
      <c r="AK799" s="87" t="s">
        <v>3875</v>
      </c>
      <c r="AL799" s="81" t="b">
        <v>0</v>
      </c>
      <c r="AM799" s="81">
        <v>321</v>
      </c>
      <c r="AN799" s="87" t="s">
        <v>3520</v>
      </c>
      <c r="AO799" s="87" t="s">
        <v>4109</v>
      </c>
      <c r="AP799" s="81" t="b">
        <v>0</v>
      </c>
      <c r="AQ799" s="87" t="s">
        <v>3520</v>
      </c>
      <c r="AR799" s="81" t="s">
        <v>179</v>
      </c>
      <c r="AS799" s="81">
        <v>0</v>
      </c>
      <c r="AT799" s="81">
        <v>0</v>
      </c>
      <c r="AU799" s="81"/>
      <c r="AV799" s="81"/>
      <c r="AW799" s="81"/>
      <c r="AX799" s="81"/>
      <c r="AY799" s="81"/>
      <c r="AZ799" s="81"/>
      <c r="BA799" s="81"/>
      <c r="BB799" s="81"/>
    </row>
    <row r="800" spans="1:54" x14ac:dyDescent="0.35">
      <c r="A800" s="66" t="s">
        <v>661</v>
      </c>
      <c r="B800" s="66" t="s">
        <v>1055</v>
      </c>
      <c r="C800" s="67"/>
      <c r="D800" s="68"/>
      <c r="E800" s="69"/>
      <c r="F800" s="70"/>
      <c r="G800" s="67"/>
      <c r="H800" s="71"/>
      <c r="I800" s="72"/>
      <c r="J800" s="72"/>
      <c r="K800" s="36"/>
      <c r="L800" s="79"/>
      <c r="M800" s="79"/>
      <c r="N800" s="74"/>
      <c r="O800" s="81" t="s">
        <v>1207</v>
      </c>
      <c r="P800" s="83">
        <v>44461.038888888892</v>
      </c>
      <c r="Q800" s="81" t="s">
        <v>1324</v>
      </c>
      <c r="R800" s="81"/>
      <c r="S800" s="81"/>
      <c r="T800" s="81"/>
      <c r="U800" s="85" t="str">
        <f>HYPERLINK("https://pbs.twimg.com/media/E_xVJy2VQAQerFe.jpg")</f>
        <v>https://pbs.twimg.com/media/E_xVJy2VQAQerFe.jpg</v>
      </c>
      <c r="V800" s="85" t="str">
        <f>HYPERLINK("https://pbs.twimg.com/media/E_xVJy2VQAQerFe.jpg")</f>
        <v>https://pbs.twimg.com/media/E_xVJy2VQAQerFe.jpg</v>
      </c>
      <c r="W800" s="83">
        <v>44461.038888888892</v>
      </c>
      <c r="X800" s="89">
        <v>44461</v>
      </c>
      <c r="Y800" s="87" t="s">
        <v>2268</v>
      </c>
      <c r="Z800" s="85" t="str">
        <f>HYPERLINK("https://twitter.com/darmalik3/status/1440479962151022599")</f>
        <v>https://twitter.com/darmalik3/status/1440479962151022599</v>
      </c>
      <c r="AA800" s="81"/>
      <c r="AB800" s="81"/>
      <c r="AC800" s="87" t="s">
        <v>3192</v>
      </c>
      <c r="AD800" s="81"/>
      <c r="AE800" s="81" t="b">
        <v>0</v>
      </c>
      <c r="AF800" s="81">
        <v>0</v>
      </c>
      <c r="AG800" s="87" t="s">
        <v>3875</v>
      </c>
      <c r="AH800" s="81" t="b">
        <v>0</v>
      </c>
      <c r="AI800" s="81" t="s">
        <v>4092</v>
      </c>
      <c r="AJ800" s="81"/>
      <c r="AK800" s="87" t="s">
        <v>3875</v>
      </c>
      <c r="AL800" s="81" t="b">
        <v>0</v>
      </c>
      <c r="AM800" s="81">
        <v>321</v>
      </c>
      <c r="AN800" s="87" t="s">
        <v>3520</v>
      </c>
      <c r="AO800" s="87" t="s">
        <v>4109</v>
      </c>
      <c r="AP800" s="81" t="b">
        <v>0</v>
      </c>
      <c r="AQ800" s="87" t="s">
        <v>3520</v>
      </c>
      <c r="AR800" s="81" t="s">
        <v>179</v>
      </c>
      <c r="AS800" s="81">
        <v>0</v>
      </c>
      <c r="AT800" s="81">
        <v>0</v>
      </c>
      <c r="AU800" s="81"/>
      <c r="AV800" s="81"/>
      <c r="AW800" s="81"/>
      <c r="AX800" s="81"/>
      <c r="AY800" s="81"/>
      <c r="AZ800" s="81"/>
      <c r="BA800" s="81"/>
      <c r="BB800" s="81"/>
    </row>
    <row r="801" spans="1:54" x14ac:dyDescent="0.35">
      <c r="A801" s="66" t="s">
        <v>661</v>
      </c>
      <c r="B801" s="66" t="s">
        <v>910</v>
      </c>
      <c r="C801" s="67"/>
      <c r="D801" s="68"/>
      <c r="E801" s="69"/>
      <c r="F801" s="70"/>
      <c r="G801" s="67"/>
      <c r="H801" s="71"/>
      <c r="I801" s="72"/>
      <c r="J801" s="72"/>
      <c r="K801" s="36"/>
      <c r="L801" s="79"/>
      <c r="M801" s="79"/>
      <c r="N801" s="74"/>
      <c r="O801" s="81" t="s">
        <v>1205</v>
      </c>
      <c r="P801" s="83">
        <v>44461.038888888892</v>
      </c>
      <c r="Q801" s="81" t="s">
        <v>1324</v>
      </c>
      <c r="R801" s="81"/>
      <c r="S801" s="81"/>
      <c r="T801" s="81"/>
      <c r="U801" s="85" t="str">
        <f>HYPERLINK("https://pbs.twimg.com/media/E_xVJy2VQAQerFe.jpg")</f>
        <v>https://pbs.twimg.com/media/E_xVJy2VQAQerFe.jpg</v>
      </c>
      <c r="V801" s="85" t="str">
        <f>HYPERLINK("https://pbs.twimg.com/media/E_xVJy2VQAQerFe.jpg")</f>
        <v>https://pbs.twimg.com/media/E_xVJy2VQAQerFe.jpg</v>
      </c>
      <c r="W801" s="83">
        <v>44461.038888888892</v>
      </c>
      <c r="X801" s="89">
        <v>44461</v>
      </c>
      <c r="Y801" s="87" t="s">
        <v>2268</v>
      </c>
      <c r="Z801" s="85" t="str">
        <f>HYPERLINK("https://twitter.com/darmalik3/status/1440479962151022599")</f>
        <v>https://twitter.com/darmalik3/status/1440479962151022599</v>
      </c>
      <c r="AA801" s="81"/>
      <c r="AB801" s="81"/>
      <c r="AC801" s="87" t="s">
        <v>3192</v>
      </c>
      <c r="AD801" s="81"/>
      <c r="AE801" s="81" t="b">
        <v>0</v>
      </c>
      <c r="AF801" s="81">
        <v>0</v>
      </c>
      <c r="AG801" s="87" t="s">
        <v>3875</v>
      </c>
      <c r="AH801" s="81" t="b">
        <v>0</v>
      </c>
      <c r="AI801" s="81" t="s">
        <v>4092</v>
      </c>
      <c r="AJ801" s="81"/>
      <c r="AK801" s="87" t="s">
        <v>3875</v>
      </c>
      <c r="AL801" s="81" t="b">
        <v>0</v>
      </c>
      <c r="AM801" s="81">
        <v>321</v>
      </c>
      <c r="AN801" s="87" t="s">
        <v>3520</v>
      </c>
      <c r="AO801" s="87" t="s">
        <v>4109</v>
      </c>
      <c r="AP801" s="81" t="b">
        <v>0</v>
      </c>
      <c r="AQ801" s="87" t="s">
        <v>3520</v>
      </c>
      <c r="AR801" s="81" t="s">
        <v>179</v>
      </c>
      <c r="AS801" s="81">
        <v>0</v>
      </c>
      <c r="AT801" s="81">
        <v>0</v>
      </c>
      <c r="AU801" s="81"/>
      <c r="AV801" s="81"/>
      <c r="AW801" s="81"/>
      <c r="AX801" s="81"/>
      <c r="AY801" s="81"/>
      <c r="AZ801" s="81"/>
      <c r="BA801" s="81"/>
      <c r="BB801" s="81"/>
    </row>
    <row r="802" spans="1:54" x14ac:dyDescent="0.35">
      <c r="A802" s="66" t="s">
        <v>662</v>
      </c>
      <c r="B802" s="66" t="s">
        <v>1055</v>
      </c>
      <c r="C802" s="67"/>
      <c r="D802" s="68"/>
      <c r="E802" s="69"/>
      <c r="F802" s="70"/>
      <c r="G802" s="67"/>
      <c r="H802" s="71"/>
      <c r="I802" s="72"/>
      <c r="J802" s="72"/>
      <c r="K802" s="36"/>
      <c r="L802" s="79"/>
      <c r="M802" s="79"/>
      <c r="N802" s="74"/>
      <c r="O802" s="81" t="s">
        <v>1207</v>
      </c>
      <c r="P802" s="83">
        <v>44461.039085648146</v>
      </c>
      <c r="Q802" s="81" t="s">
        <v>1324</v>
      </c>
      <c r="R802" s="81"/>
      <c r="S802" s="81"/>
      <c r="T802" s="81"/>
      <c r="U802" s="85" t="str">
        <f>HYPERLINK("https://pbs.twimg.com/media/E_xVJy2VQAQerFe.jpg")</f>
        <v>https://pbs.twimg.com/media/E_xVJy2VQAQerFe.jpg</v>
      </c>
      <c r="V802" s="85" t="str">
        <f>HYPERLINK("https://pbs.twimg.com/media/E_xVJy2VQAQerFe.jpg")</f>
        <v>https://pbs.twimg.com/media/E_xVJy2VQAQerFe.jpg</v>
      </c>
      <c r="W802" s="83">
        <v>44461.039085648146</v>
      </c>
      <c r="X802" s="89">
        <v>44461</v>
      </c>
      <c r="Y802" s="87" t="s">
        <v>2269</v>
      </c>
      <c r="Z802" s="85" t="str">
        <f>HYPERLINK("https://twitter.com/kangawi1/status/1440480033806569480")</f>
        <v>https://twitter.com/kangawi1/status/1440480033806569480</v>
      </c>
      <c r="AA802" s="81"/>
      <c r="AB802" s="81"/>
      <c r="AC802" s="87" t="s">
        <v>3193</v>
      </c>
      <c r="AD802" s="81"/>
      <c r="AE802" s="81" t="b">
        <v>0</v>
      </c>
      <c r="AF802" s="81">
        <v>0</v>
      </c>
      <c r="AG802" s="87" t="s">
        <v>3875</v>
      </c>
      <c r="AH802" s="81" t="b">
        <v>0</v>
      </c>
      <c r="AI802" s="81" t="s">
        <v>4092</v>
      </c>
      <c r="AJ802" s="81"/>
      <c r="AK802" s="87" t="s">
        <v>3875</v>
      </c>
      <c r="AL802" s="81" t="b">
        <v>0</v>
      </c>
      <c r="AM802" s="81">
        <v>321</v>
      </c>
      <c r="AN802" s="87" t="s">
        <v>3520</v>
      </c>
      <c r="AO802" s="87" t="s">
        <v>4109</v>
      </c>
      <c r="AP802" s="81" t="b">
        <v>0</v>
      </c>
      <c r="AQ802" s="87" t="s">
        <v>3520</v>
      </c>
      <c r="AR802" s="81" t="s">
        <v>179</v>
      </c>
      <c r="AS802" s="81">
        <v>0</v>
      </c>
      <c r="AT802" s="81">
        <v>0</v>
      </c>
      <c r="AU802" s="81"/>
      <c r="AV802" s="81"/>
      <c r="AW802" s="81"/>
      <c r="AX802" s="81"/>
      <c r="AY802" s="81"/>
      <c r="AZ802" s="81"/>
      <c r="BA802" s="81"/>
      <c r="BB802" s="81"/>
    </row>
    <row r="803" spans="1:54" x14ac:dyDescent="0.35">
      <c r="A803" s="66" t="s">
        <v>662</v>
      </c>
      <c r="B803" s="66" t="s">
        <v>910</v>
      </c>
      <c r="C803" s="67"/>
      <c r="D803" s="68"/>
      <c r="E803" s="69"/>
      <c r="F803" s="70"/>
      <c r="G803" s="67"/>
      <c r="H803" s="71"/>
      <c r="I803" s="72"/>
      <c r="J803" s="72"/>
      <c r="K803" s="36"/>
      <c r="L803" s="79"/>
      <c r="M803" s="79"/>
      <c r="N803" s="74"/>
      <c r="O803" s="81" t="s">
        <v>1205</v>
      </c>
      <c r="P803" s="83">
        <v>44461.039085648146</v>
      </c>
      <c r="Q803" s="81" t="s">
        <v>1324</v>
      </c>
      <c r="R803" s="81"/>
      <c r="S803" s="81"/>
      <c r="T803" s="81"/>
      <c r="U803" s="85" t="str">
        <f>HYPERLINK("https://pbs.twimg.com/media/E_xVJy2VQAQerFe.jpg")</f>
        <v>https://pbs.twimg.com/media/E_xVJy2VQAQerFe.jpg</v>
      </c>
      <c r="V803" s="85" t="str">
        <f>HYPERLINK("https://pbs.twimg.com/media/E_xVJy2VQAQerFe.jpg")</f>
        <v>https://pbs.twimg.com/media/E_xVJy2VQAQerFe.jpg</v>
      </c>
      <c r="W803" s="83">
        <v>44461.039085648146</v>
      </c>
      <c r="X803" s="89">
        <v>44461</v>
      </c>
      <c r="Y803" s="87" t="s">
        <v>2269</v>
      </c>
      <c r="Z803" s="85" t="str">
        <f>HYPERLINK("https://twitter.com/kangawi1/status/1440480033806569480")</f>
        <v>https://twitter.com/kangawi1/status/1440480033806569480</v>
      </c>
      <c r="AA803" s="81"/>
      <c r="AB803" s="81"/>
      <c r="AC803" s="87" t="s">
        <v>3193</v>
      </c>
      <c r="AD803" s="81"/>
      <c r="AE803" s="81" t="b">
        <v>0</v>
      </c>
      <c r="AF803" s="81">
        <v>0</v>
      </c>
      <c r="AG803" s="87" t="s">
        <v>3875</v>
      </c>
      <c r="AH803" s="81" t="b">
        <v>0</v>
      </c>
      <c r="AI803" s="81" t="s">
        <v>4092</v>
      </c>
      <c r="AJ803" s="81"/>
      <c r="AK803" s="87" t="s">
        <v>3875</v>
      </c>
      <c r="AL803" s="81" t="b">
        <v>0</v>
      </c>
      <c r="AM803" s="81">
        <v>321</v>
      </c>
      <c r="AN803" s="87" t="s">
        <v>3520</v>
      </c>
      <c r="AO803" s="87" t="s">
        <v>4109</v>
      </c>
      <c r="AP803" s="81" t="b">
        <v>0</v>
      </c>
      <c r="AQ803" s="87" t="s">
        <v>3520</v>
      </c>
      <c r="AR803" s="81" t="s">
        <v>179</v>
      </c>
      <c r="AS803" s="81">
        <v>0</v>
      </c>
      <c r="AT803" s="81">
        <v>0</v>
      </c>
      <c r="AU803" s="81"/>
      <c r="AV803" s="81"/>
      <c r="AW803" s="81"/>
      <c r="AX803" s="81"/>
      <c r="AY803" s="81"/>
      <c r="AZ803" s="81"/>
      <c r="BA803" s="81"/>
      <c r="BB803" s="81"/>
    </row>
    <row r="804" spans="1:54" x14ac:dyDescent="0.35">
      <c r="A804" s="66" t="s">
        <v>663</v>
      </c>
      <c r="B804" s="66" t="s">
        <v>1055</v>
      </c>
      <c r="C804" s="67"/>
      <c r="D804" s="68"/>
      <c r="E804" s="69"/>
      <c r="F804" s="70"/>
      <c r="G804" s="67"/>
      <c r="H804" s="71"/>
      <c r="I804" s="72"/>
      <c r="J804" s="72"/>
      <c r="K804" s="36"/>
      <c r="L804" s="79"/>
      <c r="M804" s="79"/>
      <c r="N804" s="74"/>
      <c r="O804" s="81" t="s">
        <v>1207</v>
      </c>
      <c r="P804" s="83">
        <v>44461.048171296294</v>
      </c>
      <c r="Q804" s="81" t="s">
        <v>1324</v>
      </c>
      <c r="R804" s="81"/>
      <c r="S804" s="81"/>
      <c r="T804" s="81"/>
      <c r="U804" s="85" t="str">
        <f>HYPERLINK("https://pbs.twimg.com/media/E_xVJy2VQAQerFe.jpg")</f>
        <v>https://pbs.twimg.com/media/E_xVJy2VQAQerFe.jpg</v>
      </c>
      <c r="V804" s="85" t="str">
        <f>HYPERLINK("https://pbs.twimg.com/media/E_xVJy2VQAQerFe.jpg")</f>
        <v>https://pbs.twimg.com/media/E_xVJy2VQAQerFe.jpg</v>
      </c>
      <c r="W804" s="83">
        <v>44461.048171296294</v>
      </c>
      <c r="X804" s="89">
        <v>44461</v>
      </c>
      <c r="Y804" s="87" t="s">
        <v>2270</v>
      </c>
      <c r="Z804" s="85" t="str">
        <f>HYPERLINK("https://twitter.com/rudy_setyo/status/1440483325932572673")</f>
        <v>https://twitter.com/rudy_setyo/status/1440483325932572673</v>
      </c>
      <c r="AA804" s="81"/>
      <c r="AB804" s="81"/>
      <c r="AC804" s="87" t="s">
        <v>3194</v>
      </c>
      <c r="AD804" s="81"/>
      <c r="AE804" s="81" t="b">
        <v>0</v>
      </c>
      <c r="AF804" s="81">
        <v>0</v>
      </c>
      <c r="AG804" s="87" t="s">
        <v>3875</v>
      </c>
      <c r="AH804" s="81" t="b">
        <v>0</v>
      </c>
      <c r="AI804" s="81" t="s">
        <v>4092</v>
      </c>
      <c r="AJ804" s="81"/>
      <c r="AK804" s="87" t="s">
        <v>3875</v>
      </c>
      <c r="AL804" s="81" t="b">
        <v>0</v>
      </c>
      <c r="AM804" s="81">
        <v>321</v>
      </c>
      <c r="AN804" s="87" t="s">
        <v>3520</v>
      </c>
      <c r="AO804" s="87" t="s">
        <v>4109</v>
      </c>
      <c r="AP804" s="81" t="b">
        <v>0</v>
      </c>
      <c r="AQ804" s="87" t="s">
        <v>3520</v>
      </c>
      <c r="AR804" s="81" t="s">
        <v>179</v>
      </c>
      <c r="AS804" s="81">
        <v>0</v>
      </c>
      <c r="AT804" s="81">
        <v>0</v>
      </c>
      <c r="AU804" s="81"/>
      <c r="AV804" s="81"/>
      <c r="AW804" s="81"/>
      <c r="AX804" s="81"/>
      <c r="AY804" s="81"/>
      <c r="AZ804" s="81"/>
      <c r="BA804" s="81"/>
      <c r="BB804" s="81"/>
    </row>
    <row r="805" spans="1:54" x14ac:dyDescent="0.35">
      <c r="A805" s="66" t="s">
        <v>663</v>
      </c>
      <c r="B805" s="66" t="s">
        <v>910</v>
      </c>
      <c r="C805" s="67"/>
      <c r="D805" s="68"/>
      <c r="E805" s="69"/>
      <c r="F805" s="70"/>
      <c r="G805" s="67"/>
      <c r="H805" s="71"/>
      <c r="I805" s="72"/>
      <c r="J805" s="72"/>
      <c r="K805" s="36"/>
      <c r="L805" s="79"/>
      <c r="M805" s="79"/>
      <c r="N805" s="74"/>
      <c r="O805" s="81" t="s">
        <v>1205</v>
      </c>
      <c r="P805" s="83">
        <v>44461.048171296294</v>
      </c>
      <c r="Q805" s="81" t="s">
        <v>1324</v>
      </c>
      <c r="R805" s="81"/>
      <c r="S805" s="81"/>
      <c r="T805" s="81"/>
      <c r="U805" s="85" t="str">
        <f>HYPERLINK("https://pbs.twimg.com/media/E_xVJy2VQAQerFe.jpg")</f>
        <v>https://pbs.twimg.com/media/E_xVJy2VQAQerFe.jpg</v>
      </c>
      <c r="V805" s="85" t="str">
        <f>HYPERLINK("https://pbs.twimg.com/media/E_xVJy2VQAQerFe.jpg")</f>
        <v>https://pbs.twimg.com/media/E_xVJy2VQAQerFe.jpg</v>
      </c>
      <c r="W805" s="83">
        <v>44461.048171296294</v>
      </c>
      <c r="X805" s="89">
        <v>44461</v>
      </c>
      <c r="Y805" s="87" t="s">
        <v>2270</v>
      </c>
      <c r="Z805" s="85" t="str">
        <f>HYPERLINK("https://twitter.com/rudy_setyo/status/1440483325932572673")</f>
        <v>https://twitter.com/rudy_setyo/status/1440483325932572673</v>
      </c>
      <c r="AA805" s="81"/>
      <c r="AB805" s="81"/>
      <c r="AC805" s="87" t="s">
        <v>3194</v>
      </c>
      <c r="AD805" s="81"/>
      <c r="AE805" s="81" t="b">
        <v>0</v>
      </c>
      <c r="AF805" s="81">
        <v>0</v>
      </c>
      <c r="AG805" s="87" t="s">
        <v>3875</v>
      </c>
      <c r="AH805" s="81" t="b">
        <v>0</v>
      </c>
      <c r="AI805" s="81" t="s">
        <v>4092</v>
      </c>
      <c r="AJ805" s="81"/>
      <c r="AK805" s="87" t="s">
        <v>3875</v>
      </c>
      <c r="AL805" s="81" t="b">
        <v>0</v>
      </c>
      <c r="AM805" s="81">
        <v>321</v>
      </c>
      <c r="AN805" s="87" t="s">
        <v>3520</v>
      </c>
      <c r="AO805" s="87" t="s">
        <v>4109</v>
      </c>
      <c r="AP805" s="81" t="b">
        <v>0</v>
      </c>
      <c r="AQ805" s="87" t="s">
        <v>3520</v>
      </c>
      <c r="AR805" s="81" t="s">
        <v>179</v>
      </c>
      <c r="AS805" s="81">
        <v>0</v>
      </c>
      <c r="AT805" s="81">
        <v>0</v>
      </c>
      <c r="AU805" s="81"/>
      <c r="AV805" s="81"/>
      <c r="AW805" s="81"/>
      <c r="AX805" s="81"/>
      <c r="AY805" s="81"/>
      <c r="AZ805" s="81"/>
      <c r="BA805" s="81"/>
      <c r="BB805" s="81"/>
    </row>
    <row r="806" spans="1:54" x14ac:dyDescent="0.35">
      <c r="A806" s="66" t="s">
        <v>664</v>
      </c>
      <c r="B806" s="66" t="s">
        <v>1055</v>
      </c>
      <c r="C806" s="67"/>
      <c r="D806" s="68"/>
      <c r="E806" s="69"/>
      <c r="F806" s="70"/>
      <c r="G806" s="67"/>
      <c r="H806" s="71"/>
      <c r="I806" s="72"/>
      <c r="J806" s="72"/>
      <c r="K806" s="36"/>
      <c r="L806" s="79"/>
      <c r="M806" s="79"/>
      <c r="N806" s="74"/>
      <c r="O806" s="81" t="s">
        <v>1207</v>
      </c>
      <c r="P806" s="83">
        <v>44461.06622685185</v>
      </c>
      <c r="Q806" s="81" t="s">
        <v>1324</v>
      </c>
      <c r="R806" s="81"/>
      <c r="S806" s="81"/>
      <c r="T806" s="81"/>
      <c r="U806" s="85" t="str">
        <f>HYPERLINK("https://pbs.twimg.com/media/E_xVJy2VQAQerFe.jpg")</f>
        <v>https://pbs.twimg.com/media/E_xVJy2VQAQerFe.jpg</v>
      </c>
      <c r="V806" s="85" t="str">
        <f>HYPERLINK("https://pbs.twimg.com/media/E_xVJy2VQAQerFe.jpg")</f>
        <v>https://pbs.twimg.com/media/E_xVJy2VQAQerFe.jpg</v>
      </c>
      <c r="W806" s="83">
        <v>44461.06622685185</v>
      </c>
      <c r="X806" s="89">
        <v>44461</v>
      </c>
      <c r="Y806" s="87" t="s">
        <v>2271</v>
      </c>
      <c r="Z806" s="85" t="str">
        <f>HYPERLINK("https://twitter.com/cambah_dele/status/1440489869483003912")</f>
        <v>https://twitter.com/cambah_dele/status/1440489869483003912</v>
      </c>
      <c r="AA806" s="81"/>
      <c r="AB806" s="81"/>
      <c r="AC806" s="87" t="s">
        <v>3195</v>
      </c>
      <c r="AD806" s="81"/>
      <c r="AE806" s="81" t="b">
        <v>0</v>
      </c>
      <c r="AF806" s="81">
        <v>0</v>
      </c>
      <c r="AG806" s="87" t="s">
        <v>3875</v>
      </c>
      <c r="AH806" s="81" t="b">
        <v>0</v>
      </c>
      <c r="AI806" s="81" t="s">
        <v>4092</v>
      </c>
      <c r="AJ806" s="81"/>
      <c r="AK806" s="87" t="s">
        <v>3875</v>
      </c>
      <c r="AL806" s="81" t="b">
        <v>0</v>
      </c>
      <c r="AM806" s="81">
        <v>321</v>
      </c>
      <c r="AN806" s="87" t="s">
        <v>3520</v>
      </c>
      <c r="AO806" s="87" t="s">
        <v>4109</v>
      </c>
      <c r="AP806" s="81" t="b">
        <v>0</v>
      </c>
      <c r="AQ806" s="87" t="s">
        <v>3520</v>
      </c>
      <c r="AR806" s="81" t="s">
        <v>179</v>
      </c>
      <c r="AS806" s="81">
        <v>0</v>
      </c>
      <c r="AT806" s="81">
        <v>0</v>
      </c>
      <c r="AU806" s="81"/>
      <c r="AV806" s="81"/>
      <c r="AW806" s="81"/>
      <c r="AX806" s="81"/>
      <c r="AY806" s="81"/>
      <c r="AZ806" s="81"/>
      <c r="BA806" s="81"/>
      <c r="BB806" s="81"/>
    </row>
    <row r="807" spans="1:54" x14ac:dyDescent="0.35">
      <c r="A807" s="66" t="s">
        <v>664</v>
      </c>
      <c r="B807" s="66" t="s">
        <v>910</v>
      </c>
      <c r="C807" s="67"/>
      <c r="D807" s="68"/>
      <c r="E807" s="69"/>
      <c r="F807" s="70"/>
      <c r="G807" s="67"/>
      <c r="H807" s="71"/>
      <c r="I807" s="72"/>
      <c r="J807" s="72"/>
      <c r="K807" s="36"/>
      <c r="L807" s="79"/>
      <c r="M807" s="79"/>
      <c r="N807" s="74"/>
      <c r="O807" s="81" t="s">
        <v>1205</v>
      </c>
      <c r="P807" s="83">
        <v>44461.06622685185</v>
      </c>
      <c r="Q807" s="81" t="s">
        <v>1324</v>
      </c>
      <c r="R807" s="81"/>
      <c r="S807" s="81"/>
      <c r="T807" s="81"/>
      <c r="U807" s="85" t="str">
        <f>HYPERLINK("https://pbs.twimg.com/media/E_xVJy2VQAQerFe.jpg")</f>
        <v>https://pbs.twimg.com/media/E_xVJy2VQAQerFe.jpg</v>
      </c>
      <c r="V807" s="85" t="str">
        <f>HYPERLINK("https://pbs.twimg.com/media/E_xVJy2VQAQerFe.jpg")</f>
        <v>https://pbs.twimg.com/media/E_xVJy2VQAQerFe.jpg</v>
      </c>
      <c r="W807" s="83">
        <v>44461.06622685185</v>
      </c>
      <c r="X807" s="89">
        <v>44461</v>
      </c>
      <c r="Y807" s="87" t="s">
        <v>2271</v>
      </c>
      <c r="Z807" s="85" t="str">
        <f>HYPERLINK("https://twitter.com/cambah_dele/status/1440489869483003912")</f>
        <v>https://twitter.com/cambah_dele/status/1440489869483003912</v>
      </c>
      <c r="AA807" s="81"/>
      <c r="AB807" s="81"/>
      <c r="AC807" s="87" t="s">
        <v>3195</v>
      </c>
      <c r="AD807" s="81"/>
      <c r="AE807" s="81" t="b">
        <v>0</v>
      </c>
      <c r="AF807" s="81">
        <v>0</v>
      </c>
      <c r="AG807" s="87" t="s">
        <v>3875</v>
      </c>
      <c r="AH807" s="81" t="b">
        <v>0</v>
      </c>
      <c r="AI807" s="81" t="s">
        <v>4092</v>
      </c>
      <c r="AJ807" s="81"/>
      <c r="AK807" s="87" t="s">
        <v>3875</v>
      </c>
      <c r="AL807" s="81" t="b">
        <v>0</v>
      </c>
      <c r="AM807" s="81">
        <v>321</v>
      </c>
      <c r="AN807" s="87" t="s">
        <v>3520</v>
      </c>
      <c r="AO807" s="87" t="s">
        <v>4109</v>
      </c>
      <c r="AP807" s="81" t="b">
        <v>0</v>
      </c>
      <c r="AQ807" s="87" t="s">
        <v>3520</v>
      </c>
      <c r="AR807" s="81" t="s">
        <v>179</v>
      </c>
      <c r="AS807" s="81">
        <v>0</v>
      </c>
      <c r="AT807" s="81">
        <v>0</v>
      </c>
      <c r="AU807" s="81"/>
      <c r="AV807" s="81"/>
      <c r="AW807" s="81"/>
      <c r="AX807" s="81"/>
      <c r="AY807" s="81"/>
      <c r="AZ807" s="81"/>
      <c r="BA807" s="81"/>
      <c r="BB807" s="81"/>
    </row>
    <row r="808" spans="1:54" x14ac:dyDescent="0.35">
      <c r="A808" s="66" t="s">
        <v>665</v>
      </c>
      <c r="B808" s="66" t="s">
        <v>699</v>
      </c>
      <c r="C808" s="67"/>
      <c r="D808" s="68"/>
      <c r="E808" s="69"/>
      <c r="F808" s="70"/>
      <c r="G808" s="67"/>
      <c r="H808" s="71"/>
      <c r="I808" s="72"/>
      <c r="J808" s="72"/>
      <c r="K808" s="36"/>
      <c r="L808" s="79"/>
      <c r="M808" s="79"/>
      <c r="N808" s="74"/>
      <c r="O808" s="81" t="s">
        <v>1205</v>
      </c>
      <c r="P808" s="83">
        <v>44461.066655092596</v>
      </c>
      <c r="Q808" s="81" t="s">
        <v>1372</v>
      </c>
      <c r="R808" s="81"/>
      <c r="S808" s="81"/>
      <c r="T808" s="81"/>
      <c r="U808" s="85" t="str">
        <f>HYPERLINK("https://pbs.twimg.com/media/E_2kSkqVUAAjs6E.jpg")</f>
        <v>https://pbs.twimg.com/media/E_2kSkqVUAAjs6E.jpg</v>
      </c>
      <c r="V808" s="85" t="str">
        <f>HYPERLINK("https://pbs.twimg.com/media/E_2kSkqVUAAjs6E.jpg")</f>
        <v>https://pbs.twimg.com/media/E_2kSkqVUAAjs6E.jpg</v>
      </c>
      <c r="W808" s="83">
        <v>44461.066655092596</v>
      </c>
      <c r="X808" s="89">
        <v>44461</v>
      </c>
      <c r="Y808" s="87" t="s">
        <v>2272</v>
      </c>
      <c r="Z808" s="85" t="str">
        <f>HYPERLINK("https://twitter.com/bahronialmansur/status/1440490025712455683")</f>
        <v>https://twitter.com/bahronialmansur/status/1440490025712455683</v>
      </c>
      <c r="AA808" s="81"/>
      <c r="AB808" s="81"/>
      <c r="AC808" s="87" t="s">
        <v>3196</v>
      </c>
      <c r="AD808" s="81"/>
      <c r="AE808" s="81" t="b">
        <v>0</v>
      </c>
      <c r="AF808" s="81">
        <v>0</v>
      </c>
      <c r="AG808" s="87" t="s">
        <v>3875</v>
      </c>
      <c r="AH808" s="81" t="b">
        <v>0</v>
      </c>
      <c r="AI808" s="81" t="s">
        <v>4092</v>
      </c>
      <c r="AJ808" s="81"/>
      <c r="AK808" s="87" t="s">
        <v>3875</v>
      </c>
      <c r="AL808" s="81" t="b">
        <v>0</v>
      </c>
      <c r="AM808" s="81">
        <v>2</v>
      </c>
      <c r="AN808" s="87" t="s">
        <v>3237</v>
      </c>
      <c r="AO808" s="87" t="s">
        <v>4109</v>
      </c>
      <c r="AP808" s="81" t="b">
        <v>0</v>
      </c>
      <c r="AQ808" s="87" t="s">
        <v>3237</v>
      </c>
      <c r="AR808" s="81" t="s">
        <v>179</v>
      </c>
      <c r="AS808" s="81">
        <v>0</v>
      </c>
      <c r="AT808" s="81">
        <v>0</v>
      </c>
      <c r="AU808" s="81"/>
      <c r="AV808" s="81"/>
      <c r="AW808" s="81"/>
      <c r="AX808" s="81"/>
      <c r="AY808" s="81"/>
      <c r="AZ808" s="81"/>
      <c r="BA808" s="81"/>
      <c r="BB808" s="81"/>
    </row>
    <row r="809" spans="1:54" x14ac:dyDescent="0.35">
      <c r="A809" s="66" t="s">
        <v>666</v>
      </c>
      <c r="B809" s="66" t="s">
        <v>1077</v>
      </c>
      <c r="C809" s="67"/>
      <c r="D809" s="68"/>
      <c r="E809" s="69"/>
      <c r="F809" s="70"/>
      <c r="G809" s="67"/>
      <c r="H809" s="71"/>
      <c r="I809" s="72"/>
      <c r="J809" s="72"/>
      <c r="K809" s="36"/>
      <c r="L809" s="79"/>
      <c r="M809" s="79"/>
      <c r="N809" s="74"/>
      <c r="O809" s="81" t="s">
        <v>1206</v>
      </c>
      <c r="P809" s="83">
        <v>44459.809351851851</v>
      </c>
      <c r="Q809" s="81" t="s">
        <v>1373</v>
      </c>
      <c r="R809" s="85" t="str">
        <f>HYPERLINK("https://www.instagram.com/p/CLHclaHBK4q/?utm_medium=twitter")</f>
        <v>https://www.instagram.com/p/CLHclaHBK4q/?utm_medium=twitter</v>
      </c>
      <c r="S809" s="81" t="s">
        <v>1736</v>
      </c>
      <c r="T809" s="87" t="s">
        <v>1768</v>
      </c>
      <c r="U809" s="81"/>
      <c r="V809" s="85" t="str">
        <f>HYPERLINK("https://pbs.twimg.com/profile_images/1141998351358894080/azS52HW5_normal.jpg")</f>
        <v>https://pbs.twimg.com/profile_images/1141998351358894080/azS52HW5_normal.jpg</v>
      </c>
      <c r="W809" s="83">
        <v>44459.809351851851</v>
      </c>
      <c r="X809" s="89">
        <v>44459</v>
      </c>
      <c r="Y809" s="87" t="s">
        <v>2273</v>
      </c>
      <c r="Z809" s="85" t="str">
        <f>HYPERLINK("https://twitter.com/pajakblampung1/status/1440034394656313350")</f>
        <v>https://twitter.com/pajakblampung1/status/1440034394656313350</v>
      </c>
      <c r="AA809" s="81"/>
      <c r="AB809" s="81"/>
      <c r="AC809" s="87" t="s">
        <v>3197</v>
      </c>
      <c r="AD809" s="81"/>
      <c r="AE809" s="81" t="b">
        <v>0</v>
      </c>
      <c r="AF809" s="81">
        <v>0</v>
      </c>
      <c r="AG809" s="87" t="s">
        <v>3875</v>
      </c>
      <c r="AH809" s="81" t="b">
        <v>0</v>
      </c>
      <c r="AI809" s="81" t="s">
        <v>4092</v>
      </c>
      <c r="AJ809" s="81"/>
      <c r="AK809" s="87" t="s">
        <v>3875</v>
      </c>
      <c r="AL809" s="81" t="b">
        <v>0</v>
      </c>
      <c r="AM809" s="81">
        <v>0</v>
      </c>
      <c r="AN809" s="87" t="s">
        <v>3875</v>
      </c>
      <c r="AO809" s="87" t="s">
        <v>4117</v>
      </c>
      <c r="AP809" s="81" t="b">
        <v>0</v>
      </c>
      <c r="AQ809" s="87" t="s">
        <v>3197</v>
      </c>
      <c r="AR809" s="81" t="s">
        <v>179</v>
      </c>
      <c r="AS809" s="81">
        <v>0</v>
      </c>
      <c r="AT809" s="81">
        <v>0</v>
      </c>
      <c r="AU809" s="81"/>
      <c r="AV809" s="81"/>
      <c r="AW809" s="81"/>
      <c r="AX809" s="81"/>
      <c r="AY809" s="81"/>
      <c r="AZ809" s="81"/>
      <c r="BA809" s="81"/>
      <c r="BB809" s="81"/>
    </row>
    <row r="810" spans="1:54" x14ac:dyDescent="0.35">
      <c r="A810" s="66" t="s">
        <v>666</v>
      </c>
      <c r="B810" s="66" t="s">
        <v>1077</v>
      </c>
      <c r="C810" s="67"/>
      <c r="D810" s="68"/>
      <c r="E810" s="69"/>
      <c r="F810" s="70"/>
      <c r="G810" s="67"/>
      <c r="H810" s="71"/>
      <c r="I810" s="72"/>
      <c r="J810" s="72"/>
      <c r="K810" s="36"/>
      <c r="L810" s="79"/>
      <c r="M810" s="79"/>
      <c r="N810" s="74"/>
      <c r="O810" s="81" t="s">
        <v>1206</v>
      </c>
      <c r="P810" s="83">
        <v>44461.07</v>
      </c>
      <c r="Q810" s="81" t="s">
        <v>1373</v>
      </c>
      <c r="R810" s="85" t="str">
        <f>HYPERLINK("https://www.instagram.com/p/CLHclaHBK4q/?utm_medium=twitter")</f>
        <v>https://www.instagram.com/p/CLHclaHBK4q/?utm_medium=twitter</v>
      </c>
      <c r="S810" s="81" t="s">
        <v>1736</v>
      </c>
      <c r="T810" s="87" t="s">
        <v>1768</v>
      </c>
      <c r="U810" s="81"/>
      <c r="V810" s="85" t="str">
        <f>HYPERLINK("https://pbs.twimg.com/profile_images/1141998351358894080/azS52HW5_normal.jpg")</f>
        <v>https://pbs.twimg.com/profile_images/1141998351358894080/azS52HW5_normal.jpg</v>
      </c>
      <c r="W810" s="83">
        <v>44461.07</v>
      </c>
      <c r="X810" s="89">
        <v>44461</v>
      </c>
      <c r="Y810" s="87" t="s">
        <v>2274</v>
      </c>
      <c r="Z810" s="85" t="str">
        <f>HYPERLINK("https://twitter.com/pajakblampung1/status/1440491235882389507")</f>
        <v>https://twitter.com/pajakblampung1/status/1440491235882389507</v>
      </c>
      <c r="AA810" s="81"/>
      <c r="AB810" s="81"/>
      <c r="AC810" s="87" t="s">
        <v>3198</v>
      </c>
      <c r="AD810" s="81"/>
      <c r="AE810" s="81" t="b">
        <v>0</v>
      </c>
      <c r="AF810" s="81">
        <v>0</v>
      </c>
      <c r="AG810" s="87" t="s">
        <v>3875</v>
      </c>
      <c r="AH810" s="81" t="b">
        <v>0</v>
      </c>
      <c r="AI810" s="81" t="s">
        <v>4092</v>
      </c>
      <c r="AJ810" s="81"/>
      <c r="AK810" s="87" t="s">
        <v>3875</v>
      </c>
      <c r="AL810" s="81" t="b">
        <v>0</v>
      </c>
      <c r="AM810" s="81">
        <v>0</v>
      </c>
      <c r="AN810" s="87" t="s">
        <v>3875</v>
      </c>
      <c r="AO810" s="87" t="s">
        <v>4117</v>
      </c>
      <c r="AP810" s="81" t="b">
        <v>0</v>
      </c>
      <c r="AQ810" s="87" t="s">
        <v>3198</v>
      </c>
      <c r="AR810" s="81" t="s">
        <v>179</v>
      </c>
      <c r="AS810" s="81">
        <v>0</v>
      </c>
      <c r="AT810" s="81">
        <v>0</v>
      </c>
      <c r="AU810" s="81"/>
      <c r="AV810" s="81"/>
      <c r="AW810" s="81"/>
      <c r="AX810" s="81"/>
      <c r="AY810" s="81"/>
      <c r="AZ810" s="81"/>
      <c r="BA810" s="81"/>
      <c r="BB810" s="81"/>
    </row>
    <row r="811" spans="1:54" x14ac:dyDescent="0.35">
      <c r="A811" s="66" t="s">
        <v>667</v>
      </c>
      <c r="B811" s="66" t="s">
        <v>1055</v>
      </c>
      <c r="C811" s="67"/>
      <c r="D811" s="68"/>
      <c r="E811" s="69"/>
      <c r="F811" s="70"/>
      <c r="G811" s="67"/>
      <c r="H811" s="71"/>
      <c r="I811" s="72"/>
      <c r="J811" s="72"/>
      <c r="K811" s="36"/>
      <c r="L811" s="79"/>
      <c r="M811" s="79"/>
      <c r="N811" s="74"/>
      <c r="O811" s="81" t="s">
        <v>1207</v>
      </c>
      <c r="P811" s="83">
        <v>44461.075219907405</v>
      </c>
      <c r="Q811" s="81" t="s">
        <v>1324</v>
      </c>
      <c r="R811" s="81"/>
      <c r="S811" s="81"/>
      <c r="T811" s="81"/>
      <c r="U811" s="85" t="str">
        <f>HYPERLINK("https://pbs.twimg.com/media/E_xVJy2VQAQerFe.jpg")</f>
        <v>https://pbs.twimg.com/media/E_xVJy2VQAQerFe.jpg</v>
      </c>
      <c r="V811" s="85" t="str">
        <f>HYPERLINK("https://pbs.twimg.com/media/E_xVJy2VQAQerFe.jpg")</f>
        <v>https://pbs.twimg.com/media/E_xVJy2VQAQerFe.jpg</v>
      </c>
      <c r="W811" s="83">
        <v>44461.075219907405</v>
      </c>
      <c r="X811" s="89">
        <v>44461</v>
      </c>
      <c r="Y811" s="87" t="s">
        <v>2275</v>
      </c>
      <c r="Z811" s="85" t="str">
        <f>HYPERLINK("https://twitter.com/dzeko_dimas/status/1440493126699810826")</f>
        <v>https://twitter.com/dzeko_dimas/status/1440493126699810826</v>
      </c>
      <c r="AA811" s="81"/>
      <c r="AB811" s="81"/>
      <c r="AC811" s="87" t="s">
        <v>3199</v>
      </c>
      <c r="AD811" s="81"/>
      <c r="AE811" s="81" t="b">
        <v>0</v>
      </c>
      <c r="AF811" s="81">
        <v>0</v>
      </c>
      <c r="AG811" s="87" t="s">
        <v>3875</v>
      </c>
      <c r="AH811" s="81" t="b">
        <v>0</v>
      </c>
      <c r="AI811" s="81" t="s">
        <v>4092</v>
      </c>
      <c r="AJ811" s="81"/>
      <c r="AK811" s="87" t="s">
        <v>3875</v>
      </c>
      <c r="AL811" s="81" t="b">
        <v>0</v>
      </c>
      <c r="AM811" s="81">
        <v>321</v>
      </c>
      <c r="AN811" s="87" t="s">
        <v>3520</v>
      </c>
      <c r="AO811" s="87" t="s">
        <v>4111</v>
      </c>
      <c r="AP811" s="81" t="b">
        <v>0</v>
      </c>
      <c r="AQ811" s="87" t="s">
        <v>3520</v>
      </c>
      <c r="AR811" s="81" t="s">
        <v>179</v>
      </c>
      <c r="AS811" s="81">
        <v>0</v>
      </c>
      <c r="AT811" s="81">
        <v>0</v>
      </c>
      <c r="AU811" s="81"/>
      <c r="AV811" s="81"/>
      <c r="AW811" s="81"/>
      <c r="AX811" s="81"/>
      <c r="AY811" s="81"/>
      <c r="AZ811" s="81"/>
      <c r="BA811" s="81"/>
      <c r="BB811" s="81"/>
    </row>
    <row r="812" spans="1:54" x14ac:dyDescent="0.35">
      <c r="A812" s="66" t="s">
        <v>667</v>
      </c>
      <c r="B812" s="66" t="s">
        <v>910</v>
      </c>
      <c r="C812" s="67"/>
      <c r="D812" s="68"/>
      <c r="E812" s="69"/>
      <c r="F812" s="70"/>
      <c r="G812" s="67"/>
      <c r="H812" s="71"/>
      <c r="I812" s="72"/>
      <c r="J812" s="72"/>
      <c r="K812" s="36"/>
      <c r="L812" s="79"/>
      <c r="M812" s="79"/>
      <c r="N812" s="74"/>
      <c r="O812" s="81" t="s">
        <v>1205</v>
      </c>
      <c r="P812" s="83">
        <v>44461.075219907405</v>
      </c>
      <c r="Q812" s="81" t="s">
        <v>1324</v>
      </c>
      <c r="R812" s="81"/>
      <c r="S812" s="81"/>
      <c r="T812" s="81"/>
      <c r="U812" s="85" t="str">
        <f>HYPERLINK("https://pbs.twimg.com/media/E_xVJy2VQAQerFe.jpg")</f>
        <v>https://pbs.twimg.com/media/E_xVJy2VQAQerFe.jpg</v>
      </c>
      <c r="V812" s="85" t="str">
        <f>HYPERLINK("https://pbs.twimg.com/media/E_xVJy2VQAQerFe.jpg")</f>
        <v>https://pbs.twimg.com/media/E_xVJy2VQAQerFe.jpg</v>
      </c>
      <c r="W812" s="83">
        <v>44461.075219907405</v>
      </c>
      <c r="X812" s="89">
        <v>44461</v>
      </c>
      <c r="Y812" s="87" t="s">
        <v>2275</v>
      </c>
      <c r="Z812" s="85" t="str">
        <f>HYPERLINK("https://twitter.com/dzeko_dimas/status/1440493126699810826")</f>
        <v>https://twitter.com/dzeko_dimas/status/1440493126699810826</v>
      </c>
      <c r="AA812" s="81"/>
      <c r="AB812" s="81"/>
      <c r="AC812" s="87" t="s">
        <v>3199</v>
      </c>
      <c r="AD812" s="81"/>
      <c r="AE812" s="81" t="b">
        <v>0</v>
      </c>
      <c r="AF812" s="81">
        <v>0</v>
      </c>
      <c r="AG812" s="87" t="s">
        <v>3875</v>
      </c>
      <c r="AH812" s="81" t="b">
        <v>0</v>
      </c>
      <c r="AI812" s="81" t="s">
        <v>4092</v>
      </c>
      <c r="AJ812" s="81"/>
      <c r="AK812" s="87" t="s">
        <v>3875</v>
      </c>
      <c r="AL812" s="81" t="b">
        <v>0</v>
      </c>
      <c r="AM812" s="81">
        <v>321</v>
      </c>
      <c r="AN812" s="87" t="s">
        <v>3520</v>
      </c>
      <c r="AO812" s="87" t="s">
        <v>4111</v>
      </c>
      <c r="AP812" s="81" t="b">
        <v>0</v>
      </c>
      <c r="AQ812" s="87" t="s">
        <v>3520</v>
      </c>
      <c r="AR812" s="81" t="s">
        <v>179</v>
      </c>
      <c r="AS812" s="81">
        <v>0</v>
      </c>
      <c r="AT812" s="81">
        <v>0</v>
      </c>
      <c r="AU812" s="81"/>
      <c r="AV812" s="81"/>
      <c r="AW812" s="81"/>
      <c r="AX812" s="81"/>
      <c r="AY812" s="81"/>
      <c r="AZ812" s="81"/>
      <c r="BA812" s="81"/>
      <c r="BB812" s="81"/>
    </row>
    <row r="813" spans="1:54" x14ac:dyDescent="0.35">
      <c r="A813" s="66" t="s">
        <v>668</v>
      </c>
      <c r="B813" s="66" t="s">
        <v>668</v>
      </c>
      <c r="C813" s="67"/>
      <c r="D813" s="68"/>
      <c r="E813" s="69"/>
      <c r="F813" s="70"/>
      <c r="G813" s="67"/>
      <c r="H813" s="71"/>
      <c r="I813" s="72"/>
      <c r="J813" s="72"/>
      <c r="K813" s="36"/>
      <c r="L813" s="79"/>
      <c r="M813" s="79"/>
      <c r="N813" s="74"/>
      <c r="O813" s="81" t="s">
        <v>179</v>
      </c>
      <c r="P813" s="83">
        <v>44461.078009259261</v>
      </c>
      <c r="Q813" s="81" t="s">
        <v>1374</v>
      </c>
      <c r="R813" s="81"/>
      <c r="S813" s="81"/>
      <c r="T813" s="81"/>
      <c r="U813" s="81"/>
      <c r="V813" s="85" t="str">
        <f>HYPERLINK("https://pbs.twimg.com/profile_images/1019063571206922243/0n9EquRK_normal.jpg")</f>
        <v>https://pbs.twimg.com/profile_images/1019063571206922243/0n9EquRK_normal.jpg</v>
      </c>
      <c r="W813" s="83">
        <v>44461.078009259261</v>
      </c>
      <c r="X813" s="89">
        <v>44461</v>
      </c>
      <c r="Y813" s="87" t="s">
        <v>2276</v>
      </c>
      <c r="Z813" s="85" t="str">
        <f>HYPERLINK("https://twitter.com/bcbanjarmasin_/status/1440494141117394947")</f>
        <v>https://twitter.com/bcbanjarmasin_/status/1440494141117394947</v>
      </c>
      <c r="AA813" s="81"/>
      <c r="AB813" s="81"/>
      <c r="AC813" s="87" t="s">
        <v>3200</v>
      </c>
      <c r="AD813" s="87" t="s">
        <v>3732</v>
      </c>
      <c r="AE813" s="81" t="b">
        <v>0</v>
      </c>
      <c r="AF813" s="81">
        <v>0</v>
      </c>
      <c r="AG813" s="87" t="s">
        <v>3954</v>
      </c>
      <c r="AH813" s="81" t="b">
        <v>0</v>
      </c>
      <c r="AI813" s="81" t="s">
        <v>4092</v>
      </c>
      <c r="AJ813" s="81"/>
      <c r="AK813" s="87" t="s">
        <v>3875</v>
      </c>
      <c r="AL813" s="81" t="b">
        <v>0</v>
      </c>
      <c r="AM813" s="81">
        <v>0</v>
      </c>
      <c r="AN813" s="87" t="s">
        <v>3875</v>
      </c>
      <c r="AO813" s="87" t="s">
        <v>4111</v>
      </c>
      <c r="AP813" s="81" t="b">
        <v>0</v>
      </c>
      <c r="AQ813" s="87" t="s">
        <v>3732</v>
      </c>
      <c r="AR813" s="81" t="s">
        <v>179</v>
      </c>
      <c r="AS813" s="81">
        <v>0</v>
      </c>
      <c r="AT813" s="81">
        <v>0</v>
      </c>
      <c r="AU813" s="81"/>
      <c r="AV813" s="81"/>
      <c r="AW813" s="81"/>
      <c r="AX813" s="81"/>
      <c r="AY813" s="81"/>
      <c r="AZ813" s="81"/>
      <c r="BA813" s="81"/>
      <c r="BB813" s="81"/>
    </row>
    <row r="814" spans="1:54" x14ac:dyDescent="0.35">
      <c r="A814" s="66" t="s">
        <v>669</v>
      </c>
      <c r="B814" s="66" t="s">
        <v>1034</v>
      </c>
      <c r="C814" s="67"/>
      <c r="D814" s="68"/>
      <c r="E814" s="69"/>
      <c r="F814" s="70"/>
      <c r="G814" s="67"/>
      <c r="H814" s="71"/>
      <c r="I814" s="72"/>
      <c r="J814" s="72"/>
      <c r="K814" s="36"/>
      <c r="L814" s="79"/>
      <c r="M814" s="79"/>
      <c r="N814" s="74"/>
      <c r="O814" s="81" t="s">
        <v>1208</v>
      </c>
      <c r="P814" s="83">
        <v>44461.078356481485</v>
      </c>
      <c r="Q814" s="81" t="s">
        <v>1375</v>
      </c>
      <c r="R814" s="81"/>
      <c r="S814" s="81"/>
      <c r="T814" s="81"/>
      <c r="U814" s="81"/>
      <c r="V814" s="85" t="str">
        <f>HYPERLINK("https://pbs.twimg.com/profile_images/753580621885165568/jBxObNDH_normal.jpg")</f>
        <v>https://pbs.twimg.com/profile_images/753580621885165568/jBxObNDH_normal.jpg</v>
      </c>
      <c r="W814" s="83">
        <v>44461.078356481485</v>
      </c>
      <c r="X814" s="89">
        <v>44461</v>
      </c>
      <c r="Y814" s="87" t="s">
        <v>2277</v>
      </c>
      <c r="Z814" s="85" t="str">
        <f>HYPERLINK("https://twitter.com/wwahyudi_/status/1440494266287935501")</f>
        <v>https://twitter.com/wwahyudi_/status/1440494266287935501</v>
      </c>
      <c r="AA814" s="81"/>
      <c r="AB814" s="81"/>
      <c r="AC814" s="87" t="s">
        <v>3201</v>
      </c>
      <c r="AD814" s="81"/>
      <c r="AE814" s="81" t="b">
        <v>0</v>
      </c>
      <c r="AF814" s="81">
        <v>0</v>
      </c>
      <c r="AG814" s="87" t="s">
        <v>3913</v>
      </c>
      <c r="AH814" s="81" t="b">
        <v>0</v>
      </c>
      <c r="AI814" s="81" t="s">
        <v>4092</v>
      </c>
      <c r="AJ814" s="81"/>
      <c r="AK814" s="87" t="s">
        <v>3875</v>
      </c>
      <c r="AL814" s="81" t="b">
        <v>0</v>
      </c>
      <c r="AM814" s="81">
        <v>0</v>
      </c>
      <c r="AN814" s="87" t="s">
        <v>3875</v>
      </c>
      <c r="AO814" s="87" t="s">
        <v>4110</v>
      </c>
      <c r="AP814" s="81" t="b">
        <v>0</v>
      </c>
      <c r="AQ814" s="87" t="s">
        <v>3201</v>
      </c>
      <c r="AR814" s="81" t="s">
        <v>179</v>
      </c>
      <c r="AS814" s="81">
        <v>0</v>
      </c>
      <c r="AT814" s="81">
        <v>0</v>
      </c>
      <c r="AU814" s="81"/>
      <c r="AV814" s="81"/>
      <c r="AW814" s="81"/>
      <c r="AX814" s="81"/>
      <c r="AY814" s="81"/>
      <c r="AZ814" s="81"/>
      <c r="BA814" s="81"/>
      <c r="BB814" s="81"/>
    </row>
    <row r="815" spans="1:54" x14ac:dyDescent="0.35">
      <c r="A815" s="66" t="s">
        <v>670</v>
      </c>
      <c r="B815" s="66" t="s">
        <v>1055</v>
      </c>
      <c r="C815" s="67"/>
      <c r="D815" s="68"/>
      <c r="E815" s="69"/>
      <c r="F815" s="70"/>
      <c r="G815" s="67"/>
      <c r="H815" s="71"/>
      <c r="I815" s="72"/>
      <c r="J815" s="72"/>
      <c r="K815" s="36"/>
      <c r="L815" s="79"/>
      <c r="M815" s="79"/>
      <c r="N815" s="74"/>
      <c r="O815" s="81" t="s">
        <v>1207</v>
      </c>
      <c r="P815" s="83">
        <v>44461.079293981478</v>
      </c>
      <c r="Q815" s="81" t="s">
        <v>1324</v>
      </c>
      <c r="R815" s="81"/>
      <c r="S815" s="81"/>
      <c r="T815" s="81"/>
      <c r="U815" s="85" t="str">
        <f>HYPERLINK("https://pbs.twimg.com/media/E_xVJy2VQAQerFe.jpg")</f>
        <v>https://pbs.twimg.com/media/E_xVJy2VQAQerFe.jpg</v>
      </c>
      <c r="V815" s="85" t="str">
        <f>HYPERLINK("https://pbs.twimg.com/media/E_xVJy2VQAQerFe.jpg")</f>
        <v>https://pbs.twimg.com/media/E_xVJy2VQAQerFe.jpg</v>
      </c>
      <c r="W815" s="83">
        <v>44461.079293981478</v>
      </c>
      <c r="X815" s="89">
        <v>44461</v>
      </c>
      <c r="Y815" s="87" t="s">
        <v>2278</v>
      </c>
      <c r="Z815" s="85" t="str">
        <f>HYPERLINK("https://twitter.com/kangazzev/status/1440494604629856260")</f>
        <v>https://twitter.com/kangazzev/status/1440494604629856260</v>
      </c>
      <c r="AA815" s="81"/>
      <c r="AB815" s="81"/>
      <c r="AC815" s="87" t="s">
        <v>3202</v>
      </c>
      <c r="AD815" s="81"/>
      <c r="AE815" s="81" t="b">
        <v>0</v>
      </c>
      <c r="AF815" s="81">
        <v>0</v>
      </c>
      <c r="AG815" s="87" t="s">
        <v>3875</v>
      </c>
      <c r="AH815" s="81" t="b">
        <v>0</v>
      </c>
      <c r="AI815" s="81" t="s">
        <v>4092</v>
      </c>
      <c r="AJ815" s="81"/>
      <c r="AK815" s="87" t="s">
        <v>3875</v>
      </c>
      <c r="AL815" s="81" t="b">
        <v>0</v>
      </c>
      <c r="AM815" s="81">
        <v>321</v>
      </c>
      <c r="AN815" s="87" t="s">
        <v>3520</v>
      </c>
      <c r="AO815" s="87" t="s">
        <v>4109</v>
      </c>
      <c r="AP815" s="81" t="b">
        <v>0</v>
      </c>
      <c r="AQ815" s="87" t="s">
        <v>3520</v>
      </c>
      <c r="AR815" s="81" t="s">
        <v>179</v>
      </c>
      <c r="AS815" s="81">
        <v>0</v>
      </c>
      <c r="AT815" s="81">
        <v>0</v>
      </c>
      <c r="AU815" s="81"/>
      <c r="AV815" s="81"/>
      <c r="AW815" s="81"/>
      <c r="AX815" s="81"/>
      <c r="AY815" s="81"/>
      <c r="AZ815" s="81"/>
      <c r="BA815" s="81"/>
      <c r="BB815" s="81"/>
    </row>
    <row r="816" spans="1:54" x14ac:dyDescent="0.35">
      <c r="A816" s="66" t="s">
        <v>670</v>
      </c>
      <c r="B816" s="66" t="s">
        <v>910</v>
      </c>
      <c r="C816" s="67"/>
      <c r="D816" s="68"/>
      <c r="E816" s="69"/>
      <c r="F816" s="70"/>
      <c r="G816" s="67"/>
      <c r="H816" s="71"/>
      <c r="I816" s="72"/>
      <c r="J816" s="72"/>
      <c r="K816" s="36"/>
      <c r="L816" s="79"/>
      <c r="M816" s="79"/>
      <c r="N816" s="74"/>
      <c r="O816" s="81" t="s">
        <v>1205</v>
      </c>
      <c r="P816" s="83">
        <v>44461.079293981478</v>
      </c>
      <c r="Q816" s="81" t="s">
        <v>1324</v>
      </c>
      <c r="R816" s="81"/>
      <c r="S816" s="81"/>
      <c r="T816" s="81"/>
      <c r="U816" s="85" t="str">
        <f>HYPERLINK("https://pbs.twimg.com/media/E_xVJy2VQAQerFe.jpg")</f>
        <v>https://pbs.twimg.com/media/E_xVJy2VQAQerFe.jpg</v>
      </c>
      <c r="V816" s="85" t="str">
        <f>HYPERLINK("https://pbs.twimg.com/media/E_xVJy2VQAQerFe.jpg")</f>
        <v>https://pbs.twimg.com/media/E_xVJy2VQAQerFe.jpg</v>
      </c>
      <c r="W816" s="83">
        <v>44461.079293981478</v>
      </c>
      <c r="X816" s="89">
        <v>44461</v>
      </c>
      <c r="Y816" s="87" t="s">
        <v>2278</v>
      </c>
      <c r="Z816" s="85" t="str">
        <f>HYPERLINK("https://twitter.com/kangazzev/status/1440494604629856260")</f>
        <v>https://twitter.com/kangazzev/status/1440494604629856260</v>
      </c>
      <c r="AA816" s="81"/>
      <c r="AB816" s="81"/>
      <c r="AC816" s="87" t="s">
        <v>3202</v>
      </c>
      <c r="AD816" s="81"/>
      <c r="AE816" s="81" t="b">
        <v>0</v>
      </c>
      <c r="AF816" s="81">
        <v>0</v>
      </c>
      <c r="AG816" s="87" t="s">
        <v>3875</v>
      </c>
      <c r="AH816" s="81" t="b">
        <v>0</v>
      </c>
      <c r="AI816" s="81" t="s">
        <v>4092</v>
      </c>
      <c r="AJ816" s="81"/>
      <c r="AK816" s="87" t="s">
        <v>3875</v>
      </c>
      <c r="AL816" s="81" t="b">
        <v>0</v>
      </c>
      <c r="AM816" s="81">
        <v>321</v>
      </c>
      <c r="AN816" s="87" t="s">
        <v>3520</v>
      </c>
      <c r="AO816" s="87" t="s">
        <v>4109</v>
      </c>
      <c r="AP816" s="81" t="b">
        <v>0</v>
      </c>
      <c r="AQ816" s="87" t="s">
        <v>3520</v>
      </c>
      <c r="AR816" s="81" t="s">
        <v>179</v>
      </c>
      <c r="AS816" s="81">
        <v>0</v>
      </c>
      <c r="AT816" s="81">
        <v>0</v>
      </c>
      <c r="AU816" s="81"/>
      <c r="AV816" s="81"/>
      <c r="AW816" s="81"/>
      <c r="AX816" s="81"/>
      <c r="AY816" s="81"/>
      <c r="AZ816" s="81"/>
      <c r="BA816" s="81"/>
      <c r="BB816" s="81"/>
    </row>
    <row r="817" spans="1:54" x14ac:dyDescent="0.35">
      <c r="A817" s="66" t="s">
        <v>671</v>
      </c>
      <c r="B817" s="66" t="s">
        <v>1078</v>
      </c>
      <c r="C817" s="67"/>
      <c r="D817" s="68"/>
      <c r="E817" s="69"/>
      <c r="F817" s="70"/>
      <c r="G817" s="67"/>
      <c r="H817" s="71"/>
      <c r="I817" s="72"/>
      <c r="J817" s="72"/>
      <c r="K817" s="36"/>
      <c r="L817" s="79"/>
      <c r="M817" s="79"/>
      <c r="N817" s="74"/>
      <c r="O817" s="81" t="s">
        <v>1208</v>
      </c>
      <c r="P817" s="83">
        <v>44459.342534722222</v>
      </c>
      <c r="Q817" s="81" t="s">
        <v>1376</v>
      </c>
      <c r="R817" s="81" t="s">
        <v>1721</v>
      </c>
      <c r="S817" s="81" t="s">
        <v>1740</v>
      </c>
      <c r="T817" s="81"/>
      <c r="U817" s="81"/>
      <c r="V817" s="85" t="str">
        <f>HYPERLINK("https://pbs.twimg.com/profile_images/1059077134067490816/pGo5he-x_normal.jpg")</f>
        <v>https://pbs.twimg.com/profile_images/1059077134067490816/pGo5he-x_normal.jpg</v>
      </c>
      <c r="W817" s="83">
        <v>44459.342534722222</v>
      </c>
      <c r="X817" s="89">
        <v>44459</v>
      </c>
      <c r="Y817" s="87" t="s">
        <v>2279</v>
      </c>
      <c r="Z817" s="85" t="str">
        <f>HYPERLINK("https://twitter.com/kring_pajak/status/1439865224354353157")</f>
        <v>https://twitter.com/kring_pajak/status/1439865224354353157</v>
      </c>
      <c r="AA817" s="81"/>
      <c r="AB817" s="81"/>
      <c r="AC817" s="87" t="s">
        <v>3203</v>
      </c>
      <c r="AD817" s="87" t="s">
        <v>3733</v>
      </c>
      <c r="AE817" s="81" t="b">
        <v>0</v>
      </c>
      <c r="AF817" s="81">
        <v>0</v>
      </c>
      <c r="AG817" s="87" t="s">
        <v>3955</v>
      </c>
      <c r="AH817" s="81" t="b">
        <v>0</v>
      </c>
      <c r="AI817" s="81" t="s">
        <v>4092</v>
      </c>
      <c r="AJ817" s="81"/>
      <c r="AK817" s="87" t="s">
        <v>3875</v>
      </c>
      <c r="AL817" s="81" t="b">
        <v>0</v>
      </c>
      <c r="AM817" s="81">
        <v>0</v>
      </c>
      <c r="AN817" s="87" t="s">
        <v>3875</v>
      </c>
      <c r="AO817" s="87" t="s">
        <v>4124</v>
      </c>
      <c r="AP817" s="81" t="b">
        <v>0</v>
      </c>
      <c r="AQ817" s="87" t="s">
        <v>3733</v>
      </c>
      <c r="AR817" s="81" t="s">
        <v>179</v>
      </c>
      <c r="AS817" s="81">
        <v>0</v>
      </c>
      <c r="AT817" s="81">
        <v>0</v>
      </c>
      <c r="AU817" s="81"/>
      <c r="AV817" s="81"/>
      <c r="AW817" s="81"/>
      <c r="AX817" s="81"/>
      <c r="AY817" s="81"/>
      <c r="AZ817" s="81"/>
      <c r="BA817" s="81"/>
      <c r="BB817" s="81"/>
    </row>
    <row r="818" spans="1:54" x14ac:dyDescent="0.35">
      <c r="A818" s="66" t="s">
        <v>671</v>
      </c>
      <c r="B818" s="66" t="s">
        <v>1079</v>
      </c>
      <c r="C818" s="67"/>
      <c r="D818" s="68"/>
      <c r="E818" s="69"/>
      <c r="F818" s="70"/>
      <c r="G818" s="67"/>
      <c r="H818" s="71"/>
      <c r="I818" s="72"/>
      <c r="J818" s="72"/>
      <c r="K818" s="36"/>
      <c r="L818" s="79"/>
      <c r="M818" s="79"/>
      <c r="N818" s="74"/>
      <c r="O818" s="81" t="s">
        <v>1208</v>
      </c>
      <c r="P818" s="83">
        <v>44459.351053240738</v>
      </c>
      <c r="Q818" s="81" t="s">
        <v>1377</v>
      </c>
      <c r="R818" s="85" t="str">
        <f>HYPERLINK("https://kunjung.pajak.go.id/")</f>
        <v>https://kunjung.pajak.go.id/</v>
      </c>
      <c r="S818" s="81" t="s">
        <v>1741</v>
      </c>
      <c r="T818" s="81"/>
      <c r="U818" s="81"/>
      <c r="V818" s="85" t="str">
        <f>HYPERLINK("https://pbs.twimg.com/profile_images/1059077134067490816/pGo5he-x_normal.jpg")</f>
        <v>https://pbs.twimg.com/profile_images/1059077134067490816/pGo5he-x_normal.jpg</v>
      </c>
      <c r="W818" s="83">
        <v>44459.351053240738</v>
      </c>
      <c r="X818" s="89">
        <v>44459</v>
      </c>
      <c r="Y818" s="87" t="s">
        <v>2280</v>
      </c>
      <c r="Z818" s="85" t="str">
        <f>HYPERLINK("https://twitter.com/kring_pajak/status/1439868313090203648")</f>
        <v>https://twitter.com/kring_pajak/status/1439868313090203648</v>
      </c>
      <c r="AA818" s="81"/>
      <c r="AB818" s="81"/>
      <c r="AC818" s="87" t="s">
        <v>3204</v>
      </c>
      <c r="AD818" s="87" t="s">
        <v>3734</v>
      </c>
      <c r="AE818" s="81" t="b">
        <v>0</v>
      </c>
      <c r="AF818" s="81">
        <v>0</v>
      </c>
      <c r="AG818" s="87" t="s">
        <v>3955</v>
      </c>
      <c r="AH818" s="81" t="b">
        <v>0</v>
      </c>
      <c r="AI818" s="81" t="s">
        <v>4092</v>
      </c>
      <c r="AJ818" s="81"/>
      <c r="AK818" s="87" t="s">
        <v>3875</v>
      </c>
      <c r="AL818" s="81" t="b">
        <v>0</v>
      </c>
      <c r="AM818" s="81">
        <v>0</v>
      </c>
      <c r="AN818" s="87" t="s">
        <v>3875</v>
      </c>
      <c r="AO818" s="87" t="s">
        <v>4124</v>
      </c>
      <c r="AP818" s="81" t="b">
        <v>0</v>
      </c>
      <c r="AQ818" s="87" t="s">
        <v>3734</v>
      </c>
      <c r="AR818" s="81" t="s">
        <v>179</v>
      </c>
      <c r="AS818" s="81">
        <v>0</v>
      </c>
      <c r="AT818" s="81">
        <v>0</v>
      </c>
      <c r="AU818" s="81"/>
      <c r="AV818" s="81"/>
      <c r="AW818" s="81"/>
      <c r="AX818" s="81"/>
      <c r="AY818" s="81"/>
      <c r="AZ818" s="81"/>
      <c r="BA818" s="81"/>
      <c r="BB818" s="81"/>
    </row>
    <row r="819" spans="1:54" x14ac:dyDescent="0.35">
      <c r="A819" s="66" t="s">
        <v>671</v>
      </c>
      <c r="B819" s="66" t="s">
        <v>1080</v>
      </c>
      <c r="C819" s="67"/>
      <c r="D819" s="68"/>
      <c r="E819" s="69"/>
      <c r="F819" s="70"/>
      <c r="G819" s="67"/>
      <c r="H819" s="71"/>
      <c r="I819" s="72"/>
      <c r="J819" s="72"/>
      <c r="K819" s="36"/>
      <c r="L819" s="79"/>
      <c r="M819" s="79"/>
      <c r="N819" s="74"/>
      <c r="O819" s="81" t="s">
        <v>1208</v>
      </c>
      <c r="P819" s="83">
        <v>44459.575173611112</v>
      </c>
      <c r="Q819" s="81" t="s">
        <v>1378</v>
      </c>
      <c r="R819" s="85" t="str">
        <f>HYPERLINK("https://kunjung.pajak.go.id/")</f>
        <v>https://kunjung.pajak.go.id/</v>
      </c>
      <c r="S819" s="81" t="s">
        <v>1741</v>
      </c>
      <c r="T819" s="81"/>
      <c r="U819" s="81"/>
      <c r="V819" s="85" t="str">
        <f>HYPERLINK("https://pbs.twimg.com/profile_images/1059077134067490816/pGo5he-x_normal.jpg")</f>
        <v>https://pbs.twimg.com/profile_images/1059077134067490816/pGo5he-x_normal.jpg</v>
      </c>
      <c r="W819" s="83">
        <v>44459.575173611112</v>
      </c>
      <c r="X819" s="89">
        <v>44459</v>
      </c>
      <c r="Y819" s="87" t="s">
        <v>2281</v>
      </c>
      <c r="Z819" s="85" t="str">
        <f>HYPERLINK("https://twitter.com/kring_pajak/status/1439949530531708932")</f>
        <v>https://twitter.com/kring_pajak/status/1439949530531708932</v>
      </c>
      <c r="AA819" s="81"/>
      <c r="AB819" s="81"/>
      <c r="AC819" s="87" t="s">
        <v>3205</v>
      </c>
      <c r="AD819" s="87" t="s">
        <v>3735</v>
      </c>
      <c r="AE819" s="81" t="b">
        <v>0</v>
      </c>
      <c r="AF819" s="81">
        <v>0</v>
      </c>
      <c r="AG819" s="87" t="s">
        <v>3955</v>
      </c>
      <c r="AH819" s="81" t="b">
        <v>0</v>
      </c>
      <c r="AI819" s="81" t="s">
        <v>4092</v>
      </c>
      <c r="AJ819" s="81"/>
      <c r="AK819" s="87" t="s">
        <v>3875</v>
      </c>
      <c r="AL819" s="81" t="b">
        <v>0</v>
      </c>
      <c r="AM819" s="81">
        <v>0</v>
      </c>
      <c r="AN819" s="87" t="s">
        <v>3875</v>
      </c>
      <c r="AO819" s="87" t="s">
        <v>4124</v>
      </c>
      <c r="AP819" s="81" t="b">
        <v>0</v>
      </c>
      <c r="AQ819" s="87" t="s">
        <v>3735</v>
      </c>
      <c r="AR819" s="81" t="s">
        <v>179</v>
      </c>
      <c r="AS819" s="81">
        <v>0</v>
      </c>
      <c r="AT819" s="81">
        <v>0</v>
      </c>
      <c r="AU819" s="81"/>
      <c r="AV819" s="81"/>
      <c r="AW819" s="81"/>
      <c r="AX819" s="81"/>
      <c r="AY819" s="81"/>
      <c r="AZ819" s="81"/>
      <c r="BA819" s="81"/>
      <c r="BB819" s="81"/>
    </row>
    <row r="820" spans="1:54" x14ac:dyDescent="0.35">
      <c r="A820" s="66" t="s">
        <v>671</v>
      </c>
      <c r="B820" s="66" t="s">
        <v>1081</v>
      </c>
      <c r="C820" s="67"/>
      <c r="D820" s="68"/>
      <c r="E820" s="69"/>
      <c r="F820" s="70"/>
      <c r="G820" s="67"/>
      <c r="H820" s="71"/>
      <c r="I820" s="72"/>
      <c r="J820" s="72"/>
      <c r="K820" s="36"/>
      <c r="L820" s="79"/>
      <c r="M820" s="79"/>
      <c r="N820" s="74"/>
      <c r="O820" s="81" t="s">
        <v>1208</v>
      </c>
      <c r="P820" s="83">
        <v>44460.046331018515</v>
      </c>
      <c r="Q820" s="81" t="s">
        <v>1379</v>
      </c>
      <c r="R820" s="81" t="s">
        <v>1721</v>
      </c>
      <c r="S820" s="81" t="s">
        <v>1740</v>
      </c>
      <c r="T820" s="81"/>
      <c r="U820" s="81"/>
      <c r="V820" s="85" t="str">
        <f>HYPERLINK("https://pbs.twimg.com/profile_images/1059077134067490816/pGo5he-x_normal.jpg")</f>
        <v>https://pbs.twimg.com/profile_images/1059077134067490816/pGo5he-x_normal.jpg</v>
      </c>
      <c r="W820" s="83">
        <v>44460.046331018515</v>
      </c>
      <c r="X820" s="89">
        <v>44460</v>
      </c>
      <c r="Y820" s="87" t="s">
        <v>2282</v>
      </c>
      <c r="Z820" s="85" t="str">
        <f>HYPERLINK("https://twitter.com/kring_pajak/status/1440120273433346050")</f>
        <v>https://twitter.com/kring_pajak/status/1440120273433346050</v>
      </c>
      <c r="AA820" s="81"/>
      <c r="AB820" s="81"/>
      <c r="AC820" s="87" t="s">
        <v>3206</v>
      </c>
      <c r="AD820" s="87" t="s">
        <v>3736</v>
      </c>
      <c r="AE820" s="81" t="b">
        <v>0</v>
      </c>
      <c r="AF820" s="81">
        <v>0</v>
      </c>
      <c r="AG820" s="87" t="s">
        <v>3955</v>
      </c>
      <c r="AH820" s="81" t="b">
        <v>0</v>
      </c>
      <c r="AI820" s="81" t="s">
        <v>4092</v>
      </c>
      <c r="AJ820" s="81"/>
      <c r="AK820" s="87" t="s">
        <v>3875</v>
      </c>
      <c r="AL820" s="81" t="b">
        <v>0</v>
      </c>
      <c r="AM820" s="81">
        <v>0</v>
      </c>
      <c r="AN820" s="87" t="s">
        <v>3875</v>
      </c>
      <c r="AO820" s="87" t="s">
        <v>4124</v>
      </c>
      <c r="AP820" s="81" t="b">
        <v>0</v>
      </c>
      <c r="AQ820" s="87" t="s">
        <v>3736</v>
      </c>
      <c r="AR820" s="81" t="s">
        <v>179</v>
      </c>
      <c r="AS820" s="81">
        <v>0</v>
      </c>
      <c r="AT820" s="81">
        <v>0</v>
      </c>
      <c r="AU820" s="81"/>
      <c r="AV820" s="81"/>
      <c r="AW820" s="81"/>
      <c r="AX820" s="81"/>
      <c r="AY820" s="81"/>
      <c r="AZ820" s="81"/>
      <c r="BA820" s="81"/>
      <c r="BB820" s="81"/>
    </row>
    <row r="821" spans="1:54" x14ac:dyDescent="0.35">
      <c r="A821" s="66" t="s">
        <v>671</v>
      </c>
      <c r="B821" s="66" t="s">
        <v>1082</v>
      </c>
      <c r="C821" s="67"/>
      <c r="D821" s="68"/>
      <c r="E821" s="69"/>
      <c r="F821" s="70"/>
      <c r="G821" s="67"/>
      <c r="H821" s="71"/>
      <c r="I821" s="72"/>
      <c r="J821" s="72"/>
      <c r="K821" s="36"/>
      <c r="L821" s="79"/>
      <c r="M821" s="79"/>
      <c r="N821" s="74"/>
      <c r="O821" s="81" t="s">
        <v>1208</v>
      </c>
      <c r="P821" s="83">
        <v>44460.138055555559</v>
      </c>
      <c r="Q821" s="81" t="s">
        <v>1380</v>
      </c>
      <c r="R821" s="81" t="s">
        <v>1721</v>
      </c>
      <c r="S821" s="81" t="s">
        <v>1740</v>
      </c>
      <c r="T821" s="81"/>
      <c r="U821" s="81"/>
      <c r="V821" s="85" t="str">
        <f>HYPERLINK("https://pbs.twimg.com/profile_images/1059077134067490816/pGo5he-x_normal.jpg")</f>
        <v>https://pbs.twimg.com/profile_images/1059077134067490816/pGo5he-x_normal.jpg</v>
      </c>
      <c r="W821" s="83">
        <v>44460.138055555559</v>
      </c>
      <c r="X821" s="89">
        <v>44460</v>
      </c>
      <c r="Y821" s="87" t="s">
        <v>2283</v>
      </c>
      <c r="Z821" s="85" t="str">
        <f>HYPERLINK("https://twitter.com/kring_pajak/status/1440153510004232198")</f>
        <v>https://twitter.com/kring_pajak/status/1440153510004232198</v>
      </c>
      <c r="AA821" s="81"/>
      <c r="AB821" s="81"/>
      <c r="AC821" s="87" t="s">
        <v>3207</v>
      </c>
      <c r="AD821" s="87" t="s">
        <v>3737</v>
      </c>
      <c r="AE821" s="81" t="b">
        <v>0</v>
      </c>
      <c r="AF821" s="81">
        <v>0</v>
      </c>
      <c r="AG821" s="87" t="s">
        <v>3955</v>
      </c>
      <c r="AH821" s="81" t="b">
        <v>0</v>
      </c>
      <c r="AI821" s="81" t="s">
        <v>4092</v>
      </c>
      <c r="AJ821" s="81"/>
      <c r="AK821" s="87" t="s">
        <v>3875</v>
      </c>
      <c r="AL821" s="81" t="b">
        <v>0</v>
      </c>
      <c r="AM821" s="81">
        <v>0</v>
      </c>
      <c r="AN821" s="87" t="s">
        <v>3875</v>
      </c>
      <c r="AO821" s="87" t="s">
        <v>4124</v>
      </c>
      <c r="AP821" s="81" t="b">
        <v>0</v>
      </c>
      <c r="AQ821" s="87" t="s">
        <v>3737</v>
      </c>
      <c r="AR821" s="81" t="s">
        <v>179</v>
      </c>
      <c r="AS821" s="81">
        <v>0</v>
      </c>
      <c r="AT821" s="81">
        <v>0</v>
      </c>
      <c r="AU821" s="81"/>
      <c r="AV821" s="81"/>
      <c r="AW821" s="81"/>
      <c r="AX821" s="81"/>
      <c r="AY821" s="81"/>
      <c r="AZ821" s="81"/>
      <c r="BA821" s="81"/>
      <c r="BB821" s="81"/>
    </row>
    <row r="822" spans="1:54" x14ac:dyDescent="0.35">
      <c r="A822" s="66" t="s">
        <v>671</v>
      </c>
      <c r="B822" s="66" t="s">
        <v>1083</v>
      </c>
      <c r="C822" s="67"/>
      <c r="D822" s="68"/>
      <c r="E822" s="69"/>
      <c r="F822" s="70"/>
      <c r="G822" s="67"/>
      <c r="H822" s="71"/>
      <c r="I822" s="72"/>
      <c r="J822" s="72"/>
      <c r="K822" s="36"/>
      <c r="L822" s="79"/>
      <c r="M822" s="79"/>
      <c r="N822" s="74"/>
      <c r="O822" s="81" t="s">
        <v>1206</v>
      </c>
      <c r="P822" s="83">
        <v>44461.099270833336</v>
      </c>
      <c r="Q822" s="81" t="s">
        <v>1381</v>
      </c>
      <c r="R822" s="85" t="str">
        <f>HYPERLINK("https://pajak.go.id/wilayah-administrasi")</f>
        <v>https://pajak.go.id/wilayah-administrasi</v>
      </c>
      <c r="S822" s="81" t="s">
        <v>1741</v>
      </c>
      <c r="T822" s="81"/>
      <c r="U822" s="81"/>
      <c r="V822" s="85" t="str">
        <f>HYPERLINK("https://pbs.twimg.com/profile_images/1059077134067490816/pGo5he-x_normal.jpg")</f>
        <v>https://pbs.twimg.com/profile_images/1059077134067490816/pGo5he-x_normal.jpg</v>
      </c>
      <c r="W822" s="83">
        <v>44461.099270833336</v>
      </c>
      <c r="X822" s="89">
        <v>44461</v>
      </c>
      <c r="Y822" s="87" t="s">
        <v>2284</v>
      </c>
      <c r="Z822" s="85" t="str">
        <f>HYPERLINK("https://twitter.com/kring_pajak/status/1440501842337615878")</f>
        <v>https://twitter.com/kring_pajak/status/1440501842337615878</v>
      </c>
      <c r="AA822" s="81"/>
      <c r="AB822" s="81"/>
      <c r="AC822" s="87" t="s">
        <v>3208</v>
      </c>
      <c r="AD822" s="87" t="s">
        <v>3738</v>
      </c>
      <c r="AE822" s="81" t="b">
        <v>0</v>
      </c>
      <c r="AF822" s="81">
        <v>0</v>
      </c>
      <c r="AG822" s="87" t="s">
        <v>3956</v>
      </c>
      <c r="AH822" s="81" t="b">
        <v>0</v>
      </c>
      <c r="AI822" s="81" t="s">
        <v>4092</v>
      </c>
      <c r="AJ822" s="81"/>
      <c r="AK822" s="87" t="s">
        <v>3875</v>
      </c>
      <c r="AL822" s="81" t="b">
        <v>0</v>
      </c>
      <c r="AM822" s="81">
        <v>0</v>
      </c>
      <c r="AN822" s="87" t="s">
        <v>3875</v>
      </c>
      <c r="AO822" s="87" t="s">
        <v>4124</v>
      </c>
      <c r="AP822" s="81" t="b">
        <v>0</v>
      </c>
      <c r="AQ822" s="87" t="s">
        <v>3738</v>
      </c>
      <c r="AR822" s="81" t="s">
        <v>179</v>
      </c>
      <c r="AS822" s="81">
        <v>0</v>
      </c>
      <c r="AT822" s="81">
        <v>0</v>
      </c>
      <c r="AU822" s="81"/>
      <c r="AV822" s="81"/>
      <c r="AW822" s="81"/>
      <c r="AX822" s="81"/>
      <c r="AY822" s="81"/>
      <c r="AZ822" s="81"/>
      <c r="BA822" s="81"/>
      <c r="BB822" s="81"/>
    </row>
    <row r="823" spans="1:54" x14ac:dyDescent="0.35">
      <c r="A823" s="66" t="s">
        <v>671</v>
      </c>
      <c r="B823" s="66" t="s">
        <v>1046</v>
      </c>
      <c r="C823" s="67"/>
      <c r="D823" s="68"/>
      <c r="E823" s="69"/>
      <c r="F823" s="70"/>
      <c r="G823" s="67"/>
      <c r="H823" s="71"/>
      <c r="I823" s="72"/>
      <c r="J823" s="72"/>
      <c r="K823" s="36"/>
      <c r="L823" s="79"/>
      <c r="M823" s="79"/>
      <c r="N823" s="74"/>
      <c r="O823" s="81" t="s">
        <v>1206</v>
      </c>
      <c r="P823" s="83">
        <v>44460.046331018515</v>
      </c>
      <c r="Q823" s="81" t="s">
        <v>1379</v>
      </c>
      <c r="R823" s="81" t="s">
        <v>1721</v>
      </c>
      <c r="S823" s="81" t="s">
        <v>1740</v>
      </c>
      <c r="T823" s="81"/>
      <c r="U823" s="81"/>
      <c r="V823" s="85" t="str">
        <f>HYPERLINK("https://pbs.twimg.com/profile_images/1059077134067490816/pGo5he-x_normal.jpg")</f>
        <v>https://pbs.twimg.com/profile_images/1059077134067490816/pGo5he-x_normal.jpg</v>
      </c>
      <c r="W823" s="83">
        <v>44460.046331018515</v>
      </c>
      <c r="X823" s="89">
        <v>44460</v>
      </c>
      <c r="Y823" s="87" t="s">
        <v>2282</v>
      </c>
      <c r="Z823" s="85" t="str">
        <f>HYPERLINK("https://twitter.com/kring_pajak/status/1440120273433346050")</f>
        <v>https://twitter.com/kring_pajak/status/1440120273433346050</v>
      </c>
      <c r="AA823" s="81"/>
      <c r="AB823" s="81"/>
      <c r="AC823" s="87" t="s">
        <v>3206</v>
      </c>
      <c r="AD823" s="87" t="s">
        <v>3736</v>
      </c>
      <c r="AE823" s="81" t="b">
        <v>0</v>
      </c>
      <c r="AF823" s="81">
        <v>0</v>
      </c>
      <c r="AG823" s="87" t="s">
        <v>3955</v>
      </c>
      <c r="AH823" s="81" t="b">
        <v>0</v>
      </c>
      <c r="AI823" s="81" t="s">
        <v>4092</v>
      </c>
      <c r="AJ823" s="81"/>
      <c r="AK823" s="87" t="s">
        <v>3875</v>
      </c>
      <c r="AL823" s="81" t="b">
        <v>0</v>
      </c>
      <c r="AM823" s="81">
        <v>0</v>
      </c>
      <c r="AN823" s="87" t="s">
        <v>3875</v>
      </c>
      <c r="AO823" s="87" t="s">
        <v>4124</v>
      </c>
      <c r="AP823" s="81" t="b">
        <v>0</v>
      </c>
      <c r="AQ823" s="87" t="s">
        <v>3736</v>
      </c>
      <c r="AR823" s="81" t="s">
        <v>179</v>
      </c>
      <c r="AS823" s="81">
        <v>0</v>
      </c>
      <c r="AT823" s="81">
        <v>0</v>
      </c>
      <c r="AU823" s="81"/>
      <c r="AV823" s="81"/>
      <c r="AW823" s="81"/>
      <c r="AX823" s="81"/>
      <c r="AY823" s="81"/>
      <c r="AZ823" s="81"/>
      <c r="BA823" s="81"/>
      <c r="BB823" s="81"/>
    </row>
    <row r="824" spans="1:54" x14ac:dyDescent="0.35">
      <c r="A824" s="66" t="s">
        <v>671</v>
      </c>
      <c r="B824" s="66" t="s">
        <v>1046</v>
      </c>
      <c r="C824" s="67"/>
      <c r="D824" s="68"/>
      <c r="E824" s="69"/>
      <c r="F824" s="70"/>
      <c r="G824" s="67"/>
      <c r="H824" s="71"/>
      <c r="I824" s="72"/>
      <c r="J824" s="72"/>
      <c r="K824" s="36"/>
      <c r="L824" s="79"/>
      <c r="M824" s="79"/>
      <c r="N824" s="74"/>
      <c r="O824" s="81" t="s">
        <v>1206</v>
      </c>
      <c r="P824" s="83">
        <v>44461.099270833336</v>
      </c>
      <c r="Q824" s="81" t="s">
        <v>1381</v>
      </c>
      <c r="R824" s="85" t="str">
        <f>HYPERLINK("https://pajak.go.id/wilayah-administrasi")</f>
        <v>https://pajak.go.id/wilayah-administrasi</v>
      </c>
      <c r="S824" s="81" t="s">
        <v>1741</v>
      </c>
      <c r="T824" s="81"/>
      <c r="U824" s="81"/>
      <c r="V824" s="85" t="str">
        <f>HYPERLINK("https://pbs.twimg.com/profile_images/1059077134067490816/pGo5he-x_normal.jpg")</f>
        <v>https://pbs.twimg.com/profile_images/1059077134067490816/pGo5he-x_normal.jpg</v>
      </c>
      <c r="W824" s="83">
        <v>44461.099270833336</v>
      </c>
      <c r="X824" s="89">
        <v>44461</v>
      </c>
      <c r="Y824" s="87" t="s">
        <v>2284</v>
      </c>
      <c r="Z824" s="85" t="str">
        <f>HYPERLINK("https://twitter.com/kring_pajak/status/1440501842337615878")</f>
        <v>https://twitter.com/kring_pajak/status/1440501842337615878</v>
      </c>
      <c r="AA824" s="81"/>
      <c r="AB824" s="81"/>
      <c r="AC824" s="87" t="s">
        <v>3208</v>
      </c>
      <c r="AD824" s="87" t="s">
        <v>3738</v>
      </c>
      <c r="AE824" s="81" t="b">
        <v>0</v>
      </c>
      <c r="AF824" s="81">
        <v>0</v>
      </c>
      <c r="AG824" s="87" t="s">
        <v>3956</v>
      </c>
      <c r="AH824" s="81" t="b">
        <v>0</v>
      </c>
      <c r="AI824" s="81" t="s">
        <v>4092</v>
      </c>
      <c r="AJ824" s="81"/>
      <c r="AK824" s="87" t="s">
        <v>3875</v>
      </c>
      <c r="AL824" s="81" t="b">
        <v>0</v>
      </c>
      <c r="AM824" s="81">
        <v>0</v>
      </c>
      <c r="AN824" s="87" t="s">
        <v>3875</v>
      </c>
      <c r="AO824" s="87" t="s">
        <v>4124</v>
      </c>
      <c r="AP824" s="81" t="b">
        <v>0</v>
      </c>
      <c r="AQ824" s="87" t="s">
        <v>3738</v>
      </c>
      <c r="AR824" s="81" t="s">
        <v>179</v>
      </c>
      <c r="AS824" s="81">
        <v>0</v>
      </c>
      <c r="AT824" s="81">
        <v>0</v>
      </c>
      <c r="AU824" s="81"/>
      <c r="AV824" s="81"/>
      <c r="AW824" s="81"/>
      <c r="AX824" s="81"/>
      <c r="AY824" s="81"/>
      <c r="AZ824" s="81"/>
      <c r="BA824" s="81"/>
      <c r="BB824" s="81"/>
    </row>
    <row r="825" spans="1:54" x14ac:dyDescent="0.35">
      <c r="A825" s="66" t="s">
        <v>671</v>
      </c>
      <c r="B825" s="66" t="s">
        <v>1084</v>
      </c>
      <c r="C825" s="67"/>
      <c r="D825" s="68"/>
      <c r="E825" s="69"/>
      <c r="F825" s="70"/>
      <c r="G825" s="67"/>
      <c r="H825" s="71"/>
      <c r="I825" s="72"/>
      <c r="J825" s="72"/>
      <c r="K825" s="36"/>
      <c r="L825" s="79"/>
      <c r="M825" s="79"/>
      <c r="N825" s="74"/>
      <c r="O825" s="81" t="s">
        <v>1208</v>
      </c>
      <c r="P825" s="83">
        <v>44461.099270833336</v>
      </c>
      <c r="Q825" s="81" t="s">
        <v>1381</v>
      </c>
      <c r="R825" s="85" t="str">
        <f>HYPERLINK("https://pajak.go.id/wilayah-administrasi")</f>
        <v>https://pajak.go.id/wilayah-administrasi</v>
      </c>
      <c r="S825" s="81" t="s">
        <v>1741</v>
      </c>
      <c r="T825" s="81"/>
      <c r="U825" s="81"/>
      <c r="V825" s="85" t="str">
        <f>HYPERLINK("https://pbs.twimg.com/profile_images/1059077134067490816/pGo5he-x_normal.jpg")</f>
        <v>https://pbs.twimg.com/profile_images/1059077134067490816/pGo5he-x_normal.jpg</v>
      </c>
      <c r="W825" s="83">
        <v>44461.099270833336</v>
      </c>
      <c r="X825" s="89">
        <v>44461</v>
      </c>
      <c r="Y825" s="87" t="s">
        <v>2284</v>
      </c>
      <c r="Z825" s="85" t="str">
        <f>HYPERLINK("https://twitter.com/kring_pajak/status/1440501842337615878")</f>
        <v>https://twitter.com/kring_pajak/status/1440501842337615878</v>
      </c>
      <c r="AA825" s="81"/>
      <c r="AB825" s="81"/>
      <c r="AC825" s="87" t="s">
        <v>3208</v>
      </c>
      <c r="AD825" s="87" t="s">
        <v>3738</v>
      </c>
      <c r="AE825" s="81" t="b">
        <v>0</v>
      </c>
      <c r="AF825" s="81">
        <v>0</v>
      </c>
      <c r="AG825" s="87" t="s">
        <v>3956</v>
      </c>
      <c r="AH825" s="81" t="b">
        <v>0</v>
      </c>
      <c r="AI825" s="81" t="s">
        <v>4092</v>
      </c>
      <c r="AJ825" s="81"/>
      <c r="AK825" s="87" t="s">
        <v>3875</v>
      </c>
      <c r="AL825" s="81" t="b">
        <v>0</v>
      </c>
      <c r="AM825" s="81">
        <v>0</v>
      </c>
      <c r="AN825" s="87" t="s">
        <v>3875</v>
      </c>
      <c r="AO825" s="87" t="s">
        <v>4124</v>
      </c>
      <c r="AP825" s="81" t="b">
        <v>0</v>
      </c>
      <c r="AQ825" s="87" t="s">
        <v>3738</v>
      </c>
      <c r="AR825" s="81" t="s">
        <v>179</v>
      </c>
      <c r="AS825" s="81">
        <v>0</v>
      </c>
      <c r="AT825" s="81">
        <v>0</v>
      </c>
      <c r="AU825" s="81"/>
      <c r="AV825" s="81"/>
      <c r="AW825" s="81"/>
      <c r="AX825" s="81"/>
      <c r="AY825" s="81"/>
      <c r="AZ825" s="81"/>
      <c r="BA825" s="81"/>
      <c r="BB825" s="81"/>
    </row>
    <row r="826" spans="1:54" x14ac:dyDescent="0.35">
      <c r="A826" s="66" t="s">
        <v>672</v>
      </c>
      <c r="B826" s="66" t="s">
        <v>672</v>
      </c>
      <c r="C826" s="67"/>
      <c r="D826" s="68"/>
      <c r="E826" s="69"/>
      <c r="F826" s="70"/>
      <c r="G826" s="67"/>
      <c r="H826" s="71"/>
      <c r="I826" s="72"/>
      <c r="J826" s="72"/>
      <c r="K826" s="36"/>
      <c r="L826" s="79"/>
      <c r="M826" s="79"/>
      <c r="N826" s="74"/>
      <c r="O826" s="81" t="s">
        <v>179</v>
      </c>
      <c r="P826" s="83">
        <v>44461.106469907405</v>
      </c>
      <c r="Q826" s="81" t="s">
        <v>1382</v>
      </c>
      <c r="R826" s="81"/>
      <c r="S826" s="81"/>
      <c r="T826" s="81"/>
      <c r="U826" s="81"/>
      <c r="V826" s="85" t="str">
        <f>HYPERLINK("https://pbs.twimg.com/profile_images/1427981474402160640/ThjrZ_D1_normal.jpg")</f>
        <v>https://pbs.twimg.com/profile_images/1427981474402160640/ThjrZ_D1_normal.jpg</v>
      </c>
      <c r="W826" s="83">
        <v>44461.106469907405</v>
      </c>
      <c r="X826" s="89">
        <v>44461</v>
      </c>
      <c r="Y826" s="87" t="s">
        <v>2285</v>
      </c>
      <c r="Z826" s="85" t="str">
        <f>HYPERLINK("https://twitter.com/sundafess_/status/1440504451832242176")</f>
        <v>https://twitter.com/sundafess_/status/1440504451832242176</v>
      </c>
      <c r="AA826" s="81"/>
      <c r="AB826" s="81"/>
      <c r="AC826" s="87" t="s">
        <v>3209</v>
      </c>
      <c r="AD826" s="81"/>
      <c r="AE826" s="81" t="b">
        <v>0</v>
      </c>
      <c r="AF826" s="81">
        <v>1</v>
      </c>
      <c r="AG826" s="87" t="s">
        <v>3875</v>
      </c>
      <c r="AH826" s="81" t="b">
        <v>0</v>
      </c>
      <c r="AI826" s="81" t="s">
        <v>4092</v>
      </c>
      <c r="AJ826" s="81"/>
      <c r="AK826" s="87" t="s">
        <v>3875</v>
      </c>
      <c r="AL826" s="81" t="b">
        <v>0</v>
      </c>
      <c r="AM826" s="81">
        <v>0</v>
      </c>
      <c r="AN826" s="87" t="s">
        <v>3875</v>
      </c>
      <c r="AO826" s="87" t="s">
        <v>4125</v>
      </c>
      <c r="AP826" s="81" t="b">
        <v>0</v>
      </c>
      <c r="AQ826" s="87" t="s">
        <v>3209</v>
      </c>
      <c r="AR826" s="81" t="s">
        <v>179</v>
      </c>
      <c r="AS826" s="81">
        <v>0</v>
      </c>
      <c r="AT826" s="81">
        <v>0</v>
      </c>
      <c r="AU826" s="81"/>
      <c r="AV826" s="81"/>
      <c r="AW826" s="81"/>
      <c r="AX826" s="81"/>
      <c r="AY826" s="81"/>
      <c r="AZ826" s="81"/>
      <c r="BA826" s="81"/>
      <c r="BB826" s="81"/>
    </row>
    <row r="827" spans="1:54" x14ac:dyDescent="0.35">
      <c r="A827" s="66" t="s">
        <v>673</v>
      </c>
      <c r="B827" s="66" t="s">
        <v>1055</v>
      </c>
      <c r="C827" s="67"/>
      <c r="D827" s="68"/>
      <c r="E827" s="69"/>
      <c r="F827" s="70"/>
      <c r="G827" s="67"/>
      <c r="H827" s="71"/>
      <c r="I827" s="72"/>
      <c r="J827" s="72"/>
      <c r="K827" s="36"/>
      <c r="L827" s="79"/>
      <c r="M827" s="79"/>
      <c r="N827" s="74"/>
      <c r="O827" s="81" t="s">
        <v>1207</v>
      </c>
      <c r="P827" s="83">
        <v>44461.108078703706</v>
      </c>
      <c r="Q827" s="81" t="s">
        <v>1324</v>
      </c>
      <c r="R827" s="81"/>
      <c r="S827" s="81"/>
      <c r="T827" s="81"/>
      <c r="U827" s="85" t="str">
        <f>HYPERLINK("https://pbs.twimg.com/media/E_xVJy2VQAQerFe.jpg")</f>
        <v>https://pbs.twimg.com/media/E_xVJy2VQAQerFe.jpg</v>
      </c>
      <c r="V827" s="85" t="str">
        <f>HYPERLINK("https://pbs.twimg.com/media/E_xVJy2VQAQerFe.jpg")</f>
        <v>https://pbs.twimg.com/media/E_xVJy2VQAQerFe.jpg</v>
      </c>
      <c r="W827" s="83">
        <v>44461.108078703706</v>
      </c>
      <c r="X827" s="89">
        <v>44461</v>
      </c>
      <c r="Y827" s="87" t="s">
        <v>2286</v>
      </c>
      <c r="Z827" s="85" t="str">
        <f>HYPERLINK("https://twitter.com/ryanzoey_/status/1440505036132339720")</f>
        <v>https://twitter.com/ryanzoey_/status/1440505036132339720</v>
      </c>
      <c r="AA827" s="81"/>
      <c r="AB827" s="81"/>
      <c r="AC827" s="87" t="s">
        <v>3210</v>
      </c>
      <c r="AD827" s="81"/>
      <c r="AE827" s="81" t="b">
        <v>0</v>
      </c>
      <c r="AF827" s="81">
        <v>0</v>
      </c>
      <c r="AG827" s="87" t="s">
        <v>3875</v>
      </c>
      <c r="AH827" s="81" t="b">
        <v>0</v>
      </c>
      <c r="AI827" s="81" t="s">
        <v>4092</v>
      </c>
      <c r="AJ827" s="81"/>
      <c r="AK827" s="87" t="s">
        <v>3875</v>
      </c>
      <c r="AL827" s="81" t="b">
        <v>0</v>
      </c>
      <c r="AM827" s="81">
        <v>321</v>
      </c>
      <c r="AN827" s="87" t="s">
        <v>3520</v>
      </c>
      <c r="AO827" s="87" t="s">
        <v>4109</v>
      </c>
      <c r="AP827" s="81" t="b">
        <v>0</v>
      </c>
      <c r="AQ827" s="87" t="s">
        <v>3520</v>
      </c>
      <c r="AR827" s="81" t="s">
        <v>179</v>
      </c>
      <c r="AS827" s="81">
        <v>0</v>
      </c>
      <c r="AT827" s="81">
        <v>0</v>
      </c>
      <c r="AU827" s="81"/>
      <c r="AV827" s="81"/>
      <c r="AW827" s="81"/>
      <c r="AX827" s="81"/>
      <c r="AY827" s="81"/>
      <c r="AZ827" s="81"/>
      <c r="BA827" s="81"/>
      <c r="BB827" s="81"/>
    </row>
    <row r="828" spans="1:54" x14ac:dyDescent="0.35">
      <c r="A828" s="66" t="s">
        <v>673</v>
      </c>
      <c r="B828" s="66" t="s">
        <v>910</v>
      </c>
      <c r="C828" s="67"/>
      <c r="D828" s="68"/>
      <c r="E828" s="69"/>
      <c r="F828" s="70"/>
      <c r="G828" s="67"/>
      <c r="H828" s="71"/>
      <c r="I828" s="72"/>
      <c r="J828" s="72"/>
      <c r="K828" s="36"/>
      <c r="L828" s="79"/>
      <c r="M828" s="79"/>
      <c r="N828" s="74"/>
      <c r="O828" s="81" t="s">
        <v>1205</v>
      </c>
      <c r="P828" s="83">
        <v>44461.108078703706</v>
      </c>
      <c r="Q828" s="81" t="s">
        <v>1324</v>
      </c>
      <c r="R828" s="81"/>
      <c r="S828" s="81"/>
      <c r="T828" s="81"/>
      <c r="U828" s="85" t="str">
        <f>HYPERLINK("https://pbs.twimg.com/media/E_xVJy2VQAQerFe.jpg")</f>
        <v>https://pbs.twimg.com/media/E_xVJy2VQAQerFe.jpg</v>
      </c>
      <c r="V828" s="85" t="str">
        <f>HYPERLINK("https://pbs.twimg.com/media/E_xVJy2VQAQerFe.jpg")</f>
        <v>https://pbs.twimg.com/media/E_xVJy2VQAQerFe.jpg</v>
      </c>
      <c r="W828" s="83">
        <v>44461.108078703706</v>
      </c>
      <c r="X828" s="89">
        <v>44461</v>
      </c>
      <c r="Y828" s="87" t="s">
        <v>2286</v>
      </c>
      <c r="Z828" s="85" t="str">
        <f>HYPERLINK("https://twitter.com/ryanzoey_/status/1440505036132339720")</f>
        <v>https://twitter.com/ryanzoey_/status/1440505036132339720</v>
      </c>
      <c r="AA828" s="81"/>
      <c r="AB828" s="81"/>
      <c r="AC828" s="87" t="s">
        <v>3210</v>
      </c>
      <c r="AD828" s="81"/>
      <c r="AE828" s="81" t="b">
        <v>0</v>
      </c>
      <c r="AF828" s="81">
        <v>0</v>
      </c>
      <c r="AG828" s="87" t="s">
        <v>3875</v>
      </c>
      <c r="AH828" s="81" t="b">
        <v>0</v>
      </c>
      <c r="AI828" s="81" t="s">
        <v>4092</v>
      </c>
      <c r="AJ828" s="81"/>
      <c r="AK828" s="87" t="s">
        <v>3875</v>
      </c>
      <c r="AL828" s="81" t="b">
        <v>0</v>
      </c>
      <c r="AM828" s="81">
        <v>321</v>
      </c>
      <c r="AN828" s="87" t="s">
        <v>3520</v>
      </c>
      <c r="AO828" s="87" t="s">
        <v>4109</v>
      </c>
      <c r="AP828" s="81" t="b">
        <v>0</v>
      </c>
      <c r="AQ828" s="87" t="s">
        <v>3520</v>
      </c>
      <c r="AR828" s="81" t="s">
        <v>179</v>
      </c>
      <c r="AS828" s="81">
        <v>0</v>
      </c>
      <c r="AT828" s="81">
        <v>0</v>
      </c>
      <c r="AU828" s="81"/>
      <c r="AV828" s="81"/>
      <c r="AW828" s="81"/>
      <c r="AX828" s="81"/>
      <c r="AY828" s="81"/>
      <c r="AZ828" s="81"/>
      <c r="BA828" s="81"/>
      <c r="BB828" s="81"/>
    </row>
    <row r="829" spans="1:54" x14ac:dyDescent="0.35">
      <c r="A829" s="66" t="s">
        <v>674</v>
      </c>
      <c r="B829" s="66" t="s">
        <v>674</v>
      </c>
      <c r="C829" s="67"/>
      <c r="D829" s="68"/>
      <c r="E829" s="69"/>
      <c r="F829" s="70"/>
      <c r="G829" s="67"/>
      <c r="H829" s="71"/>
      <c r="I829" s="72"/>
      <c r="J829" s="72"/>
      <c r="K829" s="36"/>
      <c r="L829" s="79"/>
      <c r="M829" s="79"/>
      <c r="N829" s="74"/>
      <c r="O829" s="81" t="s">
        <v>179</v>
      </c>
      <c r="P829" s="83">
        <v>44461.126064814816</v>
      </c>
      <c r="Q829" s="81" t="s">
        <v>1383</v>
      </c>
      <c r="R829" s="85" t="str">
        <f>HYPERLINK("https://kendaripos.co.id/2021/09/rp-13-miliar-bangun-kantor-bps/")</f>
        <v>https://kendaripos.co.id/2021/09/rp-13-miliar-bangun-kantor-bps/</v>
      </c>
      <c r="S829" s="81" t="s">
        <v>1732</v>
      </c>
      <c r="T829" s="81"/>
      <c r="U829" s="81"/>
      <c r="V829" s="85" t="str">
        <f>HYPERLINK("https://pbs.twimg.com/profile_images/699968807624798210/e61p2OuF_normal.png")</f>
        <v>https://pbs.twimg.com/profile_images/699968807624798210/e61p2OuF_normal.png</v>
      </c>
      <c r="W829" s="83">
        <v>44461.126064814816</v>
      </c>
      <c r="X829" s="89">
        <v>44461</v>
      </c>
      <c r="Y829" s="87" t="s">
        <v>2287</v>
      </c>
      <c r="Z829" s="85" t="str">
        <f>HYPERLINK("https://twitter.com/kendari_pos/status/1440511554013700106")</f>
        <v>https://twitter.com/kendari_pos/status/1440511554013700106</v>
      </c>
      <c r="AA829" s="81"/>
      <c r="AB829" s="81"/>
      <c r="AC829" s="87" t="s">
        <v>3211</v>
      </c>
      <c r="AD829" s="81"/>
      <c r="AE829" s="81" t="b">
        <v>0</v>
      </c>
      <c r="AF829" s="81">
        <v>0</v>
      </c>
      <c r="AG829" s="87" t="s">
        <v>3875</v>
      </c>
      <c r="AH829" s="81" t="b">
        <v>0</v>
      </c>
      <c r="AI829" s="81" t="s">
        <v>4092</v>
      </c>
      <c r="AJ829" s="81"/>
      <c r="AK829" s="87" t="s">
        <v>3875</v>
      </c>
      <c r="AL829" s="81" t="b">
        <v>0</v>
      </c>
      <c r="AM829" s="81">
        <v>0</v>
      </c>
      <c r="AN829" s="87" t="s">
        <v>3875</v>
      </c>
      <c r="AO829" s="87" t="s">
        <v>4122</v>
      </c>
      <c r="AP829" s="81" t="b">
        <v>0</v>
      </c>
      <c r="AQ829" s="87" t="s">
        <v>3211</v>
      </c>
      <c r="AR829" s="81" t="s">
        <v>179</v>
      </c>
      <c r="AS829" s="81">
        <v>0</v>
      </c>
      <c r="AT829" s="81">
        <v>0</v>
      </c>
      <c r="AU829" s="81"/>
      <c r="AV829" s="81"/>
      <c r="AW829" s="81"/>
      <c r="AX829" s="81"/>
      <c r="AY829" s="81"/>
      <c r="AZ829" s="81"/>
      <c r="BA829" s="81"/>
      <c r="BB829" s="81"/>
    </row>
    <row r="830" spans="1:54" x14ac:dyDescent="0.35">
      <c r="A830" s="66" t="s">
        <v>675</v>
      </c>
      <c r="B830" s="66" t="s">
        <v>1055</v>
      </c>
      <c r="C830" s="67"/>
      <c r="D830" s="68"/>
      <c r="E830" s="69"/>
      <c r="F830" s="70"/>
      <c r="G830" s="67"/>
      <c r="H830" s="71"/>
      <c r="I830" s="72"/>
      <c r="J830" s="72"/>
      <c r="K830" s="36"/>
      <c r="L830" s="79"/>
      <c r="M830" s="79"/>
      <c r="N830" s="74"/>
      <c r="O830" s="81" t="s">
        <v>1207</v>
      </c>
      <c r="P830" s="83">
        <v>44461.147743055553</v>
      </c>
      <c r="Q830" s="81" t="s">
        <v>1324</v>
      </c>
      <c r="R830" s="81"/>
      <c r="S830" s="81"/>
      <c r="T830" s="81"/>
      <c r="U830" s="85" t="str">
        <f>HYPERLINK("https://pbs.twimg.com/media/E_xVJy2VQAQerFe.jpg")</f>
        <v>https://pbs.twimg.com/media/E_xVJy2VQAQerFe.jpg</v>
      </c>
      <c r="V830" s="85" t="str">
        <f>HYPERLINK("https://pbs.twimg.com/media/E_xVJy2VQAQerFe.jpg")</f>
        <v>https://pbs.twimg.com/media/E_xVJy2VQAQerFe.jpg</v>
      </c>
      <c r="W830" s="83">
        <v>44461.147743055553</v>
      </c>
      <c r="X830" s="89">
        <v>44461</v>
      </c>
      <c r="Y830" s="87" t="s">
        <v>2288</v>
      </c>
      <c r="Z830" s="85" t="str">
        <f>HYPERLINK("https://twitter.com/mbrputra_art/status/1440519407709556737")</f>
        <v>https://twitter.com/mbrputra_art/status/1440519407709556737</v>
      </c>
      <c r="AA830" s="81"/>
      <c r="AB830" s="81"/>
      <c r="AC830" s="87" t="s">
        <v>3212</v>
      </c>
      <c r="AD830" s="81"/>
      <c r="AE830" s="81" t="b">
        <v>0</v>
      </c>
      <c r="AF830" s="81">
        <v>0</v>
      </c>
      <c r="AG830" s="87" t="s">
        <v>3875</v>
      </c>
      <c r="AH830" s="81" t="b">
        <v>0</v>
      </c>
      <c r="AI830" s="81" t="s">
        <v>4092</v>
      </c>
      <c r="AJ830" s="81"/>
      <c r="AK830" s="87" t="s">
        <v>3875</v>
      </c>
      <c r="AL830" s="81" t="b">
        <v>0</v>
      </c>
      <c r="AM830" s="81">
        <v>321</v>
      </c>
      <c r="AN830" s="87" t="s">
        <v>3520</v>
      </c>
      <c r="AO830" s="87" t="s">
        <v>4109</v>
      </c>
      <c r="AP830" s="81" t="b">
        <v>0</v>
      </c>
      <c r="AQ830" s="87" t="s">
        <v>3520</v>
      </c>
      <c r="AR830" s="81" t="s">
        <v>179</v>
      </c>
      <c r="AS830" s="81">
        <v>0</v>
      </c>
      <c r="AT830" s="81">
        <v>0</v>
      </c>
      <c r="AU830" s="81"/>
      <c r="AV830" s="81"/>
      <c r="AW830" s="81"/>
      <c r="AX830" s="81"/>
      <c r="AY830" s="81"/>
      <c r="AZ830" s="81"/>
      <c r="BA830" s="81"/>
      <c r="BB830" s="81"/>
    </row>
    <row r="831" spans="1:54" x14ac:dyDescent="0.35">
      <c r="A831" s="66" t="s">
        <v>675</v>
      </c>
      <c r="B831" s="66" t="s">
        <v>910</v>
      </c>
      <c r="C831" s="67"/>
      <c r="D831" s="68"/>
      <c r="E831" s="69"/>
      <c r="F831" s="70"/>
      <c r="G831" s="67"/>
      <c r="H831" s="71"/>
      <c r="I831" s="72"/>
      <c r="J831" s="72"/>
      <c r="K831" s="36"/>
      <c r="L831" s="79"/>
      <c r="M831" s="79"/>
      <c r="N831" s="74"/>
      <c r="O831" s="81" t="s">
        <v>1205</v>
      </c>
      <c r="P831" s="83">
        <v>44461.147743055553</v>
      </c>
      <c r="Q831" s="81" t="s">
        <v>1324</v>
      </c>
      <c r="R831" s="81"/>
      <c r="S831" s="81"/>
      <c r="T831" s="81"/>
      <c r="U831" s="85" t="str">
        <f>HYPERLINK("https://pbs.twimg.com/media/E_xVJy2VQAQerFe.jpg")</f>
        <v>https://pbs.twimg.com/media/E_xVJy2VQAQerFe.jpg</v>
      </c>
      <c r="V831" s="85" t="str">
        <f>HYPERLINK("https://pbs.twimg.com/media/E_xVJy2VQAQerFe.jpg")</f>
        <v>https://pbs.twimg.com/media/E_xVJy2VQAQerFe.jpg</v>
      </c>
      <c r="W831" s="83">
        <v>44461.147743055553</v>
      </c>
      <c r="X831" s="89">
        <v>44461</v>
      </c>
      <c r="Y831" s="87" t="s">
        <v>2288</v>
      </c>
      <c r="Z831" s="85" t="str">
        <f>HYPERLINK("https://twitter.com/mbrputra_art/status/1440519407709556737")</f>
        <v>https://twitter.com/mbrputra_art/status/1440519407709556737</v>
      </c>
      <c r="AA831" s="81"/>
      <c r="AB831" s="81"/>
      <c r="AC831" s="87" t="s">
        <v>3212</v>
      </c>
      <c r="AD831" s="81"/>
      <c r="AE831" s="81" t="b">
        <v>0</v>
      </c>
      <c r="AF831" s="81">
        <v>0</v>
      </c>
      <c r="AG831" s="87" t="s">
        <v>3875</v>
      </c>
      <c r="AH831" s="81" t="b">
        <v>0</v>
      </c>
      <c r="AI831" s="81" t="s">
        <v>4092</v>
      </c>
      <c r="AJ831" s="81"/>
      <c r="AK831" s="87" t="s">
        <v>3875</v>
      </c>
      <c r="AL831" s="81" t="b">
        <v>0</v>
      </c>
      <c r="AM831" s="81">
        <v>321</v>
      </c>
      <c r="AN831" s="87" t="s">
        <v>3520</v>
      </c>
      <c r="AO831" s="87" t="s">
        <v>4109</v>
      </c>
      <c r="AP831" s="81" t="b">
        <v>0</v>
      </c>
      <c r="AQ831" s="87" t="s">
        <v>3520</v>
      </c>
      <c r="AR831" s="81" t="s">
        <v>179</v>
      </c>
      <c r="AS831" s="81">
        <v>0</v>
      </c>
      <c r="AT831" s="81">
        <v>0</v>
      </c>
      <c r="AU831" s="81"/>
      <c r="AV831" s="81"/>
      <c r="AW831" s="81"/>
      <c r="AX831" s="81"/>
      <c r="AY831" s="81"/>
      <c r="AZ831" s="81"/>
      <c r="BA831" s="81"/>
      <c r="BB831" s="81"/>
    </row>
    <row r="832" spans="1:54" x14ac:dyDescent="0.35">
      <c r="A832" s="66" t="s">
        <v>676</v>
      </c>
      <c r="B832" s="66" t="s">
        <v>1055</v>
      </c>
      <c r="C832" s="67"/>
      <c r="D832" s="68"/>
      <c r="E832" s="69"/>
      <c r="F832" s="70"/>
      <c r="G832" s="67"/>
      <c r="H832" s="71"/>
      <c r="I832" s="72"/>
      <c r="J832" s="72"/>
      <c r="K832" s="36"/>
      <c r="L832" s="79"/>
      <c r="M832" s="79"/>
      <c r="N832" s="74"/>
      <c r="O832" s="81" t="s">
        <v>1207</v>
      </c>
      <c r="P832" s="83">
        <v>44461.148715277777</v>
      </c>
      <c r="Q832" s="81" t="s">
        <v>1324</v>
      </c>
      <c r="R832" s="81"/>
      <c r="S832" s="81"/>
      <c r="T832" s="81"/>
      <c r="U832" s="85" t="str">
        <f>HYPERLINK("https://pbs.twimg.com/media/E_xVJy2VQAQerFe.jpg")</f>
        <v>https://pbs.twimg.com/media/E_xVJy2VQAQerFe.jpg</v>
      </c>
      <c r="V832" s="85" t="str">
        <f>HYPERLINK("https://pbs.twimg.com/media/E_xVJy2VQAQerFe.jpg")</f>
        <v>https://pbs.twimg.com/media/E_xVJy2VQAQerFe.jpg</v>
      </c>
      <c r="W832" s="83">
        <v>44461.148715277777</v>
      </c>
      <c r="X832" s="89">
        <v>44461</v>
      </c>
      <c r="Y832" s="87" t="s">
        <v>2289</v>
      </c>
      <c r="Z832" s="85" t="str">
        <f>HYPERLINK("https://twitter.com/fukusimax/status/1440519761482313735")</f>
        <v>https://twitter.com/fukusimax/status/1440519761482313735</v>
      </c>
      <c r="AA832" s="81"/>
      <c r="AB832" s="81"/>
      <c r="AC832" s="87" t="s">
        <v>3213</v>
      </c>
      <c r="AD832" s="81"/>
      <c r="AE832" s="81" t="b">
        <v>0</v>
      </c>
      <c r="AF832" s="81">
        <v>0</v>
      </c>
      <c r="AG832" s="87" t="s">
        <v>3875</v>
      </c>
      <c r="AH832" s="81" t="b">
        <v>0</v>
      </c>
      <c r="AI832" s="81" t="s">
        <v>4092</v>
      </c>
      <c r="AJ832" s="81"/>
      <c r="AK832" s="87" t="s">
        <v>3875</v>
      </c>
      <c r="AL832" s="81" t="b">
        <v>0</v>
      </c>
      <c r="AM832" s="81">
        <v>321</v>
      </c>
      <c r="AN832" s="87" t="s">
        <v>3520</v>
      </c>
      <c r="AO832" s="87" t="s">
        <v>4109</v>
      </c>
      <c r="AP832" s="81" t="b">
        <v>0</v>
      </c>
      <c r="AQ832" s="87" t="s">
        <v>3520</v>
      </c>
      <c r="AR832" s="81" t="s">
        <v>179</v>
      </c>
      <c r="AS832" s="81">
        <v>0</v>
      </c>
      <c r="AT832" s="81">
        <v>0</v>
      </c>
      <c r="AU832" s="81"/>
      <c r="AV832" s="81"/>
      <c r="AW832" s="81"/>
      <c r="AX832" s="81"/>
      <c r="AY832" s="81"/>
      <c r="AZ832" s="81"/>
      <c r="BA832" s="81"/>
      <c r="BB832" s="81"/>
    </row>
    <row r="833" spans="1:54" x14ac:dyDescent="0.35">
      <c r="A833" s="66" t="s">
        <v>676</v>
      </c>
      <c r="B833" s="66" t="s">
        <v>910</v>
      </c>
      <c r="C833" s="67"/>
      <c r="D833" s="68"/>
      <c r="E833" s="69"/>
      <c r="F833" s="70"/>
      <c r="G833" s="67"/>
      <c r="H833" s="71"/>
      <c r="I833" s="72"/>
      <c r="J833" s="72"/>
      <c r="K833" s="36"/>
      <c r="L833" s="79"/>
      <c r="M833" s="79"/>
      <c r="N833" s="74"/>
      <c r="O833" s="81" t="s">
        <v>1205</v>
      </c>
      <c r="P833" s="83">
        <v>44461.148715277777</v>
      </c>
      <c r="Q833" s="81" t="s">
        <v>1324</v>
      </c>
      <c r="R833" s="81"/>
      <c r="S833" s="81"/>
      <c r="T833" s="81"/>
      <c r="U833" s="85" t="str">
        <f>HYPERLINK("https://pbs.twimg.com/media/E_xVJy2VQAQerFe.jpg")</f>
        <v>https://pbs.twimg.com/media/E_xVJy2VQAQerFe.jpg</v>
      </c>
      <c r="V833" s="85" t="str">
        <f>HYPERLINK("https://pbs.twimg.com/media/E_xVJy2VQAQerFe.jpg")</f>
        <v>https://pbs.twimg.com/media/E_xVJy2VQAQerFe.jpg</v>
      </c>
      <c r="W833" s="83">
        <v>44461.148715277777</v>
      </c>
      <c r="X833" s="89">
        <v>44461</v>
      </c>
      <c r="Y833" s="87" t="s">
        <v>2289</v>
      </c>
      <c r="Z833" s="85" t="str">
        <f>HYPERLINK("https://twitter.com/fukusimax/status/1440519761482313735")</f>
        <v>https://twitter.com/fukusimax/status/1440519761482313735</v>
      </c>
      <c r="AA833" s="81"/>
      <c r="AB833" s="81"/>
      <c r="AC833" s="87" t="s">
        <v>3213</v>
      </c>
      <c r="AD833" s="81"/>
      <c r="AE833" s="81" t="b">
        <v>0</v>
      </c>
      <c r="AF833" s="81">
        <v>0</v>
      </c>
      <c r="AG833" s="87" t="s">
        <v>3875</v>
      </c>
      <c r="AH833" s="81" t="b">
        <v>0</v>
      </c>
      <c r="AI833" s="81" t="s">
        <v>4092</v>
      </c>
      <c r="AJ833" s="81"/>
      <c r="AK833" s="87" t="s">
        <v>3875</v>
      </c>
      <c r="AL833" s="81" t="b">
        <v>0</v>
      </c>
      <c r="AM833" s="81">
        <v>321</v>
      </c>
      <c r="AN833" s="87" t="s">
        <v>3520</v>
      </c>
      <c r="AO833" s="87" t="s">
        <v>4109</v>
      </c>
      <c r="AP833" s="81" t="b">
        <v>0</v>
      </c>
      <c r="AQ833" s="87" t="s">
        <v>3520</v>
      </c>
      <c r="AR833" s="81" t="s">
        <v>179</v>
      </c>
      <c r="AS833" s="81">
        <v>0</v>
      </c>
      <c r="AT833" s="81">
        <v>0</v>
      </c>
      <c r="AU833" s="81"/>
      <c r="AV833" s="81"/>
      <c r="AW833" s="81"/>
      <c r="AX833" s="81"/>
      <c r="AY833" s="81"/>
      <c r="AZ833" s="81"/>
      <c r="BA833" s="81"/>
      <c r="BB833" s="81"/>
    </row>
    <row r="834" spans="1:54" x14ac:dyDescent="0.35">
      <c r="A834" s="66" t="s">
        <v>677</v>
      </c>
      <c r="B834" s="66" t="s">
        <v>1055</v>
      </c>
      <c r="C834" s="67"/>
      <c r="D834" s="68"/>
      <c r="E834" s="69"/>
      <c r="F834" s="70"/>
      <c r="G834" s="67"/>
      <c r="H834" s="71"/>
      <c r="I834" s="72"/>
      <c r="J834" s="72"/>
      <c r="K834" s="36"/>
      <c r="L834" s="79"/>
      <c r="M834" s="79"/>
      <c r="N834" s="74"/>
      <c r="O834" s="81" t="s">
        <v>1207</v>
      </c>
      <c r="P834" s="83">
        <v>44461.155231481483</v>
      </c>
      <c r="Q834" s="81" t="s">
        <v>1324</v>
      </c>
      <c r="R834" s="81"/>
      <c r="S834" s="81"/>
      <c r="T834" s="81"/>
      <c r="U834" s="85" t="str">
        <f>HYPERLINK("https://pbs.twimg.com/media/E_xVJy2VQAQerFe.jpg")</f>
        <v>https://pbs.twimg.com/media/E_xVJy2VQAQerFe.jpg</v>
      </c>
      <c r="V834" s="85" t="str">
        <f>HYPERLINK("https://pbs.twimg.com/media/E_xVJy2VQAQerFe.jpg")</f>
        <v>https://pbs.twimg.com/media/E_xVJy2VQAQerFe.jpg</v>
      </c>
      <c r="W834" s="83">
        <v>44461.155231481483</v>
      </c>
      <c r="X834" s="89">
        <v>44461</v>
      </c>
      <c r="Y834" s="87" t="s">
        <v>2290</v>
      </c>
      <c r="Z834" s="85" t="str">
        <f>HYPERLINK("https://twitter.com/viraieo/status/1440522122174992385")</f>
        <v>https://twitter.com/viraieo/status/1440522122174992385</v>
      </c>
      <c r="AA834" s="81"/>
      <c r="AB834" s="81"/>
      <c r="AC834" s="87" t="s">
        <v>3214</v>
      </c>
      <c r="AD834" s="81"/>
      <c r="AE834" s="81" t="b">
        <v>0</v>
      </c>
      <c r="AF834" s="81">
        <v>0</v>
      </c>
      <c r="AG834" s="87" t="s">
        <v>3875</v>
      </c>
      <c r="AH834" s="81" t="b">
        <v>0</v>
      </c>
      <c r="AI834" s="81" t="s">
        <v>4092</v>
      </c>
      <c r="AJ834" s="81"/>
      <c r="AK834" s="87" t="s">
        <v>3875</v>
      </c>
      <c r="AL834" s="81" t="b">
        <v>0</v>
      </c>
      <c r="AM834" s="81">
        <v>321</v>
      </c>
      <c r="AN834" s="87" t="s">
        <v>3520</v>
      </c>
      <c r="AO834" s="87" t="s">
        <v>4111</v>
      </c>
      <c r="AP834" s="81" t="b">
        <v>0</v>
      </c>
      <c r="AQ834" s="87" t="s">
        <v>3520</v>
      </c>
      <c r="AR834" s="81" t="s">
        <v>179</v>
      </c>
      <c r="AS834" s="81">
        <v>0</v>
      </c>
      <c r="AT834" s="81">
        <v>0</v>
      </c>
      <c r="AU834" s="81"/>
      <c r="AV834" s="81"/>
      <c r="AW834" s="81"/>
      <c r="AX834" s="81"/>
      <c r="AY834" s="81"/>
      <c r="AZ834" s="81"/>
      <c r="BA834" s="81"/>
      <c r="BB834" s="81"/>
    </row>
    <row r="835" spans="1:54" x14ac:dyDescent="0.35">
      <c r="A835" s="66" t="s">
        <v>677</v>
      </c>
      <c r="B835" s="66" t="s">
        <v>910</v>
      </c>
      <c r="C835" s="67"/>
      <c r="D835" s="68"/>
      <c r="E835" s="69"/>
      <c r="F835" s="70"/>
      <c r="G835" s="67"/>
      <c r="H835" s="71"/>
      <c r="I835" s="72"/>
      <c r="J835" s="72"/>
      <c r="K835" s="36"/>
      <c r="L835" s="79"/>
      <c r="M835" s="79"/>
      <c r="N835" s="74"/>
      <c r="O835" s="81" t="s">
        <v>1205</v>
      </c>
      <c r="P835" s="83">
        <v>44461.155231481483</v>
      </c>
      <c r="Q835" s="81" t="s">
        <v>1324</v>
      </c>
      <c r="R835" s="81"/>
      <c r="S835" s="81"/>
      <c r="T835" s="81"/>
      <c r="U835" s="85" t="str">
        <f>HYPERLINK("https://pbs.twimg.com/media/E_xVJy2VQAQerFe.jpg")</f>
        <v>https://pbs.twimg.com/media/E_xVJy2VQAQerFe.jpg</v>
      </c>
      <c r="V835" s="85" t="str">
        <f>HYPERLINK("https://pbs.twimg.com/media/E_xVJy2VQAQerFe.jpg")</f>
        <v>https://pbs.twimg.com/media/E_xVJy2VQAQerFe.jpg</v>
      </c>
      <c r="W835" s="83">
        <v>44461.155231481483</v>
      </c>
      <c r="X835" s="89">
        <v>44461</v>
      </c>
      <c r="Y835" s="87" t="s">
        <v>2290</v>
      </c>
      <c r="Z835" s="85" t="str">
        <f>HYPERLINK("https://twitter.com/viraieo/status/1440522122174992385")</f>
        <v>https://twitter.com/viraieo/status/1440522122174992385</v>
      </c>
      <c r="AA835" s="81"/>
      <c r="AB835" s="81"/>
      <c r="AC835" s="87" t="s">
        <v>3214</v>
      </c>
      <c r="AD835" s="81"/>
      <c r="AE835" s="81" t="b">
        <v>0</v>
      </c>
      <c r="AF835" s="81">
        <v>0</v>
      </c>
      <c r="AG835" s="87" t="s">
        <v>3875</v>
      </c>
      <c r="AH835" s="81" t="b">
        <v>0</v>
      </c>
      <c r="AI835" s="81" t="s">
        <v>4092</v>
      </c>
      <c r="AJ835" s="81"/>
      <c r="AK835" s="87" t="s">
        <v>3875</v>
      </c>
      <c r="AL835" s="81" t="b">
        <v>0</v>
      </c>
      <c r="AM835" s="81">
        <v>321</v>
      </c>
      <c r="AN835" s="87" t="s">
        <v>3520</v>
      </c>
      <c r="AO835" s="87" t="s">
        <v>4111</v>
      </c>
      <c r="AP835" s="81" t="b">
        <v>0</v>
      </c>
      <c r="AQ835" s="87" t="s">
        <v>3520</v>
      </c>
      <c r="AR835" s="81" t="s">
        <v>179</v>
      </c>
      <c r="AS835" s="81">
        <v>0</v>
      </c>
      <c r="AT835" s="81">
        <v>0</v>
      </c>
      <c r="AU835" s="81"/>
      <c r="AV835" s="81"/>
      <c r="AW835" s="81"/>
      <c r="AX835" s="81"/>
      <c r="AY835" s="81"/>
      <c r="AZ835" s="81"/>
      <c r="BA835" s="81"/>
      <c r="BB835" s="81"/>
    </row>
    <row r="836" spans="1:54" x14ac:dyDescent="0.35">
      <c r="A836" s="66" t="s">
        <v>678</v>
      </c>
      <c r="B836" s="66" t="s">
        <v>1085</v>
      </c>
      <c r="C836" s="67"/>
      <c r="D836" s="68"/>
      <c r="E836" s="69"/>
      <c r="F836" s="70"/>
      <c r="G836" s="67"/>
      <c r="H836" s="71"/>
      <c r="I836" s="72"/>
      <c r="J836" s="72"/>
      <c r="K836" s="36"/>
      <c r="L836" s="79"/>
      <c r="M836" s="79"/>
      <c r="N836" s="74"/>
      <c r="O836" s="81" t="s">
        <v>1208</v>
      </c>
      <c r="P836" s="83">
        <v>44461.185104166667</v>
      </c>
      <c r="Q836" s="81" t="s">
        <v>1384</v>
      </c>
      <c r="R836" s="81"/>
      <c r="S836" s="81"/>
      <c r="T836" s="81"/>
      <c r="U836" s="81"/>
      <c r="V836" s="85" t="str">
        <f>HYPERLINK("https://pbs.twimg.com/profile_images/1415734427368312832/25r26PDL_normal.jpg")</f>
        <v>https://pbs.twimg.com/profile_images/1415734427368312832/25r26PDL_normal.jpg</v>
      </c>
      <c r="W836" s="83">
        <v>44461.185104166667</v>
      </c>
      <c r="X836" s="89">
        <v>44461</v>
      </c>
      <c r="Y836" s="87" t="s">
        <v>2291</v>
      </c>
      <c r="Z836" s="85" t="str">
        <f>HYPERLINK("https://twitter.com/0606cokr/status/1440532949217136640")</f>
        <v>https://twitter.com/0606cokr/status/1440532949217136640</v>
      </c>
      <c r="AA836" s="81"/>
      <c r="AB836" s="81"/>
      <c r="AC836" s="87" t="s">
        <v>3215</v>
      </c>
      <c r="AD836" s="87" t="s">
        <v>3739</v>
      </c>
      <c r="AE836" s="81" t="b">
        <v>0</v>
      </c>
      <c r="AF836" s="81">
        <v>0</v>
      </c>
      <c r="AG836" s="87" t="s">
        <v>3957</v>
      </c>
      <c r="AH836" s="81" t="b">
        <v>0</v>
      </c>
      <c r="AI836" s="81" t="s">
        <v>4092</v>
      </c>
      <c r="AJ836" s="81"/>
      <c r="AK836" s="87" t="s">
        <v>3875</v>
      </c>
      <c r="AL836" s="81" t="b">
        <v>0</v>
      </c>
      <c r="AM836" s="81">
        <v>0</v>
      </c>
      <c r="AN836" s="87" t="s">
        <v>3875</v>
      </c>
      <c r="AO836" s="87" t="s">
        <v>4110</v>
      </c>
      <c r="AP836" s="81" t="b">
        <v>0</v>
      </c>
      <c r="AQ836" s="87" t="s">
        <v>3739</v>
      </c>
      <c r="AR836" s="81" t="s">
        <v>179</v>
      </c>
      <c r="AS836" s="81">
        <v>0</v>
      </c>
      <c r="AT836" s="81">
        <v>0</v>
      </c>
      <c r="AU836" s="81"/>
      <c r="AV836" s="81"/>
      <c r="AW836" s="81"/>
      <c r="AX836" s="81"/>
      <c r="AY836" s="81"/>
      <c r="AZ836" s="81"/>
      <c r="BA836" s="81"/>
      <c r="BB836" s="81"/>
    </row>
    <row r="837" spans="1:54" x14ac:dyDescent="0.35">
      <c r="A837" s="66" t="s">
        <v>679</v>
      </c>
      <c r="B837" s="66" t="s">
        <v>1055</v>
      </c>
      <c r="C837" s="67"/>
      <c r="D837" s="68"/>
      <c r="E837" s="69"/>
      <c r="F837" s="70"/>
      <c r="G837" s="67"/>
      <c r="H837" s="71"/>
      <c r="I837" s="72"/>
      <c r="J837" s="72"/>
      <c r="K837" s="36"/>
      <c r="L837" s="79"/>
      <c r="M837" s="79"/>
      <c r="N837" s="74"/>
      <c r="O837" s="81" t="s">
        <v>1207</v>
      </c>
      <c r="P837" s="83">
        <v>44461.195671296293</v>
      </c>
      <c r="Q837" s="81" t="s">
        <v>1324</v>
      </c>
      <c r="R837" s="81"/>
      <c r="S837" s="81"/>
      <c r="T837" s="81"/>
      <c r="U837" s="85" t="str">
        <f>HYPERLINK("https://pbs.twimg.com/media/E_xVJy2VQAQerFe.jpg")</f>
        <v>https://pbs.twimg.com/media/E_xVJy2VQAQerFe.jpg</v>
      </c>
      <c r="V837" s="85" t="str">
        <f>HYPERLINK("https://pbs.twimg.com/media/E_xVJy2VQAQerFe.jpg")</f>
        <v>https://pbs.twimg.com/media/E_xVJy2VQAQerFe.jpg</v>
      </c>
      <c r="W837" s="83">
        <v>44461.195671296293</v>
      </c>
      <c r="X837" s="89">
        <v>44461</v>
      </c>
      <c r="Y837" s="87" t="s">
        <v>2292</v>
      </c>
      <c r="Z837" s="85" t="str">
        <f>HYPERLINK("https://twitter.com/wuriihannd/status/1440536778369241096")</f>
        <v>https://twitter.com/wuriihannd/status/1440536778369241096</v>
      </c>
      <c r="AA837" s="81"/>
      <c r="AB837" s="81"/>
      <c r="AC837" s="87" t="s">
        <v>3216</v>
      </c>
      <c r="AD837" s="81"/>
      <c r="AE837" s="81" t="b">
        <v>0</v>
      </c>
      <c r="AF837" s="81">
        <v>0</v>
      </c>
      <c r="AG837" s="87" t="s">
        <v>3875</v>
      </c>
      <c r="AH837" s="81" t="b">
        <v>0</v>
      </c>
      <c r="AI837" s="81" t="s">
        <v>4092</v>
      </c>
      <c r="AJ837" s="81"/>
      <c r="AK837" s="87" t="s">
        <v>3875</v>
      </c>
      <c r="AL837" s="81" t="b">
        <v>0</v>
      </c>
      <c r="AM837" s="81">
        <v>321</v>
      </c>
      <c r="AN837" s="87" t="s">
        <v>3520</v>
      </c>
      <c r="AO837" s="87" t="s">
        <v>4109</v>
      </c>
      <c r="AP837" s="81" t="b">
        <v>0</v>
      </c>
      <c r="AQ837" s="87" t="s">
        <v>3520</v>
      </c>
      <c r="AR837" s="81" t="s">
        <v>179</v>
      </c>
      <c r="AS837" s="81">
        <v>0</v>
      </c>
      <c r="AT837" s="81">
        <v>0</v>
      </c>
      <c r="AU837" s="81"/>
      <c r="AV837" s="81"/>
      <c r="AW837" s="81"/>
      <c r="AX837" s="81"/>
      <c r="AY837" s="81"/>
      <c r="AZ837" s="81"/>
      <c r="BA837" s="81"/>
      <c r="BB837" s="81"/>
    </row>
    <row r="838" spans="1:54" x14ac:dyDescent="0.35">
      <c r="A838" s="66" t="s">
        <v>679</v>
      </c>
      <c r="B838" s="66" t="s">
        <v>910</v>
      </c>
      <c r="C838" s="67"/>
      <c r="D838" s="68"/>
      <c r="E838" s="69"/>
      <c r="F838" s="70"/>
      <c r="G838" s="67"/>
      <c r="H838" s="71"/>
      <c r="I838" s="72"/>
      <c r="J838" s="72"/>
      <c r="K838" s="36"/>
      <c r="L838" s="79"/>
      <c r="M838" s="79"/>
      <c r="N838" s="74"/>
      <c r="O838" s="81" t="s">
        <v>1205</v>
      </c>
      <c r="P838" s="83">
        <v>44461.195671296293</v>
      </c>
      <c r="Q838" s="81" t="s">
        <v>1324</v>
      </c>
      <c r="R838" s="81"/>
      <c r="S838" s="81"/>
      <c r="T838" s="81"/>
      <c r="U838" s="85" t="str">
        <f>HYPERLINK("https://pbs.twimg.com/media/E_xVJy2VQAQerFe.jpg")</f>
        <v>https://pbs.twimg.com/media/E_xVJy2VQAQerFe.jpg</v>
      </c>
      <c r="V838" s="85" t="str">
        <f>HYPERLINK("https://pbs.twimg.com/media/E_xVJy2VQAQerFe.jpg")</f>
        <v>https://pbs.twimg.com/media/E_xVJy2VQAQerFe.jpg</v>
      </c>
      <c r="W838" s="83">
        <v>44461.195671296293</v>
      </c>
      <c r="X838" s="89">
        <v>44461</v>
      </c>
      <c r="Y838" s="87" t="s">
        <v>2292</v>
      </c>
      <c r="Z838" s="85" t="str">
        <f>HYPERLINK("https://twitter.com/wuriihannd/status/1440536778369241096")</f>
        <v>https://twitter.com/wuriihannd/status/1440536778369241096</v>
      </c>
      <c r="AA838" s="81"/>
      <c r="AB838" s="81"/>
      <c r="AC838" s="87" t="s">
        <v>3216</v>
      </c>
      <c r="AD838" s="81"/>
      <c r="AE838" s="81" t="b">
        <v>0</v>
      </c>
      <c r="AF838" s="81">
        <v>0</v>
      </c>
      <c r="AG838" s="87" t="s">
        <v>3875</v>
      </c>
      <c r="AH838" s="81" t="b">
        <v>0</v>
      </c>
      <c r="AI838" s="81" t="s">
        <v>4092</v>
      </c>
      <c r="AJ838" s="81"/>
      <c r="AK838" s="87" t="s">
        <v>3875</v>
      </c>
      <c r="AL838" s="81" t="b">
        <v>0</v>
      </c>
      <c r="AM838" s="81">
        <v>321</v>
      </c>
      <c r="AN838" s="87" t="s">
        <v>3520</v>
      </c>
      <c r="AO838" s="87" t="s">
        <v>4109</v>
      </c>
      <c r="AP838" s="81" t="b">
        <v>0</v>
      </c>
      <c r="AQ838" s="87" t="s">
        <v>3520</v>
      </c>
      <c r="AR838" s="81" t="s">
        <v>179</v>
      </c>
      <c r="AS838" s="81">
        <v>0</v>
      </c>
      <c r="AT838" s="81">
        <v>0</v>
      </c>
      <c r="AU838" s="81"/>
      <c r="AV838" s="81"/>
      <c r="AW838" s="81"/>
      <c r="AX838" s="81"/>
      <c r="AY838" s="81"/>
      <c r="AZ838" s="81"/>
      <c r="BA838" s="81"/>
      <c r="BB838" s="81"/>
    </row>
    <row r="839" spans="1:54" x14ac:dyDescent="0.35">
      <c r="A839" s="66" t="s">
        <v>680</v>
      </c>
      <c r="B839" s="66" t="s">
        <v>1055</v>
      </c>
      <c r="C839" s="67"/>
      <c r="D839" s="68"/>
      <c r="E839" s="69"/>
      <c r="F839" s="70"/>
      <c r="G839" s="67"/>
      <c r="H839" s="71"/>
      <c r="I839" s="72"/>
      <c r="J839" s="72"/>
      <c r="K839" s="36"/>
      <c r="L839" s="79"/>
      <c r="M839" s="79"/>
      <c r="N839" s="74"/>
      <c r="O839" s="81" t="s">
        <v>1207</v>
      </c>
      <c r="P839" s="83">
        <v>44461.237453703703</v>
      </c>
      <c r="Q839" s="81" t="s">
        <v>1324</v>
      </c>
      <c r="R839" s="81"/>
      <c r="S839" s="81"/>
      <c r="T839" s="81"/>
      <c r="U839" s="85" t="str">
        <f>HYPERLINK("https://pbs.twimg.com/media/E_xVJy2VQAQerFe.jpg")</f>
        <v>https://pbs.twimg.com/media/E_xVJy2VQAQerFe.jpg</v>
      </c>
      <c r="V839" s="85" t="str">
        <f>HYPERLINK("https://pbs.twimg.com/media/E_xVJy2VQAQerFe.jpg")</f>
        <v>https://pbs.twimg.com/media/E_xVJy2VQAQerFe.jpg</v>
      </c>
      <c r="W839" s="83">
        <v>44461.237453703703</v>
      </c>
      <c r="X839" s="89">
        <v>44461</v>
      </c>
      <c r="Y839" s="87" t="s">
        <v>2293</v>
      </c>
      <c r="Z839" s="85" t="str">
        <f>HYPERLINK("https://twitter.com/ferrywf/status/1440551920075112455")</f>
        <v>https://twitter.com/ferrywf/status/1440551920075112455</v>
      </c>
      <c r="AA839" s="81"/>
      <c r="AB839" s="81"/>
      <c r="AC839" s="87" t="s">
        <v>3217</v>
      </c>
      <c r="AD839" s="81"/>
      <c r="AE839" s="81" t="b">
        <v>0</v>
      </c>
      <c r="AF839" s="81">
        <v>0</v>
      </c>
      <c r="AG839" s="87" t="s">
        <v>3875</v>
      </c>
      <c r="AH839" s="81" t="b">
        <v>0</v>
      </c>
      <c r="AI839" s="81" t="s">
        <v>4092</v>
      </c>
      <c r="AJ839" s="81"/>
      <c r="AK839" s="87" t="s">
        <v>3875</v>
      </c>
      <c r="AL839" s="81" t="b">
        <v>0</v>
      </c>
      <c r="AM839" s="81">
        <v>321</v>
      </c>
      <c r="AN839" s="87" t="s">
        <v>3520</v>
      </c>
      <c r="AO839" s="87" t="s">
        <v>4110</v>
      </c>
      <c r="AP839" s="81" t="b">
        <v>0</v>
      </c>
      <c r="AQ839" s="87" t="s">
        <v>3520</v>
      </c>
      <c r="AR839" s="81" t="s">
        <v>179</v>
      </c>
      <c r="AS839" s="81">
        <v>0</v>
      </c>
      <c r="AT839" s="81">
        <v>0</v>
      </c>
      <c r="AU839" s="81"/>
      <c r="AV839" s="81"/>
      <c r="AW839" s="81"/>
      <c r="AX839" s="81"/>
      <c r="AY839" s="81"/>
      <c r="AZ839" s="81"/>
      <c r="BA839" s="81"/>
      <c r="BB839" s="81"/>
    </row>
    <row r="840" spans="1:54" x14ac:dyDescent="0.35">
      <c r="A840" s="66" t="s">
        <v>680</v>
      </c>
      <c r="B840" s="66" t="s">
        <v>910</v>
      </c>
      <c r="C840" s="67"/>
      <c r="D840" s="68"/>
      <c r="E840" s="69"/>
      <c r="F840" s="70"/>
      <c r="G840" s="67"/>
      <c r="H840" s="71"/>
      <c r="I840" s="72"/>
      <c r="J840" s="72"/>
      <c r="K840" s="36"/>
      <c r="L840" s="79"/>
      <c r="M840" s="79"/>
      <c r="N840" s="74"/>
      <c r="O840" s="81" t="s">
        <v>1205</v>
      </c>
      <c r="P840" s="83">
        <v>44461.237453703703</v>
      </c>
      <c r="Q840" s="81" t="s">
        <v>1324</v>
      </c>
      <c r="R840" s="81"/>
      <c r="S840" s="81"/>
      <c r="T840" s="81"/>
      <c r="U840" s="85" t="str">
        <f>HYPERLINK("https://pbs.twimg.com/media/E_xVJy2VQAQerFe.jpg")</f>
        <v>https://pbs.twimg.com/media/E_xVJy2VQAQerFe.jpg</v>
      </c>
      <c r="V840" s="85" t="str">
        <f>HYPERLINK("https://pbs.twimg.com/media/E_xVJy2VQAQerFe.jpg")</f>
        <v>https://pbs.twimg.com/media/E_xVJy2VQAQerFe.jpg</v>
      </c>
      <c r="W840" s="83">
        <v>44461.237453703703</v>
      </c>
      <c r="X840" s="89">
        <v>44461</v>
      </c>
      <c r="Y840" s="87" t="s">
        <v>2293</v>
      </c>
      <c r="Z840" s="85" t="str">
        <f>HYPERLINK("https://twitter.com/ferrywf/status/1440551920075112455")</f>
        <v>https://twitter.com/ferrywf/status/1440551920075112455</v>
      </c>
      <c r="AA840" s="81"/>
      <c r="AB840" s="81"/>
      <c r="AC840" s="87" t="s">
        <v>3217</v>
      </c>
      <c r="AD840" s="81"/>
      <c r="AE840" s="81" t="b">
        <v>0</v>
      </c>
      <c r="AF840" s="81">
        <v>0</v>
      </c>
      <c r="AG840" s="87" t="s">
        <v>3875</v>
      </c>
      <c r="AH840" s="81" t="b">
        <v>0</v>
      </c>
      <c r="AI840" s="81" t="s">
        <v>4092</v>
      </c>
      <c r="AJ840" s="81"/>
      <c r="AK840" s="87" t="s">
        <v>3875</v>
      </c>
      <c r="AL840" s="81" t="b">
        <v>0</v>
      </c>
      <c r="AM840" s="81">
        <v>321</v>
      </c>
      <c r="AN840" s="87" t="s">
        <v>3520</v>
      </c>
      <c r="AO840" s="87" t="s">
        <v>4110</v>
      </c>
      <c r="AP840" s="81" t="b">
        <v>0</v>
      </c>
      <c r="AQ840" s="87" t="s">
        <v>3520</v>
      </c>
      <c r="AR840" s="81" t="s">
        <v>179</v>
      </c>
      <c r="AS840" s="81">
        <v>0</v>
      </c>
      <c r="AT840" s="81">
        <v>0</v>
      </c>
      <c r="AU840" s="81"/>
      <c r="AV840" s="81"/>
      <c r="AW840" s="81"/>
      <c r="AX840" s="81"/>
      <c r="AY840" s="81"/>
      <c r="AZ840" s="81"/>
      <c r="BA840" s="81"/>
      <c r="BB840" s="81"/>
    </row>
    <row r="841" spans="1:54" x14ac:dyDescent="0.35">
      <c r="A841" s="66" t="s">
        <v>681</v>
      </c>
      <c r="B841" s="66" t="s">
        <v>1086</v>
      </c>
      <c r="C841" s="67"/>
      <c r="D841" s="68"/>
      <c r="E841" s="69"/>
      <c r="F841" s="70"/>
      <c r="G841" s="67"/>
      <c r="H841" s="71"/>
      <c r="I841" s="72"/>
      <c r="J841" s="72"/>
      <c r="K841" s="36"/>
      <c r="L841" s="79"/>
      <c r="M841" s="79"/>
      <c r="N841" s="74"/>
      <c r="O841" s="81" t="s">
        <v>1208</v>
      </c>
      <c r="P841" s="83">
        <v>44461.239340277774</v>
      </c>
      <c r="Q841" s="81" t="s">
        <v>1385</v>
      </c>
      <c r="R841" s="81"/>
      <c r="S841" s="81"/>
      <c r="T841" s="81"/>
      <c r="U841" s="81"/>
      <c r="V841" s="85" t="str">
        <f>HYPERLINK("https://pbs.twimg.com/profile_images/1440345778824749067/5TPu-gb8_normal.jpg")</f>
        <v>https://pbs.twimg.com/profile_images/1440345778824749067/5TPu-gb8_normal.jpg</v>
      </c>
      <c r="W841" s="83">
        <v>44461.239340277774</v>
      </c>
      <c r="X841" s="89">
        <v>44461</v>
      </c>
      <c r="Y841" s="87" t="s">
        <v>2294</v>
      </c>
      <c r="Z841" s="85" t="str">
        <f>HYPERLINK("https://twitter.com/snuwoon/status/1440552601674665984")</f>
        <v>https://twitter.com/snuwoon/status/1440552601674665984</v>
      </c>
      <c r="AA841" s="81"/>
      <c r="AB841" s="81"/>
      <c r="AC841" s="87" t="s">
        <v>3218</v>
      </c>
      <c r="AD841" s="87" t="s">
        <v>3740</v>
      </c>
      <c r="AE841" s="81" t="b">
        <v>0</v>
      </c>
      <c r="AF841" s="81">
        <v>0</v>
      </c>
      <c r="AG841" s="87" t="s">
        <v>3958</v>
      </c>
      <c r="AH841" s="81" t="b">
        <v>0</v>
      </c>
      <c r="AI841" s="81" t="s">
        <v>4092</v>
      </c>
      <c r="AJ841" s="81"/>
      <c r="AK841" s="87" t="s">
        <v>3875</v>
      </c>
      <c r="AL841" s="81" t="b">
        <v>0</v>
      </c>
      <c r="AM841" s="81">
        <v>0</v>
      </c>
      <c r="AN841" s="87" t="s">
        <v>3875</v>
      </c>
      <c r="AO841" s="87" t="s">
        <v>4109</v>
      </c>
      <c r="AP841" s="81" t="b">
        <v>0</v>
      </c>
      <c r="AQ841" s="87" t="s">
        <v>3740</v>
      </c>
      <c r="AR841" s="81" t="s">
        <v>179</v>
      </c>
      <c r="AS841" s="81">
        <v>0</v>
      </c>
      <c r="AT841" s="81">
        <v>0</v>
      </c>
      <c r="AU841" s="81"/>
      <c r="AV841" s="81"/>
      <c r="AW841" s="81"/>
      <c r="AX841" s="81"/>
      <c r="AY841" s="81"/>
      <c r="AZ841" s="81"/>
      <c r="BA841" s="81"/>
      <c r="BB841" s="81"/>
    </row>
    <row r="842" spans="1:54" x14ac:dyDescent="0.35">
      <c r="A842" s="66" t="s">
        <v>682</v>
      </c>
      <c r="B842" s="66" t="s">
        <v>682</v>
      </c>
      <c r="C842" s="67"/>
      <c r="D842" s="68"/>
      <c r="E842" s="69"/>
      <c r="F842" s="70"/>
      <c r="G842" s="67"/>
      <c r="H842" s="71"/>
      <c r="I842" s="72"/>
      <c r="J842" s="72"/>
      <c r="K842" s="36"/>
      <c r="L842" s="79"/>
      <c r="M842" s="79"/>
      <c r="N842" s="74"/>
      <c r="O842" s="81" t="s">
        <v>179</v>
      </c>
      <c r="P842" s="83">
        <v>44461.241666666669</v>
      </c>
      <c r="Q842" s="81" t="s">
        <v>1386</v>
      </c>
      <c r="R842" s="85" t="str">
        <f>HYPERLINK("http://www.tintahijau.com/megapolitan/ekbis/29097-asyik-bst-rp600-ribu-kembali-cair,-bisa-diambil-via-rekening-atau-kantor-pos")</f>
        <v>http://www.tintahijau.com/megapolitan/ekbis/29097-asyik-bst-rp600-ribu-kembali-cair,-bisa-diambil-via-rekening-atau-kantor-pos</v>
      </c>
      <c r="S842" s="81" t="s">
        <v>1742</v>
      </c>
      <c r="T842" s="81"/>
      <c r="U842" s="81"/>
      <c r="V842" s="85" t="str">
        <f>HYPERLINK("https://pbs.twimg.com/profile_images/1396675639806021632/lhDrJlJH_normal.jpg")</f>
        <v>https://pbs.twimg.com/profile_images/1396675639806021632/lhDrJlJH_normal.jpg</v>
      </c>
      <c r="W842" s="83">
        <v>44461.241666666669</v>
      </c>
      <c r="X842" s="89">
        <v>44461</v>
      </c>
      <c r="Y842" s="87" t="s">
        <v>2295</v>
      </c>
      <c r="Z842" s="85" t="str">
        <f>HYPERLINK("https://twitter.com/tintahijaucom/status/1440553447422521351")</f>
        <v>https://twitter.com/tintahijaucom/status/1440553447422521351</v>
      </c>
      <c r="AA842" s="81"/>
      <c r="AB842" s="81"/>
      <c r="AC842" s="87" t="s">
        <v>3219</v>
      </c>
      <c r="AD842" s="81"/>
      <c r="AE842" s="81" t="b">
        <v>0</v>
      </c>
      <c r="AF842" s="81">
        <v>0</v>
      </c>
      <c r="AG842" s="87" t="s">
        <v>3875</v>
      </c>
      <c r="AH842" s="81" t="b">
        <v>0</v>
      </c>
      <c r="AI842" s="81" t="s">
        <v>4092</v>
      </c>
      <c r="AJ842" s="81"/>
      <c r="AK842" s="87" t="s">
        <v>3875</v>
      </c>
      <c r="AL842" s="81" t="b">
        <v>0</v>
      </c>
      <c r="AM842" s="81">
        <v>0</v>
      </c>
      <c r="AN842" s="87" t="s">
        <v>3875</v>
      </c>
      <c r="AO842" s="87" t="s">
        <v>4109</v>
      </c>
      <c r="AP842" s="81" t="b">
        <v>0</v>
      </c>
      <c r="AQ842" s="87" t="s">
        <v>3219</v>
      </c>
      <c r="AR842" s="81" t="s">
        <v>179</v>
      </c>
      <c r="AS842" s="81">
        <v>0</v>
      </c>
      <c r="AT842" s="81">
        <v>0</v>
      </c>
      <c r="AU842" s="81"/>
      <c r="AV842" s="81"/>
      <c r="AW842" s="81"/>
      <c r="AX842" s="81"/>
      <c r="AY842" s="81"/>
      <c r="AZ842" s="81"/>
      <c r="BA842" s="81"/>
      <c r="BB842" s="81"/>
    </row>
    <row r="843" spans="1:54" x14ac:dyDescent="0.35">
      <c r="A843" s="66" t="s">
        <v>683</v>
      </c>
      <c r="B843" s="66" t="s">
        <v>683</v>
      </c>
      <c r="C843" s="67"/>
      <c r="D843" s="68"/>
      <c r="E843" s="69"/>
      <c r="F843" s="70"/>
      <c r="G843" s="67"/>
      <c r="H843" s="71"/>
      <c r="I843" s="72"/>
      <c r="J843" s="72"/>
      <c r="K843" s="36"/>
      <c r="L843" s="79"/>
      <c r="M843" s="79"/>
      <c r="N843" s="74"/>
      <c r="O843" s="81" t="s">
        <v>179</v>
      </c>
      <c r="P843" s="83">
        <v>44461.242175925923</v>
      </c>
      <c r="Q843" s="81" t="s">
        <v>1387</v>
      </c>
      <c r="R843" s="85" t="str">
        <f>HYPERLINK("http://www.tintahijau.com/megapolitan/ekbis/29097-asyik-bst-rp600-ribu-kembali-cair,-bisa-diambil-via-rekening-atau-kantor-pos")</f>
        <v>http://www.tintahijau.com/megapolitan/ekbis/29097-asyik-bst-rp600-ribu-kembali-cair,-bisa-diambil-via-rekening-atau-kantor-pos</v>
      </c>
      <c r="S843" s="81" t="s">
        <v>1742</v>
      </c>
      <c r="T843" s="81"/>
      <c r="U843" s="81"/>
      <c r="V843" s="85" t="str">
        <f>HYPERLINK("https://pbs.twimg.com/profile_images/1145722872804999170/HG9Fnn1A_normal.jpg")</f>
        <v>https://pbs.twimg.com/profile_images/1145722872804999170/HG9Fnn1A_normal.jpg</v>
      </c>
      <c r="W843" s="83">
        <v>44461.242175925923</v>
      </c>
      <c r="X843" s="89">
        <v>44461</v>
      </c>
      <c r="Y843" s="87" t="s">
        <v>2296</v>
      </c>
      <c r="Z843" s="85" t="str">
        <f>HYPERLINK("https://twitter.com/zonasubang/status/1440553629857972231")</f>
        <v>https://twitter.com/zonasubang/status/1440553629857972231</v>
      </c>
      <c r="AA843" s="81"/>
      <c r="AB843" s="81"/>
      <c r="AC843" s="87" t="s">
        <v>3220</v>
      </c>
      <c r="AD843" s="81"/>
      <c r="AE843" s="81" t="b">
        <v>0</v>
      </c>
      <c r="AF843" s="81">
        <v>0</v>
      </c>
      <c r="AG843" s="87" t="s">
        <v>3875</v>
      </c>
      <c r="AH843" s="81" t="b">
        <v>0</v>
      </c>
      <c r="AI843" s="81" t="s">
        <v>4092</v>
      </c>
      <c r="AJ843" s="81"/>
      <c r="AK843" s="87" t="s">
        <v>3875</v>
      </c>
      <c r="AL843" s="81" t="b">
        <v>0</v>
      </c>
      <c r="AM843" s="81">
        <v>0</v>
      </c>
      <c r="AN843" s="87" t="s">
        <v>3875</v>
      </c>
      <c r="AO843" s="87" t="s">
        <v>4109</v>
      </c>
      <c r="AP843" s="81" t="b">
        <v>0</v>
      </c>
      <c r="AQ843" s="87" t="s">
        <v>3220</v>
      </c>
      <c r="AR843" s="81" t="s">
        <v>179</v>
      </c>
      <c r="AS843" s="81">
        <v>0</v>
      </c>
      <c r="AT843" s="81">
        <v>0</v>
      </c>
      <c r="AU843" s="81"/>
      <c r="AV843" s="81"/>
      <c r="AW843" s="81"/>
      <c r="AX843" s="81"/>
      <c r="AY843" s="81"/>
      <c r="AZ843" s="81"/>
      <c r="BA843" s="81"/>
      <c r="BB843" s="81"/>
    </row>
    <row r="844" spans="1:54" x14ac:dyDescent="0.35">
      <c r="A844" s="66" t="s">
        <v>684</v>
      </c>
      <c r="B844" s="66" t="s">
        <v>684</v>
      </c>
      <c r="C844" s="67"/>
      <c r="D844" s="68"/>
      <c r="E844" s="69"/>
      <c r="F844" s="70"/>
      <c r="G844" s="67"/>
      <c r="H844" s="71"/>
      <c r="I844" s="72"/>
      <c r="J844" s="72"/>
      <c r="K844" s="36"/>
      <c r="L844" s="79"/>
      <c r="M844" s="79"/>
      <c r="N844" s="74"/>
      <c r="O844" s="81" t="s">
        <v>179</v>
      </c>
      <c r="P844" s="83">
        <v>44461.242696759262</v>
      </c>
      <c r="Q844" s="81" t="s">
        <v>1388</v>
      </c>
      <c r="R844" s="85" t="str">
        <f>HYPERLINK("http://www.tintahijau.com/megapolitan/ekbis/29097-asyik-bst-rp600-ribu-kembali-cair,-bisa-diambil-via-rekening-atau-kantor-pos")</f>
        <v>http://www.tintahijau.com/megapolitan/ekbis/29097-asyik-bst-rp600-ribu-kembali-cair,-bisa-diambil-via-rekening-atau-kantor-pos</v>
      </c>
      <c r="S844" s="81" t="s">
        <v>1742</v>
      </c>
      <c r="T844" s="81"/>
      <c r="U844" s="81"/>
      <c r="V844" s="85" t="str">
        <f>HYPERLINK("https://pbs.twimg.com/profile_images/423689158175911936/hqK6tGsi_normal.jpeg")</f>
        <v>https://pbs.twimg.com/profile_images/423689158175911936/hqK6tGsi_normal.jpeg</v>
      </c>
      <c r="W844" s="83">
        <v>44461.242696759262</v>
      </c>
      <c r="X844" s="89">
        <v>44461</v>
      </c>
      <c r="Y844" s="87" t="s">
        <v>2297</v>
      </c>
      <c r="Z844" s="85" t="str">
        <f>HYPERLINK("https://twitter.com/jabar24jam/status/1440553820874964993")</f>
        <v>https://twitter.com/jabar24jam/status/1440553820874964993</v>
      </c>
      <c r="AA844" s="81"/>
      <c r="AB844" s="81"/>
      <c r="AC844" s="87" t="s">
        <v>3221</v>
      </c>
      <c r="AD844" s="81"/>
      <c r="AE844" s="81" t="b">
        <v>0</v>
      </c>
      <c r="AF844" s="81">
        <v>0</v>
      </c>
      <c r="AG844" s="87" t="s">
        <v>3875</v>
      </c>
      <c r="AH844" s="81" t="b">
        <v>0</v>
      </c>
      <c r="AI844" s="81" t="s">
        <v>4092</v>
      </c>
      <c r="AJ844" s="81"/>
      <c r="AK844" s="87" t="s">
        <v>3875</v>
      </c>
      <c r="AL844" s="81" t="b">
        <v>0</v>
      </c>
      <c r="AM844" s="81">
        <v>0</v>
      </c>
      <c r="AN844" s="87" t="s">
        <v>3875</v>
      </c>
      <c r="AO844" s="87" t="s">
        <v>4109</v>
      </c>
      <c r="AP844" s="81" t="b">
        <v>0</v>
      </c>
      <c r="AQ844" s="87" t="s">
        <v>3221</v>
      </c>
      <c r="AR844" s="81" t="s">
        <v>179</v>
      </c>
      <c r="AS844" s="81">
        <v>0</v>
      </c>
      <c r="AT844" s="81">
        <v>0</v>
      </c>
      <c r="AU844" s="81"/>
      <c r="AV844" s="81"/>
      <c r="AW844" s="81"/>
      <c r="AX844" s="81"/>
      <c r="AY844" s="81"/>
      <c r="AZ844" s="81"/>
      <c r="BA844" s="81"/>
      <c r="BB844" s="81"/>
    </row>
    <row r="845" spans="1:54" x14ac:dyDescent="0.35">
      <c r="A845" s="66" t="s">
        <v>685</v>
      </c>
      <c r="B845" s="66" t="s">
        <v>685</v>
      </c>
      <c r="C845" s="67"/>
      <c r="D845" s="68"/>
      <c r="E845" s="69"/>
      <c r="F845" s="70"/>
      <c r="G845" s="67"/>
      <c r="H845" s="71"/>
      <c r="I845" s="72"/>
      <c r="J845" s="72"/>
      <c r="K845" s="36"/>
      <c r="L845" s="79"/>
      <c r="M845" s="79"/>
      <c r="N845" s="74"/>
      <c r="O845" s="81" t="s">
        <v>179</v>
      </c>
      <c r="P845" s="83">
        <v>44461.242939814816</v>
      </c>
      <c r="Q845" s="81" t="s">
        <v>1389</v>
      </c>
      <c r="R845" s="85" t="str">
        <f>HYPERLINK("http://www.tintahijau.com/megapolitan/ekbis/29097-asyik-bst-rp600-ribu-kembali-cair,-bisa-diambil-via-rekening-atau-kantor-pos")</f>
        <v>http://www.tintahijau.com/megapolitan/ekbis/29097-asyik-bst-rp600-ribu-kembali-cair,-bisa-diambil-via-rekening-atau-kantor-pos</v>
      </c>
      <c r="S845" s="81" t="s">
        <v>1742</v>
      </c>
      <c r="T845" s="81"/>
      <c r="U845" s="81"/>
      <c r="V845" s="85" t="str">
        <f>HYPERLINK("https://pbs.twimg.com/profile_images/1041576986261372928/0cw8PKjG_normal.jpg")</f>
        <v>https://pbs.twimg.com/profile_images/1041576986261372928/0cw8PKjG_normal.jpg</v>
      </c>
      <c r="W845" s="83">
        <v>44461.242939814816</v>
      </c>
      <c r="X845" s="89">
        <v>44461</v>
      </c>
      <c r="Y845" s="87" t="s">
        <v>2298</v>
      </c>
      <c r="Z845" s="85" t="str">
        <f>HYPERLINK("https://twitter.com/subanghits/status/1440553906149359623")</f>
        <v>https://twitter.com/subanghits/status/1440553906149359623</v>
      </c>
      <c r="AA845" s="81"/>
      <c r="AB845" s="81"/>
      <c r="AC845" s="87" t="s">
        <v>3222</v>
      </c>
      <c r="AD845" s="81"/>
      <c r="AE845" s="81" t="b">
        <v>0</v>
      </c>
      <c r="AF845" s="81">
        <v>0</v>
      </c>
      <c r="AG845" s="87" t="s">
        <v>3875</v>
      </c>
      <c r="AH845" s="81" t="b">
        <v>0</v>
      </c>
      <c r="AI845" s="81" t="s">
        <v>4092</v>
      </c>
      <c r="AJ845" s="81"/>
      <c r="AK845" s="87" t="s">
        <v>3875</v>
      </c>
      <c r="AL845" s="81" t="b">
        <v>0</v>
      </c>
      <c r="AM845" s="81">
        <v>0</v>
      </c>
      <c r="AN845" s="87" t="s">
        <v>3875</v>
      </c>
      <c r="AO845" s="87" t="s">
        <v>4109</v>
      </c>
      <c r="AP845" s="81" t="b">
        <v>0</v>
      </c>
      <c r="AQ845" s="87" t="s">
        <v>3222</v>
      </c>
      <c r="AR845" s="81" t="s">
        <v>179</v>
      </c>
      <c r="AS845" s="81">
        <v>0</v>
      </c>
      <c r="AT845" s="81">
        <v>0</v>
      </c>
      <c r="AU845" s="81"/>
      <c r="AV845" s="81"/>
      <c r="AW845" s="81"/>
      <c r="AX845" s="81"/>
      <c r="AY845" s="81"/>
      <c r="AZ845" s="81"/>
      <c r="BA845" s="81"/>
      <c r="BB845" s="81"/>
    </row>
    <row r="846" spans="1:54" x14ac:dyDescent="0.35">
      <c r="A846" s="66" t="s">
        <v>686</v>
      </c>
      <c r="B846" s="66" t="s">
        <v>686</v>
      </c>
      <c r="C846" s="67"/>
      <c r="D846" s="68"/>
      <c r="E846" s="69"/>
      <c r="F846" s="70"/>
      <c r="G846" s="67"/>
      <c r="H846" s="71"/>
      <c r="I846" s="72"/>
      <c r="J846" s="72"/>
      <c r="K846" s="36"/>
      <c r="L846" s="79"/>
      <c r="M846" s="79"/>
      <c r="N846" s="74"/>
      <c r="O846" s="81" t="s">
        <v>179</v>
      </c>
      <c r="P846" s="83">
        <v>44461.243090277778</v>
      </c>
      <c r="Q846" s="81" t="s">
        <v>1390</v>
      </c>
      <c r="R846" s="85" t="str">
        <f>HYPERLINK("http://www.tintahijau.com/megapolitan/ekbis/29097-asyik-bst-rp600-ribu-kembali-cair,-bisa-diambil-via-rekening-atau-kantor-pos")</f>
        <v>http://www.tintahijau.com/megapolitan/ekbis/29097-asyik-bst-rp600-ribu-kembali-cair,-bisa-diambil-via-rekening-atau-kantor-pos</v>
      </c>
      <c r="S846" s="81" t="s">
        <v>1742</v>
      </c>
      <c r="T846" s="81"/>
      <c r="U846" s="81"/>
      <c r="V846" s="85" t="str">
        <f>HYPERLINK("https://pbs.twimg.com/profile_images/426633691746402304/_pbyLItu_normal.jpeg")</f>
        <v>https://pbs.twimg.com/profile_images/426633691746402304/_pbyLItu_normal.jpeg</v>
      </c>
      <c r="W846" s="83">
        <v>44461.243090277778</v>
      </c>
      <c r="X846" s="89">
        <v>44461</v>
      </c>
      <c r="Y846" s="87" t="s">
        <v>2299</v>
      </c>
      <c r="Z846" s="85" t="str">
        <f>HYPERLINK("https://twitter.com/panturaterkini/status/1440553964332675073")</f>
        <v>https://twitter.com/panturaterkini/status/1440553964332675073</v>
      </c>
      <c r="AA846" s="81"/>
      <c r="AB846" s="81"/>
      <c r="AC846" s="87" t="s">
        <v>3223</v>
      </c>
      <c r="AD846" s="81"/>
      <c r="AE846" s="81" t="b">
        <v>0</v>
      </c>
      <c r="AF846" s="81">
        <v>0</v>
      </c>
      <c r="AG846" s="87" t="s">
        <v>3875</v>
      </c>
      <c r="AH846" s="81" t="b">
        <v>0</v>
      </c>
      <c r="AI846" s="81" t="s">
        <v>4092</v>
      </c>
      <c r="AJ846" s="81"/>
      <c r="AK846" s="87" t="s">
        <v>3875</v>
      </c>
      <c r="AL846" s="81" t="b">
        <v>0</v>
      </c>
      <c r="AM846" s="81">
        <v>0</v>
      </c>
      <c r="AN846" s="87" t="s">
        <v>3875</v>
      </c>
      <c r="AO846" s="87" t="s">
        <v>4109</v>
      </c>
      <c r="AP846" s="81" t="b">
        <v>0</v>
      </c>
      <c r="AQ846" s="87" t="s">
        <v>3223</v>
      </c>
      <c r="AR846" s="81" t="s">
        <v>179</v>
      </c>
      <c r="AS846" s="81">
        <v>0</v>
      </c>
      <c r="AT846" s="81">
        <v>0</v>
      </c>
      <c r="AU846" s="81"/>
      <c r="AV846" s="81"/>
      <c r="AW846" s="81"/>
      <c r="AX846" s="81"/>
      <c r="AY846" s="81"/>
      <c r="AZ846" s="81"/>
      <c r="BA846" s="81"/>
      <c r="BB846" s="81"/>
    </row>
    <row r="847" spans="1:54" x14ac:dyDescent="0.35">
      <c r="A847" s="66" t="s">
        <v>687</v>
      </c>
      <c r="B847" s="66" t="s">
        <v>1087</v>
      </c>
      <c r="C847" s="67"/>
      <c r="D847" s="68"/>
      <c r="E847" s="69"/>
      <c r="F847" s="70"/>
      <c r="G847" s="67"/>
      <c r="H847" s="71"/>
      <c r="I847" s="72"/>
      <c r="J847" s="72"/>
      <c r="K847" s="36"/>
      <c r="L847" s="79"/>
      <c r="M847" s="79"/>
      <c r="N847" s="74"/>
      <c r="O847" s="81" t="s">
        <v>1208</v>
      </c>
      <c r="P847" s="83">
        <v>44461.258703703701</v>
      </c>
      <c r="Q847" s="81" t="s">
        <v>1391</v>
      </c>
      <c r="R847" s="81"/>
      <c r="S847" s="81"/>
      <c r="T847" s="81"/>
      <c r="U847" s="81"/>
      <c r="V847" s="85" t="str">
        <f>HYPERLINK("https://pbs.twimg.com/profile_images/1339850161413976064/RyOT0CJJ_normal.jpg")</f>
        <v>https://pbs.twimg.com/profile_images/1339850161413976064/RyOT0CJJ_normal.jpg</v>
      </c>
      <c r="W847" s="83">
        <v>44461.258703703701</v>
      </c>
      <c r="X847" s="89">
        <v>44461</v>
      </c>
      <c r="Y847" s="87" t="s">
        <v>2300</v>
      </c>
      <c r="Z847" s="85" t="str">
        <f>HYPERLINK("https://twitter.com/mawardiah8/status/1440559621538648074")</f>
        <v>https://twitter.com/mawardiah8/status/1440559621538648074</v>
      </c>
      <c r="AA847" s="81"/>
      <c r="AB847" s="81"/>
      <c r="AC847" s="87" t="s">
        <v>3224</v>
      </c>
      <c r="AD847" s="87" t="s">
        <v>3741</v>
      </c>
      <c r="AE847" s="81" t="b">
        <v>0</v>
      </c>
      <c r="AF847" s="81">
        <v>0</v>
      </c>
      <c r="AG847" s="87" t="s">
        <v>3959</v>
      </c>
      <c r="AH847" s="81" t="b">
        <v>0</v>
      </c>
      <c r="AI847" s="81" t="s">
        <v>4092</v>
      </c>
      <c r="AJ847" s="81"/>
      <c r="AK847" s="87" t="s">
        <v>3875</v>
      </c>
      <c r="AL847" s="81" t="b">
        <v>0</v>
      </c>
      <c r="AM847" s="81">
        <v>0</v>
      </c>
      <c r="AN847" s="87" t="s">
        <v>3875</v>
      </c>
      <c r="AO847" s="87" t="s">
        <v>4109</v>
      </c>
      <c r="AP847" s="81" t="b">
        <v>0</v>
      </c>
      <c r="AQ847" s="87" t="s">
        <v>3741</v>
      </c>
      <c r="AR847" s="81" t="s">
        <v>179</v>
      </c>
      <c r="AS847" s="81">
        <v>0</v>
      </c>
      <c r="AT847" s="81">
        <v>0</v>
      </c>
      <c r="AU847" s="81"/>
      <c r="AV847" s="81"/>
      <c r="AW847" s="81"/>
      <c r="AX847" s="81"/>
      <c r="AY847" s="81"/>
      <c r="AZ847" s="81"/>
      <c r="BA847" s="81"/>
      <c r="BB847" s="81"/>
    </row>
    <row r="848" spans="1:54" x14ac:dyDescent="0.35">
      <c r="A848" s="66" t="s">
        <v>688</v>
      </c>
      <c r="B848" s="66" t="s">
        <v>1055</v>
      </c>
      <c r="C848" s="67"/>
      <c r="D848" s="68"/>
      <c r="E848" s="69"/>
      <c r="F848" s="70"/>
      <c r="G848" s="67"/>
      <c r="H848" s="71"/>
      <c r="I848" s="72"/>
      <c r="J848" s="72"/>
      <c r="K848" s="36"/>
      <c r="L848" s="79"/>
      <c r="M848" s="79"/>
      <c r="N848" s="74"/>
      <c r="O848" s="81" t="s">
        <v>1207</v>
      </c>
      <c r="P848" s="83">
        <v>44461.261956018519</v>
      </c>
      <c r="Q848" s="81" t="s">
        <v>1324</v>
      </c>
      <c r="R848" s="81"/>
      <c r="S848" s="81"/>
      <c r="T848" s="81"/>
      <c r="U848" s="85" t="str">
        <f>HYPERLINK("https://pbs.twimg.com/media/E_xVJy2VQAQerFe.jpg")</f>
        <v>https://pbs.twimg.com/media/E_xVJy2VQAQerFe.jpg</v>
      </c>
      <c r="V848" s="85" t="str">
        <f>HYPERLINK("https://pbs.twimg.com/media/E_xVJy2VQAQerFe.jpg")</f>
        <v>https://pbs.twimg.com/media/E_xVJy2VQAQerFe.jpg</v>
      </c>
      <c r="W848" s="83">
        <v>44461.261956018519</v>
      </c>
      <c r="X848" s="89">
        <v>44461</v>
      </c>
      <c r="Y848" s="87" t="s">
        <v>2301</v>
      </c>
      <c r="Z848" s="85" t="str">
        <f>HYPERLINK("https://twitter.com/_rizaldi_m_/status/1440560797864792074")</f>
        <v>https://twitter.com/_rizaldi_m_/status/1440560797864792074</v>
      </c>
      <c r="AA848" s="81"/>
      <c r="AB848" s="81"/>
      <c r="AC848" s="87" t="s">
        <v>3225</v>
      </c>
      <c r="AD848" s="81"/>
      <c r="AE848" s="81" t="b">
        <v>0</v>
      </c>
      <c r="AF848" s="81">
        <v>0</v>
      </c>
      <c r="AG848" s="87" t="s">
        <v>3875</v>
      </c>
      <c r="AH848" s="81" t="b">
        <v>0</v>
      </c>
      <c r="AI848" s="81" t="s">
        <v>4092</v>
      </c>
      <c r="AJ848" s="81"/>
      <c r="AK848" s="87" t="s">
        <v>3875</v>
      </c>
      <c r="AL848" s="81" t="b">
        <v>0</v>
      </c>
      <c r="AM848" s="81">
        <v>321</v>
      </c>
      <c r="AN848" s="87" t="s">
        <v>3520</v>
      </c>
      <c r="AO848" s="87" t="s">
        <v>4111</v>
      </c>
      <c r="AP848" s="81" t="b">
        <v>0</v>
      </c>
      <c r="AQ848" s="87" t="s">
        <v>3520</v>
      </c>
      <c r="AR848" s="81" t="s">
        <v>179</v>
      </c>
      <c r="AS848" s="81">
        <v>0</v>
      </c>
      <c r="AT848" s="81">
        <v>0</v>
      </c>
      <c r="AU848" s="81"/>
      <c r="AV848" s="81"/>
      <c r="AW848" s="81"/>
      <c r="AX848" s="81"/>
      <c r="AY848" s="81"/>
      <c r="AZ848" s="81"/>
      <c r="BA848" s="81"/>
      <c r="BB848" s="81"/>
    </row>
    <row r="849" spans="1:54" x14ac:dyDescent="0.35">
      <c r="A849" s="66" t="s">
        <v>688</v>
      </c>
      <c r="B849" s="66" t="s">
        <v>910</v>
      </c>
      <c r="C849" s="67"/>
      <c r="D849" s="68"/>
      <c r="E849" s="69"/>
      <c r="F849" s="70"/>
      <c r="G849" s="67"/>
      <c r="H849" s="71"/>
      <c r="I849" s="72"/>
      <c r="J849" s="72"/>
      <c r="K849" s="36"/>
      <c r="L849" s="79"/>
      <c r="M849" s="79"/>
      <c r="N849" s="74"/>
      <c r="O849" s="81" t="s">
        <v>1205</v>
      </c>
      <c r="P849" s="83">
        <v>44461.261956018519</v>
      </c>
      <c r="Q849" s="81" t="s">
        <v>1324</v>
      </c>
      <c r="R849" s="81"/>
      <c r="S849" s="81"/>
      <c r="T849" s="81"/>
      <c r="U849" s="85" t="str">
        <f>HYPERLINK("https://pbs.twimg.com/media/E_xVJy2VQAQerFe.jpg")</f>
        <v>https://pbs.twimg.com/media/E_xVJy2VQAQerFe.jpg</v>
      </c>
      <c r="V849" s="85" t="str">
        <f>HYPERLINK("https://pbs.twimg.com/media/E_xVJy2VQAQerFe.jpg")</f>
        <v>https://pbs.twimg.com/media/E_xVJy2VQAQerFe.jpg</v>
      </c>
      <c r="W849" s="83">
        <v>44461.261956018519</v>
      </c>
      <c r="X849" s="89">
        <v>44461</v>
      </c>
      <c r="Y849" s="87" t="s">
        <v>2301</v>
      </c>
      <c r="Z849" s="85" t="str">
        <f>HYPERLINK("https://twitter.com/_rizaldi_m_/status/1440560797864792074")</f>
        <v>https://twitter.com/_rizaldi_m_/status/1440560797864792074</v>
      </c>
      <c r="AA849" s="81"/>
      <c r="AB849" s="81"/>
      <c r="AC849" s="87" t="s">
        <v>3225</v>
      </c>
      <c r="AD849" s="81"/>
      <c r="AE849" s="81" t="b">
        <v>0</v>
      </c>
      <c r="AF849" s="81">
        <v>0</v>
      </c>
      <c r="AG849" s="87" t="s">
        <v>3875</v>
      </c>
      <c r="AH849" s="81" t="b">
        <v>0</v>
      </c>
      <c r="AI849" s="81" t="s">
        <v>4092</v>
      </c>
      <c r="AJ849" s="81"/>
      <c r="AK849" s="87" t="s">
        <v>3875</v>
      </c>
      <c r="AL849" s="81" t="b">
        <v>0</v>
      </c>
      <c r="AM849" s="81">
        <v>321</v>
      </c>
      <c r="AN849" s="87" t="s">
        <v>3520</v>
      </c>
      <c r="AO849" s="87" t="s">
        <v>4111</v>
      </c>
      <c r="AP849" s="81" t="b">
        <v>0</v>
      </c>
      <c r="AQ849" s="87" t="s">
        <v>3520</v>
      </c>
      <c r="AR849" s="81" t="s">
        <v>179</v>
      </c>
      <c r="AS849" s="81">
        <v>0</v>
      </c>
      <c r="AT849" s="81">
        <v>0</v>
      </c>
      <c r="AU849" s="81"/>
      <c r="AV849" s="81"/>
      <c r="AW849" s="81"/>
      <c r="AX849" s="81"/>
      <c r="AY849" s="81"/>
      <c r="AZ849" s="81"/>
      <c r="BA849" s="81"/>
      <c r="BB849" s="81"/>
    </row>
    <row r="850" spans="1:54" x14ac:dyDescent="0.35">
      <c r="A850" s="66" t="s">
        <v>689</v>
      </c>
      <c r="B850" s="66" t="s">
        <v>1055</v>
      </c>
      <c r="C850" s="67"/>
      <c r="D850" s="68"/>
      <c r="E850" s="69"/>
      <c r="F850" s="70"/>
      <c r="G850" s="67"/>
      <c r="H850" s="71"/>
      <c r="I850" s="72"/>
      <c r="J850" s="72"/>
      <c r="K850" s="36"/>
      <c r="L850" s="79"/>
      <c r="M850" s="79"/>
      <c r="N850" s="74"/>
      <c r="O850" s="81" t="s">
        <v>1207</v>
      </c>
      <c r="P850" s="83">
        <v>44461.262962962966</v>
      </c>
      <c r="Q850" s="81" t="s">
        <v>1324</v>
      </c>
      <c r="R850" s="81"/>
      <c r="S850" s="81"/>
      <c r="T850" s="81"/>
      <c r="U850" s="85" t="str">
        <f>HYPERLINK("https://pbs.twimg.com/media/E_xVJy2VQAQerFe.jpg")</f>
        <v>https://pbs.twimg.com/media/E_xVJy2VQAQerFe.jpg</v>
      </c>
      <c r="V850" s="85" t="str">
        <f>HYPERLINK("https://pbs.twimg.com/media/E_xVJy2VQAQerFe.jpg")</f>
        <v>https://pbs.twimg.com/media/E_xVJy2VQAQerFe.jpg</v>
      </c>
      <c r="W850" s="83">
        <v>44461.262962962966</v>
      </c>
      <c r="X850" s="89">
        <v>44461</v>
      </c>
      <c r="Y850" s="87" t="s">
        <v>2302</v>
      </c>
      <c r="Z850" s="85" t="str">
        <f>HYPERLINK("https://twitter.com/handersonchania/status/1440561162349731848")</f>
        <v>https://twitter.com/handersonchania/status/1440561162349731848</v>
      </c>
      <c r="AA850" s="81"/>
      <c r="AB850" s="81"/>
      <c r="AC850" s="87" t="s">
        <v>3226</v>
      </c>
      <c r="AD850" s="81"/>
      <c r="AE850" s="81" t="b">
        <v>0</v>
      </c>
      <c r="AF850" s="81">
        <v>0</v>
      </c>
      <c r="AG850" s="87" t="s">
        <v>3875</v>
      </c>
      <c r="AH850" s="81" t="b">
        <v>0</v>
      </c>
      <c r="AI850" s="81" t="s">
        <v>4092</v>
      </c>
      <c r="AJ850" s="81"/>
      <c r="AK850" s="87" t="s">
        <v>3875</v>
      </c>
      <c r="AL850" s="81" t="b">
        <v>0</v>
      </c>
      <c r="AM850" s="81">
        <v>321</v>
      </c>
      <c r="AN850" s="87" t="s">
        <v>3520</v>
      </c>
      <c r="AO850" s="87" t="s">
        <v>4109</v>
      </c>
      <c r="AP850" s="81" t="b">
        <v>0</v>
      </c>
      <c r="AQ850" s="87" t="s">
        <v>3520</v>
      </c>
      <c r="AR850" s="81" t="s">
        <v>179</v>
      </c>
      <c r="AS850" s="81">
        <v>0</v>
      </c>
      <c r="AT850" s="81">
        <v>0</v>
      </c>
      <c r="AU850" s="81"/>
      <c r="AV850" s="81"/>
      <c r="AW850" s="81"/>
      <c r="AX850" s="81"/>
      <c r="AY850" s="81"/>
      <c r="AZ850" s="81"/>
      <c r="BA850" s="81"/>
      <c r="BB850" s="81"/>
    </row>
    <row r="851" spans="1:54" x14ac:dyDescent="0.35">
      <c r="A851" s="66" t="s">
        <v>689</v>
      </c>
      <c r="B851" s="66" t="s">
        <v>910</v>
      </c>
      <c r="C851" s="67"/>
      <c r="D851" s="68"/>
      <c r="E851" s="69"/>
      <c r="F851" s="70"/>
      <c r="G851" s="67"/>
      <c r="H851" s="71"/>
      <c r="I851" s="72"/>
      <c r="J851" s="72"/>
      <c r="K851" s="36"/>
      <c r="L851" s="79"/>
      <c r="M851" s="79"/>
      <c r="N851" s="74"/>
      <c r="O851" s="81" t="s">
        <v>1205</v>
      </c>
      <c r="P851" s="83">
        <v>44461.262962962966</v>
      </c>
      <c r="Q851" s="81" t="s">
        <v>1324</v>
      </c>
      <c r="R851" s="81"/>
      <c r="S851" s="81"/>
      <c r="T851" s="81"/>
      <c r="U851" s="85" t="str">
        <f>HYPERLINK("https://pbs.twimg.com/media/E_xVJy2VQAQerFe.jpg")</f>
        <v>https://pbs.twimg.com/media/E_xVJy2VQAQerFe.jpg</v>
      </c>
      <c r="V851" s="85" t="str">
        <f>HYPERLINK("https://pbs.twimg.com/media/E_xVJy2VQAQerFe.jpg")</f>
        <v>https://pbs.twimg.com/media/E_xVJy2VQAQerFe.jpg</v>
      </c>
      <c r="W851" s="83">
        <v>44461.262962962966</v>
      </c>
      <c r="X851" s="89">
        <v>44461</v>
      </c>
      <c r="Y851" s="87" t="s">
        <v>2302</v>
      </c>
      <c r="Z851" s="85" t="str">
        <f>HYPERLINK("https://twitter.com/handersonchania/status/1440561162349731848")</f>
        <v>https://twitter.com/handersonchania/status/1440561162349731848</v>
      </c>
      <c r="AA851" s="81"/>
      <c r="AB851" s="81"/>
      <c r="AC851" s="87" t="s">
        <v>3226</v>
      </c>
      <c r="AD851" s="81"/>
      <c r="AE851" s="81" t="b">
        <v>0</v>
      </c>
      <c r="AF851" s="81">
        <v>0</v>
      </c>
      <c r="AG851" s="87" t="s">
        <v>3875</v>
      </c>
      <c r="AH851" s="81" t="b">
        <v>0</v>
      </c>
      <c r="AI851" s="81" t="s">
        <v>4092</v>
      </c>
      <c r="AJ851" s="81"/>
      <c r="AK851" s="87" t="s">
        <v>3875</v>
      </c>
      <c r="AL851" s="81" t="b">
        <v>0</v>
      </c>
      <c r="AM851" s="81">
        <v>321</v>
      </c>
      <c r="AN851" s="87" t="s">
        <v>3520</v>
      </c>
      <c r="AO851" s="87" t="s">
        <v>4109</v>
      </c>
      <c r="AP851" s="81" t="b">
        <v>0</v>
      </c>
      <c r="AQ851" s="87" t="s">
        <v>3520</v>
      </c>
      <c r="AR851" s="81" t="s">
        <v>179</v>
      </c>
      <c r="AS851" s="81">
        <v>0</v>
      </c>
      <c r="AT851" s="81">
        <v>0</v>
      </c>
      <c r="AU851" s="81"/>
      <c r="AV851" s="81"/>
      <c r="AW851" s="81"/>
      <c r="AX851" s="81"/>
      <c r="AY851" s="81"/>
      <c r="AZ851" s="81"/>
      <c r="BA851" s="81"/>
      <c r="BB851" s="81"/>
    </row>
    <row r="852" spans="1:54" x14ac:dyDescent="0.35">
      <c r="A852" s="66" t="s">
        <v>690</v>
      </c>
      <c r="B852" s="66" t="s">
        <v>1055</v>
      </c>
      <c r="C852" s="67"/>
      <c r="D852" s="68"/>
      <c r="E852" s="69"/>
      <c r="F852" s="70"/>
      <c r="G852" s="67"/>
      <c r="H852" s="71"/>
      <c r="I852" s="72"/>
      <c r="J852" s="72"/>
      <c r="K852" s="36"/>
      <c r="L852" s="79"/>
      <c r="M852" s="79"/>
      <c r="N852" s="74"/>
      <c r="O852" s="81" t="s">
        <v>1207</v>
      </c>
      <c r="P852" s="83">
        <v>44461.265601851854</v>
      </c>
      <c r="Q852" s="81" t="s">
        <v>1324</v>
      </c>
      <c r="R852" s="81"/>
      <c r="S852" s="81"/>
      <c r="T852" s="81"/>
      <c r="U852" s="85" t="str">
        <f>HYPERLINK("https://pbs.twimg.com/media/E_xVJy2VQAQerFe.jpg")</f>
        <v>https://pbs.twimg.com/media/E_xVJy2VQAQerFe.jpg</v>
      </c>
      <c r="V852" s="85" t="str">
        <f>HYPERLINK("https://pbs.twimg.com/media/E_xVJy2VQAQerFe.jpg")</f>
        <v>https://pbs.twimg.com/media/E_xVJy2VQAQerFe.jpg</v>
      </c>
      <c r="W852" s="83">
        <v>44461.265601851854</v>
      </c>
      <c r="X852" s="89">
        <v>44461</v>
      </c>
      <c r="Y852" s="87" t="s">
        <v>2303</v>
      </c>
      <c r="Z852" s="85" t="str">
        <f>HYPERLINK("https://twitter.com/ahmadjun889/status/1440562119661944833")</f>
        <v>https://twitter.com/ahmadjun889/status/1440562119661944833</v>
      </c>
      <c r="AA852" s="81"/>
      <c r="AB852" s="81"/>
      <c r="AC852" s="87" t="s">
        <v>3227</v>
      </c>
      <c r="AD852" s="81"/>
      <c r="AE852" s="81" t="b">
        <v>0</v>
      </c>
      <c r="AF852" s="81">
        <v>0</v>
      </c>
      <c r="AG852" s="87" t="s">
        <v>3875</v>
      </c>
      <c r="AH852" s="81" t="b">
        <v>0</v>
      </c>
      <c r="AI852" s="81" t="s">
        <v>4092</v>
      </c>
      <c r="AJ852" s="81"/>
      <c r="AK852" s="87" t="s">
        <v>3875</v>
      </c>
      <c r="AL852" s="81" t="b">
        <v>0</v>
      </c>
      <c r="AM852" s="81">
        <v>321</v>
      </c>
      <c r="AN852" s="87" t="s">
        <v>3520</v>
      </c>
      <c r="AO852" s="87" t="s">
        <v>4109</v>
      </c>
      <c r="AP852" s="81" t="b">
        <v>0</v>
      </c>
      <c r="AQ852" s="87" t="s">
        <v>3520</v>
      </c>
      <c r="AR852" s="81" t="s">
        <v>179</v>
      </c>
      <c r="AS852" s="81">
        <v>0</v>
      </c>
      <c r="AT852" s="81">
        <v>0</v>
      </c>
      <c r="AU852" s="81"/>
      <c r="AV852" s="81"/>
      <c r="AW852" s="81"/>
      <c r="AX852" s="81"/>
      <c r="AY852" s="81"/>
      <c r="AZ852" s="81"/>
      <c r="BA852" s="81"/>
      <c r="BB852" s="81"/>
    </row>
    <row r="853" spans="1:54" x14ac:dyDescent="0.35">
      <c r="A853" s="66" t="s">
        <v>690</v>
      </c>
      <c r="B853" s="66" t="s">
        <v>910</v>
      </c>
      <c r="C853" s="67"/>
      <c r="D853" s="68"/>
      <c r="E853" s="69"/>
      <c r="F853" s="70"/>
      <c r="G853" s="67"/>
      <c r="H853" s="71"/>
      <c r="I853" s="72"/>
      <c r="J853" s="72"/>
      <c r="K853" s="36"/>
      <c r="L853" s="79"/>
      <c r="M853" s="79"/>
      <c r="N853" s="74"/>
      <c r="O853" s="81" t="s">
        <v>1205</v>
      </c>
      <c r="P853" s="83">
        <v>44461.265601851854</v>
      </c>
      <c r="Q853" s="81" t="s">
        <v>1324</v>
      </c>
      <c r="R853" s="81"/>
      <c r="S853" s="81"/>
      <c r="T853" s="81"/>
      <c r="U853" s="85" t="str">
        <f>HYPERLINK("https://pbs.twimg.com/media/E_xVJy2VQAQerFe.jpg")</f>
        <v>https://pbs.twimg.com/media/E_xVJy2VQAQerFe.jpg</v>
      </c>
      <c r="V853" s="85" t="str">
        <f>HYPERLINK("https://pbs.twimg.com/media/E_xVJy2VQAQerFe.jpg")</f>
        <v>https://pbs.twimg.com/media/E_xVJy2VQAQerFe.jpg</v>
      </c>
      <c r="W853" s="83">
        <v>44461.265601851854</v>
      </c>
      <c r="X853" s="89">
        <v>44461</v>
      </c>
      <c r="Y853" s="87" t="s">
        <v>2303</v>
      </c>
      <c r="Z853" s="85" t="str">
        <f>HYPERLINK("https://twitter.com/ahmadjun889/status/1440562119661944833")</f>
        <v>https://twitter.com/ahmadjun889/status/1440562119661944833</v>
      </c>
      <c r="AA853" s="81"/>
      <c r="AB853" s="81"/>
      <c r="AC853" s="87" t="s">
        <v>3227</v>
      </c>
      <c r="AD853" s="81"/>
      <c r="AE853" s="81" t="b">
        <v>0</v>
      </c>
      <c r="AF853" s="81">
        <v>0</v>
      </c>
      <c r="AG853" s="87" t="s">
        <v>3875</v>
      </c>
      <c r="AH853" s="81" t="b">
        <v>0</v>
      </c>
      <c r="AI853" s="81" t="s">
        <v>4092</v>
      </c>
      <c r="AJ853" s="81"/>
      <c r="AK853" s="87" t="s">
        <v>3875</v>
      </c>
      <c r="AL853" s="81" t="b">
        <v>0</v>
      </c>
      <c r="AM853" s="81">
        <v>321</v>
      </c>
      <c r="AN853" s="87" t="s">
        <v>3520</v>
      </c>
      <c r="AO853" s="87" t="s">
        <v>4109</v>
      </c>
      <c r="AP853" s="81" t="b">
        <v>0</v>
      </c>
      <c r="AQ853" s="87" t="s">
        <v>3520</v>
      </c>
      <c r="AR853" s="81" t="s">
        <v>179</v>
      </c>
      <c r="AS853" s="81">
        <v>0</v>
      </c>
      <c r="AT853" s="81">
        <v>0</v>
      </c>
      <c r="AU853" s="81"/>
      <c r="AV853" s="81"/>
      <c r="AW853" s="81"/>
      <c r="AX853" s="81"/>
      <c r="AY853" s="81"/>
      <c r="AZ853" s="81"/>
      <c r="BA853" s="81"/>
      <c r="BB853" s="81"/>
    </row>
    <row r="854" spans="1:54" x14ac:dyDescent="0.35">
      <c r="A854" s="66" t="s">
        <v>691</v>
      </c>
      <c r="B854" s="66" t="s">
        <v>1055</v>
      </c>
      <c r="C854" s="67"/>
      <c r="D854" s="68"/>
      <c r="E854" s="69"/>
      <c r="F854" s="70"/>
      <c r="G854" s="67"/>
      <c r="H854" s="71"/>
      <c r="I854" s="72"/>
      <c r="J854" s="72"/>
      <c r="K854" s="36"/>
      <c r="L854" s="79"/>
      <c r="M854" s="79"/>
      <c r="N854" s="74"/>
      <c r="O854" s="81" t="s">
        <v>1207</v>
      </c>
      <c r="P854" s="83">
        <v>44461.265625</v>
      </c>
      <c r="Q854" s="81" t="s">
        <v>1324</v>
      </c>
      <c r="R854" s="81"/>
      <c r="S854" s="81"/>
      <c r="T854" s="81"/>
      <c r="U854" s="85" t="str">
        <f>HYPERLINK("https://pbs.twimg.com/media/E_xVJy2VQAQerFe.jpg")</f>
        <v>https://pbs.twimg.com/media/E_xVJy2VQAQerFe.jpg</v>
      </c>
      <c r="V854" s="85" t="str">
        <f>HYPERLINK("https://pbs.twimg.com/media/E_xVJy2VQAQerFe.jpg")</f>
        <v>https://pbs.twimg.com/media/E_xVJy2VQAQerFe.jpg</v>
      </c>
      <c r="W854" s="83">
        <v>44461.265625</v>
      </c>
      <c r="X854" s="89">
        <v>44461</v>
      </c>
      <c r="Y854" s="87" t="s">
        <v>2304</v>
      </c>
      <c r="Z854" s="85" t="str">
        <f>HYPERLINK("https://twitter.com/taufiqtpi/status/1440562129552084993")</f>
        <v>https://twitter.com/taufiqtpi/status/1440562129552084993</v>
      </c>
      <c r="AA854" s="81"/>
      <c r="AB854" s="81"/>
      <c r="AC854" s="87" t="s">
        <v>3228</v>
      </c>
      <c r="AD854" s="81"/>
      <c r="AE854" s="81" t="b">
        <v>0</v>
      </c>
      <c r="AF854" s="81">
        <v>0</v>
      </c>
      <c r="AG854" s="87" t="s">
        <v>3875</v>
      </c>
      <c r="AH854" s="81" t="b">
        <v>0</v>
      </c>
      <c r="AI854" s="81" t="s">
        <v>4092</v>
      </c>
      <c r="AJ854" s="81"/>
      <c r="AK854" s="87" t="s">
        <v>3875</v>
      </c>
      <c r="AL854" s="81" t="b">
        <v>0</v>
      </c>
      <c r="AM854" s="81">
        <v>321</v>
      </c>
      <c r="AN854" s="87" t="s">
        <v>3520</v>
      </c>
      <c r="AO854" s="87" t="s">
        <v>4109</v>
      </c>
      <c r="AP854" s="81" t="b">
        <v>0</v>
      </c>
      <c r="AQ854" s="87" t="s">
        <v>3520</v>
      </c>
      <c r="AR854" s="81" t="s">
        <v>179</v>
      </c>
      <c r="AS854" s="81">
        <v>0</v>
      </c>
      <c r="AT854" s="81">
        <v>0</v>
      </c>
      <c r="AU854" s="81"/>
      <c r="AV854" s="81"/>
      <c r="AW854" s="81"/>
      <c r="AX854" s="81"/>
      <c r="AY854" s="81"/>
      <c r="AZ854" s="81"/>
      <c r="BA854" s="81"/>
      <c r="BB854" s="81"/>
    </row>
    <row r="855" spans="1:54" x14ac:dyDescent="0.35">
      <c r="A855" s="66" t="s">
        <v>691</v>
      </c>
      <c r="B855" s="66" t="s">
        <v>910</v>
      </c>
      <c r="C855" s="67"/>
      <c r="D855" s="68"/>
      <c r="E855" s="69"/>
      <c r="F855" s="70"/>
      <c r="G855" s="67"/>
      <c r="H855" s="71"/>
      <c r="I855" s="72"/>
      <c r="J855" s="72"/>
      <c r="K855" s="36"/>
      <c r="L855" s="79"/>
      <c r="M855" s="79"/>
      <c r="N855" s="74"/>
      <c r="O855" s="81" t="s">
        <v>1205</v>
      </c>
      <c r="P855" s="83">
        <v>44461.265625</v>
      </c>
      <c r="Q855" s="81" t="s">
        <v>1324</v>
      </c>
      <c r="R855" s="81"/>
      <c r="S855" s="81"/>
      <c r="T855" s="81"/>
      <c r="U855" s="85" t="str">
        <f>HYPERLINK("https://pbs.twimg.com/media/E_xVJy2VQAQerFe.jpg")</f>
        <v>https://pbs.twimg.com/media/E_xVJy2VQAQerFe.jpg</v>
      </c>
      <c r="V855" s="85" t="str">
        <f>HYPERLINK("https://pbs.twimg.com/media/E_xVJy2VQAQerFe.jpg")</f>
        <v>https://pbs.twimg.com/media/E_xVJy2VQAQerFe.jpg</v>
      </c>
      <c r="W855" s="83">
        <v>44461.265625</v>
      </c>
      <c r="X855" s="89">
        <v>44461</v>
      </c>
      <c r="Y855" s="87" t="s">
        <v>2304</v>
      </c>
      <c r="Z855" s="85" t="str">
        <f>HYPERLINK("https://twitter.com/taufiqtpi/status/1440562129552084993")</f>
        <v>https://twitter.com/taufiqtpi/status/1440562129552084993</v>
      </c>
      <c r="AA855" s="81"/>
      <c r="AB855" s="81"/>
      <c r="AC855" s="87" t="s">
        <v>3228</v>
      </c>
      <c r="AD855" s="81"/>
      <c r="AE855" s="81" t="b">
        <v>0</v>
      </c>
      <c r="AF855" s="81">
        <v>0</v>
      </c>
      <c r="AG855" s="87" t="s">
        <v>3875</v>
      </c>
      <c r="AH855" s="81" t="b">
        <v>0</v>
      </c>
      <c r="AI855" s="81" t="s">
        <v>4092</v>
      </c>
      <c r="AJ855" s="81"/>
      <c r="AK855" s="87" t="s">
        <v>3875</v>
      </c>
      <c r="AL855" s="81" t="b">
        <v>0</v>
      </c>
      <c r="AM855" s="81">
        <v>321</v>
      </c>
      <c r="AN855" s="87" t="s">
        <v>3520</v>
      </c>
      <c r="AO855" s="87" t="s">
        <v>4109</v>
      </c>
      <c r="AP855" s="81" t="b">
        <v>0</v>
      </c>
      <c r="AQ855" s="87" t="s">
        <v>3520</v>
      </c>
      <c r="AR855" s="81" t="s">
        <v>179</v>
      </c>
      <c r="AS855" s="81">
        <v>0</v>
      </c>
      <c r="AT855" s="81">
        <v>0</v>
      </c>
      <c r="AU855" s="81"/>
      <c r="AV855" s="81"/>
      <c r="AW855" s="81"/>
      <c r="AX855" s="81"/>
      <c r="AY855" s="81"/>
      <c r="AZ855" s="81"/>
      <c r="BA855" s="81"/>
      <c r="BB855" s="81"/>
    </row>
    <row r="856" spans="1:54" x14ac:dyDescent="0.35">
      <c r="A856" s="66" t="s">
        <v>692</v>
      </c>
      <c r="B856" s="66" t="s">
        <v>692</v>
      </c>
      <c r="C856" s="67"/>
      <c r="D856" s="68"/>
      <c r="E856" s="69"/>
      <c r="F856" s="70"/>
      <c r="G856" s="67"/>
      <c r="H856" s="71"/>
      <c r="I856" s="72"/>
      <c r="J856" s="72"/>
      <c r="K856" s="36"/>
      <c r="L856" s="79"/>
      <c r="M856" s="79"/>
      <c r="N856" s="74"/>
      <c r="O856" s="81" t="s">
        <v>179</v>
      </c>
      <c r="P856" s="83">
        <v>44461.272685185184</v>
      </c>
      <c r="Q856" s="81" t="s">
        <v>1392</v>
      </c>
      <c r="R856" s="81"/>
      <c r="S856" s="81"/>
      <c r="T856" s="81"/>
      <c r="U856" s="81"/>
      <c r="V856" s="85" t="str">
        <f>HYPERLINK("https://pbs.twimg.com/profile_images/1361450206315696130/SxA4LVwi_normal.jpg")</f>
        <v>https://pbs.twimg.com/profile_images/1361450206315696130/SxA4LVwi_normal.jpg</v>
      </c>
      <c r="W856" s="83">
        <v>44461.272685185184</v>
      </c>
      <c r="X856" s="89">
        <v>44461</v>
      </c>
      <c r="Y856" s="87" t="s">
        <v>2305</v>
      </c>
      <c r="Z856" s="85" t="str">
        <f>HYPERLINK("https://twitter.com/yaelaaahlu/status/1440564688425611266")</f>
        <v>https://twitter.com/yaelaaahlu/status/1440564688425611266</v>
      </c>
      <c r="AA856" s="81"/>
      <c r="AB856" s="81"/>
      <c r="AC856" s="87" t="s">
        <v>3229</v>
      </c>
      <c r="AD856" s="81"/>
      <c r="AE856" s="81" t="b">
        <v>0</v>
      </c>
      <c r="AF856" s="81">
        <v>0</v>
      </c>
      <c r="AG856" s="87" t="s">
        <v>3875</v>
      </c>
      <c r="AH856" s="81" t="b">
        <v>0</v>
      </c>
      <c r="AI856" s="81" t="s">
        <v>4092</v>
      </c>
      <c r="AJ856" s="81"/>
      <c r="AK856" s="87" t="s">
        <v>3875</v>
      </c>
      <c r="AL856" s="81" t="b">
        <v>0</v>
      </c>
      <c r="AM856" s="81">
        <v>0</v>
      </c>
      <c r="AN856" s="87" t="s">
        <v>3875</v>
      </c>
      <c r="AO856" s="87" t="s">
        <v>4109</v>
      </c>
      <c r="AP856" s="81" t="b">
        <v>0</v>
      </c>
      <c r="AQ856" s="87" t="s">
        <v>3229</v>
      </c>
      <c r="AR856" s="81" t="s">
        <v>179</v>
      </c>
      <c r="AS856" s="81">
        <v>0</v>
      </c>
      <c r="AT856" s="81">
        <v>0</v>
      </c>
      <c r="AU856" s="81"/>
      <c r="AV856" s="81"/>
      <c r="AW856" s="81"/>
      <c r="AX856" s="81"/>
      <c r="AY856" s="81"/>
      <c r="AZ856" s="81"/>
      <c r="BA856" s="81"/>
      <c r="BB856" s="81"/>
    </row>
    <row r="857" spans="1:54" x14ac:dyDescent="0.35">
      <c r="A857" s="66" t="s">
        <v>693</v>
      </c>
      <c r="B857" s="66" t="s">
        <v>1055</v>
      </c>
      <c r="C857" s="67"/>
      <c r="D857" s="68"/>
      <c r="E857" s="69"/>
      <c r="F857" s="70"/>
      <c r="G857" s="67"/>
      <c r="H857" s="71"/>
      <c r="I857" s="72"/>
      <c r="J857" s="72"/>
      <c r="K857" s="36"/>
      <c r="L857" s="79"/>
      <c r="M857" s="79"/>
      <c r="N857" s="74"/>
      <c r="O857" s="81" t="s">
        <v>1207</v>
      </c>
      <c r="P857" s="83">
        <v>44461.275706018518</v>
      </c>
      <c r="Q857" s="81" t="s">
        <v>1324</v>
      </c>
      <c r="R857" s="81"/>
      <c r="S857" s="81"/>
      <c r="T857" s="81"/>
      <c r="U857" s="85" t="str">
        <f>HYPERLINK("https://pbs.twimg.com/media/E_xVJy2VQAQerFe.jpg")</f>
        <v>https://pbs.twimg.com/media/E_xVJy2VQAQerFe.jpg</v>
      </c>
      <c r="V857" s="85" t="str">
        <f>HYPERLINK("https://pbs.twimg.com/media/E_xVJy2VQAQerFe.jpg")</f>
        <v>https://pbs.twimg.com/media/E_xVJy2VQAQerFe.jpg</v>
      </c>
      <c r="W857" s="83">
        <v>44461.275706018518</v>
      </c>
      <c r="X857" s="89">
        <v>44461</v>
      </c>
      <c r="Y857" s="87" t="s">
        <v>2306</v>
      </c>
      <c r="Z857" s="85" t="str">
        <f>HYPERLINK("https://twitter.com/aditya_psi/status/1440565781100593154")</f>
        <v>https://twitter.com/aditya_psi/status/1440565781100593154</v>
      </c>
      <c r="AA857" s="81"/>
      <c r="AB857" s="81"/>
      <c r="AC857" s="87" t="s">
        <v>3230</v>
      </c>
      <c r="AD857" s="81"/>
      <c r="AE857" s="81" t="b">
        <v>0</v>
      </c>
      <c r="AF857" s="81">
        <v>0</v>
      </c>
      <c r="AG857" s="87" t="s">
        <v>3875</v>
      </c>
      <c r="AH857" s="81" t="b">
        <v>0</v>
      </c>
      <c r="AI857" s="81" t="s">
        <v>4092</v>
      </c>
      <c r="AJ857" s="81"/>
      <c r="AK857" s="87" t="s">
        <v>3875</v>
      </c>
      <c r="AL857" s="81" t="b">
        <v>0</v>
      </c>
      <c r="AM857" s="81">
        <v>321</v>
      </c>
      <c r="AN857" s="87" t="s">
        <v>3520</v>
      </c>
      <c r="AO857" s="87" t="s">
        <v>4109</v>
      </c>
      <c r="AP857" s="81" t="b">
        <v>0</v>
      </c>
      <c r="AQ857" s="87" t="s">
        <v>3520</v>
      </c>
      <c r="AR857" s="81" t="s">
        <v>179</v>
      </c>
      <c r="AS857" s="81">
        <v>0</v>
      </c>
      <c r="AT857" s="81">
        <v>0</v>
      </c>
      <c r="AU857" s="81"/>
      <c r="AV857" s="81"/>
      <c r="AW857" s="81"/>
      <c r="AX857" s="81"/>
      <c r="AY857" s="81"/>
      <c r="AZ857" s="81"/>
      <c r="BA857" s="81"/>
      <c r="BB857" s="81"/>
    </row>
    <row r="858" spans="1:54" x14ac:dyDescent="0.35">
      <c r="A858" s="66" t="s">
        <v>693</v>
      </c>
      <c r="B858" s="66" t="s">
        <v>910</v>
      </c>
      <c r="C858" s="67"/>
      <c r="D858" s="68"/>
      <c r="E858" s="69"/>
      <c r="F858" s="70"/>
      <c r="G858" s="67"/>
      <c r="H858" s="71"/>
      <c r="I858" s="72"/>
      <c r="J858" s="72"/>
      <c r="K858" s="36"/>
      <c r="L858" s="79"/>
      <c r="M858" s="79"/>
      <c r="N858" s="74"/>
      <c r="O858" s="81" t="s">
        <v>1205</v>
      </c>
      <c r="P858" s="83">
        <v>44461.275706018518</v>
      </c>
      <c r="Q858" s="81" t="s">
        <v>1324</v>
      </c>
      <c r="R858" s="81"/>
      <c r="S858" s="81"/>
      <c r="T858" s="81"/>
      <c r="U858" s="85" t="str">
        <f>HYPERLINK("https://pbs.twimg.com/media/E_xVJy2VQAQerFe.jpg")</f>
        <v>https://pbs.twimg.com/media/E_xVJy2VQAQerFe.jpg</v>
      </c>
      <c r="V858" s="85" t="str">
        <f>HYPERLINK("https://pbs.twimg.com/media/E_xVJy2VQAQerFe.jpg")</f>
        <v>https://pbs.twimg.com/media/E_xVJy2VQAQerFe.jpg</v>
      </c>
      <c r="W858" s="83">
        <v>44461.275706018518</v>
      </c>
      <c r="X858" s="89">
        <v>44461</v>
      </c>
      <c r="Y858" s="87" t="s">
        <v>2306</v>
      </c>
      <c r="Z858" s="85" t="str">
        <f>HYPERLINK("https://twitter.com/aditya_psi/status/1440565781100593154")</f>
        <v>https://twitter.com/aditya_psi/status/1440565781100593154</v>
      </c>
      <c r="AA858" s="81"/>
      <c r="AB858" s="81"/>
      <c r="AC858" s="87" t="s">
        <v>3230</v>
      </c>
      <c r="AD858" s="81"/>
      <c r="AE858" s="81" t="b">
        <v>0</v>
      </c>
      <c r="AF858" s="81">
        <v>0</v>
      </c>
      <c r="AG858" s="87" t="s">
        <v>3875</v>
      </c>
      <c r="AH858" s="81" t="b">
        <v>0</v>
      </c>
      <c r="AI858" s="81" t="s">
        <v>4092</v>
      </c>
      <c r="AJ858" s="81"/>
      <c r="AK858" s="87" t="s">
        <v>3875</v>
      </c>
      <c r="AL858" s="81" t="b">
        <v>0</v>
      </c>
      <c r="AM858" s="81">
        <v>321</v>
      </c>
      <c r="AN858" s="87" t="s">
        <v>3520</v>
      </c>
      <c r="AO858" s="87" t="s">
        <v>4109</v>
      </c>
      <c r="AP858" s="81" t="b">
        <v>0</v>
      </c>
      <c r="AQ858" s="87" t="s">
        <v>3520</v>
      </c>
      <c r="AR858" s="81" t="s">
        <v>179</v>
      </c>
      <c r="AS858" s="81">
        <v>0</v>
      </c>
      <c r="AT858" s="81">
        <v>0</v>
      </c>
      <c r="AU858" s="81"/>
      <c r="AV858" s="81"/>
      <c r="AW858" s="81"/>
      <c r="AX858" s="81"/>
      <c r="AY858" s="81"/>
      <c r="AZ858" s="81"/>
      <c r="BA858" s="81"/>
      <c r="BB858" s="81"/>
    </row>
    <row r="859" spans="1:54" x14ac:dyDescent="0.35">
      <c r="A859" s="66" t="s">
        <v>694</v>
      </c>
      <c r="B859" s="66" t="s">
        <v>1088</v>
      </c>
      <c r="C859" s="67"/>
      <c r="D859" s="68"/>
      <c r="E859" s="69"/>
      <c r="F859" s="70"/>
      <c r="G859" s="67"/>
      <c r="H859" s="71"/>
      <c r="I859" s="72"/>
      <c r="J859" s="72"/>
      <c r="K859" s="36"/>
      <c r="L859" s="79"/>
      <c r="M859" s="79"/>
      <c r="N859" s="74"/>
      <c r="O859" s="81" t="s">
        <v>1208</v>
      </c>
      <c r="P859" s="83">
        <v>44461.299930555557</v>
      </c>
      <c r="Q859" s="81" t="s">
        <v>1393</v>
      </c>
      <c r="R859" s="81"/>
      <c r="S859" s="81"/>
      <c r="T859" s="81"/>
      <c r="U859" s="81"/>
      <c r="V859" s="85" t="str">
        <f>HYPERLINK("https://pbs.twimg.com/profile_images/1426861336558931968/bLK9JN5M_normal.jpg")</f>
        <v>https://pbs.twimg.com/profile_images/1426861336558931968/bLK9JN5M_normal.jpg</v>
      </c>
      <c r="W859" s="83">
        <v>44461.299930555557</v>
      </c>
      <c r="X859" s="89">
        <v>44461</v>
      </c>
      <c r="Y859" s="87" t="s">
        <v>2307</v>
      </c>
      <c r="Z859" s="85" t="str">
        <f>HYPERLINK("https://twitter.com/kenanganmaniiss/status/1440574561108459523")</f>
        <v>https://twitter.com/kenanganmaniiss/status/1440574561108459523</v>
      </c>
      <c r="AA859" s="81"/>
      <c r="AB859" s="81"/>
      <c r="AC859" s="87" t="s">
        <v>3231</v>
      </c>
      <c r="AD859" s="87" t="s">
        <v>3742</v>
      </c>
      <c r="AE859" s="81" t="b">
        <v>0</v>
      </c>
      <c r="AF859" s="81">
        <v>0</v>
      </c>
      <c r="AG859" s="87" t="s">
        <v>3960</v>
      </c>
      <c r="AH859" s="81" t="b">
        <v>0</v>
      </c>
      <c r="AI859" s="81" t="s">
        <v>4092</v>
      </c>
      <c r="AJ859" s="81"/>
      <c r="AK859" s="87" t="s">
        <v>3875</v>
      </c>
      <c r="AL859" s="81" t="b">
        <v>0</v>
      </c>
      <c r="AM859" s="81">
        <v>0</v>
      </c>
      <c r="AN859" s="87" t="s">
        <v>3875</v>
      </c>
      <c r="AO859" s="87" t="s">
        <v>4111</v>
      </c>
      <c r="AP859" s="81" t="b">
        <v>0</v>
      </c>
      <c r="AQ859" s="87" t="s">
        <v>3742</v>
      </c>
      <c r="AR859" s="81" t="s">
        <v>179</v>
      </c>
      <c r="AS859" s="81">
        <v>0</v>
      </c>
      <c r="AT859" s="81">
        <v>0</v>
      </c>
      <c r="AU859" s="81"/>
      <c r="AV859" s="81"/>
      <c r="AW859" s="81"/>
      <c r="AX859" s="81"/>
      <c r="AY859" s="81"/>
      <c r="AZ859" s="81"/>
      <c r="BA859" s="81"/>
      <c r="BB859" s="81"/>
    </row>
    <row r="860" spans="1:54" x14ac:dyDescent="0.35">
      <c r="A860" s="66" t="s">
        <v>694</v>
      </c>
      <c r="B860" s="66" t="s">
        <v>1088</v>
      </c>
      <c r="C860" s="67"/>
      <c r="D860" s="68"/>
      <c r="E860" s="69"/>
      <c r="F860" s="70"/>
      <c r="G860" s="67"/>
      <c r="H860" s="71"/>
      <c r="I860" s="72"/>
      <c r="J860" s="72"/>
      <c r="K860" s="36"/>
      <c r="L860" s="79"/>
      <c r="M860" s="79"/>
      <c r="N860" s="74"/>
      <c r="O860" s="81" t="s">
        <v>1208</v>
      </c>
      <c r="P860" s="83">
        <v>44461.300196759257</v>
      </c>
      <c r="Q860" s="81" t="s">
        <v>1394</v>
      </c>
      <c r="R860" s="81"/>
      <c r="S860" s="81"/>
      <c r="T860" s="81"/>
      <c r="U860" s="81"/>
      <c r="V860" s="85" t="str">
        <f>HYPERLINK("https://pbs.twimg.com/profile_images/1426861336558931968/bLK9JN5M_normal.jpg")</f>
        <v>https://pbs.twimg.com/profile_images/1426861336558931968/bLK9JN5M_normal.jpg</v>
      </c>
      <c r="W860" s="83">
        <v>44461.300196759257</v>
      </c>
      <c r="X860" s="89">
        <v>44461</v>
      </c>
      <c r="Y860" s="87" t="s">
        <v>2308</v>
      </c>
      <c r="Z860" s="85" t="str">
        <f>HYPERLINK("https://twitter.com/kenanganmaniiss/status/1440574657745145868")</f>
        <v>https://twitter.com/kenanganmaniiss/status/1440574657745145868</v>
      </c>
      <c r="AA860" s="81"/>
      <c r="AB860" s="81"/>
      <c r="AC860" s="87" t="s">
        <v>3232</v>
      </c>
      <c r="AD860" s="87" t="s">
        <v>3231</v>
      </c>
      <c r="AE860" s="81" t="b">
        <v>0</v>
      </c>
      <c r="AF860" s="81">
        <v>0</v>
      </c>
      <c r="AG860" s="87" t="s">
        <v>3961</v>
      </c>
      <c r="AH860" s="81" t="b">
        <v>0</v>
      </c>
      <c r="AI860" s="81" t="s">
        <v>4092</v>
      </c>
      <c r="AJ860" s="81"/>
      <c r="AK860" s="87" t="s">
        <v>3875</v>
      </c>
      <c r="AL860" s="81" t="b">
        <v>0</v>
      </c>
      <c r="AM860" s="81">
        <v>0</v>
      </c>
      <c r="AN860" s="87" t="s">
        <v>3875</v>
      </c>
      <c r="AO860" s="87" t="s">
        <v>4111</v>
      </c>
      <c r="AP860" s="81" t="b">
        <v>0</v>
      </c>
      <c r="AQ860" s="87" t="s">
        <v>3231</v>
      </c>
      <c r="AR860" s="81" t="s">
        <v>179</v>
      </c>
      <c r="AS860" s="81">
        <v>0</v>
      </c>
      <c r="AT860" s="81">
        <v>0</v>
      </c>
      <c r="AU860" s="81"/>
      <c r="AV860" s="81"/>
      <c r="AW860" s="81"/>
      <c r="AX860" s="81"/>
      <c r="AY860" s="81"/>
      <c r="AZ860" s="81"/>
      <c r="BA860" s="81"/>
      <c r="BB860" s="81"/>
    </row>
    <row r="861" spans="1:54" x14ac:dyDescent="0.35">
      <c r="A861" s="66" t="s">
        <v>695</v>
      </c>
      <c r="B861" s="66" t="s">
        <v>1088</v>
      </c>
      <c r="C861" s="67"/>
      <c r="D861" s="68"/>
      <c r="E861" s="69"/>
      <c r="F861" s="70"/>
      <c r="G861" s="67"/>
      <c r="H861" s="71"/>
      <c r="I861" s="72"/>
      <c r="J861" s="72"/>
      <c r="K861" s="36"/>
      <c r="L861" s="79"/>
      <c r="M861" s="79"/>
      <c r="N861" s="74"/>
      <c r="O861" s="81" t="s">
        <v>1208</v>
      </c>
      <c r="P861" s="83">
        <v>44461.302719907406</v>
      </c>
      <c r="Q861" s="81" t="s">
        <v>1395</v>
      </c>
      <c r="R861" s="81"/>
      <c r="S861" s="81"/>
      <c r="T861" s="81"/>
      <c r="U861" s="81"/>
      <c r="V861" s="85" t="str">
        <f>HYPERLINK("https://pbs.twimg.com/profile_images/1440220846589575168/fGphVg_t_normal.jpg")</f>
        <v>https://pbs.twimg.com/profile_images/1440220846589575168/fGphVg_t_normal.jpg</v>
      </c>
      <c r="W861" s="83">
        <v>44461.302719907406</v>
      </c>
      <c r="X861" s="89">
        <v>44461</v>
      </c>
      <c r="Y861" s="87" t="s">
        <v>2309</v>
      </c>
      <c r="Z861" s="85" t="str">
        <f>HYPERLINK("https://twitter.com/bbdoobe/status/1440575572921380869")</f>
        <v>https://twitter.com/bbdoobe/status/1440575572921380869</v>
      </c>
      <c r="AA861" s="81"/>
      <c r="AB861" s="81"/>
      <c r="AC861" s="87" t="s">
        <v>3233</v>
      </c>
      <c r="AD861" s="87" t="s">
        <v>3742</v>
      </c>
      <c r="AE861" s="81" t="b">
        <v>0</v>
      </c>
      <c r="AF861" s="81">
        <v>0</v>
      </c>
      <c r="AG861" s="87" t="s">
        <v>3960</v>
      </c>
      <c r="AH861" s="81" t="b">
        <v>0</v>
      </c>
      <c r="AI861" s="81" t="s">
        <v>4092</v>
      </c>
      <c r="AJ861" s="81"/>
      <c r="AK861" s="87" t="s">
        <v>3875</v>
      </c>
      <c r="AL861" s="81" t="b">
        <v>0</v>
      </c>
      <c r="AM861" s="81">
        <v>0</v>
      </c>
      <c r="AN861" s="87" t="s">
        <v>3875</v>
      </c>
      <c r="AO861" s="87" t="s">
        <v>4109</v>
      </c>
      <c r="AP861" s="81" t="b">
        <v>0</v>
      </c>
      <c r="AQ861" s="87" t="s">
        <v>3742</v>
      </c>
      <c r="AR861" s="81" t="s">
        <v>179</v>
      </c>
      <c r="AS861" s="81">
        <v>0</v>
      </c>
      <c r="AT861" s="81">
        <v>0</v>
      </c>
      <c r="AU861" s="81"/>
      <c r="AV861" s="81"/>
      <c r="AW861" s="81"/>
      <c r="AX861" s="81"/>
      <c r="AY861" s="81"/>
      <c r="AZ861" s="81"/>
      <c r="BA861" s="81"/>
      <c r="BB861" s="81"/>
    </row>
    <row r="862" spans="1:54" x14ac:dyDescent="0.35">
      <c r="A862" s="66" t="s">
        <v>696</v>
      </c>
      <c r="B862" s="66" t="s">
        <v>1088</v>
      </c>
      <c r="C862" s="67"/>
      <c r="D862" s="68"/>
      <c r="E862" s="69"/>
      <c r="F862" s="70"/>
      <c r="G862" s="67"/>
      <c r="H862" s="71"/>
      <c r="I862" s="72"/>
      <c r="J862" s="72"/>
      <c r="K862" s="36"/>
      <c r="L862" s="79"/>
      <c r="M862" s="79"/>
      <c r="N862" s="74"/>
      <c r="O862" s="81" t="s">
        <v>1208</v>
      </c>
      <c r="P862" s="83">
        <v>44461.304525462961</v>
      </c>
      <c r="Q862" s="81" t="s">
        <v>1396</v>
      </c>
      <c r="R862" s="81"/>
      <c r="S862" s="81"/>
      <c r="T862" s="81"/>
      <c r="U862" s="81"/>
      <c r="V862" s="85" t="str">
        <f>HYPERLINK("https://pbs.twimg.com/profile_images/1430543156148195333/s1B6TgNT_normal.jpg")</f>
        <v>https://pbs.twimg.com/profile_images/1430543156148195333/s1B6TgNT_normal.jpg</v>
      </c>
      <c r="W862" s="83">
        <v>44461.304525462961</v>
      </c>
      <c r="X862" s="89">
        <v>44461</v>
      </c>
      <c r="Y862" s="87" t="s">
        <v>2310</v>
      </c>
      <c r="Z862" s="85" t="str">
        <f>HYPERLINK("https://twitter.com/dheea09/status/1440576224070279169")</f>
        <v>https://twitter.com/dheea09/status/1440576224070279169</v>
      </c>
      <c r="AA862" s="81"/>
      <c r="AB862" s="81"/>
      <c r="AC862" s="87" t="s">
        <v>3234</v>
      </c>
      <c r="AD862" s="87" t="s">
        <v>3742</v>
      </c>
      <c r="AE862" s="81" t="b">
        <v>0</v>
      </c>
      <c r="AF862" s="81">
        <v>0</v>
      </c>
      <c r="AG862" s="87" t="s">
        <v>3960</v>
      </c>
      <c r="AH862" s="81" t="b">
        <v>0</v>
      </c>
      <c r="AI862" s="81" t="s">
        <v>4092</v>
      </c>
      <c r="AJ862" s="81"/>
      <c r="AK862" s="87" t="s">
        <v>3875</v>
      </c>
      <c r="AL862" s="81" t="b">
        <v>0</v>
      </c>
      <c r="AM862" s="81">
        <v>0</v>
      </c>
      <c r="AN862" s="87" t="s">
        <v>3875</v>
      </c>
      <c r="AO862" s="87" t="s">
        <v>4109</v>
      </c>
      <c r="AP862" s="81" t="b">
        <v>0</v>
      </c>
      <c r="AQ862" s="87" t="s">
        <v>3742</v>
      </c>
      <c r="AR862" s="81" t="s">
        <v>179</v>
      </c>
      <c r="AS862" s="81">
        <v>0</v>
      </c>
      <c r="AT862" s="81">
        <v>0</v>
      </c>
      <c r="AU862" s="81"/>
      <c r="AV862" s="81"/>
      <c r="AW862" s="81"/>
      <c r="AX862" s="81"/>
      <c r="AY862" s="81"/>
      <c r="AZ862" s="81"/>
      <c r="BA862" s="81"/>
      <c r="BB862" s="81"/>
    </row>
    <row r="863" spans="1:54" x14ac:dyDescent="0.35">
      <c r="A863" s="66" t="s">
        <v>697</v>
      </c>
      <c r="B863" s="66" t="s">
        <v>1089</v>
      </c>
      <c r="C863" s="67"/>
      <c r="D863" s="68"/>
      <c r="E863" s="69"/>
      <c r="F863" s="70"/>
      <c r="G863" s="67"/>
      <c r="H863" s="71"/>
      <c r="I863" s="72"/>
      <c r="J863" s="72"/>
      <c r="K863" s="36"/>
      <c r="L863" s="79"/>
      <c r="M863" s="79"/>
      <c r="N863" s="74"/>
      <c r="O863" s="81" t="s">
        <v>1208</v>
      </c>
      <c r="P863" s="83">
        <v>44461.312962962962</v>
      </c>
      <c r="Q863" s="81" t="s">
        <v>1397</v>
      </c>
      <c r="R863" s="81"/>
      <c r="S863" s="81"/>
      <c r="T863" s="81"/>
      <c r="U863" s="81"/>
      <c r="V863" s="85" t="str">
        <f>HYPERLINK("https://pbs.twimg.com/profile_images/1410619138452561926/ACRieonY_normal.jpg")</f>
        <v>https://pbs.twimg.com/profile_images/1410619138452561926/ACRieonY_normal.jpg</v>
      </c>
      <c r="W863" s="83">
        <v>44461.312962962962</v>
      </c>
      <c r="X863" s="89">
        <v>44461</v>
      </c>
      <c r="Y863" s="87" t="s">
        <v>2311</v>
      </c>
      <c r="Z863" s="85" t="str">
        <f>HYPERLINK("https://twitter.com/cakdim/status/1440579284783939586")</f>
        <v>https://twitter.com/cakdim/status/1440579284783939586</v>
      </c>
      <c r="AA863" s="81"/>
      <c r="AB863" s="81"/>
      <c r="AC863" s="87" t="s">
        <v>3235</v>
      </c>
      <c r="AD863" s="87" t="s">
        <v>3743</v>
      </c>
      <c r="AE863" s="81" t="b">
        <v>0</v>
      </c>
      <c r="AF863" s="81">
        <v>0</v>
      </c>
      <c r="AG863" s="87" t="s">
        <v>3962</v>
      </c>
      <c r="AH863" s="81" t="b">
        <v>0</v>
      </c>
      <c r="AI863" s="81" t="s">
        <v>4092</v>
      </c>
      <c r="AJ863" s="81"/>
      <c r="AK863" s="87" t="s">
        <v>3875</v>
      </c>
      <c r="AL863" s="81" t="b">
        <v>0</v>
      </c>
      <c r="AM863" s="81">
        <v>0</v>
      </c>
      <c r="AN863" s="87" t="s">
        <v>3875</v>
      </c>
      <c r="AO863" s="87" t="s">
        <v>4110</v>
      </c>
      <c r="AP863" s="81" t="b">
        <v>0</v>
      </c>
      <c r="AQ863" s="87" t="s">
        <v>3743</v>
      </c>
      <c r="AR863" s="81" t="s">
        <v>179</v>
      </c>
      <c r="AS863" s="81">
        <v>0</v>
      </c>
      <c r="AT863" s="81">
        <v>0</v>
      </c>
      <c r="AU863" s="81"/>
      <c r="AV863" s="81"/>
      <c r="AW863" s="81"/>
      <c r="AX863" s="81"/>
      <c r="AY863" s="81"/>
      <c r="AZ863" s="81"/>
      <c r="BA863" s="81"/>
      <c r="BB863" s="81"/>
    </row>
    <row r="864" spans="1:54" x14ac:dyDescent="0.35">
      <c r="A864" s="66" t="s">
        <v>698</v>
      </c>
      <c r="B864" s="66" t="s">
        <v>1055</v>
      </c>
      <c r="C864" s="67"/>
      <c r="D864" s="68"/>
      <c r="E864" s="69"/>
      <c r="F864" s="70"/>
      <c r="G864" s="67"/>
      <c r="H864" s="71"/>
      <c r="I864" s="72"/>
      <c r="J864" s="72"/>
      <c r="K864" s="36"/>
      <c r="L864" s="79"/>
      <c r="M864" s="79"/>
      <c r="N864" s="74"/>
      <c r="O864" s="81" t="s">
        <v>1207</v>
      </c>
      <c r="P864" s="83">
        <v>44461.321006944447</v>
      </c>
      <c r="Q864" s="81" t="s">
        <v>1324</v>
      </c>
      <c r="R864" s="81"/>
      <c r="S864" s="81"/>
      <c r="T864" s="81"/>
      <c r="U864" s="85" t="str">
        <f>HYPERLINK("https://pbs.twimg.com/media/E_xVJy2VQAQerFe.jpg")</f>
        <v>https://pbs.twimg.com/media/E_xVJy2VQAQerFe.jpg</v>
      </c>
      <c r="V864" s="85" t="str">
        <f>HYPERLINK("https://pbs.twimg.com/media/E_xVJy2VQAQerFe.jpg")</f>
        <v>https://pbs.twimg.com/media/E_xVJy2VQAQerFe.jpg</v>
      </c>
      <c r="W864" s="83">
        <v>44461.321006944447</v>
      </c>
      <c r="X864" s="89">
        <v>44461</v>
      </c>
      <c r="Y864" s="87" t="s">
        <v>2312</v>
      </c>
      <c r="Z864" s="85" t="str">
        <f>HYPERLINK("https://twitter.com/dreamitb2uty/status/1440582196989882385")</f>
        <v>https://twitter.com/dreamitb2uty/status/1440582196989882385</v>
      </c>
      <c r="AA864" s="81"/>
      <c r="AB864" s="81"/>
      <c r="AC864" s="87" t="s">
        <v>3236</v>
      </c>
      <c r="AD864" s="81"/>
      <c r="AE864" s="81" t="b">
        <v>0</v>
      </c>
      <c r="AF864" s="81">
        <v>0</v>
      </c>
      <c r="AG864" s="87" t="s">
        <v>3875</v>
      </c>
      <c r="AH864" s="81" t="b">
        <v>0</v>
      </c>
      <c r="AI864" s="81" t="s">
        <v>4092</v>
      </c>
      <c r="AJ864" s="81"/>
      <c r="AK864" s="87" t="s">
        <v>3875</v>
      </c>
      <c r="AL864" s="81" t="b">
        <v>0</v>
      </c>
      <c r="AM864" s="81">
        <v>321</v>
      </c>
      <c r="AN864" s="87" t="s">
        <v>3520</v>
      </c>
      <c r="AO864" s="87" t="s">
        <v>4109</v>
      </c>
      <c r="AP864" s="81" t="b">
        <v>0</v>
      </c>
      <c r="AQ864" s="87" t="s">
        <v>3520</v>
      </c>
      <c r="AR864" s="81" t="s">
        <v>179</v>
      </c>
      <c r="AS864" s="81">
        <v>0</v>
      </c>
      <c r="AT864" s="81">
        <v>0</v>
      </c>
      <c r="AU864" s="81"/>
      <c r="AV864" s="81"/>
      <c r="AW864" s="81"/>
      <c r="AX864" s="81"/>
      <c r="AY864" s="81"/>
      <c r="AZ864" s="81"/>
      <c r="BA864" s="81"/>
      <c r="BB864" s="81"/>
    </row>
    <row r="865" spans="1:54" x14ac:dyDescent="0.35">
      <c r="A865" s="66" t="s">
        <v>698</v>
      </c>
      <c r="B865" s="66" t="s">
        <v>910</v>
      </c>
      <c r="C865" s="67"/>
      <c r="D865" s="68"/>
      <c r="E865" s="69"/>
      <c r="F865" s="70"/>
      <c r="G865" s="67"/>
      <c r="H865" s="71"/>
      <c r="I865" s="72"/>
      <c r="J865" s="72"/>
      <c r="K865" s="36"/>
      <c r="L865" s="79"/>
      <c r="M865" s="79"/>
      <c r="N865" s="74"/>
      <c r="O865" s="81" t="s">
        <v>1205</v>
      </c>
      <c r="P865" s="83">
        <v>44461.321006944447</v>
      </c>
      <c r="Q865" s="81" t="s">
        <v>1324</v>
      </c>
      <c r="R865" s="81"/>
      <c r="S865" s="81"/>
      <c r="T865" s="81"/>
      <c r="U865" s="85" t="str">
        <f>HYPERLINK("https://pbs.twimg.com/media/E_xVJy2VQAQerFe.jpg")</f>
        <v>https://pbs.twimg.com/media/E_xVJy2VQAQerFe.jpg</v>
      </c>
      <c r="V865" s="85" t="str">
        <f>HYPERLINK("https://pbs.twimg.com/media/E_xVJy2VQAQerFe.jpg")</f>
        <v>https://pbs.twimg.com/media/E_xVJy2VQAQerFe.jpg</v>
      </c>
      <c r="W865" s="83">
        <v>44461.321006944447</v>
      </c>
      <c r="X865" s="89">
        <v>44461</v>
      </c>
      <c r="Y865" s="87" t="s">
        <v>2312</v>
      </c>
      <c r="Z865" s="85" t="str">
        <f>HYPERLINK("https://twitter.com/dreamitb2uty/status/1440582196989882385")</f>
        <v>https://twitter.com/dreamitb2uty/status/1440582196989882385</v>
      </c>
      <c r="AA865" s="81"/>
      <c r="AB865" s="81"/>
      <c r="AC865" s="87" t="s">
        <v>3236</v>
      </c>
      <c r="AD865" s="81"/>
      <c r="AE865" s="81" t="b">
        <v>0</v>
      </c>
      <c r="AF865" s="81">
        <v>0</v>
      </c>
      <c r="AG865" s="87" t="s">
        <v>3875</v>
      </c>
      <c r="AH865" s="81" t="b">
        <v>0</v>
      </c>
      <c r="AI865" s="81" t="s">
        <v>4092</v>
      </c>
      <c r="AJ865" s="81"/>
      <c r="AK865" s="87" t="s">
        <v>3875</v>
      </c>
      <c r="AL865" s="81" t="b">
        <v>0</v>
      </c>
      <c r="AM865" s="81">
        <v>321</v>
      </c>
      <c r="AN865" s="87" t="s">
        <v>3520</v>
      </c>
      <c r="AO865" s="87" t="s">
        <v>4109</v>
      </c>
      <c r="AP865" s="81" t="b">
        <v>0</v>
      </c>
      <c r="AQ865" s="87" t="s">
        <v>3520</v>
      </c>
      <c r="AR865" s="81" t="s">
        <v>179</v>
      </c>
      <c r="AS865" s="81">
        <v>0</v>
      </c>
      <c r="AT865" s="81">
        <v>0</v>
      </c>
      <c r="AU865" s="81"/>
      <c r="AV865" s="81"/>
      <c r="AW865" s="81"/>
      <c r="AX865" s="81"/>
      <c r="AY865" s="81"/>
      <c r="AZ865" s="81"/>
      <c r="BA865" s="81"/>
      <c r="BB865" s="81"/>
    </row>
    <row r="866" spans="1:54" x14ac:dyDescent="0.35">
      <c r="A866" s="66" t="s">
        <v>699</v>
      </c>
      <c r="B866" s="66" t="s">
        <v>699</v>
      </c>
      <c r="C866" s="67"/>
      <c r="D866" s="68"/>
      <c r="E866" s="69"/>
      <c r="F866" s="70"/>
      <c r="G866" s="67"/>
      <c r="H866" s="71"/>
      <c r="I866" s="72"/>
      <c r="J866" s="72"/>
      <c r="K866" s="36"/>
      <c r="L866" s="79"/>
      <c r="M866" s="79"/>
      <c r="N866" s="74"/>
      <c r="O866" s="81" t="s">
        <v>179</v>
      </c>
      <c r="P866" s="83">
        <v>44461.061412037037</v>
      </c>
      <c r="Q866" s="81" t="s">
        <v>1372</v>
      </c>
      <c r="R866" s="81"/>
      <c r="S866" s="81"/>
      <c r="T866" s="81"/>
      <c r="U866" s="85" t="str">
        <f>HYPERLINK("https://pbs.twimg.com/media/E_2kSkqVUAAjs6E.jpg")</f>
        <v>https://pbs.twimg.com/media/E_2kSkqVUAAjs6E.jpg</v>
      </c>
      <c r="V866" s="85" t="str">
        <f>HYPERLINK("https://pbs.twimg.com/media/E_2kSkqVUAAjs6E.jpg")</f>
        <v>https://pbs.twimg.com/media/E_2kSkqVUAAjs6E.jpg</v>
      </c>
      <c r="W866" s="83">
        <v>44461.061412037037</v>
      </c>
      <c r="X866" s="89">
        <v>44461</v>
      </c>
      <c r="Y866" s="87" t="s">
        <v>2313</v>
      </c>
      <c r="Z866" s="85" t="str">
        <f>HYPERLINK("https://twitter.com/karantinapriok/status/1440488124027572226")</f>
        <v>https://twitter.com/karantinapriok/status/1440488124027572226</v>
      </c>
      <c r="AA866" s="81"/>
      <c r="AB866" s="81"/>
      <c r="AC866" s="87" t="s">
        <v>3237</v>
      </c>
      <c r="AD866" s="81"/>
      <c r="AE866" s="81" t="b">
        <v>0</v>
      </c>
      <c r="AF866" s="81">
        <v>3</v>
      </c>
      <c r="AG866" s="87" t="s">
        <v>3875</v>
      </c>
      <c r="AH866" s="81" t="b">
        <v>0</v>
      </c>
      <c r="AI866" s="81" t="s">
        <v>4092</v>
      </c>
      <c r="AJ866" s="81"/>
      <c r="AK866" s="87" t="s">
        <v>3875</v>
      </c>
      <c r="AL866" s="81" t="b">
        <v>0</v>
      </c>
      <c r="AM866" s="81">
        <v>2</v>
      </c>
      <c r="AN866" s="87" t="s">
        <v>3875</v>
      </c>
      <c r="AO866" s="87" t="s">
        <v>4109</v>
      </c>
      <c r="AP866" s="81" t="b">
        <v>0</v>
      </c>
      <c r="AQ866" s="87" t="s">
        <v>3237</v>
      </c>
      <c r="AR866" s="81" t="s">
        <v>179</v>
      </c>
      <c r="AS866" s="81">
        <v>0</v>
      </c>
      <c r="AT866" s="81">
        <v>0</v>
      </c>
      <c r="AU866" s="81"/>
      <c r="AV866" s="81"/>
      <c r="AW866" s="81"/>
      <c r="AX866" s="81"/>
      <c r="AY866" s="81"/>
      <c r="AZ866" s="81"/>
      <c r="BA866" s="81"/>
      <c r="BB866" s="81"/>
    </row>
    <row r="867" spans="1:54" x14ac:dyDescent="0.35">
      <c r="A867" s="66" t="s">
        <v>700</v>
      </c>
      <c r="B867" s="66" t="s">
        <v>699</v>
      </c>
      <c r="C867" s="67"/>
      <c r="D867" s="68"/>
      <c r="E867" s="69"/>
      <c r="F867" s="70"/>
      <c r="G867" s="67"/>
      <c r="H867" s="71"/>
      <c r="I867" s="72"/>
      <c r="J867" s="72"/>
      <c r="K867" s="36"/>
      <c r="L867" s="79"/>
      <c r="M867" s="79"/>
      <c r="N867" s="74"/>
      <c r="O867" s="81" t="s">
        <v>1205</v>
      </c>
      <c r="P867" s="83">
        <v>44461.327037037037</v>
      </c>
      <c r="Q867" s="81" t="s">
        <v>1372</v>
      </c>
      <c r="R867" s="81"/>
      <c r="S867" s="81"/>
      <c r="T867" s="81"/>
      <c r="U867" s="85" t="str">
        <f>HYPERLINK("https://pbs.twimg.com/media/E_2kSkqVUAAjs6E.jpg")</f>
        <v>https://pbs.twimg.com/media/E_2kSkqVUAAjs6E.jpg</v>
      </c>
      <c r="V867" s="85" t="str">
        <f>HYPERLINK("https://pbs.twimg.com/media/E_2kSkqVUAAjs6E.jpg")</f>
        <v>https://pbs.twimg.com/media/E_2kSkqVUAAjs6E.jpg</v>
      </c>
      <c r="W867" s="83">
        <v>44461.327037037037</v>
      </c>
      <c r="X867" s="89">
        <v>44461</v>
      </c>
      <c r="Y867" s="87" t="s">
        <v>2314</v>
      </c>
      <c r="Z867" s="85" t="str">
        <f>HYPERLINK("https://twitter.com/isworo63/status/1440584385598611464")</f>
        <v>https://twitter.com/isworo63/status/1440584385598611464</v>
      </c>
      <c r="AA867" s="81"/>
      <c r="AB867" s="81"/>
      <c r="AC867" s="87" t="s">
        <v>3238</v>
      </c>
      <c r="AD867" s="81"/>
      <c r="AE867" s="81" t="b">
        <v>0</v>
      </c>
      <c r="AF867" s="81">
        <v>0</v>
      </c>
      <c r="AG867" s="87" t="s">
        <v>3875</v>
      </c>
      <c r="AH867" s="81" t="b">
        <v>0</v>
      </c>
      <c r="AI867" s="81" t="s">
        <v>4092</v>
      </c>
      <c r="AJ867" s="81"/>
      <c r="AK867" s="87" t="s">
        <v>3875</v>
      </c>
      <c r="AL867" s="81" t="b">
        <v>0</v>
      </c>
      <c r="AM867" s="81">
        <v>2</v>
      </c>
      <c r="AN867" s="87" t="s">
        <v>3237</v>
      </c>
      <c r="AO867" s="87" t="s">
        <v>4109</v>
      </c>
      <c r="AP867" s="81" t="b">
        <v>0</v>
      </c>
      <c r="AQ867" s="87" t="s">
        <v>3237</v>
      </c>
      <c r="AR867" s="81" t="s">
        <v>179</v>
      </c>
      <c r="AS867" s="81">
        <v>0</v>
      </c>
      <c r="AT867" s="81">
        <v>0</v>
      </c>
      <c r="AU867" s="81"/>
      <c r="AV867" s="81"/>
      <c r="AW867" s="81"/>
      <c r="AX867" s="81"/>
      <c r="AY867" s="81"/>
      <c r="AZ867" s="81"/>
      <c r="BA867" s="81"/>
      <c r="BB867" s="81"/>
    </row>
    <row r="868" spans="1:54" x14ac:dyDescent="0.35">
      <c r="A868" s="66" t="s">
        <v>701</v>
      </c>
      <c r="B868" s="66" t="s">
        <v>701</v>
      </c>
      <c r="C868" s="67"/>
      <c r="D868" s="68"/>
      <c r="E868" s="69"/>
      <c r="F868" s="70"/>
      <c r="G868" s="67"/>
      <c r="H868" s="71"/>
      <c r="I868" s="72"/>
      <c r="J868" s="72"/>
      <c r="K868" s="36"/>
      <c r="L868" s="79"/>
      <c r="M868" s="79"/>
      <c r="N868" s="74"/>
      <c r="O868" s="81" t="s">
        <v>179</v>
      </c>
      <c r="P868" s="83">
        <v>44461.327430555553</v>
      </c>
      <c r="Q868" s="81" t="s">
        <v>1398</v>
      </c>
      <c r="R868" s="81"/>
      <c r="S868" s="81"/>
      <c r="T868" s="81"/>
      <c r="U868" s="81"/>
      <c r="V868" s="85" t="str">
        <f>HYPERLINK("https://pbs.twimg.com/profile_images/1442515741442396162/b_n0e1kP_normal.jpg")</f>
        <v>https://pbs.twimg.com/profile_images/1442515741442396162/b_n0e1kP_normal.jpg</v>
      </c>
      <c r="W868" s="83">
        <v>44461.327430555553</v>
      </c>
      <c r="X868" s="89">
        <v>44461</v>
      </c>
      <c r="Y868" s="87" t="s">
        <v>2315</v>
      </c>
      <c r="Z868" s="85" t="str">
        <f>HYPERLINK("https://twitter.com/marimaasss/status/1440584526942523411")</f>
        <v>https://twitter.com/marimaasss/status/1440584526942523411</v>
      </c>
      <c r="AA868" s="81"/>
      <c r="AB868" s="81"/>
      <c r="AC868" s="87" t="s">
        <v>3239</v>
      </c>
      <c r="AD868" s="81"/>
      <c r="AE868" s="81" t="b">
        <v>0</v>
      </c>
      <c r="AF868" s="81">
        <v>0</v>
      </c>
      <c r="AG868" s="87" t="s">
        <v>3875</v>
      </c>
      <c r="AH868" s="81" t="b">
        <v>0</v>
      </c>
      <c r="AI868" s="81" t="s">
        <v>4092</v>
      </c>
      <c r="AJ868" s="81"/>
      <c r="AK868" s="87" t="s">
        <v>3875</v>
      </c>
      <c r="AL868" s="81" t="b">
        <v>0</v>
      </c>
      <c r="AM868" s="81">
        <v>0</v>
      </c>
      <c r="AN868" s="87" t="s">
        <v>3875</v>
      </c>
      <c r="AO868" s="87" t="s">
        <v>4109</v>
      </c>
      <c r="AP868" s="81" t="b">
        <v>0</v>
      </c>
      <c r="AQ868" s="87" t="s">
        <v>3239</v>
      </c>
      <c r="AR868" s="81" t="s">
        <v>179</v>
      </c>
      <c r="AS868" s="81">
        <v>0</v>
      </c>
      <c r="AT868" s="81">
        <v>0</v>
      </c>
      <c r="AU868" s="81"/>
      <c r="AV868" s="81"/>
      <c r="AW868" s="81"/>
      <c r="AX868" s="81"/>
      <c r="AY868" s="81"/>
      <c r="AZ868" s="81"/>
      <c r="BA868" s="81"/>
      <c r="BB868" s="81"/>
    </row>
    <row r="869" spans="1:54" x14ac:dyDescent="0.35">
      <c r="A869" s="66" t="s">
        <v>702</v>
      </c>
      <c r="B869" s="66" t="s">
        <v>1055</v>
      </c>
      <c r="C869" s="67"/>
      <c r="D869" s="68"/>
      <c r="E869" s="69"/>
      <c r="F869" s="70"/>
      <c r="G869" s="67"/>
      <c r="H869" s="71"/>
      <c r="I869" s="72"/>
      <c r="J869" s="72"/>
      <c r="K869" s="36"/>
      <c r="L869" s="79"/>
      <c r="M869" s="79"/>
      <c r="N869" s="74"/>
      <c r="O869" s="81" t="s">
        <v>1207</v>
      </c>
      <c r="P869" s="83">
        <v>44461.327789351853</v>
      </c>
      <c r="Q869" s="81" t="s">
        <v>1324</v>
      </c>
      <c r="R869" s="81"/>
      <c r="S869" s="81"/>
      <c r="T869" s="81"/>
      <c r="U869" s="85" t="str">
        <f>HYPERLINK("https://pbs.twimg.com/media/E_xVJy2VQAQerFe.jpg")</f>
        <v>https://pbs.twimg.com/media/E_xVJy2VQAQerFe.jpg</v>
      </c>
      <c r="V869" s="85" t="str">
        <f>HYPERLINK("https://pbs.twimg.com/media/E_xVJy2VQAQerFe.jpg")</f>
        <v>https://pbs.twimg.com/media/E_xVJy2VQAQerFe.jpg</v>
      </c>
      <c r="W869" s="83">
        <v>44461.327789351853</v>
      </c>
      <c r="X869" s="89">
        <v>44461</v>
      </c>
      <c r="Y869" s="87" t="s">
        <v>2316</v>
      </c>
      <c r="Z869" s="85" t="str">
        <f>HYPERLINK("https://twitter.com/soe_dody/status/1440584654482935813")</f>
        <v>https://twitter.com/soe_dody/status/1440584654482935813</v>
      </c>
      <c r="AA869" s="81"/>
      <c r="AB869" s="81"/>
      <c r="AC869" s="87" t="s">
        <v>3240</v>
      </c>
      <c r="AD869" s="81"/>
      <c r="AE869" s="81" t="b">
        <v>0</v>
      </c>
      <c r="AF869" s="81">
        <v>0</v>
      </c>
      <c r="AG869" s="87" t="s">
        <v>3875</v>
      </c>
      <c r="AH869" s="81" t="b">
        <v>0</v>
      </c>
      <c r="AI869" s="81" t="s">
        <v>4092</v>
      </c>
      <c r="AJ869" s="81"/>
      <c r="AK869" s="87" t="s">
        <v>3875</v>
      </c>
      <c r="AL869" s="81" t="b">
        <v>0</v>
      </c>
      <c r="AM869" s="81">
        <v>321</v>
      </c>
      <c r="AN869" s="87" t="s">
        <v>3520</v>
      </c>
      <c r="AO869" s="87" t="s">
        <v>4109</v>
      </c>
      <c r="AP869" s="81" t="b">
        <v>0</v>
      </c>
      <c r="AQ869" s="87" t="s">
        <v>3520</v>
      </c>
      <c r="AR869" s="81" t="s">
        <v>179</v>
      </c>
      <c r="AS869" s="81">
        <v>0</v>
      </c>
      <c r="AT869" s="81">
        <v>0</v>
      </c>
      <c r="AU869" s="81"/>
      <c r="AV869" s="81"/>
      <c r="AW869" s="81"/>
      <c r="AX869" s="81"/>
      <c r="AY869" s="81"/>
      <c r="AZ869" s="81"/>
      <c r="BA869" s="81"/>
      <c r="BB869" s="81"/>
    </row>
    <row r="870" spans="1:54" x14ac:dyDescent="0.35">
      <c r="A870" s="66" t="s">
        <v>702</v>
      </c>
      <c r="B870" s="66" t="s">
        <v>910</v>
      </c>
      <c r="C870" s="67"/>
      <c r="D870" s="68"/>
      <c r="E870" s="69"/>
      <c r="F870" s="70"/>
      <c r="G870" s="67"/>
      <c r="H870" s="71"/>
      <c r="I870" s="72"/>
      <c r="J870" s="72"/>
      <c r="K870" s="36"/>
      <c r="L870" s="79"/>
      <c r="M870" s="79"/>
      <c r="N870" s="74"/>
      <c r="O870" s="81" t="s">
        <v>1205</v>
      </c>
      <c r="P870" s="83">
        <v>44461.327789351853</v>
      </c>
      <c r="Q870" s="81" t="s">
        <v>1324</v>
      </c>
      <c r="R870" s="81"/>
      <c r="S870" s="81"/>
      <c r="T870" s="81"/>
      <c r="U870" s="85" t="str">
        <f>HYPERLINK("https://pbs.twimg.com/media/E_xVJy2VQAQerFe.jpg")</f>
        <v>https://pbs.twimg.com/media/E_xVJy2VQAQerFe.jpg</v>
      </c>
      <c r="V870" s="85" t="str">
        <f>HYPERLINK("https://pbs.twimg.com/media/E_xVJy2VQAQerFe.jpg")</f>
        <v>https://pbs.twimg.com/media/E_xVJy2VQAQerFe.jpg</v>
      </c>
      <c r="W870" s="83">
        <v>44461.327789351853</v>
      </c>
      <c r="X870" s="89">
        <v>44461</v>
      </c>
      <c r="Y870" s="87" t="s">
        <v>2316</v>
      </c>
      <c r="Z870" s="85" t="str">
        <f>HYPERLINK("https://twitter.com/soe_dody/status/1440584654482935813")</f>
        <v>https://twitter.com/soe_dody/status/1440584654482935813</v>
      </c>
      <c r="AA870" s="81"/>
      <c r="AB870" s="81"/>
      <c r="AC870" s="87" t="s">
        <v>3240</v>
      </c>
      <c r="AD870" s="81"/>
      <c r="AE870" s="81" t="b">
        <v>0</v>
      </c>
      <c r="AF870" s="81">
        <v>0</v>
      </c>
      <c r="AG870" s="87" t="s">
        <v>3875</v>
      </c>
      <c r="AH870" s="81" t="b">
        <v>0</v>
      </c>
      <c r="AI870" s="81" t="s">
        <v>4092</v>
      </c>
      <c r="AJ870" s="81"/>
      <c r="AK870" s="87" t="s">
        <v>3875</v>
      </c>
      <c r="AL870" s="81" t="b">
        <v>0</v>
      </c>
      <c r="AM870" s="81">
        <v>321</v>
      </c>
      <c r="AN870" s="87" t="s">
        <v>3520</v>
      </c>
      <c r="AO870" s="87" t="s">
        <v>4109</v>
      </c>
      <c r="AP870" s="81" t="b">
        <v>0</v>
      </c>
      <c r="AQ870" s="87" t="s">
        <v>3520</v>
      </c>
      <c r="AR870" s="81" t="s">
        <v>179</v>
      </c>
      <c r="AS870" s="81">
        <v>0</v>
      </c>
      <c r="AT870" s="81">
        <v>0</v>
      </c>
      <c r="AU870" s="81"/>
      <c r="AV870" s="81"/>
      <c r="AW870" s="81"/>
      <c r="AX870" s="81"/>
      <c r="AY870" s="81"/>
      <c r="AZ870" s="81"/>
      <c r="BA870" s="81"/>
      <c r="BB870" s="81"/>
    </row>
    <row r="871" spans="1:54" x14ac:dyDescent="0.35">
      <c r="A871" s="66" t="s">
        <v>702</v>
      </c>
      <c r="B871" s="66" t="s">
        <v>1034</v>
      </c>
      <c r="C871" s="67"/>
      <c r="D871" s="68"/>
      <c r="E871" s="69"/>
      <c r="F871" s="70"/>
      <c r="G871" s="67"/>
      <c r="H871" s="71"/>
      <c r="I871" s="72"/>
      <c r="J871" s="72"/>
      <c r="K871" s="36"/>
      <c r="L871" s="79"/>
      <c r="M871" s="79"/>
      <c r="N871" s="74"/>
      <c r="O871" s="81" t="s">
        <v>1207</v>
      </c>
      <c r="P871" s="83">
        <v>44461.328113425923</v>
      </c>
      <c r="Q871" s="81" t="s">
        <v>1334</v>
      </c>
      <c r="R871" s="81"/>
      <c r="S871" s="81"/>
      <c r="T871" s="81"/>
      <c r="U871" s="81"/>
      <c r="V871" s="85" t="str">
        <f>HYPERLINK("https://pbs.twimg.com/profile_images/1237086300852736002/qtMVsgrM_normal.jpg")</f>
        <v>https://pbs.twimg.com/profile_images/1237086300852736002/qtMVsgrM_normal.jpg</v>
      </c>
      <c r="W871" s="83">
        <v>44461.328113425923</v>
      </c>
      <c r="X871" s="89">
        <v>44461</v>
      </c>
      <c r="Y871" s="87" t="s">
        <v>2317</v>
      </c>
      <c r="Z871" s="85" t="str">
        <f>HYPERLINK("https://twitter.com/soe_dody/status/1440584775882866691")</f>
        <v>https://twitter.com/soe_dody/status/1440584775882866691</v>
      </c>
      <c r="AA871" s="81"/>
      <c r="AB871" s="81"/>
      <c r="AC871" s="87" t="s">
        <v>3241</v>
      </c>
      <c r="AD871" s="81"/>
      <c r="AE871" s="81" t="b">
        <v>0</v>
      </c>
      <c r="AF871" s="81">
        <v>0</v>
      </c>
      <c r="AG871" s="87" t="s">
        <v>3875</v>
      </c>
      <c r="AH871" s="81" t="b">
        <v>0</v>
      </c>
      <c r="AI871" s="81" t="s">
        <v>4092</v>
      </c>
      <c r="AJ871" s="81"/>
      <c r="AK871" s="87" t="s">
        <v>3875</v>
      </c>
      <c r="AL871" s="81" t="b">
        <v>0</v>
      </c>
      <c r="AM871" s="81">
        <v>4</v>
      </c>
      <c r="AN871" s="87" t="s">
        <v>3487</v>
      </c>
      <c r="AO871" s="87" t="s">
        <v>4109</v>
      </c>
      <c r="AP871" s="81" t="b">
        <v>0</v>
      </c>
      <c r="AQ871" s="87" t="s">
        <v>3487</v>
      </c>
      <c r="AR871" s="81" t="s">
        <v>179</v>
      </c>
      <c r="AS871" s="81">
        <v>0</v>
      </c>
      <c r="AT871" s="81">
        <v>0</v>
      </c>
      <c r="AU871" s="81"/>
      <c r="AV871" s="81"/>
      <c r="AW871" s="81"/>
      <c r="AX871" s="81"/>
      <c r="AY871" s="81"/>
      <c r="AZ871" s="81"/>
      <c r="BA871" s="81"/>
      <c r="BB871" s="81"/>
    </row>
    <row r="872" spans="1:54" x14ac:dyDescent="0.35">
      <c r="A872" s="66" t="s">
        <v>702</v>
      </c>
      <c r="B872" s="66" t="s">
        <v>910</v>
      </c>
      <c r="C872" s="67"/>
      <c r="D872" s="68"/>
      <c r="E872" s="69"/>
      <c r="F872" s="70"/>
      <c r="G872" s="67"/>
      <c r="H872" s="71"/>
      <c r="I872" s="72"/>
      <c r="J872" s="72"/>
      <c r="K872" s="36"/>
      <c r="L872" s="79"/>
      <c r="M872" s="79"/>
      <c r="N872" s="74"/>
      <c r="O872" s="81" t="s">
        <v>1205</v>
      </c>
      <c r="P872" s="83">
        <v>44461.328113425923</v>
      </c>
      <c r="Q872" s="81" t="s">
        <v>1334</v>
      </c>
      <c r="R872" s="81"/>
      <c r="S872" s="81"/>
      <c r="T872" s="81"/>
      <c r="U872" s="81"/>
      <c r="V872" s="85" t="str">
        <f>HYPERLINK("https://pbs.twimg.com/profile_images/1237086300852736002/qtMVsgrM_normal.jpg")</f>
        <v>https://pbs.twimg.com/profile_images/1237086300852736002/qtMVsgrM_normal.jpg</v>
      </c>
      <c r="W872" s="83">
        <v>44461.328113425923</v>
      </c>
      <c r="X872" s="89">
        <v>44461</v>
      </c>
      <c r="Y872" s="87" t="s">
        <v>2317</v>
      </c>
      <c r="Z872" s="85" t="str">
        <f>HYPERLINK("https://twitter.com/soe_dody/status/1440584775882866691")</f>
        <v>https://twitter.com/soe_dody/status/1440584775882866691</v>
      </c>
      <c r="AA872" s="81"/>
      <c r="AB872" s="81"/>
      <c r="AC872" s="87" t="s">
        <v>3241</v>
      </c>
      <c r="AD872" s="81"/>
      <c r="AE872" s="81" t="b">
        <v>0</v>
      </c>
      <c r="AF872" s="81">
        <v>0</v>
      </c>
      <c r="AG872" s="87" t="s">
        <v>3875</v>
      </c>
      <c r="AH872" s="81" t="b">
        <v>0</v>
      </c>
      <c r="AI872" s="81" t="s">
        <v>4092</v>
      </c>
      <c r="AJ872" s="81"/>
      <c r="AK872" s="87" t="s">
        <v>3875</v>
      </c>
      <c r="AL872" s="81" t="b">
        <v>0</v>
      </c>
      <c r="AM872" s="81">
        <v>4</v>
      </c>
      <c r="AN872" s="87" t="s">
        <v>3487</v>
      </c>
      <c r="AO872" s="87" t="s">
        <v>4109</v>
      </c>
      <c r="AP872" s="81" t="b">
        <v>0</v>
      </c>
      <c r="AQ872" s="87" t="s">
        <v>3487</v>
      </c>
      <c r="AR872" s="81" t="s">
        <v>179</v>
      </c>
      <c r="AS872" s="81">
        <v>0</v>
      </c>
      <c r="AT872" s="81">
        <v>0</v>
      </c>
      <c r="AU872" s="81"/>
      <c r="AV872" s="81"/>
      <c r="AW872" s="81"/>
      <c r="AX872" s="81"/>
      <c r="AY872" s="81"/>
      <c r="AZ872" s="81"/>
      <c r="BA872" s="81"/>
      <c r="BB872" s="81"/>
    </row>
    <row r="873" spans="1:54" x14ac:dyDescent="0.35">
      <c r="A873" s="66" t="s">
        <v>702</v>
      </c>
      <c r="B873" s="66" t="s">
        <v>1055</v>
      </c>
      <c r="C873" s="67"/>
      <c r="D873" s="68"/>
      <c r="E873" s="69"/>
      <c r="F873" s="70"/>
      <c r="G873" s="67"/>
      <c r="H873" s="71"/>
      <c r="I873" s="72"/>
      <c r="J873" s="72"/>
      <c r="K873" s="36"/>
      <c r="L873" s="79"/>
      <c r="M873" s="79"/>
      <c r="N873" s="74"/>
      <c r="O873" s="81" t="s">
        <v>1208</v>
      </c>
      <c r="P873" s="83">
        <v>44461.328113425923</v>
      </c>
      <c r="Q873" s="81" t="s">
        <v>1334</v>
      </c>
      <c r="R873" s="81"/>
      <c r="S873" s="81"/>
      <c r="T873" s="81"/>
      <c r="U873" s="81"/>
      <c r="V873" s="85" t="str">
        <f>HYPERLINK("https://pbs.twimg.com/profile_images/1237086300852736002/qtMVsgrM_normal.jpg")</f>
        <v>https://pbs.twimg.com/profile_images/1237086300852736002/qtMVsgrM_normal.jpg</v>
      </c>
      <c r="W873" s="83">
        <v>44461.328113425923</v>
      </c>
      <c r="X873" s="89">
        <v>44461</v>
      </c>
      <c r="Y873" s="87" t="s">
        <v>2317</v>
      </c>
      <c r="Z873" s="85" t="str">
        <f>HYPERLINK("https://twitter.com/soe_dody/status/1440584775882866691")</f>
        <v>https://twitter.com/soe_dody/status/1440584775882866691</v>
      </c>
      <c r="AA873" s="81"/>
      <c r="AB873" s="81"/>
      <c r="AC873" s="87" t="s">
        <v>3241</v>
      </c>
      <c r="AD873" s="81"/>
      <c r="AE873" s="81" t="b">
        <v>0</v>
      </c>
      <c r="AF873" s="81">
        <v>0</v>
      </c>
      <c r="AG873" s="87" t="s">
        <v>3875</v>
      </c>
      <c r="AH873" s="81" t="b">
        <v>0</v>
      </c>
      <c r="AI873" s="81" t="s">
        <v>4092</v>
      </c>
      <c r="AJ873" s="81"/>
      <c r="AK873" s="87" t="s">
        <v>3875</v>
      </c>
      <c r="AL873" s="81" t="b">
        <v>0</v>
      </c>
      <c r="AM873" s="81">
        <v>4</v>
      </c>
      <c r="AN873" s="87" t="s">
        <v>3487</v>
      </c>
      <c r="AO873" s="87" t="s">
        <v>4109</v>
      </c>
      <c r="AP873" s="81" t="b">
        <v>0</v>
      </c>
      <c r="AQ873" s="87" t="s">
        <v>3487</v>
      </c>
      <c r="AR873" s="81" t="s">
        <v>179</v>
      </c>
      <c r="AS873" s="81">
        <v>0</v>
      </c>
      <c r="AT873" s="81">
        <v>0</v>
      </c>
      <c r="AU873" s="81"/>
      <c r="AV873" s="81"/>
      <c r="AW873" s="81"/>
      <c r="AX873" s="81"/>
      <c r="AY873" s="81"/>
      <c r="AZ873" s="81"/>
      <c r="BA873" s="81"/>
      <c r="BB873" s="81"/>
    </row>
    <row r="874" spans="1:54" x14ac:dyDescent="0.35">
      <c r="A874" s="66" t="s">
        <v>703</v>
      </c>
      <c r="B874" s="66" t="s">
        <v>1055</v>
      </c>
      <c r="C874" s="67"/>
      <c r="D874" s="68"/>
      <c r="E874" s="69"/>
      <c r="F874" s="70"/>
      <c r="G874" s="67"/>
      <c r="H874" s="71"/>
      <c r="I874" s="72"/>
      <c r="J874" s="72"/>
      <c r="K874" s="36"/>
      <c r="L874" s="79"/>
      <c r="M874" s="79"/>
      <c r="N874" s="74"/>
      <c r="O874" s="81" t="s">
        <v>1207</v>
      </c>
      <c r="P874" s="83">
        <v>44461.333449074074</v>
      </c>
      <c r="Q874" s="81" t="s">
        <v>1324</v>
      </c>
      <c r="R874" s="81"/>
      <c r="S874" s="81"/>
      <c r="T874" s="81"/>
      <c r="U874" s="85" t="str">
        <f>HYPERLINK("https://pbs.twimg.com/media/E_xVJy2VQAQerFe.jpg")</f>
        <v>https://pbs.twimg.com/media/E_xVJy2VQAQerFe.jpg</v>
      </c>
      <c r="V874" s="85" t="str">
        <f>HYPERLINK("https://pbs.twimg.com/media/E_xVJy2VQAQerFe.jpg")</f>
        <v>https://pbs.twimg.com/media/E_xVJy2VQAQerFe.jpg</v>
      </c>
      <c r="W874" s="83">
        <v>44461.333449074074</v>
      </c>
      <c r="X874" s="89">
        <v>44461</v>
      </c>
      <c r="Y874" s="87" t="s">
        <v>2318</v>
      </c>
      <c r="Z874" s="85" t="str">
        <f>HYPERLINK("https://twitter.com/wulandarip17/status/1440586706684571649")</f>
        <v>https://twitter.com/wulandarip17/status/1440586706684571649</v>
      </c>
      <c r="AA874" s="81"/>
      <c r="AB874" s="81"/>
      <c r="AC874" s="87" t="s">
        <v>3242</v>
      </c>
      <c r="AD874" s="81"/>
      <c r="AE874" s="81" t="b">
        <v>0</v>
      </c>
      <c r="AF874" s="81">
        <v>0</v>
      </c>
      <c r="AG874" s="87" t="s">
        <v>3875</v>
      </c>
      <c r="AH874" s="81" t="b">
        <v>0</v>
      </c>
      <c r="AI874" s="81" t="s">
        <v>4092</v>
      </c>
      <c r="AJ874" s="81"/>
      <c r="AK874" s="87" t="s">
        <v>3875</v>
      </c>
      <c r="AL874" s="81" t="b">
        <v>0</v>
      </c>
      <c r="AM874" s="81">
        <v>321</v>
      </c>
      <c r="AN874" s="87" t="s">
        <v>3520</v>
      </c>
      <c r="AO874" s="87" t="s">
        <v>4109</v>
      </c>
      <c r="AP874" s="81" t="b">
        <v>0</v>
      </c>
      <c r="AQ874" s="87" t="s">
        <v>3520</v>
      </c>
      <c r="AR874" s="81" t="s">
        <v>179</v>
      </c>
      <c r="AS874" s="81">
        <v>0</v>
      </c>
      <c r="AT874" s="81">
        <v>0</v>
      </c>
      <c r="AU874" s="81"/>
      <c r="AV874" s="81"/>
      <c r="AW874" s="81"/>
      <c r="AX874" s="81"/>
      <c r="AY874" s="81"/>
      <c r="AZ874" s="81"/>
      <c r="BA874" s="81"/>
      <c r="BB874" s="81"/>
    </row>
    <row r="875" spans="1:54" x14ac:dyDescent="0.35">
      <c r="A875" s="66" t="s">
        <v>703</v>
      </c>
      <c r="B875" s="66" t="s">
        <v>910</v>
      </c>
      <c r="C875" s="67"/>
      <c r="D875" s="68"/>
      <c r="E875" s="69"/>
      <c r="F875" s="70"/>
      <c r="G875" s="67"/>
      <c r="H875" s="71"/>
      <c r="I875" s="72"/>
      <c r="J875" s="72"/>
      <c r="K875" s="36"/>
      <c r="L875" s="79"/>
      <c r="M875" s="79"/>
      <c r="N875" s="74"/>
      <c r="O875" s="81" t="s">
        <v>1205</v>
      </c>
      <c r="P875" s="83">
        <v>44461.333449074074</v>
      </c>
      <c r="Q875" s="81" t="s">
        <v>1324</v>
      </c>
      <c r="R875" s="81"/>
      <c r="S875" s="81"/>
      <c r="T875" s="81"/>
      <c r="U875" s="85" t="str">
        <f>HYPERLINK("https://pbs.twimg.com/media/E_xVJy2VQAQerFe.jpg")</f>
        <v>https://pbs.twimg.com/media/E_xVJy2VQAQerFe.jpg</v>
      </c>
      <c r="V875" s="85" t="str">
        <f>HYPERLINK("https://pbs.twimg.com/media/E_xVJy2VQAQerFe.jpg")</f>
        <v>https://pbs.twimg.com/media/E_xVJy2VQAQerFe.jpg</v>
      </c>
      <c r="W875" s="83">
        <v>44461.333449074074</v>
      </c>
      <c r="X875" s="89">
        <v>44461</v>
      </c>
      <c r="Y875" s="87" t="s">
        <v>2318</v>
      </c>
      <c r="Z875" s="85" t="str">
        <f>HYPERLINK("https://twitter.com/wulandarip17/status/1440586706684571649")</f>
        <v>https://twitter.com/wulandarip17/status/1440586706684571649</v>
      </c>
      <c r="AA875" s="81"/>
      <c r="AB875" s="81"/>
      <c r="AC875" s="87" t="s">
        <v>3242</v>
      </c>
      <c r="AD875" s="81"/>
      <c r="AE875" s="81" t="b">
        <v>0</v>
      </c>
      <c r="AF875" s="81">
        <v>0</v>
      </c>
      <c r="AG875" s="87" t="s">
        <v>3875</v>
      </c>
      <c r="AH875" s="81" t="b">
        <v>0</v>
      </c>
      <c r="AI875" s="81" t="s">
        <v>4092</v>
      </c>
      <c r="AJ875" s="81"/>
      <c r="AK875" s="87" t="s">
        <v>3875</v>
      </c>
      <c r="AL875" s="81" t="b">
        <v>0</v>
      </c>
      <c r="AM875" s="81">
        <v>321</v>
      </c>
      <c r="AN875" s="87" t="s">
        <v>3520</v>
      </c>
      <c r="AO875" s="87" t="s">
        <v>4109</v>
      </c>
      <c r="AP875" s="81" t="b">
        <v>0</v>
      </c>
      <c r="AQ875" s="87" t="s">
        <v>3520</v>
      </c>
      <c r="AR875" s="81" t="s">
        <v>179</v>
      </c>
      <c r="AS875" s="81">
        <v>0</v>
      </c>
      <c r="AT875" s="81">
        <v>0</v>
      </c>
      <c r="AU875" s="81"/>
      <c r="AV875" s="81"/>
      <c r="AW875" s="81"/>
      <c r="AX875" s="81"/>
      <c r="AY875" s="81"/>
      <c r="AZ875" s="81"/>
      <c r="BA875" s="81"/>
      <c r="BB875" s="81"/>
    </row>
    <row r="876" spans="1:54" x14ac:dyDescent="0.35">
      <c r="A876" s="66" t="s">
        <v>704</v>
      </c>
      <c r="B876" s="66" t="s">
        <v>704</v>
      </c>
      <c r="C876" s="67"/>
      <c r="D876" s="68"/>
      <c r="E876" s="69"/>
      <c r="F876" s="70"/>
      <c r="G876" s="67"/>
      <c r="H876" s="71"/>
      <c r="I876" s="72"/>
      <c r="J876" s="72"/>
      <c r="K876" s="36"/>
      <c r="L876" s="79"/>
      <c r="M876" s="79"/>
      <c r="N876" s="74"/>
      <c r="O876" s="81" t="s">
        <v>179</v>
      </c>
      <c r="P876" s="83">
        <v>44461.348634259259</v>
      </c>
      <c r="Q876" s="81" t="s">
        <v>1399</v>
      </c>
      <c r="R876" s="81"/>
      <c r="S876" s="81"/>
      <c r="T876" s="81"/>
      <c r="U876" s="81"/>
      <c r="V876" s="85" t="str">
        <f>HYPERLINK("https://pbs.twimg.com/profile_images/1442470899530145797/GlwkY_pd_normal.jpg")</f>
        <v>https://pbs.twimg.com/profile_images/1442470899530145797/GlwkY_pd_normal.jpg</v>
      </c>
      <c r="W876" s="83">
        <v>44461.348634259259</v>
      </c>
      <c r="X876" s="89">
        <v>44461</v>
      </c>
      <c r="Y876" s="87" t="s">
        <v>2319</v>
      </c>
      <c r="Z876" s="85" t="str">
        <f>HYPERLINK("https://twitter.com/saudarisaki/status/1440592209036775432")</f>
        <v>https://twitter.com/saudarisaki/status/1440592209036775432</v>
      </c>
      <c r="AA876" s="81"/>
      <c r="AB876" s="81"/>
      <c r="AC876" s="87" t="s">
        <v>3243</v>
      </c>
      <c r="AD876" s="81"/>
      <c r="AE876" s="81" t="b">
        <v>0</v>
      </c>
      <c r="AF876" s="81">
        <v>0</v>
      </c>
      <c r="AG876" s="87" t="s">
        <v>3875</v>
      </c>
      <c r="AH876" s="81" t="b">
        <v>0</v>
      </c>
      <c r="AI876" s="81" t="s">
        <v>4092</v>
      </c>
      <c r="AJ876" s="81"/>
      <c r="AK876" s="87" t="s">
        <v>3875</v>
      </c>
      <c r="AL876" s="81" t="b">
        <v>0</v>
      </c>
      <c r="AM876" s="81">
        <v>0</v>
      </c>
      <c r="AN876" s="87" t="s">
        <v>3875</v>
      </c>
      <c r="AO876" s="87" t="s">
        <v>4109</v>
      </c>
      <c r="AP876" s="81" t="b">
        <v>0</v>
      </c>
      <c r="AQ876" s="87" t="s">
        <v>3243</v>
      </c>
      <c r="AR876" s="81" t="s">
        <v>179</v>
      </c>
      <c r="AS876" s="81">
        <v>0</v>
      </c>
      <c r="AT876" s="81">
        <v>0</v>
      </c>
      <c r="AU876" s="81"/>
      <c r="AV876" s="81"/>
      <c r="AW876" s="81"/>
      <c r="AX876" s="81"/>
      <c r="AY876" s="81"/>
      <c r="AZ876" s="81"/>
      <c r="BA876" s="81"/>
      <c r="BB876" s="81"/>
    </row>
    <row r="877" spans="1:54" x14ac:dyDescent="0.35">
      <c r="A877" s="66" t="s">
        <v>705</v>
      </c>
      <c r="B877" s="66" t="s">
        <v>1055</v>
      </c>
      <c r="C877" s="67"/>
      <c r="D877" s="68"/>
      <c r="E877" s="69"/>
      <c r="F877" s="70"/>
      <c r="G877" s="67"/>
      <c r="H877" s="71"/>
      <c r="I877" s="72"/>
      <c r="J877" s="72"/>
      <c r="K877" s="36"/>
      <c r="L877" s="79"/>
      <c r="M877" s="79"/>
      <c r="N877" s="74"/>
      <c r="O877" s="81" t="s">
        <v>1207</v>
      </c>
      <c r="P877" s="83">
        <v>44461.363298611112</v>
      </c>
      <c r="Q877" s="81" t="s">
        <v>1324</v>
      </c>
      <c r="R877" s="81"/>
      <c r="S877" s="81"/>
      <c r="T877" s="81"/>
      <c r="U877" s="85" t="str">
        <f>HYPERLINK("https://pbs.twimg.com/media/E_xVJy2VQAQerFe.jpg")</f>
        <v>https://pbs.twimg.com/media/E_xVJy2VQAQerFe.jpg</v>
      </c>
      <c r="V877" s="85" t="str">
        <f>HYPERLINK("https://pbs.twimg.com/media/E_xVJy2VQAQerFe.jpg")</f>
        <v>https://pbs.twimg.com/media/E_xVJy2VQAQerFe.jpg</v>
      </c>
      <c r="W877" s="83">
        <v>44461.363298611112</v>
      </c>
      <c r="X877" s="89">
        <v>44461</v>
      </c>
      <c r="Y877" s="87" t="s">
        <v>2320</v>
      </c>
      <c r="Z877" s="85" t="str">
        <f>HYPERLINK("https://twitter.com/heri_aja/status/1440597524797026306")</f>
        <v>https://twitter.com/heri_aja/status/1440597524797026306</v>
      </c>
      <c r="AA877" s="81"/>
      <c r="AB877" s="81"/>
      <c r="AC877" s="87" t="s">
        <v>3244</v>
      </c>
      <c r="AD877" s="81"/>
      <c r="AE877" s="81" t="b">
        <v>0</v>
      </c>
      <c r="AF877" s="81">
        <v>0</v>
      </c>
      <c r="AG877" s="87" t="s">
        <v>3875</v>
      </c>
      <c r="AH877" s="81" t="b">
        <v>0</v>
      </c>
      <c r="AI877" s="81" t="s">
        <v>4092</v>
      </c>
      <c r="AJ877" s="81"/>
      <c r="AK877" s="87" t="s">
        <v>3875</v>
      </c>
      <c r="AL877" s="81" t="b">
        <v>0</v>
      </c>
      <c r="AM877" s="81">
        <v>321</v>
      </c>
      <c r="AN877" s="87" t="s">
        <v>3520</v>
      </c>
      <c r="AO877" s="87" t="s">
        <v>4110</v>
      </c>
      <c r="AP877" s="81" t="b">
        <v>0</v>
      </c>
      <c r="AQ877" s="87" t="s">
        <v>3520</v>
      </c>
      <c r="AR877" s="81" t="s">
        <v>179</v>
      </c>
      <c r="AS877" s="81">
        <v>0</v>
      </c>
      <c r="AT877" s="81">
        <v>0</v>
      </c>
      <c r="AU877" s="81"/>
      <c r="AV877" s="81"/>
      <c r="AW877" s="81"/>
      <c r="AX877" s="81"/>
      <c r="AY877" s="81"/>
      <c r="AZ877" s="81"/>
      <c r="BA877" s="81"/>
      <c r="BB877" s="81"/>
    </row>
    <row r="878" spans="1:54" x14ac:dyDescent="0.35">
      <c r="A878" s="66" t="s">
        <v>705</v>
      </c>
      <c r="B878" s="66" t="s">
        <v>910</v>
      </c>
      <c r="C878" s="67"/>
      <c r="D878" s="68"/>
      <c r="E878" s="69"/>
      <c r="F878" s="70"/>
      <c r="G878" s="67"/>
      <c r="H878" s="71"/>
      <c r="I878" s="72"/>
      <c r="J878" s="72"/>
      <c r="K878" s="36"/>
      <c r="L878" s="79"/>
      <c r="M878" s="79"/>
      <c r="N878" s="74"/>
      <c r="O878" s="81" t="s">
        <v>1205</v>
      </c>
      <c r="P878" s="83">
        <v>44461.363298611112</v>
      </c>
      <c r="Q878" s="81" t="s">
        <v>1324</v>
      </c>
      <c r="R878" s="81"/>
      <c r="S878" s="81"/>
      <c r="T878" s="81"/>
      <c r="U878" s="85" t="str">
        <f>HYPERLINK("https://pbs.twimg.com/media/E_xVJy2VQAQerFe.jpg")</f>
        <v>https://pbs.twimg.com/media/E_xVJy2VQAQerFe.jpg</v>
      </c>
      <c r="V878" s="85" t="str">
        <f>HYPERLINK("https://pbs.twimg.com/media/E_xVJy2VQAQerFe.jpg")</f>
        <v>https://pbs.twimg.com/media/E_xVJy2VQAQerFe.jpg</v>
      </c>
      <c r="W878" s="83">
        <v>44461.363298611112</v>
      </c>
      <c r="X878" s="89">
        <v>44461</v>
      </c>
      <c r="Y878" s="87" t="s">
        <v>2320</v>
      </c>
      <c r="Z878" s="85" t="str">
        <f>HYPERLINK("https://twitter.com/heri_aja/status/1440597524797026306")</f>
        <v>https://twitter.com/heri_aja/status/1440597524797026306</v>
      </c>
      <c r="AA878" s="81"/>
      <c r="AB878" s="81"/>
      <c r="AC878" s="87" t="s">
        <v>3244</v>
      </c>
      <c r="AD878" s="81"/>
      <c r="AE878" s="81" t="b">
        <v>0</v>
      </c>
      <c r="AF878" s="81">
        <v>0</v>
      </c>
      <c r="AG878" s="87" t="s">
        <v>3875</v>
      </c>
      <c r="AH878" s="81" t="b">
        <v>0</v>
      </c>
      <c r="AI878" s="81" t="s">
        <v>4092</v>
      </c>
      <c r="AJ878" s="81"/>
      <c r="AK878" s="87" t="s">
        <v>3875</v>
      </c>
      <c r="AL878" s="81" t="b">
        <v>0</v>
      </c>
      <c r="AM878" s="81">
        <v>321</v>
      </c>
      <c r="AN878" s="87" t="s">
        <v>3520</v>
      </c>
      <c r="AO878" s="87" t="s">
        <v>4110</v>
      </c>
      <c r="AP878" s="81" t="b">
        <v>0</v>
      </c>
      <c r="AQ878" s="87" t="s">
        <v>3520</v>
      </c>
      <c r="AR878" s="81" t="s">
        <v>179</v>
      </c>
      <c r="AS878" s="81">
        <v>0</v>
      </c>
      <c r="AT878" s="81">
        <v>0</v>
      </c>
      <c r="AU878" s="81"/>
      <c r="AV878" s="81"/>
      <c r="AW878" s="81"/>
      <c r="AX878" s="81"/>
      <c r="AY878" s="81"/>
      <c r="AZ878" s="81"/>
      <c r="BA878" s="81"/>
      <c r="BB878" s="81"/>
    </row>
    <row r="879" spans="1:54" x14ac:dyDescent="0.35">
      <c r="A879" s="66" t="s">
        <v>706</v>
      </c>
      <c r="B879" s="66" t="s">
        <v>706</v>
      </c>
      <c r="C879" s="67"/>
      <c r="D879" s="68"/>
      <c r="E879" s="69"/>
      <c r="F879" s="70"/>
      <c r="G879" s="67"/>
      <c r="H879" s="71"/>
      <c r="I879" s="72"/>
      <c r="J879" s="72"/>
      <c r="K879" s="36"/>
      <c r="L879" s="79"/>
      <c r="M879" s="79"/>
      <c r="N879" s="74"/>
      <c r="O879" s="81" t="s">
        <v>179</v>
      </c>
      <c r="P879" s="83">
        <v>44461.377152777779</v>
      </c>
      <c r="Q879" s="81" t="s">
        <v>1400</v>
      </c>
      <c r="R879" s="81"/>
      <c r="S879" s="81"/>
      <c r="T879" s="87" t="s">
        <v>1769</v>
      </c>
      <c r="U879" s="85" t="str">
        <f>HYPERLINK("https://pbs.twimg.com/media/E_4MYDdUUAUXr75.jpg")</f>
        <v>https://pbs.twimg.com/media/E_4MYDdUUAUXr75.jpg</v>
      </c>
      <c r="V879" s="85" t="str">
        <f>HYPERLINK("https://pbs.twimg.com/media/E_4MYDdUUAUXr75.jpg")</f>
        <v>https://pbs.twimg.com/media/E_4MYDdUUAUXr75.jpg</v>
      </c>
      <c r="W879" s="83">
        <v>44461.377152777779</v>
      </c>
      <c r="X879" s="89">
        <v>44461</v>
      </c>
      <c r="Y879" s="87" t="s">
        <v>2321</v>
      </c>
      <c r="Z879" s="85" t="str">
        <f>HYPERLINK("https://twitter.com/pbantarsari/status/1440602546783936517")</f>
        <v>https://twitter.com/pbantarsari/status/1440602546783936517</v>
      </c>
      <c r="AA879" s="81"/>
      <c r="AB879" s="81"/>
      <c r="AC879" s="87" t="s">
        <v>3245</v>
      </c>
      <c r="AD879" s="81"/>
      <c r="AE879" s="81" t="b">
        <v>0</v>
      </c>
      <c r="AF879" s="81">
        <v>0</v>
      </c>
      <c r="AG879" s="87" t="s">
        <v>3875</v>
      </c>
      <c r="AH879" s="81" t="b">
        <v>0</v>
      </c>
      <c r="AI879" s="81" t="s">
        <v>4092</v>
      </c>
      <c r="AJ879" s="81"/>
      <c r="AK879" s="87" t="s">
        <v>3875</v>
      </c>
      <c r="AL879" s="81" t="b">
        <v>0</v>
      </c>
      <c r="AM879" s="81">
        <v>0</v>
      </c>
      <c r="AN879" s="87" t="s">
        <v>3875</v>
      </c>
      <c r="AO879" s="87" t="s">
        <v>4109</v>
      </c>
      <c r="AP879" s="81" t="b">
        <v>0</v>
      </c>
      <c r="AQ879" s="87" t="s">
        <v>3245</v>
      </c>
      <c r="AR879" s="81" t="s">
        <v>179</v>
      </c>
      <c r="AS879" s="81">
        <v>0</v>
      </c>
      <c r="AT879" s="81">
        <v>0</v>
      </c>
      <c r="AU879" s="81"/>
      <c r="AV879" s="81"/>
      <c r="AW879" s="81"/>
      <c r="AX879" s="81"/>
      <c r="AY879" s="81"/>
      <c r="AZ879" s="81"/>
      <c r="BA879" s="81"/>
      <c r="BB879" s="81"/>
    </row>
    <row r="880" spans="1:54" x14ac:dyDescent="0.35">
      <c r="A880" s="66" t="s">
        <v>707</v>
      </c>
      <c r="B880" s="66" t="s">
        <v>707</v>
      </c>
      <c r="C880" s="67"/>
      <c r="D880" s="68"/>
      <c r="E880" s="69"/>
      <c r="F880" s="70"/>
      <c r="G880" s="67"/>
      <c r="H880" s="71"/>
      <c r="I880" s="72"/>
      <c r="J880" s="72"/>
      <c r="K880" s="36"/>
      <c r="L880" s="79"/>
      <c r="M880" s="79"/>
      <c r="N880" s="74"/>
      <c r="O880" s="81" t="s">
        <v>179</v>
      </c>
      <c r="P880" s="83">
        <v>44461.404363425929</v>
      </c>
      <c r="Q880" s="81" t="s">
        <v>1401</v>
      </c>
      <c r="R880" s="81"/>
      <c r="S880" s="81"/>
      <c r="T880" s="81"/>
      <c r="U880" s="85" t="str">
        <f>HYPERLINK("https://pbs.twimg.com/media/E_4VWAzUYA0PhcU.jpg")</f>
        <v>https://pbs.twimg.com/media/E_4VWAzUYA0PhcU.jpg</v>
      </c>
      <c r="V880" s="85" t="str">
        <f>HYPERLINK("https://pbs.twimg.com/media/E_4VWAzUYA0PhcU.jpg")</f>
        <v>https://pbs.twimg.com/media/E_4VWAzUYA0PhcU.jpg</v>
      </c>
      <c r="W880" s="83">
        <v>44461.404363425929</v>
      </c>
      <c r="X880" s="89">
        <v>44461</v>
      </c>
      <c r="Y880" s="87" t="s">
        <v>2322</v>
      </c>
      <c r="Z880" s="85" t="str">
        <f>HYPERLINK("https://twitter.com/panggilajaboboy/status/1440612406950989834")</f>
        <v>https://twitter.com/panggilajaboboy/status/1440612406950989834</v>
      </c>
      <c r="AA880" s="81"/>
      <c r="AB880" s="81"/>
      <c r="AC880" s="87" t="s">
        <v>3246</v>
      </c>
      <c r="AD880" s="81"/>
      <c r="AE880" s="81" t="b">
        <v>0</v>
      </c>
      <c r="AF880" s="81">
        <v>0</v>
      </c>
      <c r="AG880" s="87" t="s">
        <v>3875</v>
      </c>
      <c r="AH880" s="81" t="b">
        <v>0</v>
      </c>
      <c r="AI880" s="81" t="s">
        <v>4092</v>
      </c>
      <c r="AJ880" s="81"/>
      <c r="AK880" s="87" t="s">
        <v>3875</v>
      </c>
      <c r="AL880" s="81" t="b">
        <v>0</v>
      </c>
      <c r="AM880" s="81">
        <v>0</v>
      </c>
      <c r="AN880" s="87" t="s">
        <v>3875</v>
      </c>
      <c r="AO880" s="87" t="s">
        <v>4110</v>
      </c>
      <c r="AP880" s="81" t="b">
        <v>0</v>
      </c>
      <c r="AQ880" s="87" t="s">
        <v>3246</v>
      </c>
      <c r="AR880" s="81" t="s">
        <v>179</v>
      </c>
      <c r="AS880" s="81">
        <v>0</v>
      </c>
      <c r="AT880" s="81">
        <v>0</v>
      </c>
      <c r="AU880" s="81"/>
      <c r="AV880" s="81"/>
      <c r="AW880" s="81"/>
      <c r="AX880" s="81"/>
      <c r="AY880" s="81"/>
      <c r="AZ880" s="81"/>
      <c r="BA880" s="81"/>
      <c r="BB880" s="81"/>
    </row>
    <row r="881" spans="1:54" x14ac:dyDescent="0.35">
      <c r="A881" s="66" t="s">
        <v>708</v>
      </c>
      <c r="B881" s="66" t="s">
        <v>708</v>
      </c>
      <c r="C881" s="67"/>
      <c r="D881" s="68"/>
      <c r="E881" s="69"/>
      <c r="F881" s="70"/>
      <c r="G881" s="67"/>
      <c r="H881" s="71"/>
      <c r="I881" s="72"/>
      <c r="J881" s="72"/>
      <c r="K881" s="36"/>
      <c r="L881" s="79"/>
      <c r="M881" s="79"/>
      <c r="N881" s="74"/>
      <c r="O881" s="81" t="s">
        <v>179</v>
      </c>
      <c r="P881" s="83">
        <v>44461.408472222225</v>
      </c>
      <c r="Q881" s="81" t="s">
        <v>1402</v>
      </c>
      <c r="R881" s="85" t="str">
        <f>HYPERLINK("https://twitter.com/gabyJKT48/status/1440606248898990085")</f>
        <v>https://twitter.com/gabyJKT48/status/1440606248898990085</v>
      </c>
      <c r="S881" s="81" t="s">
        <v>1731</v>
      </c>
      <c r="T881" s="81"/>
      <c r="U881" s="81"/>
      <c r="V881" s="85" t="str">
        <f>HYPERLINK("https://pbs.twimg.com/profile_images/1442703519752998916/VEww0A-B_normal.jpg")</f>
        <v>https://pbs.twimg.com/profile_images/1442703519752998916/VEww0A-B_normal.jpg</v>
      </c>
      <c r="W881" s="83">
        <v>44461.408472222225</v>
      </c>
      <c r="X881" s="89">
        <v>44461</v>
      </c>
      <c r="Y881" s="87" t="s">
        <v>2323</v>
      </c>
      <c r="Z881" s="85" t="str">
        <f>HYPERLINK("https://twitter.com/kanglex_/status/1440613895996018690")</f>
        <v>https://twitter.com/kanglex_/status/1440613895996018690</v>
      </c>
      <c r="AA881" s="81"/>
      <c r="AB881" s="81"/>
      <c r="AC881" s="87" t="s">
        <v>3247</v>
      </c>
      <c r="AD881" s="81"/>
      <c r="AE881" s="81" t="b">
        <v>0</v>
      </c>
      <c r="AF881" s="81">
        <v>0</v>
      </c>
      <c r="AG881" s="87" t="s">
        <v>3875</v>
      </c>
      <c r="AH881" s="81" t="b">
        <v>1</v>
      </c>
      <c r="AI881" s="81" t="s">
        <v>4092</v>
      </c>
      <c r="AJ881" s="81"/>
      <c r="AK881" s="87" t="s">
        <v>4102</v>
      </c>
      <c r="AL881" s="81" t="b">
        <v>0</v>
      </c>
      <c r="AM881" s="81">
        <v>0</v>
      </c>
      <c r="AN881" s="87" t="s">
        <v>3875</v>
      </c>
      <c r="AO881" s="87" t="s">
        <v>4109</v>
      </c>
      <c r="AP881" s="81" t="b">
        <v>0</v>
      </c>
      <c r="AQ881" s="87" t="s">
        <v>3247</v>
      </c>
      <c r="AR881" s="81" t="s">
        <v>179</v>
      </c>
      <c r="AS881" s="81">
        <v>0</v>
      </c>
      <c r="AT881" s="81">
        <v>0</v>
      </c>
      <c r="AU881" s="81"/>
      <c r="AV881" s="81"/>
      <c r="AW881" s="81"/>
      <c r="AX881" s="81"/>
      <c r="AY881" s="81"/>
      <c r="AZ881" s="81"/>
      <c r="BA881" s="81"/>
      <c r="BB881" s="81"/>
    </row>
    <row r="882" spans="1:54" x14ac:dyDescent="0.35">
      <c r="A882" s="66" t="s">
        <v>709</v>
      </c>
      <c r="B882" s="66" t="s">
        <v>1090</v>
      </c>
      <c r="C882" s="67"/>
      <c r="D882" s="68"/>
      <c r="E882" s="69"/>
      <c r="F882" s="70"/>
      <c r="G882" s="67"/>
      <c r="H882" s="71"/>
      <c r="I882" s="72"/>
      <c r="J882" s="72"/>
      <c r="K882" s="36"/>
      <c r="L882" s="79"/>
      <c r="M882" s="79"/>
      <c r="N882" s="74"/>
      <c r="O882" s="81" t="s">
        <v>1208</v>
      </c>
      <c r="P882" s="83">
        <v>44461.409467592595</v>
      </c>
      <c r="Q882" s="81" t="s">
        <v>1403</v>
      </c>
      <c r="R882" s="81"/>
      <c r="S882" s="81"/>
      <c r="T882" s="81"/>
      <c r="U882" s="81"/>
      <c r="V882" s="85" t="str">
        <f>HYPERLINK("https://pbs.twimg.com/profile_images/1434544961974718471/kivbpVyz_normal.jpg")</f>
        <v>https://pbs.twimg.com/profile_images/1434544961974718471/kivbpVyz_normal.jpg</v>
      </c>
      <c r="W882" s="83">
        <v>44461.409467592595</v>
      </c>
      <c r="X882" s="89">
        <v>44461</v>
      </c>
      <c r="Y882" s="87" t="s">
        <v>2324</v>
      </c>
      <c r="Z882" s="85" t="str">
        <f>HYPERLINK("https://twitter.com/siakbarrrrr/status/1440614257054216195")</f>
        <v>https://twitter.com/siakbarrrrr/status/1440614257054216195</v>
      </c>
      <c r="AA882" s="81"/>
      <c r="AB882" s="81"/>
      <c r="AC882" s="87" t="s">
        <v>3248</v>
      </c>
      <c r="AD882" s="87" t="s">
        <v>3744</v>
      </c>
      <c r="AE882" s="81" t="b">
        <v>0</v>
      </c>
      <c r="AF882" s="81">
        <v>0</v>
      </c>
      <c r="AG882" s="87" t="s">
        <v>3963</v>
      </c>
      <c r="AH882" s="81" t="b">
        <v>0</v>
      </c>
      <c r="AI882" s="81" t="s">
        <v>4092</v>
      </c>
      <c r="AJ882" s="81"/>
      <c r="AK882" s="87" t="s">
        <v>3875</v>
      </c>
      <c r="AL882" s="81" t="b">
        <v>0</v>
      </c>
      <c r="AM882" s="81">
        <v>0</v>
      </c>
      <c r="AN882" s="87" t="s">
        <v>3875</v>
      </c>
      <c r="AO882" s="87" t="s">
        <v>4109</v>
      </c>
      <c r="AP882" s="81" t="b">
        <v>0</v>
      </c>
      <c r="AQ882" s="87" t="s">
        <v>3744</v>
      </c>
      <c r="AR882" s="81" t="s">
        <v>179</v>
      </c>
      <c r="AS882" s="81">
        <v>0</v>
      </c>
      <c r="AT882" s="81">
        <v>0</v>
      </c>
      <c r="AU882" s="81"/>
      <c r="AV882" s="81"/>
      <c r="AW882" s="81"/>
      <c r="AX882" s="81"/>
      <c r="AY882" s="81"/>
      <c r="AZ882" s="81"/>
      <c r="BA882" s="81"/>
      <c r="BB882" s="81"/>
    </row>
    <row r="883" spans="1:54" x14ac:dyDescent="0.35">
      <c r="A883" s="66" t="s">
        <v>710</v>
      </c>
      <c r="B883" s="66" t="s">
        <v>710</v>
      </c>
      <c r="C883" s="67"/>
      <c r="D883" s="68"/>
      <c r="E883" s="69"/>
      <c r="F883" s="70"/>
      <c r="G883" s="67"/>
      <c r="H883" s="71"/>
      <c r="I883" s="72"/>
      <c r="J883" s="72"/>
      <c r="K883" s="36"/>
      <c r="L883" s="79"/>
      <c r="M883" s="79"/>
      <c r="N883" s="74"/>
      <c r="O883" s="81" t="s">
        <v>179</v>
      </c>
      <c r="P883" s="83">
        <v>44461.410405092596</v>
      </c>
      <c r="Q883" s="81" t="s">
        <v>1404</v>
      </c>
      <c r="R883" s="81"/>
      <c r="S883" s="81"/>
      <c r="T883" s="81"/>
      <c r="U883" s="85" t="str">
        <f>HYPERLINK("https://pbs.twimg.com/media/E_4XVsnVQAMH7LQ.jpg")</f>
        <v>https://pbs.twimg.com/media/E_4XVsnVQAMH7LQ.jpg</v>
      </c>
      <c r="V883" s="85" t="str">
        <f>HYPERLINK("https://pbs.twimg.com/media/E_4XVsnVQAMH7LQ.jpg")</f>
        <v>https://pbs.twimg.com/media/E_4XVsnVQAMH7LQ.jpg</v>
      </c>
      <c r="W883" s="83">
        <v>44461.410405092596</v>
      </c>
      <c r="X883" s="89">
        <v>44461</v>
      </c>
      <c r="Y883" s="87" t="s">
        <v>2325</v>
      </c>
      <c r="Z883" s="85" t="str">
        <f>HYPERLINK("https://twitter.com/mgpolsek/status/1440614597170323459")</f>
        <v>https://twitter.com/mgpolsek/status/1440614597170323459</v>
      </c>
      <c r="AA883" s="81"/>
      <c r="AB883" s="81"/>
      <c r="AC883" s="87" t="s">
        <v>3249</v>
      </c>
      <c r="AD883" s="81"/>
      <c r="AE883" s="81" t="b">
        <v>0</v>
      </c>
      <c r="AF883" s="81">
        <v>1</v>
      </c>
      <c r="AG883" s="87" t="s">
        <v>3875</v>
      </c>
      <c r="AH883" s="81" t="b">
        <v>0</v>
      </c>
      <c r="AI883" s="81" t="s">
        <v>4092</v>
      </c>
      <c r="AJ883" s="81"/>
      <c r="AK883" s="87" t="s">
        <v>3875</v>
      </c>
      <c r="AL883" s="81" t="b">
        <v>0</v>
      </c>
      <c r="AM883" s="81">
        <v>0</v>
      </c>
      <c r="AN883" s="87" t="s">
        <v>3875</v>
      </c>
      <c r="AO883" s="87" t="s">
        <v>4109</v>
      </c>
      <c r="AP883" s="81" t="b">
        <v>0</v>
      </c>
      <c r="AQ883" s="87" t="s">
        <v>3249</v>
      </c>
      <c r="AR883" s="81" t="s">
        <v>179</v>
      </c>
      <c r="AS883" s="81">
        <v>0</v>
      </c>
      <c r="AT883" s="81">
        <v>0</v>
      </c>
      <c r="AU883" s="81"/>
      <c r="AV883" s="81"/>
      <c r="AW883" s="81"/>
      <c r="AX883" s="81"/>
      <c r="AY883" s="81"/>
      <c r="AZ883" s="81"/>
      <c r="BA883" s="81"/>
      <c r="BB883" s="81"/>
    </row>
    <row r="884" spans="1:54" x14ac:dyDescent="0.35">
      <c r="A884" s="66" t="s">
        <v>711</v>
      </c>
      <c r="B884" s="66" t="s">
        <v>1055</v>
      </c>
      <c r="C884" s="67"/>
      <c r="D884" s="68"/>
      <c r="E884" s="69"/>
      <c r="F884" s="70"/>
      <c r="G884" s="67"/>
      <c r="H884" s="71"/>
      <c r="I884" s="72"/>
      <c r="J884" s="72"/>
      <c r="K884" s="36"/>
      <c r="L884" s="79"/>
      <c r="M884" s="79"/>
      <c r="N884" s="74"/>
      <c r="O884" s="81" t="s">
        <v>1207</v>
      </c>
      <c r="P884" s="83">
        <v>44461.418194444443</v>
      </c>
      <c r="Q884" s="81" t="s">
        <v>1324</v>
      </c>
      <c r="R884" s="81"/>
      <c r="S884" s="81"/>
      <c r="T884" s="81"/>
      <c r="U884" s="85" t="str">
        <f>HYPERLINK("https://pbs.twimg.com/media/E_xVJy2VQAQerFe.jpg")</f>
        <v>https://pbs.twimg.com/media/E_xVJy2VQAQerFe.jpg</v>
      </c>
      <c r="V884" s="85" t="str">
        <f>HYPERLINK("https://pbs.twimg.com/media/E_xVJy2VQAQerFe.jpg")</f>
        <v>https://pbs.twimg.com/media/E_xVJy2VQAQerFe.jpg</v>
      </c>
      <c r="W884" s="83">
        <v>44461.418194444443</v>
      </c>
      <c r="X884" s="89">
        <v>44461</v>
      </c>
      <c r="Y884" s="87" t="s">
        <v>2326</v>
      </c>
      <c r="Z884" s="85" t="str">
        <f>HYPERLINK("https://twitter.com/cecepfm/status/1440617417479102468")</f>
        <v>https://twitter.com/cecepfm/status/1440617417479102468</v>
      </c>
      <c r="AA884" s="81"/>
      <c r="AB884" s="81"/>
      <c r="AC884" s="87" t="s">
        <v>3250</v>
      </c>
      <c r="AD884" s="81"/>
      <c r="AE884" s="81" t="b">
        <v>0</v>
      </c>
      <c r="AF884" s="81">
        <v>0</v>
      </c>
      <c r="AG884" s="87" t="s">
        <v>3875</v>
      </c>
      <c r="AH884" s="81" t="b">
        <v>0</v>
      </c>
      <c r="AI884" s="81" t="s">
        <v>4092</v>
      </c>
      <c r="AJ884" s="81"/>
      <c r="AK884" s="87" t="s">
        <v>3875</v>
      </c>
      <c r="AL884" s="81" t="b">
        <v>0</v>
      </c>
      <c r="AM884" s="81">
        <v>321</v>
      </c>
      <c r="AN884" s="87" t="s">
        <v>3520</v>
      </c>
      <c r="AO884" s="87" t="s">
        <v>4109</v>
      </c>
      <c r="AP884" s="81" t="b">
        <v>0</v>
      </c>
      <c r="AQ884" s="87" t="s">
        <v>3520</v>
      </c>
      <c r="AR884" s="81" t="s">
        <v>179</v>
      </c>
      <c r="AS884" s="81">
        <v>0</v>
      </c>
      <c r="AT884" s="81">
        <v>0</v>
      </c>
      <c r="AU884" s="81"/>
      <c r="AV884" s="81"/>
      <c r="AW884" s="81"/>
      <c r="AX884" s="81"/>
      <c r="AY884" s="81"/>
      <c r="AZ884" s="81"/>
      <c r="BA884" s="81"/>
      <c r="BB884" s="81"/>
    </row>
    <row r="885" spans="1:54" x14ac:dyDescent="0.35">
      <c r="A885" s="66" t="s">
        <v>711</v>
      </c>
      <c r="B885" s="66" t="s">
        <v>910</v>
      </c>
      <c r="C885" s="67"/>
      <c r="D885" s="68"/>
      <c r="E885" s="69"/>
      <c r="F885" s="70"/>
      <c r="G885" s="67"/>
      <c r="H885" s="71"/>
      <c r="I885" s="72"/>
      <c r="J885" s="72"/>
      <c r="K885" s="36"/>
      <c r="L885" s="79"/>
      <c r="M885" s="79"/>
      <c r="N885" s="74"/>
      <c r="O885" s="81" t="s">
        <v>1205</v>
      </c>
      <c r="P885" s="83">
        <v>44461.418194444443</v>
      </c>
      <c r="Q885" s="81" t="s">
        <v>1324</v>
      </c>
      <c r="R885" s="81"/>
      <c r="S885" s="81"/>
      <c r="T885" s="81"/>
      <c r="U885" s="85" t="str">
        <f>HYPERLINK("https://pbs.twimg.com/media/E_xVJy2VQAQerFe.jpg")</f>
        <v>https://pbs.twimg.com/media/E_xVJy2VQAQerFe.jpg</v>
      </c>
      <c r="V885" s="85" t="str">
        <f>HYPERLINK("https://pbs.twimg.com/media/E_xVJy2VQAQerFe.jpg")</f>
        <v>https://pbs.twimg.com/media/E_xVJy2VQAQerFe.jpg</v>
      </c>
      <c r="W885" s="83">
        <v>44461.418194444443</v>
      </c>
      <c r="X885" s="89">
        <v>44461</v>
      </c>
      <c r="Y885" s="87" t="s">
        <v>2326</v>
      </c>
      <c r="Z885" s="85" t="str">
        <f>HYPERLINK("https://twitter.com/cecepfm/status/1440617417479102468")</f>
        <v>https://twitter.com/cecepfm/status/1440617417479102468</v>
      </c>
      <c r="AA885" s="81"/>
      <c r="AB885" s="81"/>
      <c r="AC885" s="87" t="s">
        <v>3250</v>
      </c>
      <c r="AD885" s="81"/>
      <c r="AE885" s="81" t="b">
        <v>0</v>
      </c>
      <c r="AF885" s="81">
        <v>0</v>
      </c>
      <c r="AG885" s="87" t="s">
        <v>3875</v>
      </c>
      <c r="AH885" s="81" t="b">
        <v>0</v>
      </c>
      <c r="AI885" s="81" t="s">
        <v>4092</v>
      </c>
      <c r="AJ885" s="81"/>
      <c r="AK885" s="87" t="s">
        <v>3875</v>
      </c>
      <c r="AL885" s="81" t="b">
        <v>0</v>
      </c>
      <c r="AM885" s="81">
        <v>321</v>
      </c>
      <c r="AN885" s="87" t="s">
        <v>3520</v>
      </c>
      <c r="AO885" s="87" t="s">
        <v>4109</v>
      </c>
      <c r="AP885" s="81" t="b">
        <v>0</v>
      </c>
      <c r="AQ885" s="87" t="s">
        <v>3520</v>
      </c>
      <c r="AR885" s="81" t="s">
        <v>179</v>
      </c>
      <c r="AS885" s="81">
        <v>0</v>
      </c>
      <c r="AT885" s="81">
        <v>0</v>
      </c>
      <c r="AU885" s="81"/>
      <c r="AV885" s="81"/>
      <c r="AW885" s="81"/>
      <c r="AX885" s="81"/>
      <c r="AY885" s="81"/>
      <c r="AZ885" s="81"/>
      <c r="BA885" s="81"/>
      <c r="BB885" s="81"/>
    </row>
    <row r="886" spans="1:54" x14ac:dyDescent="0.35">
      <c r="A886" s="66" t="s">
        <v>712</v>
      </c>
      <c r="B886" s="66" t="s">
        <v>1091</v>
      </c>
      <c r="C886" s="67"/>
      <c r="D886" s="68"/>
      <c r="E886" s="69"/>
      <c r="F886" s="70"/>
      <c r="G886" s="67"/>
      <c r="H886" s="71"/>
      <c r="I886" s="72"/>
      <c r="J886" s="72"/>
      <c r="K886" s="36"/>
      <c r="L886" s="79"/>
      <c r="M886" s="79"/>
      <c r="N886" s="74"/>
      <c r="O886" s="81" t="s">
        <v>1208</v>
      </c>
      <c r="P886" s="83">
        <v>44461.422083333331</v>
      </c>
      <c r="Q886" s="81" t="s">
        <v>1405</v>
      </c>
      <c r="R886" s="81"/>
      <c r="S886" s="81"/>
      <c r="T886" s="81"/>
      <c r="U886" s="81"/>
      <c r="V886" s="85" t="str">
        <f>HYPERLINK("https://pbs.twimg.com/profile_images/1408448651475644418/ImfZsVXL_normal.jpg")</f>
        <v>https://pbs.twimg.com/profile_images/1408448651475644418/ImfZsVXL_normal.jpg</v>
      </c>
      <c r="W886" s="83">
        <v>44461.422083333331</v>
      </c>
      <c r="X886" s="89">
        <v>44461</v>
      </c>
      <c r="Y886" s="87" t="s">
        <v>2327</v>
      </c>
      <c r="Z886" s="85" t="str">
        <f>HYPERLINK("https://twitter.com/hantiww/status/1440618829097304074")</f>
        <v>https://twitter.com/hantiww/status/1440618829097304074</v>
      </c>
      <c r="AA886" s="81"/>
      <c r="AB886" s="81"/>
      <c r="AC886" s="87" t="s">
        <v>3251</v>
      </c>
      <c r="AD886" s="87" t="s">
        <v>3745</v>
      </c>
      <c r="AE886" s="81" t="b">
        <v>0</v>
      </c>
      <c r="AF886" s="81">
        <v>0</v>
      </c>
      <c r="AG886" s="87" t="s">
        <v>3964</v>
      </c>
      <c r="AH886" s="81" t="b">
        <v>0</v>
      </c>
      <c r="AI886" s="81" t="s">
        <v>4092</v>
      </c>
      <c r="AJ886" s="81"/>
      <c r="AK886" s="87" t="s">
        <v>3875</v>
      </c>
      <c r="AL886" s="81" t="b">
        <v>0</v>
      </c>
      <c r="AM886" s="81">
        <v>0</v>
      </c>
      <c r="AN886" s="87" t="s">
        <v>3875</v>
      </c>
      <c r="AO886" s="87" t="s">
        <v>4109</v>
      </c>
      <c r="AP886" s="81" t="b">
        <v>0</v>
      </c>
      <c r="AQ886" s="87" t="s">
        <v>3745</v>
      </c>
      <c r="AR886" s="81" t="s">
        <v>179</v>
      </c>
      <c r="AS886" s="81">
        <v>0</v>
      </c>
      <c r="AT886" s="81">
        <v>0</v>
      </c>
      <c r="AU886" s="81"/>
      <c r="AV886" s="81"/>
      <c r="AW886" s="81"/>
      <c r="AX886" s="81"/>
      <c r="AY886" s="81"/>
      <c r="AZ886" s="81"/>
      <c r="BA886" s="81"/>
      <c r="BB886" s="81"/>
    </row>
    <row r="887" spans="1:54" x14ac:dyDescent="0.35">
      <c r="A887" s="66" t="s">
        <v>713</v>
      </c>
      <c r="B887" s="66" t="s">
        <v>1055</v>
      </c>
      <c r="C887" s="67"/>
      <c r="D887" s="68"/>
      <c r="E887" s="69"/>
      <c r="F887" s="70"/>
      <c r="G887" s="67"/>
      <c r="H887" s="71"/>
      <c r="I887" s="72"/>
      <c r="J887" s="72"/>
      <c r="K887" s="36"/>
      <c r="L887" s="79"/>
      <c r="M887" s="79"/>
      <c r="N887" s="74"/>
      <c r="O887" s="81" t="s">
        <v>1207</v>
      </c>
      <c r="P887" s="83">
        <v>44461.422500000001</v>
      </c>
      <c r="Q887" s="81" t="s">
        <v>1324</v>
      </c>
      <c r="R887" s="81"/>
      <c r="S887" s="81"/>
      <c r="T887" s="81"/>
      <c r="U887" s="85" t="str">
        <f>HYPERLINK("https://pbs.twimg.com/media/E_xVJy2VQAQerFe.jpg")</f>
        <v>https://pbs.twimg.com/media/E_xVJy2VQAQerFe.jpg</v>
      </c>
      <c r="V887" s="85" t="str">
        <f>HYPERLINK("https://pbs.twimg.com/media/E_xVJy2VQAQerFe.jpg")</f>
        <v>https://pbs.twimg.com/media/E_xVJy2VQAQerFe.jpg</v>
      </c>
      <c r="W887" s="83">
        <v>44461.422500000001</v>
      </c>
      <c r="X887" s="89">
        <v>44461</v>
      </c>
      <c r="Y887" s="87" t="s">
        <v>2328</v>
      </c>
      <c r="Z887" s="85" t="str">
        <f>HYPERLINK("https://twitter.com/marlinbenyal/status/1440618980427780098")</f>
        <v>https://twitter.com/marlinbenyal/status/1440618980427780098</v>
      </c>
      <c r="AA887" s="81"/>
      <c r="AB887" s="81"/>
      <c r="AC887" s="87" t="s">
        <v>3252</v>
      </c>
      <c r="AD887" s="81"/>
      <c r="AE887" s="81" t="b">
        <v>0</v>
      </c>
      <c r="AF887" s="81">
        <v>0</v>
      </c>
      <c r="AG887" s="87" t="s">
        <v>3875</v>
      </c>
      <c r="AH887" s="81" t="b">
        <v>0</v>
      </c>
      <c r="AI887" s="81" t="s">
        <v>4092</v>
      </c>
      <c r="AJ887" s="81"/>
      <c r="AK887" s="87" t="s">
        <v>3875</v>
      </c>
      <c r="AL887" s="81" t="b">
        <v>0</v>
      </c>
      <c r="AM887" s="81">
        <v>321</v>
      </c>
      <c r="AN887" s="87" t="s">
        <v>3520</v>
      </c>
      <c r="AO887" s="87" t="s">
        <v>4110</v>
      </c>
      <c r="AP887" s="81" t="b">
        <v>0</v>
      </c>
      <c r="AQ887" s="87" t="s">
        <v>3520</v>
      </c>
      <c r="AR887" s="81" t="s">
        <v>179</v>
      </c>
      <c r="AS887" s="81">
        <v>0</v>
      </c>
      <c r="AT887" s="81">
        <v>0</v>
      </c>
      <c r="AU887" s="81"/>
      <c r="AV887" s="81"/>
      <c r="AW887" s="81"/>
      <c r="AX887" s="81"/>
      <c r="AY887" s="81"/>
      <c r="AZ887" s="81"/>
      <c r="BA887" s="81"/>
      <c r="BB887" s="81"/>
    </row>
    <row r="888" spans="1:54" x14ac:dyDescent="0.35">
      <c r="A888" s="66" t="s">
        <v>713</v>
      </c>
      <c r="B888" s="66" t="s">
        <v>910</v>
      </c>
      <c r="C888" s="67"/>
      <c r="D888" s="68"/>
      <c r="E888" s="69"/>
      <c r="F888" s="70"/>
      <c r="G888" s="67"/>
      <c r="H888" s="71"/>
      <c r="I888" s="72"/>
      <c r="J888" s="72"/>
      <c r="K888" s="36"/>
      <c r="L888" s="79"/>
      <c r="M888" s="79"/>
      <c r="N888" s="74"/>
      <c r="O888" s="81" t="s">
        <v>1205</v>
      </c>
      <c r="P888" s="83">
        <v>44461.422500000001</v>
      </c>
      <c r="Q888" s="81" t="s">
        <v>1324</v>
      </c>
      <c r="R888" s="81"/>
      <c r="S888" s="81"/>
      <c r="T888" s="81"/>
      <c r="U888" s="85" t="str">
        <f>HYPERLINK("https://pbs.twimg.com/media/E_xVJy2VQAQerFe.jpg")</f>
        <v>https://pbs.twimg.com/media/E_xVJy2VQAQerFe.jpg</v>
      </c>
      <c r="V888" s="85" t="str">
        <f>HYPERLINK("https://pbs.twimg.com/media/E_xVJy2VQAQerFe.jpg")</f>
        <v>https://pbs.twimg.com/media/E_xVJy2VQAQerFe.jpg</v>
      </c>
      <c r="W888" s="83">
        <v>44461.422500000001</v>
      </c>
      <c r="X888" s="89">
        <v>44461</v>
      </c>
      <c r="Y888" s="87" t="s">
        <v>2328</v>
      </c>
      <c r="Z888" s="85" t="str">
        <f>HYPERLINK("https://twitter.com/marlinbenyal/status/1440618980427780098")</f>
        <v>https://twitter.com/marlinbenyal/status/1440618980427780098</v>
      </c>
      <c r="AA888" s="81"/>
      <c r="AB888" s="81"/>
      <c r="AC888" s="87" t="s">
        <v>3252</v>
      </c>
      <c r="AD888" s="81"/>
      <c r="AE888" s="81" t="b">
        <v>0</v>
      </c>
      <c r="AF888" s="81">
        <v>0</v>
      </c>
      <c r="AG888" s="87" t="s">
        <v>3875</v>
      </c>
      <c r="AH888" s="81" t="b">
        <v>0</v>
      </c>
      <c r="AI888" s="81" t="s">
        <v>4092</v>
      </c>
      <c r="AJ888" s="81"/>
      <c r="AK888" s="87" t="s">
        <v>3875</v>
      </c>
      <c r="AL888" s="81" t="b">
        <v>0</v>
      </c>
      <c r="AM888" s="81">
        <v>321</v>
      </c>
      <c r="AN888" s="87" t="s">
        <v>3520</v>
      </c>
      <c r="AO888" s="87" t="s">
        <v>4110</v>
      </c>
      <c r="AP888" s="81" t="b">
        <v>0</v>
      </c>
      <c r="AQ888" s="87" t="s">
        <v>3520</v>
      </c>
      <c r="AR888" s="81" t="s">
        <v>179</v>
      </c>
      <c r="AS888" s="81">
        <v>0</v>
      </c>
      <c r="AT888" s="81">
        <v>0</v>
      </c>
      <c r="AU888" s="81"/>
      <c r="AV888" s="81"/>
      <c r="AW888" s="81"/>
      <c r="AX888" s="81"/>
      <c r="AY888" s="81"/>
      <c r="AZ888" s="81"/>
      <c r="BA888" s="81"/>
      <c r="BB888" s="81"/>
    </row>
    <row r="889" spans="1:54" x14ac:dyDescent="0.35">
      <c r="A889" s="66" t="s">
        <v>714</v>
      </c>
      <c r="B889" s="66" t="s">
        <v>1092</v>
      </c>
      <c r="C889" s="67"/>
      <c r="D889" s="68"/>
      <c r="E889" s="69"/>
      <c r="F889" s="70"/>
      <c r="G889" s="67"/>
      <c r="H889" s="71"/>
      <c r="I889" s="72"/>
      <c r="J889" s="72"/>
      <c r="K889" s="36"/>
      <c r="L889" s="79"/>
      <c r="M889" s="79"/>
      <c r="N889" s="74"/>
      <c r="O889" s="81" t="s">
        <v>1208</v>
      </c>
      <c r="P889" s="83">
        <v>44461.434976851851</v>
      </c>
      <c r="Q889" s="81" t="s">
        <v>1406</v>
      </c>
      <c r="R889" s="81"/>
      <c r="S889" s="81"/>
      <c r="T889" s="81"/>
      <c r="U889" s="81"/>
      <c r="V889" s="85" t="str">
        <f>HYPERLINK("https://pbs.twimg.com/profile_images/1440598606088572929/BZHuY8dR_normal.jpg")</f>
        <v>https://pbs.twimg.com/profile_images/1440598606088572929/BZHuY8dR_normal.jpg</v>
      </c>
      <c r="W889" s="83">
        <v>44461.434976851851</v>
      </c>
      <c r="X889" s="89">
        <v>44461</v>
      </c>
      <c r="Y889" s="87" t="s">
        <v>2329</v>
      </c>
      <c r="Z889" s="85" t="str">
        <f>HYPERLINK("https://twitter.com/wistereina/status/1440623499203153923")</f>
        <v>https://twitter.com/wistereina/status/1440623499203153923</v>
      </c>
      <c r="AA889" s="81"/>
      <c r="AB889" s="81"/>
      <c r="AC889" s="87" t="s">
        <v>3253</v>
      </c>
      <c r="AD889" s="87" t="s">
        <v>3746</v>
      </c>
      <c r="AE889" s="81" t="b">
        <v>0</v>
      </c>
      <c r="AF889" s="81">
        <v>0</v>
      </c>
      <c r="AG889" s="87" t="s">
        <v>3965</v>
      </c>
      <c r="AH889" s="81" t="b">
        <v>0</v>
      </c>
      <c r="AI889" s="81" t="s">
        <v>4092</v>
      </c>
      <c r="AJ889" s="81"/>
      <c r="AK889" s="87" t="s">
        <v>3875</v>
      </c>
      <c r="AL889" s="81" t="b">
        <v>0</v>
      </c>
      <c r="AM889" s="81">
        <v>0</v>
      </c>
      <c r="AN889" s="87" t="s">
        <v>3875</v>
      </c>
      <c r="AO889" s="87" t="s">
        <v>4109</v>
      </c>
      <c r="AP889" s="81" t="b">
        <v>0</v>
      </c>
      <c r="AQ889" s="87" t="s">
        <v>3746</v>
      </c>
      <c r="AR889" s="81" t="s">
        <v>179</v>
      </c>
      <c r="AS889" s="81">
        <v>0</v>
      </c>
      <c r="AT889" s="81">
        <v>0</v>
      </c>
      <c r="AU889" s="81"/>
      <c r="AV889" s="81"/>
      <c r="AW889" s="81"/>
      <c r="AX889" s="81"/>
      <c r="AY889" s="81"/>
      <c r="AZ889" s="81"/>
      <c r="BA889" s="81"/>
      <c r="BB889" s="81"/>
    </row>
    <row r="890" spans="1:54" x14ac:dyDescent="0.35">
      <c r="A890" s="66" t="s">
        <v>715</v>
      </c>
      <c r="B890" s="66" t="s">
        <v>715</v>
      </c>
      <c r="C890" s="67"/>
      <c r="D890" s="68"/>
      <c r="E890" s="69"/>
      <c r="F890" s="70"/>
      <c r="G890" s="67"/>
      <c r="H890" s="71"/>
      <c r="I890" s="72"/>
      <c r="J890" s="72"/>
      <c r="K890" s="36"/>
      <c r="L890" s="79"/>
      <c r="M890" s="79"/>
      <c r="N890" s="74"/>
      <c r="O890" s="81" t="s">
        <v>179</v>
      </c>
      <c r="P890" s="83">
        <v>44461.437083333331</v>
      </c>
      <c r="Q890" s="81" t="s">
        <v>1407</v>
      </c>
      <c r="R890" s="85" t="str">
        <f>HYPERLINK("https://www.republika.co.id/berita/qztzt0383/pos-indonesia-perluas-kolaborasi-sektor-ekonomi-syariah")</f>
        <v>https://www.republika.co.id/berita/qztzt0383/pos-indonesia-perluas-kolaborasi-sektor-ekonomi-syariah</v>
      </c>
      <c r="S890" s="81" t="s">
        <v>1732</v>
      </c>
      <c r="T890" s="81"/>
      <c r="U890" s="81"/>
      <c r="V890" s="85" t="str">
        <f>HYPERLINK("https://pbs.twimg.com/profile_images/1230469523842707456/1nqEZvCp_normal.jpg")</f>
        <v>https://pbs.twimg.com/profile_images/1230469523842707456/1nqEZvCp_normal.jpg</v>
      </c>
      <c r="W890" s="83">
        <v>44461.437083333331</v>
      </c>
      <c r="X890" s="89">
        <v>44461</v>
      </c>
      <c r="Y890" s="87" t="s">
        <v>2330</v>
      </c>
      <c r="Z890" s="85" t="str">
        <f>HYPERLINK("https://twitter.com/republikaonline/status/1440624263598276608")</f>
        <v>https://twitter.com/republikaonline/status/1440624263598276608</v>
      </c>
      <c r="AA890" s="81"/>
      <c r="AB890" s="81"/>
      <c r="AC890" s="87" t="s">
        <v>3254</v>
      </c>
      <c r="AD890" s="81"/>
      <c r="AE890" s="81" t="b">
        <v>0</v>
      </c>
      <c r="AF890" s="81">
        <v>0</v>
      </c>
      <c r="AG890" s="87" t="s">
        <v>3875</v>
      </c>
      <c r="AH890" s="81" t="b">
        <v>0</v>
      </c>
      <c r="AI890" s="81" t="s">
        <v>4092</v>
      </c>
      <c r="AJ890" s="81"/>
      <c r="AK890" s="87" t="s">
        <v>3875</v>
      </c>
      <c r="AL890" s="81" t="b">
        <v>0</v>
      </c>
      <c r="AM890" s="81">
        <v>0</v>
      </c>
      <c r="AN890" s="87" t="s">
        <v>3875</v>
      </c>
      <c r="AO890" s="87" t="s">
        <v>4126</v>
      </c>
      <c r="AP890" s="81" t="b">
        <v>0</v>
      </c>
      <c r="AQ890" s="87" t="s">
        <v>3254</v>
      </c>
      <c r="AR890" s="81" t="s">
        <v>179</v>
      </c>
      <c r="AS890" s="81">
        <v>0</v>
      </c>
      <c r="AT890" s="81">
        <v>0</v>
      </c>
      <c r="AU890" s="81"/>
      <c r="AV890" s="81"/>
      <c r="AW890" s="81"/>
      <c r="AX890" s="81"/>
      <c r="AY890" s="81"/>
      <c r="AZ890" s="81"/>
      <c r="BA890" s="81"/>
      <c r="BB890" s="81"/>
    </row>
    <row r="891" spans="1:54" x14ac:dyDescent="0.35">
      <c r="A891" s="66" t="s">
        <v>716</v>
      </c>
      <c r="B891" s="66" t="s">
        <v>1093</v>
      </c>
      <c r="C891" s="67"/>
      <c r="D891" s="68"/>
      <c r="E891" s="69"/>
      <c r="F891" s="70"/>
      <c r="G891" s="67"/>
      <c r="H891" s="71"/>
      <c r="I891" s="72"/>
      <c r="J891" s="72"/>
      <c r="K891" s="36"/>
      <c r="L891" s="79"/>
      <c r="M891" s="79"/>
      <c r="N891" s="74"/>
      <c r="O891" s="81" t="s">
        <v>1208</v>
      </c>
      <c r="P891" s="83">
        <v>44461.454375000001</v>
      </c>
      <c r="Q891" s="81" t="s">
        <v>1408</v>
      </c>
      <c r="R891" s="81"/>
      <c r="S891" s="81"/>
      <c r="T891" s="81"/>
      <c r="U891" s="81"/>
      <c r="V891" s="85" t="str">
        <f>HYPERLINK("https://pbs.twimg.com/profile_images/1442359650175705089/CEHp4vkG_normal.jpg")</f>
        <v>https://pbs.twimg.com/profile_images/1442359650175705089/CEHp4vkG_normal.jpg</v>
      </c>
      <c r="W891" s="83">
        <v>44461.454375000001</v>
      </c>
      <c r="X891" s="89">
        <v>44461</v>
      </c>
      <c r="Y891" s="87" t="s">
        <v>2331</v>
      </c>
      <c r="Z891" s="85" t="str">
        <f>HYPERLINK("https://twitter.com/ug94jinyoung/status/1440630531486453764")</f>
        <v>https://twitter.com/ug94jinyoung/status/1440630531486453764</v>
      </c>
      <c r="AA891" s="81"/>
      <c r="AB891" s="81"/>
      <c r="AC891" s="87" t="s">
        <v>3255</v>
      </c>
      <c r="AD891" s="87" t="s">
        <v>3747</v>
      </c>
      <c r="AE891" s="81" t="b">
        <v>0</v>
      </c>
      <c r="AF891" s="81">
        <v>0</v>
      </c>
      <c r="AG891" s="87" t="s">
        <v>3966</v>
      </c>
      <c r="AH891" s="81" t="b">
        <v>0</v>
      </c>
      <c r="AI891" s="81" t="s">
        <v>4092</v>
      </c>
      <c r="AJ891" s="81"/>
      <c r="AK891" s="87" t="s">
        <v>3875</v>
      </c>
      <c r="AL891" s="81" t="b">
        <v>0</v>
      </c>
      <c r="AM891" s="81">
        <v>0</v>
      </c>
      <c r="AN891" s="87" t="s">
        <v>3875</v>
      </c>
      <c r="AO891" s="87" t="s">
        <v>4109</v>
      </c>
      <c r="AP891" s="81" t="b">
        <v>0</v>
      </c>
      <c r="AQ891" s="87" t="s">
        <v>3747</v>
      </c>
      <c r="AR891" s="81" t="s">
        <v>179</v>
      </c>
      <c r="AS891" s="81">
        <v>0</v>
      </c>
      <c r="AT891" s="81">
        <v>0</v>
      </c>
      <c r="AU891" s="81"/>
      <c r="AV891" s="81"/>
      <c r="AW891" s="81"/>
      <c r="AX891" s="81"/>
      <c r="AY891" s="81"/>
      <c r="AZ891" s="81"/>
      <c r="BA891" s="81"/>
      <c r="BB891" s="81"/>
    </row>
    <row r="892" spans="1:54" x14ac:dyDescent="0.35">
      <c r="A892" s="66" t="s">
        <v>717</v>
      </c>
      <c r="B892" s="66" t="s">
        <v>1094</v>
      </c>
      <c r="C892" s="67"/>
      <c r="D892" s="68"/>
      <c r="E892" s="69"/>
      <c r="F892" s="70"/>
      <c r="G892" s="67"/>
      <c r="H892" s="71"/>
      <c r="I892" s="72"/>
      <c r="J892" s="72"/>
      <c r="K892" s="36"/>
      <c r="L892" s="79"/>
      <c r="M892" s="79"/>
      <c r="N892" s="74"/>
      <c r="O892" s="81" t="s">
        <v>1206</v>
      </c>
      <c r="P892" s="83">
        <v>44461.47115740741</v>
      </c>
      <c r="Q892" s="81" t="s">
        <v>1409</v>
      </c>
      <c r="R892" s="81"/>
      <c r="S892" s="81"/>
      <c r="T892" s="81"/>
      <c r="U892" s="81"/>
      <c r="V892" s="85" t="str">
        <f>HYPERLINK("https://pbs.twimg.com/profile_images/1403892276007346184/J5fqDk8Q_normal.jpg")</f>
        <v>https://pbs.twimg.com/profile_images/1403892276007346184/J5fqDk8Q_normal.jpg</v>
      </c>
      <c r="W892" s="83">
        <v>44461.47115740741</v>
      </c>
      <c r="X892" s="89">
        <v>44461</v>
      </c>
      <c r="Y892" s="87" t="s">
        <v>2332</v>
      </c>
      <c r="Z892" s="85" t="str">
        <f>HYPERLINK("https://twitter.com/iceeteaaaaa/status/1440636610219966478")</f>
        <v>https://twitter.com/iceeteaaaaa/status/1440636610219966478</v>
      </c>
      <c r="AA892" s="81"/>
      <c r="AB892" s="81"/>
      <c r="AC892" s="87" t="s">
        <v>3256</v>
      </c>
      <c r="AD892" s="87" t="s">
        <v>3748</v>
      </c>
      <c r="AE892" s="81" t="b">
        <v>0</v>
      </c>
      <c r="AF892" s="81">
        <v>0</v>
      </c>
      <c r="AG892" s="87" t="s">
        <v>3967</v>
      </c>
      <c r="AH892" s="81" t="b">
        <v>0</v>
      </c>
      <c r="AI892" s="81" t="s">
        <v>4092</v>
      </c>
      <c r="AJ892" s="81"/>
      <c r="AK892" s="87" t="s">
        <v>3875</v>
      </c>
      <c r="AL892" s="81" t="b">
        <v>0</v>
      </c>
      <c r="AM892" s="81">
        <v>0</v>
      </c>
      <c r="AN892" s="87" t="s">
        <v>3875</v>
      </c>
      <c r="AO892" s="87" t="s">
        <v>4109</v>
      </c>
      <c r="AP892" s="81" t="b">
        <v>0</v>
      </c>
      <c r="AQ892" s="87" t="s">
        <v>3748</v>
      </c>
      <c r="AR892" s="81" t="s">
        <v>179</v>
      </c>
      <c r="AS892" s="81">
        <v>0</v>
      </c>
      <c r="AT892" s="81">
        <v>0</v>
      </c>
      <c r="AU892" s="81"/>
      <c r="AV892" s="81"/>
      <c r="AW892" s="81"/>
      <c r="AX892" s="81"/>
      <c r="AY892" s="81"/>
      <c r="AZ892" s="81"/>
      <c r="BA892" s="81"/>
      <c r="BB892" s="81"/>
    </row>
    <row r="893" spans="1:54" x14ac:dyDescent="0.35">
      <c r="A893" s="66" t="s">
        <v>717</v>
      </c>
      <c r="B893" s="66" t="s">
        <v>1095</v>
      </c>
      <c r="C893" s="67"/>
      <c r="D893" s="68"/>
      <c r="E893" s="69"/>
      <c r="F893" s="70"/>
      <c r="G893" s="67"/>
      <c r="H893" s="71"/>
      <c r="I893" s="72"/>
      <c r="J893" s="72"/>
      <c r="K893" s="36"/>
      <c r="L893" s="79"/>
      <c r="M893" s="79"/>
      <c r="N893" s="74"/>
      <c r="O893" s="81" t="s">
        <v>1206</v>
      </c>
      <c r="P893" s="83">
        <v>44461.47115740741</v>
      </c>
      <c r="Q893" s="81" t="s">
        <v>1409</v>
      </c>
      <c r="R893" s="81"/>
      <c r="S893" s="81"/>
      <c r="T893" s="81"/>
      <c r="U893" s="81"/>
      <c r="V893" s="85" t="str">
        <f>HYPERLINK("https://pbs.twimg.com/profile_images/1403892276007346184/J5fqDk8Q_normal.jpg")</f>
        <v>https://pbs.twimg.com/profile_images/1403892276007346184/J5fqDk8Q_normal.jpg</v>
      </c>
      <c r="W893" s="83">
        <v>44461.47115740741</v>
      </c>
      <c r="X893" s="89">
        <v>44461</v>
      </c>
      <c r="Y893" s="87" t="s">
        <v>2332</v>
      </c>
      <c r="Z893" s="85" t="str">
        <f>HYPERLINK("https://twitter.com/iceeteaaaaa/status/1440636610219966478")</f>
        <v>https://twitter.com/iceeteaaaaa/status/1440636610219966478</v>
      </c>
      <c r="AA893" s="81"/>
      <c r="AB893" s="81"/>
      <c r="AC893" s="87" t="s">
        <v>3256</v>
      </c>
      <c r="AD893" s="87" t="s">
        <v>3748</v>
      </c>
      <c r="AE893" s="81" t="b">
        <v>0</v>
      </c>
      <c r="AF893" s="81">
        <v>0</v>
      </c>
      <c r="AG893" s="87" t="s">
        <v>3967</v>
      </c>
      <c r="AH893" s="81" t="b">
        <v>0</v>
      </c>
      <c r="AI893" s="81" t="s">
        <v>4092</v>
      </c>
      <c r="AJ893" s="81"/>
      <c r="AK893" s="87" t="s">
        <v>3875</v>
      </c>
      <c r="AL893" s="81" t="b">
        <v>0</v>
      </c>
      <c r="AM893" s="81">
        <v>0</v>
      </c>
      <c r="AN893" s="87" t="s">
        <v>3875</v>
      </c>
      <c r="AO893" s="87" t="s">
        <v>4109</v>
      </c>
      <c r="AP893" s="81" t="b">
        <v>0</v>
      </c>
      <c r="AQ893" s="87" t="s">
        <v>3748</v>
      </c>
      <c r="AR893" s="81" t="s">
        <v>179</v>
      </c>
      <c r="AS893" s="81">
        <v>0</v>
      </c>
      <c r="AT893" s="81">
        <v>0</v>
      </c>
      <c r="AU893" s="81"/>
      <c r="AV893" s="81"/>
      <c r="AW893" s="81"/>
      <c r="AX893" s="81"/>
      <c r="AY893" s="81"/>
      <c r="AZ893" s="81"/>
      <c r="BA893" s="81"/>
      <c r="BB893" s="81"/>
    </row>
    <row r="894" spans="1:54" x14ac:dyDescent="0.35">
      <c r="A894" s="66" t="s">
        <v>717</v>
      </c>
      <c r="B894" s="66" t="s">
        <v>1096</v>
      </c>
      <c r="C894" s="67"/>
      <c r="D894" s="68"/>
      <c r="E894" s="69"/>
      <c r="F894" s="70"/>
      <c r="G894" s="67"/>
      <c r="H894" s="71"/>
      <c r="I894" s="72"/>
      <c r="J894" s="72"/>
      <c r="K894" s="36"/>
      <c r="L894" s="79"/>
      <c r="M894" s="79"/>
      <c r="N894" s="74"/>
      <c r="O894" s="81" t="s">
        <v>1206</v>
      </c>
      <c r="P894" s="83">
        <v>44461.47115740741</v>
      </c>
      <c r="Q894" s="81" t="s">
        <v>1409</v>
      </c>
      <c r="R894" s="81"/>
      <c r="S894" s="81"/>
      <c r="T894" s="81"/>
      <c r="U894" s="81"/>
      <c r="V894" s="85" t="str">
        <f>HYPERLINK("https://pbs.twimg.com/profile_images/1403892276007346184/J5fqDk8Q_normal.jpg")</f>
        <v>https://pbs.twimg.com/profile_images/1403892276007346184/J5fqDk8Q_normal.jpg</v>
      </c>
      <c r="W894" s="83">
        <v>44461.47115740741</v>
      </c>
      <c r="X894" s="89">
        <v>44461</v>
      </c>
      <c r="Y894" s="87" t="s">
        <v>2332</v>
      </c>
      <c r="Z894" s="85" t="str">
        <f>HYPERLINK("https://twitter.com/iceeteaaaaa/status/1440636610219966478")</f>
        <v>https://twitter.com/iceeteaaaaa/status/1440636610219966478</v>
      </c>
      <c r="AA894" s="81"/>
      <c r="AB894" s="81"/>
      <c r="AC894" s="87" t="s">
        <v>3256</v>
      </c>
      <c r="AD894" s="87" t="s">
        <v>3748</v>
      </c>
      <c r="AE894" s="81" t="b">
        <v>0</v>
      </c>
      <c r="AF894" s="81">
        <v>0</v>
      </c>
      <c r="AG894" s="87" t="s">
        <v>3967</v>
      </c>
      <c r="AH894" s="81" t="b">
        <v>0</v>
      </c>
      <c r="AI894" s="81" t="s">
        <v>4092</v>
      </c>
      <c r="AJ894" s="81"/>
      <c r="AK894" s="87" t="s">
        <v>3875</v>
      </c>
      <c r="AL894" s="81" t="b">
        <v>0</v>
      </c>
      <c r="AM894" s="81">
        <v>0</v>
      </c>
      <c r="AN894" s="87" t="s">
        <v>3875</v>
      </c>
      <c r="AO894" s="87" t="s">
        <v>4109</v>
      </c>
      <c r="AP894" s="81" t="b">
        <v>0</v>
      </c>
      <c r="AQ894" s="87" t="s">
        <v>3748</v>
      </c>
      <c r="AR894" s="81" t="s">
        <v>179</v>
      </c>
      <c r="AS894" s="81">
        <v>0</v>
      </c>
      <c r="AT894" s="81">
        <v>0</v>
      </c>
      <c r="AU894" s="81"/>
      <c r="AV894" s="81"/>
      <c r="AW894" s="81"/>
      <c r="AX894" s="81"/>
      <c r="AY894" s="81"/>
      <c r="AZ894" s="81"/>
      <c r="BA894" s="81"/>
      <c r="BB894" s="81"/>
    </row>
    <row r="895" spans="1:54" x14ac:dyDescent="0.35">
      <c r="A895" s="66" t="s">
        <v>717</v>
      </c>
      <c r="B895" s="66" t="s">
        <v>1097</v>
      </c>
      <c r="C895" s="67"/>
      <c r="D895" s="68"/>
      <c r="E895" s="69"/>
      <c r="F895" s="70"/>
      <c r="G895" s="67"/>
      <c r="H895" s="71"/>
      <c r="I895" s="72"/>
      <c r="J895" s="72"/>
      <c r="K895" s="36"/>
      <c r="L895" s="79"/>
      <c r="M895" s="79"/>
      <c r="N895" s="74"/>
      <c r="O895" s="81" t="s">
        <v>1208</v>
      </c>
      <c r="P895" s="83">
        <v>44461.47115740741</v>
      </c>
      <c r="Q895" s="81" t="s">
        <v>1409</v>
      </c>
      <c r="R895" s="81"/>
      <c r="S895" s="81"/>
      <c r="T895" s="81"/>
      <c r="U895" s="81"/>
      <c r="V895" s="85" t="str">
        <f>HYPERLINK("https://pbs.twimg.com/profile_images/1403892276007346184/J5fqDk8Q_normal.jpg")</f>
        <v>https://pbs.twimg.com/profile_images/1403892276007346184/J5fqDk8Q_normal.jpg</v>
      </c>
      <c r="W895" s="83">
        <v>44461.47115740741</v>
      </c>
      <c r="X895" s="89">
        <v>44461</v>
      </c>
      <c r="Y895" s="87" t="s">
        <v>2332</v>
      </c>
      <c r="Z895" s="85" t="str">
        <f>HYPERLINK("https://twitter.com/iceeteaaaaa/status/1440636610219966478")</f>
        <v>https://twitter.com/iceeteaaaaa/status/1440636610219966478</v>
      </c>
      <c r="AA895" s="81"/>
      <c r="AB895" s="81"/>
      <c r="AC895" s="87" t="s">
        <v>3256</v>
      </c>
      <c r="AD895" s="87" t="s">
        <v>3748</v>
      </c>
      <c r="AE895" s="81" t="b">
        <v>0</v>
      </c>
      <c r="AF895" s="81">
        <v>0</v>
      </c>
      <c r="AG895" s="87" t="s">
        <v>3967</v>
      </c>
      <c r="AH895" s="81" t="b">
        <v>0</v>
      </c>
      <c r="AI895" s="81" t="s">
        <v>4092</v>
      </c>
      <c r="AJ895" s="81"/>
      <c r="AK895" s="87" t="s">
        <v>3875</v>
      </c>
      <c r="AL895" s="81" t="b">
        <v>0</v>
      </c>
      <c r="AM895" s="81">
        <v>0</v>
      </c>
      <c r="AN895" s="87" t="s">
        <v>3875</v>
      </c>
      <c r="AO895" s="87" t="s">
        <v>4109</v>
      </c>
      <c r="AP895" s="81" t="b">
        <v>0</v>
      </c>
      <c r="AQ895" s="87" t="s">
        <v>3748</v>
      </c>
      <c r="AR895" s="81" t="s">
        <v>179</v>
      </c>
      <c r="AS895" s="81">
        <v>0</v>
      </c>
      <c r="AT895" s="81">
        <v>0</v>
      </c>
      <c r="AU895" s="81"/>
      <c r="AV895" s="81"/>
      <c r="AW895" s="81"/>
      <c r="AX895" s="81"/>
      <c r="AY895" s="81"/>
      <c r="AZ895" s="81"/>
      <c r="BA895" s="81"/>
      <c r="BB895" s="81"/>
    </row>
    <row r="896" spans="1:54" x14ac:dyDescent="0.35">
      <c r="A896" s="66" t="s">
        <v>718</v>
      </c>
      <c r="B896" s="66" t="s">
        <v>718</v>
      </c>
      <c r="C896" s="67"/>
      <c r="D896" s="68"/>
      <c r="E896" s="69"/>
      <c r="F896" s="70"/>
      <c r="G896" s="67"/>
      <c r="H896" s="71"/>
      <c r="I896" s="72"/>
      <c r="J896" s="72"/>
      <c r="K896" s="36"/>
      <c r="L896" s="79"/>
      <c r="M896" s="79"/>
      <c r="N896" s="74"/>
      <c r="O896" s="81" t="s">
        <v>179</v>
      </c>
      <c r="P896" s="83">
        <v>44461.475428240738</v>
      </c>
      <c r="Q896" s="81" t="s">
        <v>1410</v>
      </c>
      <c r="R896" s="85" t="str">
        <f>HYPERLINK("https://www.lokernesia.id/2021/09/lowongan-kerja-kantor-pos-makassar.html")</f>
        <v>https://www.lokernesia.id/2021/09/lowongan-kerja-kantor-pos-makassar.html</v>
      </c>
      <c r="S896" s="81" t="s">
        <v>1743</v>
      </c>
      <c r="T896" s="81"/>
      <c r="U896" s="81"/>
      <c r="V896" s="85" t="str">
        <f>HYPERLINK("https://pbs.twimg.com/profile_images/1301215673914327040/xgAaFG1f_normal.jpg")</f>
        <v>https://pbs.twimg.com/profile_images/1301215673914327040/xgAaFG1f_normal.jpg</v>
      </c>
      <c r="W896" s="83">
        <v>44461.475428240738</v>
      </c>
      <c r="X896" s="89">
        <v>44461</v>
      </c>
      <c r="Y896" s="87" t="s">
        <v>2333</v>
      </c>
      <c r="Z896" s="85" t="str">
        <f>HYPERLINK("https://twitter.com/lokernesiaid/status/1440638157200891907")</f>
        <v>https://twitter.com/lokernesiaid/status/1440638157200891907</v>
      </c>
      <c r="AA896" s="81"/>
      <c r="AB896" s="81"/>
      <c r="AC896" s="87" t="s">
        <v>3257</v>
      </c>
      <c r="AD896" s="81"/>
      <c r="AE896" s="81" t="b">
        <v>0</v>
      </c>
      <c r="AF896" s="81">
        <v>0</v>
      </c>
      <c r="AG896" s="87" t="s">
        <v>3875</v>
      </c>
      <c r="AH896" s="81" t="b">
        <v>0</v>
      </c>
      <c r="AI896" s="81" t="s">
        <v>4092</v>
      </c>
      <c r="AJ896" s="81"/>
      <c r="AK896" s="87" t="s">
        <v>3875</v>
      </c>
      <c r="AL896" s="81" t="b">
        <v>0</v>
      </c>
      <c r="AM896" s="81">
        <v>0</v>
      </c>
      <c r="AN896" s="87" t="s">
        <v>3875</v>
      </c>
      <c r="AO896" s="87" t="s">
        <v>4122</v>
      </c>
      <c r="AP896" s="81" t="b">
        <v>0</v>
      </c>
      <c r="AQ896" s="87" t="s">
        <v>3257</v>
      </c>
      <c r="AR896" s="81" t="s">
        <v>179</v>
      </c>
      <c r="AS896" s="81">
        <v>0</v>
      </c>
      <c r="AT896" s="81">
        <v>0</v>
      </c>
      <c r="AU896" s="81"/>
      <c r="AV896" s="81"/>
      <c r="AW896" s="81"/>
      <c r="AX896" s="81"/>
      <c r="AY896" s="81"/>
      <c r="AZ896" s="81"/>
      <c r="BA896" s="81"/>
      <c r="BB896" s="81"/>
    </row>
    <row r="897" spans="1:54" x14ac:dyDescent="0.35">
      <c r="A897" s="66" t="s">
        <v>719</v>
      </c>
      <c r="B897" s="66" t="s">
        <v>1098</v>
      </c>
      <c r="C897" s="67"/>
      <c r="D897" s="68"/>
      <c r="E897" s="69"/>
      <c r="F897" s="70"/>
      <c r="G897" s="67"/>
      <c r="H897" s="71"/>
      <c r="I897" s="72"/>
      <c r="J897" s="72"/>
      <c r="K897" s="36"/>
      <c r="L897" s="79"/>
      <c r="M897" s="79"/>
      <c r="N897" s="74"/>
      <c r="O897" s="81" t="s">
        <v>1206</v>
      </c>
      <c r="P897" s="83">
        <v>44461.475451388891</v>
      </c>
      <c r="Q897" s="81" t="s">
        <v>1411</v>
      </c>
      <c r="R897" s="81"/>
      <c r="S897" s="81"/>
      <c r="T897" s="81"/>
      <c r="U897" s="81"/>
      <c r="V897" s="85" t="str">
        <f>HYPERLINK("https://pbs.twimg.com/profile_images/1442060719894134784/NnNgISWG_normal.jpg")</f>
        <v>https://pbs.twimg.com/profile_images/1442060719894134784/NnNgISWG_normal.jpg</v>
      </c>
      <c r="W897" s="83">
        <v>44461.475451388891</v>
      </c>
      <c r="X897" s="89">
        <v>44461</v>
      </c>
      <c r="Y897" s="87" t="s">
        <v>2334</v>
      </c>
      <c r="Z897" s="85" t="str">
        <f>HYPERLINK("https://twitter.com/tedtood/status/1440638165379739652")</f>
        <v>https://twitter.com/tedtood/status/1440638165379739652</v>
      </c>
      <c r="AA897" s="81"/>
      <c r="AB897" s="81"/>
      <c r="AC897" s="87" t="s">
        <v>3258</v>
      </c>
      <c r="AD897" s="87" t="s">
        <v>3749</v>
      </c>
      <c r="AE897" s="81" t="b">
        <v>0</v>
      </c>
      <c r="AF897" s="81">
        <v>0</v>
      </c>
      <c r="AG897" s="87" t="s">
        <v>3968</v>
      </c>
      <c r="AH897" s="81" t="b">
        <v>0</v>
      </c>
      <c r="AI897" s="81" t="s">
        <v>4092</v>
      </c>
      <c r="AJ897" s="81"/>
      <c r="AK897" s="87" t="s">
        <v>3875</v>
      </c>
      <c r="AL897" s="81" t="b">
        <v>0</v>
      </c>
      <c r="AM897" s="81">
        <v>0</v>
      </c>
      <c r="AN897" s="87" t="s">
        <v>3875</v>
      </c>
      <c r="AO897" s="87" t="s">
        <v>4109</v>
      </c>
      <c r="AP897" s="81" t="b">
        <v>0</v>
      </c>
      <c r="AQ897" s="87" t="s">
        <v>3749</v>
      </c>
      <c r="AR897" s="81" t="s">
        <v>179</v>
      </c>
      <c r="AS897" s="81">
        <v>0</v>
      </c>
      <c r="AT897" s="81">
        <v>0</v>
      </c>
      <c r="AU897" s="81"/>
      <c r="AV897" s="81"/>
      <c r="AW897" s="81"/>
      <c r="AX897" s="81"/>
      <c r="AY897" s="81"/>
      <c r="AZ897" s="81"/>
      <c r="BA897" s="81"/>
      <c r="BB897" s="81"/>
    </row>
    <row r="898" spans="1:54" x14ac:dyDescent="0.35">
      <c r="A898" s="66" t="s">
        <v>720</v>
      </c>
      <c r="B898" s="66" t="s">
        <v>1098</v>
      </c>
      <c r="C898" s="67"/>
      <c r="D898" s="68"/>
      <c r="E898" s="69"/>
      <c r="F898" s="70"/>
      <c r="G898" s="67"/>
      <c r="H898" s="71"/>
      <c r="I898" s="72"/>
      <c r="J898" s="72"/>
      <c r="K898" s="36"/>
      <c r="L898" s="79"/>
      <c r="M898" s="79"/>
      <c r="N898" s="74"/>
      <c r="O898" s="81" t="s">
        <v>1206</v>
      </c>
      <c r="P898" s="83">
        <v>44461.476863425924</v>
      </c>
      <c r="Q898" s="81" t="s">
        <v>1412</v>
      </c>
      <c r="R898" s="81"/>
      <c r="S898" s="81"/>
      <c r="T898" s="81"/>
      <c r="U898" s="81"/>
      <c r="V898" s="85" t="str">
        <f>HYPERLINK("https://pbs.twimg.com/profile_images/1438948103290175489/A0VHiBIn_normal.jpg")</f>
        <v>https://pbs.twimg.com/profile_images/1438948103290175489/A0VHiBIn_normal.jpg</v>
      </c>
      <c r="W898" s="83">
        <v>44461.476863425924</v>
      </c>
      <c r="X898" s="89">
        <v>44461</v>
      </c>
      <c r="Y898" s="87" t="s">
        <v>2335</v>
      </c>
      <c r="Z898" s="85" t="str">
        <f>HYPERLINK("https://twitter.com/joohoneyw_/status/1440638679521792000")</f>
        <v>https://twitter.com/joohoneyw_/status/1440638679521792000</v>
      </c>
      <c r="AA898" s="81"/>
      <c r="AB898" s="81"/>
      <c r="AC898" s="87" t="s">
        <v>3259</v>
      </c>
      <c r="AD898" s="87" t="s">
        <v>3258</v>
      </c>
      <c r="AE898" s="81" t="b">
        <v>0</v>
      </c>
      <c r="AF898" s="81">
        <v>0</v>
      </c>
      <c r="AG898" s="87" t="s">
        <v>3969</v>
      </c>
      <c r="AH898" s="81" t="b">
        <v>0</v>
      </c>
      <c r="AI898" s="81" t="s">
        <v>4094</v>
      </c>
      <c r="AJ898" s="81"/>
      <c r="AK898" s="87" t="s">
        <v>3875</v>
      </c>
      <c r="AL898" s="81" t="b">
        <v>0</v>
      </c>
      <c r="AM898" s="81">
        <v>0</v>
      </c>
      <c r="AN898" s="87" t="s">
        <v>3875</v>
      </c>
      <c r="AO898" s="87" t="s">
        <v>4109</v>
      </c>
      <c r="AP898" s="81" t="b">
        <v>0</v>
      </c>
      <c r="AQ898" s="87" t="s">
        <v>3258</v>
      </c>
      <c r="AR898" s="81" t="s">
        <v>179</v>
      </c>
      <c r="AS898" s="81">
        <v>0</v>
      </c>
      <c r="AT898" s="81">
        <v>0</v>
      </c>
      <c r="AU898" s="81"/>
      <c r="AV898" s="81"/>
      <c r="AW898" s="81"/>
      <c r="AX898" s="81"/>
      <c r="AY898" s="81"/>
      <c r="AZ898" s="81"/>
      <c r="BA898" s="81"/>
      <c r="BB898" s="81"/>
    </row>
    <row r="899" spans="1:54" x14ac:dyDescent="0.35">
      <c r="A899" s="66" t="s">
        <v>719</v>
      </c>
      <c r="B899" s="66" t="s">
        <v>720</v>
      </c>
      <c r="C899" s="67"/>
      <c r="D899" s="68"/>
      <c r="E899" s="69"/>
      <c r="F899" s="70"/>
      <c r="G899" s="67"/>
      <c r="H899" s="71"/>
      <c r="I899" s="72"/>
      <c r="J899" s="72"/>
      <c r="K899" s="36"/>
      <c r="L899" s="79"/>
      <c r="M899" s="79"/>
      <c r="N899" s="74"/>
      <c r="O899" s="81" t="s">
        <v>1208</v>
      </c>
      <c r="P899" s="83">
        <v>44461.475451388891</v>
      </c>
      <c r="Q899" s="81" t="s">
        <v>1411</v>
      </c>
      <c r="R899" s="81"/>
      <c r="S899" s="81"/>
      <c r="T899" s="81"/>
      <c r="U899" s="81"/>
      <c r="V899" s="85" t="str">
        <f>HYPERLINK("https://pbs.twimg.com/profile_images/1442060719894134784/NnNgISWG_normal.jpg")</f>
        <v>https://pbs.twimg.com/profile_images/1442060719894134784/NnNgISWG_normal.jpg</v>
      </c>
      <c r="W899" s="83">
        <v>44461.475451388891</v>
      </c>
      <c r="X899" s="89">
        <v>44461</v>
      </c>
      <c r="Y899" s="87" t="s">
        <v>2334</v>
      </c>
      <c r="Z899" s="85" t="str">
        <f>HYPERLINK("https://twitter.com/tedtood/status/1440638165379739652")</f>
        <v>https://twitter.com/tedtood/status/1440638165379739652</v>
      </c>
      <c r="AA899" s="81"/>
      <c r="AB899" s="81"/>
      <c r="AC899" s="87" t="s">
        <v>3258</v>
      </c>
      <c r="AD899" s="87" t="s">
        <v>3749</v>
      </c>
      <c r="AE899" s="81" t="b">
        <v>0</v>
      </c>
      <c r="AF899" s="81">
        <v>0</v>
      </c>
      <c r="AG899" s="87" t="s">
        <v>3968</v>
      </c>
      <c r="AH899" s="81" t="b">
        <v>0</v>
      </c>
      <c r="AI899" s="81" t="s">
        <v>4092</v>
      </c>
      <c r="AJ899" s="81"/>
      <c r="AK899" s="87" t="s">
        <v>3875</v>
      </c>
      <c r="AL899" s="81" t="b">
        <v>0</v>
      </c>
      <c r="AM899" s="81">
        <v>0</v>
      </c>
      <c r="AN899" s="87" t="s">
        <v>3875</v>
      </c>
      <c r="AO899" s="87" t="s">
        <v>4109</v>
      </c>
      <c r="AP899" s="81" t="b">
        <v>0</v>
      </c>
      <c r="AQ899" s="87" t="s">
        <v>3749</v>
      </c>
      <c r="AR899" s="81" t="s">
        <v>179</v>
      </c>
      <c r="AS899" s="81">
        <v>0</v>
      </c>
      <c r="AT899" s="81">
        <v>0</v>
      </c>
      <c r="AU899" s="81"/>
      <c r="AV899" s="81"/>
      <c r="AW899" s="81"/>
      <c r="AX899" s="81"/>
      <c r="AY899" s="81"/>
      <c r="AZ899" s="81"/>
      <c r="BA899" s="81"/>
      <c r="BB899" s="81"/>
    </row>
    <row r="900" spans="1:54" x14ac:dyDescent="0.35">
      <c r="A900" s="66" t="s">
        <v>720</v>
      </c>
      <c r="B900" s="66" t="s">
        <v>719</v>
      </c>
      <c r="C900" s="67"/>
      <c r="D900" s="68"/>
      <c r="E900" s="69"/>
      <c r="F900" s="70"/>
      <c r="G900" s="67"/>
      <c r="H900" s="71"/>
      <c r="I900" s="72"/>
      <c r="J900" s="72"/>
      <c r="K900" s="36"/>
      <c r="L900" s="79"/>
      <c r="M900" s="79"/>
      <c r="N900" s="74"/>
      <c r="O900" s="81" t="s">
        <v>1208</v>
      </c>
      <c r="P900" s="83">
        <v>44461.476863425924</v>
      </c>
      <c r="Q900" s="81" t="s">
        <v>1412</v>
      </c>
      <c r="R900" s="81"/>
      <c r="S900" s="81"/>
      <c r="T900" s="81"/>
      <c r="U900" s="81"/>
      <c r="V900" s="85" t="str">
        <f>HYPERLINK("https://pbs.twimg.com/profile_images/1438948103290175489/A0VHiBIn_normal.jpg")</f>
        <v>https://pbs.twimg.com/profile_images/1438948103290175489/A0VHiBIn_normal.jpg</v>
      </c>
      <c r="W900" s="83">
        <v>44461.476863425924</v>
      </c>
      <c r="X900" s="89">
        <v>44461</v>
      </c>
      <c r="Y900" s="87" t="s">
        <v>2335</v>
      </c>
      <c r="Z900" s="85" t="str">
        <f>HYPERLINK("https://twitter.com/joohoneyw_/status/1440638679521792000")</f>
        <v>https://twitter.com/joohoneyw_/status/1440638679521792000</v>
      </c>
      <c r="AA900" s="81"/>
      <c r="AB900" s="81"/>
      <c r="AC900" s="87" t="s">
        <v>3259</v>
      </c>
      <c r="AD900" s="87" t="s">
        <v>3258</v>
      </c>
      <c r="AE900" s="81" t="b">
        <v>0</v>
      </c>
      <c r="AF900" s="81">
        <v>0</v>
      </c>
      <c r="AG900" s="87" t="s">
        <v>3969</v>
      </c>
      <c r="AH900" s="81" t="b">
        <v>0</v>
      </c>
      <c r="AI900" s="81" t="s">
        <v>4094</v>
      </c>
      <c r="AJ900" s="81"/>
      <c r="AK900" s="87" t="s">
        <v>3875</v>
      </c>
      <c r="AL900" s="81" t="b">
        <v>0</v>
      </c>
      <c r="AM900" s="81">
        <v>0</v>
      </c>
      <c r="AN900" s="87" t="s">
        <v>3875</v>
      </c>
      <c r="AO900" s="87" t="s">
        <v>4109</v>
      </c>
      <c r="AP900" s="81" t="b">
        <v>0</v>
      </c>
      <c r="AQ900" s="87" t="s">
        <v>3258</v>
      </c>
      <c r="AR900" s="81" t="s">
        <v>179</v>
      </c>
      <c r="AS900" s="81">
        <v>0</v>
      </c>
      <c r="AT900" s="81">
        <v>0</v>
      </c>
      <c r="AU900" s="81"/>
      <c r="AV900" s="81"/>
      <c r="AW900" s="81"/>
      <c r="AX900" s="81"/>
      <c r="AY900" s="81"/>
      <c r="AZ900" s="81"/>
      <c r="BA900" s="81"/>
      <c r="BB900" s="81"/>
    </row>
    <row r="901" spans="1:54" x14ac:dyDescent="0.35">
      <c r="A901" s="66" t="s">
        <v>721</v>
      </c>
      <c r="B901" s="66" t="s">
        <v>1099</v>
      </c>
      <c r="C901" s="67"/>
      <c r="D901" s="68"/>
      <c r="E901" s="69"/>
      <c r="F901" s="70"/>
      <c r="G901" s="67"/>
      <c r="H901" s="71"/>
      <c r="I901" s="72"/>
      <c r="J901" s="72"/>
      <c r="K901" s="36"/>
      <c r="L901" s="79"/>
      <c r="M901" s="79"/>
      <c r="N901" s="74"/>
      <c r="O901" s="81" t="s">
        <v>1208</v>
      </c>
      <c r="P901" s="83">
        <v>44461.566921296297</v>
      </c>
      <c r="Q901" s="81" t="s">
        <v>1413</v>
      </c>
      <c r="R901" s="81"/>
      <c r="S901" s="81"/>
      <c r="T901" s="81"/>
      <c r="U901" s="81"/>
      <c r="V901" s="85" t="str">
        <f>HYPERLINK("https://pbs.twimg.com/profile_images/1435123797946892289/wdvgafCl_normal.jpg")</f>
        <v>https://pbs.twimg.com/profile_images/1435123797946892289/wdvgafCl_normal.jpg</v>
      </c>
      <c r="W901" s="83">
        <v>44461.566921296297</v>
      </c>
      <c r="X901" s="89">
        <v>44461</v>
      </c>
      <c r="Y901" s="87" t="s">
        <v>2336</v>
      </c>
      <c r="Z901" s="85" t="str">
        <f>HYPERLINK("https://twitter.com/haeppyharuenjen/status/1440671316743311365")</f>
        <v>https://twitter.com/haeppyharuenjen/status/1440671316743311365</v>
      </c>
      <c r="AA901" s="81"/>
      <c r="AB901" s="81"/>
      <c r="AC901" s="87" t="s">
        <v>3260</v>
      </c>
      <c r="AD901" s="87" t="s">
        <v>3750</v>
      </c>
      <c r="AE901" s="81" t="b">
        <v>0</v>
      </c>
      <c r="AF901" s="81">
        <v>0</v>
      </c>
      <c r="AG901" s="87" t="s">
        <v>3970</v>
      </c>
      <c r="AH901" s="81" t="b">
        <v>0</v>
      </c>
      <c r="AI901" s="81" t="s">
        <v>4092</v>
      </c>
      <c r="AJ901" s="81"/>
      <c r="AK901" s="87" t="s">
        <v>3875</v>
      </c>
      <c r="AL901" s="81" t="b">
        <v>0</v>
      </c>
      <c r="AM901" s="81">
        <v>0</v>
      </c>
      <c r="AN901" s="87" t="s">
        <v>3875</v>
      </c>
      <c r="AO901" s="87" t="s">
        <v>4109</v>
      </c>
      <c r="AP901" s="81" t="b">
        <v>0</v>
      </c>
      <c r="AQ901" s="87" t="s">
        <v>3750</v>
      </c>
      <c r="AR901" s="81" t="s">
        <v>179</v>
      </c>
      <c r="AS901" s="81">
        <v>0</v>
      </c>
      <c r="AT901" s="81">
        <v>0</v>
      </c>
      <c r="AU901" s="81"/>
      <c r="AV901" s="81"/>
      <c r="AW901" s="81"/>
      <c r="AX901" s="81"/>
      <c r="AY901" s="81"/>
      <c r="AZ901" s="81"/>
      <c r="BA901" s="81"/>
      <c r="BB901" s="81"/>
    </row>
    <row r="902" spans="1:54" x14ac:dyDescent="0.35">
      <c r="A902" s="66" t="s">
        <v>722</v>
      </c>
      <c r="B902" s="66" t="s">
        <v>1070</v>
      </c>
      <c r="C902" s="67"/>
      <c r="D902" s="68"/>
      <c r="E902" s="69"/>
      <c r="F902" s="70"/>
      <c r="G902" s="67"/>
      <c r="H902" s="71"/>
      <c r="I902" s="72"/>
      <c r="J902" s="72"/>
      <c r="K902" s="36"/>
      <c r="L902" s="79"/>
      <c r="M902" s="79"/>
      <c r="N902" s="74"/>
      <c r="O902" s="81" t="s">
        <v>1208</v>
      </c>
      <c r="P902" s="83">
        <v>44461.591585648152</v>
      </c>
      <c r="Q902" s="81" t="s">
        <v>1414</v>
      </c>
      <c r="R902" s="81"/>
      <c r="S902" s="81"/>
      <c r="T902" s="81"/>
      <c r="U902" s="81"/>
      <c r="V902" s="85" t="str">
        <f>HYPERLINK("https://pbs.twimg.com/profile_images/1380909655271088139/bZko4pFH_normal.jpg")</f>
        <v>https://pbs.twimg.com/profile_images/1380909655271088139/bZko4pFH_normal.jpg</v>
      </c>
      <c r="W902" s="83">
        <v>44461.591585648152</v>
      </c>
      <c r="X902" s="89">
        <v>44461</v>
      </c>
      <c r="Y902" s="87" t="s">
        <v>2337</v>
      </c>
      <c r="Z902" s="85" t="str">
        <f>HYPERLINK("https://twitter.com/abdurrafialwan/status/1440680253765029888")</f>
        <v>https://twitter.com/abdurrafialwan/status/1440680253765029888</v>
      </c>
      <c r="AA902" s="81"/>
      <c r="AB902" s="81"/>
      <c r="AC902" s="87" t="s">
        <v>3261</v>
      </c>
      <c r="AD902" s="87" t="s">
        <v>3751</v>
      </c>
      <c r="AE902" s="81" t="b">
        <v>0</v>
      </c>
      <c r="AF902" s="81">
        <v>0</v>
      </c>
      <c r="AG902" s="87" t="s">
        <v>3944</v>
      </c>
      <c r="AH902" s="81" t="b">
        <v>0</v>
      </c>
      <c r="AI902" s="81" t="s">
        <v>4092</v>
      </c>
      <c r="AJ902" s="81"/>
      <c r="AK902" s="87" t="s">
        <v>3875</v>
      </c>
      <c r="AL902" s="81" t="b">
        <v>0</v>
      </c>
      <c r="AM902" s="81">
        <v>0</v>
      </c>
      <c r="AN902" s="87" t="s">
        <v>3875</v>
      </c>
      <c r="AO902" s="87" t="s">
        <v>4109</v>
      </c>
      <c r="AP902" s="81" t="b">
        <v>0</v>
      </c>
      <c r="AQ902" s="87" t="s">
        <v>3751</v>
      </c>
      <c r="AR902" s="81" t="s">
        <v>179</v>
      </c>
      <c r="AS902" s="81">
        <v>0</v>
      </c>
      <c r="AT902" s="81">
        <v>0</v>
      </c>
      <c r="AU902" s="81"/>
      <c r="AV902" s="81"/>
      <c r="AW902" s="81"/>
      <c r="AX902" s="81"/>
      <c r="AY902" s="81"/>
      <c r="AZ902" s="81"/>
      <c r="BA902" s="81"/>
      <c r="BB902" s="81"/>
    </row>
    <row r="903" spans="1:54" x14ac:dyDescent="0.35">
      <c r="A903" s="66" t="s">
        <v>723</v>
      </c>
      <c r="B903" s="66" t="s">
        <v>1100</v>
      </c>
      <c r="C903" s="67"/>
      <c r="D903" s="68"/>
      <c r="E903" s="69"/>
      <c r="F903" s="70"/>
      <c r="G903" s="67"/>
      <c r="H903" s="71"/>
      <c r="I903" s="72"/>
      <c r="J903" s="72"/>
      <c r="K903" s="36"/>
      <c r="L903" s="79"/>
      <c r="M903" s="79"/>
      <c r="N903" s="74"/>
      <c r="O903" s="81" t="s">
        <v>1208</v>
      </c>
      <c r="P903" s="83">
        <v>44461.616203703707</v>
      </c>
      <c r="Q903" s="81" t="s">
        <v>1415</v>
      </c>
      <c r="R903" s="81"/>
      <c r="S903" s="81"/>
      <c r="T903" s="81"/>
      <c r="U903" s="81"/>
      <c r="V903" s="85" t="str">
        <f>HYPERLINK("https://pbs.twimg.com/profile_images/1442666690022502406/dpNneEcN_normal.jpg")</f>
        <v>https://pbs.twimg.com/profile_images/1442666690022502406/dpNneEcN_normal.jpg</v>
      </c>
      <c r="W903" s="83">
        <v>44461.616203703707</v>
      </c>
      <c r="X903" s="89">
        <v>44461</v>
      </c>
      <c r="Y903" s="87" t="s">
        <v>2338</v>
      </c>
      <c r="Z903" s="85" t="str">
        <f>HYPERLINK("https://twitter.com/lheezseung/status/1440689175926226944")</f>
        <v>https://twitter.com/lheezseung/status/1440689175926226944</v>
      </c>
      <c r="AA903" s="81"/>
      <c r="AB903" s="81"/>
      <c r="AC903" s="87" t="s">
        <v>3262</v>
      </c>
      <c r="AD903" s="87" t="s">
        <v>3752</v>
      </c>
      <c r="AE903" s="81" t="b">
        <v>0</v>
      </c>
      <c r="AF903" s="81">
        <v>0</v>
      </c>
      <c r="AG903" s="87" t="s">
        <v>3971</v>
      </c>
      <c r="AH903" s="81" t="b">
        <v>0</v>
      </c>
      <c r="AI903" s="81" t="s">
        <v>4092</v>
      </c>
      <c r="AJ903" s="81"/>
      <c r="AK903" s="87" t="s">
        <v>3875</v>
      </c>
      <c r="AL903" s="81" t="b">
        <v>0</v>
      </c>
      <c r="AM903" s="81">
        <v>0</v>
      </c>
      <c r="AN903" s="87" t="s">
        <v>3875</v>
      </c>
      <c r="AO903" s="87" t="s">
        <v>4109</v>
      </c>
      <c r="AP903" s="81" t="b">
        <v>0</v>
      </c>
      <c r="AQ903" s="87" t="s">
        <v>3752</v>
      </c>
      <c r="AR903" s="81" t="s">
        <v>179</v>
      </c>
      <c r="AS903" s="81">
        <v>0</v>
      </c>
      <c r="AT903" s="81">
        <v>0</v>
      </c>
      <c r="AU903" s="81"/>
      <c r="AV903" s="81"/>
      <c r="AW903" s="81"/>
      <c r="AX903" s="81"/>
      <c r="AY903" s="81"/>
      <c r="AZ903" s="81"/>
      <c r="BA903" s="81"/>
      <c r="BB903" s="81"/>
    </row>
    <row r="904" spans="1:54" x14ac:dyDescent="0.35">
      <c r="A904" s="66" t="s">
        <v>724</v>
      </c>
      <c r="B904" s="66" t="s">
        <v>724</v>
      </c>
      <c r="C904" s="67"/>
      <c r="D904" s="68"/>
      <c r="E904" s="69"/>
      <c r="F904" s="70"/>
      <c r="G904" s="67"/>
      <c r="H904" s="71"/>
      <c r="I904" s="72"/>
      <c r="J904" s="72"/>
      <c r="K904" s="36"/>
      <c r="L904" s="79"/>
      <c r="M904" s="79"/>
      <c r="N904" s="74"/>
      <c r="O904" s="81" t="s">
        <v>179</v>
      </c>
      <c r="P904" s="83">
        <v>44461.640833333331</v>
      </c>
      <c r="Q904" s="81" t="s">
        <v>1416</v>
      </c>
      <c r="R904" s="85" t="str">
        <f>HYPERLINK("https://www.lokersumatera.com/2021/09/kantor-pos-30000-palembang.html#.YUtKQkjZynM.twitter")</f>
        <v>https://www.lokersumatera.com/2021/09/kantor-pos-30000-palembang.html#.YUtKQkjZynM.twitter</v>
      </c>
      <c r="S904" s="81" t="s">
        <v>1744</v>
      </c>
      <c r="T904" s="87" t="s">
        <v>1770</v>
      </c>
      <c r="U904" s="81"/>
      <c r="V904" s="85" t="str">
        <f>HYPERLINK("https://pbs.twimg.com/profile_images/1044596314292420608/UyByhG0l_normal.jpg")</f>
        <v>https://pbs.twimg.com/profile_images/1044596314292420608/UyByhG0l_normal.jpg</v>
      </c>
      <c r="W904" s="83">
        <v>44461.640833333331</v>
      </c>
      <c r="X904" s="89">
        <v>44461</v>
      </c>
      <c r="Y904" s="87" t="s">
        <v>2339</v>
      </c>
      <c r="Z904" s="85" t="str">
        <f>HYPERLINK("https://twitter.com/lokersumatera1/status/1440698098880106498")</f>
        <v>https://twitter.com/lokersumatera1/status/1440698098880106498</v>
      </c>
      <c r="AA904" s="81"/>
      <c r="AB904" s="81"/>
      <c r="AC904" s="87" t="s">
        <v>3263</v>
      </c>
      <c r="AD904" s="81"/>
      <c r="AE904" s="81" t="b">
        <v>0</v>
      </c>
      <c r="AF904" s="81">
        <v>0</v>
      </c>
      <c r="AG904" s="87" t="s">
        <v>3875</v>
      </c>
      <c r="AH904" s="81" t="b">
        <v>0</v>
      </c>
      <c r="AI904" s="81" t="s">
        <v>4092</v>
      </c>
      <c r="AJ904" s="81"/>
      <c r="AK904" s="87" t="s">
        <v>3875</v>
      </c>
      <c r="AL904" s="81" t="b">
        <v>0</v>
      </c>
      <c r="AM904" s="81">
        <v>0</v>
      </c>
      <c r="AN904" s="87" t="s">
        <v>3875</v>
      </c>
      <c r="AO904" s="87" t="s">
        <v>4111</v>
      </c>
      <c r="AP904" s="81" t="b">
        <v>0</v>
      </c>
      <c r="AQ904" s="87" t="s">
        <v>3263</v>
      </c>
      <c r="AR904" s="81" t="s">
        <v>179</v>
      </c>
      <c r="AS904" s="81">
        <v>0</v>
      </c>
      <c r="AT904" s="81">
        <v>0</v>
      </c>
      <c r="AU904" s="81"/>
      <c r="AV904" s="81"/>
      <c r="AW904" s="81"/>
      <c r="AX904" s="81"/>
      <c r="AY904" s="81"/>
      <c r="AZ904" s="81"/>
      <c r="BA904" s="81"/>
      <c r="BB904" s="81"/>
    </row>
    <row r="905" spans="1:54" x14ac:dyDescent="0.35">
      <c r="A905" s="66" t="s">
        <v>725</v>
      </c>
      <c r="B905" s="66" t="s">
        <v>727</v>
      </c>
      <c r="C905" s="67"/>
      <c r="D905" s="68"/>
      <c r="E905" s="69"/>
      <c r="F905" s="70"/>
      <c r="G905" s="67"/>
      <c r="H905" s="71"/>
      <c r="I905" s="72"/>
      <c r="J905" s="72"/>
      <c r="K905" s="36"/>
      <c r="L905" s="79"/>
      <c r="M905" s="79"/>
      <c r="N905" s="74"/>
      <c r="O905" s="81" t="s">
        <v>1206</v>
      </c>
      <c r="P905" s="83">
        <v>44461.649699074071</v>
      </c>
      <c r="Q905" s="81" t="s">
        <v>1417</v>
      </c>
      <c r="R905" s="81"/>
      <c r="S905" s="81"/>
      <c r="T905" s="81"/>
      <c r="U905" s="81"/>
      <c r="V905" s="85" t="str">
        <f>HYPERLINK("https://pbs.twimg.com/profile_images/1433728859971588097/k8ltPHcu_normal.jpg")</f>
        <v>https://pbs.twimg.com/profile_images/1433728859971588097/k8ltPHcu_normal.jpg</v>
      </c>
      <c r="W905" s="83">
        <v>44461.649699074071</v>
      </c>
      <c r="X905" s="89">
        <v>44461</v>
      </c>
      <c r="Y905" s="87" t="s">
        <v>2340</v>
      </c>
      <c r="Z905" s="85" t="str">
        <f>HYPERLINK("https://twitter.com/ateezmart/status/1440701314099335177")</f>
        <v>https://twitter.com/ateezmart/status/1440701314099335177</v>
      </c>
      <c r="AA905" s="81"/>
      <c r="AB905" s="81"/>
      <c r="AC905" s="87" t="s">
        <v>3264</v>
      </c>
      <c r="AD905" s="81"/>
      <c r="AE905" s="81" t="b">
        <v>0</v>
      </c>
      <c r="AF905" s="81">
        <v>0</v>
      </c>
      <c r="AG905" s="87" t="s">
        <v>3875</v>
      </c>
      <c r="AH905" s="81" t="b">
        <v>0</v>
      </c>
      <c r="AI905" s="81" t="s">
        <v>4092</v>
      </c>
      <c r="AJ905" s="81"/>
      <c r="AK905" s="87" t="s">
        <v>3875</v>
      </c>
      <c r="AL905" s="81" t="b">
        <v>0</v>
      </c>
      <c r="AM905" s="81">
        <v>0</v>
      </c>
      <c r="AN905" s="87" t="s">
        <v>3875</v>
      </c>
      <c r="AO905" s="87" t="s">
        <v>725</v>
      </c>
      <c r="AP905" s="81" t="b">
        <v>0</v>
      </c>
      <c r="AQ905" s="87" t="s">
        <v>3264</v>
      </c>
      <c r="AR905" s="81" t="s">
        <v>179</v>
      </c>
      <c r="AS905" s="81">
        <v>0</v>
      </c>
      <c r="AT905" s="81">
        <v>0</v>
      </c>
      <c r="AU905" s="81"/>
      <c r="AV905" s="81"/>
      <c r="AW905" s="81"/>
      <c r="AX905" s="81"/>
      <c r="AY905" s="81"/>
      <c r="AZ905" s="81"/>
      <c r="BA905" s="81"/>
      <c r="BB905" s="81"/>
    </row>
    <row r="906" spans="1:54" x14ac:dyDescent="0.35">
      <c r="A906" s="66" t="s">
        <v>726</v>
      </c>
      <c r="B906" s="66" t="s">
        <v>1101</v>
      </c>
      <c r="C906" s="67"/>
      <c r="D906" s="68"/>
      <c r="E906" s="69"/>
      <c r="F906" s="70"/>
      <c r="G906" s="67"/>
      <c r="H906" s="71"/>
      <c r="I906" s="72"/>
      <c r="J906" s="72"/>
      <c r="K906" s="36"/>
      <c r="L906" s="79"/>
      <c r="M906" s="79"/>
      <c r="N906" s="74"/>
      <c r="O906" s="81" t="s">
        <v>1208</v>
      </c>
      <c r="P906" s="83">
        <v>44461.650138888886</v>
      </c>
      <c r="Q906" s="81" t="s">
        <v>1418</v>
      </c>
      <c r="R906" s="81"/>
      <c r="S906" s="81"/>
      <c r="T906" s="81"/>
      <c r="U906" s="81"/>
      <c r="V906" s="85" t="str">
        <f>HYPERLINK("https://pbs.twimg.com/profile_images/1367080758347665413/IGJqIvMz_normal.jpg")</f>
        <v>https://pbs.twimg.com/profile_images/1367080758347665413/IGJqIvMz_normal.jpg</v>
      </c>
      <c r="W906" s="83">
        <v>44461.650138888886</v>
      </c>
      <c r="X906" s="89">
        <v>44461</v>
      </c>
      <c r="Y906" s="87" t="s">
        <v>2341</v>
      </c>
      <c r="Z906" s="85" t="str">
        <f>HYPERLINK("https://twitter.com/widodo_harjono/status/1440701473726222336")</f>
        <v>https://twitter.com/widodo_harjono/status/1440701473726222336</v>
      </c>
      <c r="AA906" s="81"/>
      <c r="AB906" s="81"/>
      <c r="AC906" s="87" t="s">
        <v>3265</v>
      </c>
      <c r="AD906" s="87" t="s">
        <v>3753</v>
      </c>
      <c r="AE906" s="81" t="b">
        <v>0</v>
      </c>
      <c r="AF906" s="81">
        <v>0</v>
      </c>
      <c r="AG906" s="87" t="s">
        <v>3972</v>
      </c>
      <c r="AH906" s="81" t="b">
        <v>0</v>
      </c>
      <c r="AI906" s="81" t="s">
        <v>4092</v>
      </c>
      <c r="AJ906" s="81"/>
      <c r="AK906" s="87" t="s">
        <v>3875</v>
      </c>
      <c r="AL906" s="81" t="b">
        <v>0</v>
      </c>
      <c r="AM906" s="81">
        <v>0</v>
      </c>
      <c r="AN906" s="87" t="s">
        <v>3875</v>
      </c>
      <c r="AO906" s="87" t="s">
        <v>4109</v>
      </c>
      <c r="AP906" s="81" t="b">
        <v>0</v>
      </c>
      <c r="AQ906" s="87" t="s">
        <v>3753</v>
      </c>
      <c r="AR906" s="81" t="s">
        <v>179</v>
      </c>
      <c r="AS906" s="81">
        <v>0</v>
      </c>
      <c r="AT906" s="81">
        <v>0</v>
      </c>
      <c r="AU906" s="81"/>
      <c r="AV906" s="81"/>
      <c r="AW906" s="81"/>
      <c r="AX906" s="81"/>
      <c r="AY906" s="81"/>
      <c r="AZ906" s="81"/>
      <c r="BA906" s="81"/>
      <c r="BB906" s="81"/>
    </row>
    <row r="907" spans="1:54" x14ac:dyDescent="0.35">
      <c r="A907" s="66" t="s">
        <v>727</v>
      </c>
      <c r="B907" s="66" t="s">
        <v>727</v>
      </c>
      <c r="C907" s="67"/>
      <c r="D907" s="68"/>
      <c r="E907" s="69"/>
      <c r="F907" s="70"/>
      <c r="G907" s="67"/>
      <c r="H907" s="71"/>
      <c r="I907" s="72"/>
      <c r="J907" s="72"/>
      <c r="K907" s="36"/>
      <c r="L907" s="79"/>
      <c r="M907" s="79"/>
      <c r="N907" s="74"/>
      <c r="O907" s="81" t="s">
        <v>179</v>
      </c>
      <c r="P907" s="83">
        <v>44461.655694444446</v>
      </c>
      <c r="Q907" s="81" t="s">
        <v>1419</v>
      </c>
      <c r="R907" s="81"/>
      <c r="S907" s="81"/>
      <c r="T907" s="81"/>
      <c r="U907" s="81"/>
      <c r="V907" s="85" t="str">
        <f>HYPERLINK("https://pbs.twimg.com/profile_images/1441633267858374661/MQ7I8cKY_normal.jpg")</f>
        <v>https://pbs.twimg.com/profile_images/1441633267858374661/MQ7I8cKY_normal.jpg</v>
      </c>
      <c r="W907" s="83">
        <v>44461.655694444446</v>
      </c>
      <c r="X907" s="89">
        <v>44461</v>
      </c>
      <c r="Y907" s="87" t="s">
        <v>2342</v>
      </c>
      <c r="Z907" s="85" t="str">
        <f>HYPERLINK("https://twitter.com/seoulutionid/status/1440703485222158339")</f>
        <v>https://twitter.com/seoulutionid/status/1440703485222158339</v>
      </c>
      <c r="AA907" s="81"/>
      <c r="AB907" s="81"/>
      <c r="AC907" s="87" t="s">
        <v>3266</v>
      </c>
      <c r="AD907" s="81"/>
      <c r="AE907" s="81" t="b">
        <v>0</v>
      </c>
      <c r="AF907" s="81">
        <v>0</v>
      </c>
      <c r="AG907" s="87" t="s">
        <v>3875</v>
      </c>
      <c r="AH907" s="81" t="b">
        <v>0</v>
      </c>
      <c r="AI907" s="81" t="s">
        <v>4093</v>
      </c>
      <c r="AJ907" s="81"/>
      <c r="AK907" s="87" t="s">
        <v>3875</v>
      </c>
      <c r="AL907" s="81" t="b">
        <v>0</v>
      </c>
      <c r="AM907" s="81">
        <v>2</v>
      </c>
      <c r="AN907" s="87" t="s">
        <v>3875</v>
      </c>
      <c r="AO907" s="87" t="s">
        <v>4110</v>
      </c>
      <c r="AP907" s="81" t="b">
        <v>0</v>
      </c>
      <c r="AQ907" s="87" t="s">
        <v>3266</v>
      </c>
      <c r="AR907" s="81" t="s">
        <v>179</v>
      </c>
      <c r="AS907" s="81">
        <v>0</v>
      </c>
      <c r="AT907" s="81">
        <v>0</v>
      </c>
      <c r="AU907" s="81"/>
      <c r="AV907" s="81"/>
      <c r="AW907" s="81"/>
      <c r="AX907" s="81"/>
      <c r="AY907" s="81"/>
      <c r="AZ907" s="81"/>
      <c r="BA907" s="81"/>
      <c r="BB907" s="81"/>
    </row>
    <row r="908" spans="1:54" x14ac:dyDescent="0.35">
      <c r="A908" s="66" t="s">
        <v>728</v>
      </c>
      <c r="B908" s="66" t="s">
        <v>727</v>
      </c>
      <c r="C908" s="67"/>
      <c r="D908" s="68"/>
      <c r="E908" s="69"/>
      <c r="F908" s="70"/>
      <c r="G908" s="67"/>
      <c r="H908" s="71"/>
      <c r="I908" s="72"/>
      <c r="J908" s="72"/>
      <c r="K908" s="36"/>
      <c r="L908" s="79"/>
      <c r="M908" s="79"/>
      <c r="N908" s="74"/>
      <c r="O908" s="81" t="s">
        <v>1205</v>
      </c>
      <c r="P908" s="83">
        <v>44461.659930555557</v>
      </c>
      <c r="Q908" s="81" t="s">
        <v>1419</v>
      </c>
      <c r="R908" s="81"/>
      <c r="S908" s="81"/>
      <c r="T908" s="81"/>
      <c r="U908" s="81"/>
      <c r="V908" s="85" t="str">
        <f>HYPERLINK("https://pbs.twimg.com/profile_images/1442484423731994634/IctUIVZB_normal.jpg")</f>
        <v>https://pbs.twimg.com/profile_images/1442484423731994634/IctUIVZB_normal.jpg</v>
      </c>
      <c r="W908" s="83">
        <v>44461.659930555557</v>
      </c>
      <c r="X908" s="89">
        <v>44461</v>
      </c>
      <c r="Y908" s="87" t="s">
        <v>2343</v>
      </c>
      <c r="Z908" s="85" t="str">
        <f>HYPERLINK("https://twitter.com/fallinstaar/status/1440705019452399621")</f>
        <v>https://twitter.com/fallinstaar/status/1440705019452399621</v>
      </c>
      <c r="AA908" s="81"/>
      <c r="AB908" s="81"/>
      <c r="AC908" s="87" t="s">
        <v>3267</v>
      </c>
      <c r="AD908" s="81"/>
      <c r="AE908" s="81" t="b">
        <v>0</v>
      </c>
      <c r="AF908" s="81">
        <v>0</v>
      </c>
      <c r="AG908" s="87" t="s">
        <v>3875</v>
      </c>
      <c r="AH908" s="81" t="b">
        <v>0</v>
      </c>
      <c r="AI908" s="81" t="s">
        <v>4093</v>
      </c>
      <c r="AJ908" s="81"/>
      <c r="AK908" s="87" t="s">
        <v>3875</v>
      </c>
      <c r="AL908" s="81" t="b">
        <v>0</v>
      </c>
      <c r="AM908" s="81">
        <v>2</v>
      </c>
      <c r="AN908" s="87" t="s">
        <v>3266</v>
      </c>
      <c r="AO908" s="87" t="s">
        <v>4109</v>
      </c>
      <c r="AP908" s="81" t="b">
        <v>0</v>
      </c>
      <c r="AQ908" s="87" t="s">
        <v>3266</v>
      </c>
      <c r="AR908" s="81" t="s">
        <v>179</v>
      </c>
      <c r="AS908" s="81">
        <v>0</v>
      </c>
      <c r="AT908" s="81">
        <v>0</v>
      </c>
      <c r="AU908" s="81"/>
      <c r="AV908" s="81"/>
      <c r="AW908" s="81"/>
      <c r="AX908" s="81"/>
      <c r="AY908" s="81"/>
      <c r="AZ908" s="81"/>
      <c r="BA908" s="81"/>
      <c r="BB908" s="81"/>
    </row>
    <row r="909" spans="1:54" x14ac:dyDescent="0.35">
      <c r="A909" s="66" t="s">
        <v>729</v>
      </c>
      <c r="B909" s="66" t="s">
        <v>1102</v>
      </c>
      <c r="C909" s="67"/>
      <c r="D909" s="68"/>
      <c r="E909" s="69"/>
      <c r="F909" s="70"/>
      <c r="G909" s="67"/>
      <c r="H909" s="71"/>
      <c r="I909" s="72"/>
      <c r="J909" s="72"/>
      <c r="K909" s="36"/>
      <c r="L909" s="79"/>
      <c r="M909" s="79"/>
      <c r="N909" s="74"/>
      <c r="O909" s="81" t="s">
        <v>1208</v>
      </c>
      <c r="P909" s="83">
        <v>44461.743668981479</v>
      </c>
      <c r="Q909" s="81" t="s">
        <v>1420</v>
      </c>
      <c r="R909" s="81"/>
      <c r="S909" s="81"/>
      <c r="T909" s="81"/>
      <c r="U909" s="81"/>
      <c r="V909" s="85" t="str">
        <f>HYPERLINK("https://pbs.twimg.com/profile_images/1442489988935917571/PLEjxUwD_normal.jpg")</f>
        <v>https://pbs.twimg.com/profile_images/1442489988935917571/PLEjxUwD_normal.jpg</v>
      </c>
      <c r="W909" s="83">
        <v>44461.743668981479</v>
      </c>
      <c r="X909" s="89">
        <v>44461</v>
      </c>
      <c r="Y909" s="87" t="s">
        <v>2344</v>
      </c>
      <c r="Z909" s="85" t="str">
        <f>HYPERLINK("https://twitter.com/thetarasu/status/1440735366093291525")</f>
        <v>https://twitter.com/thetarasu/status/1440735366093291525</v>
      </c>
      <c r="AA909" s="81"/>
      <c r="AB909" s="81"/>
      <c r="AC909" s="87" t="s">
        <v>3268</v>
      </c>
      <c r="AD909" s="87" t="s">
        <v>3754</v>
      </c>
      <c r="AE909" s="81" t="b">
        <v>0</v>
      </c>
      <c r="AF909" s="81">
        <v>0</v>
      </c>
      <c r="AG909" s="87" t="s">
        <v>3973</v>
      </c>
      <c r="AH909" s="81" t="b">
        <v>0</v>
      </c>
      <c r="AI909" s="81" t="s">
        <v>4092</v>
      </c>
      <c r="AJ909" s="81"/>
      <c r="AK909" s="87" t="s">
        <v>3875</v>
      </c>
      <c r="AL909" s="81" t="b">
        <v>0</v>
      </c>
      <c r="AM909" s="81">
        <v>0</v>
      </c>
      <c r="AN909" s="87" t="s">
        <v>3875</v>
      </c>
      <c r="AO909" s="87" t="s">
        <v>4109</v>
      </c>
      <c r="AP909" s="81" t="b">
        <v>0</v>
      </c>
      <c r="AQ909" s="87" t="s">
        <v>3754</v>
      </c>
      <c r="AR909" s="81" t="s">
        <v>179</v>
      </c>
      <c r="AS909" s="81">
        <v>0</v>
      </c>
      <c r="AT909" s="81">
        <v>0</v>
      </c>
      <c r="AU909" s="81"/>
      <c r="AV909" s="81"/>
      <c r="AW909" s="81"/>
      <c r="AX909" s="81"/>
      <c r="AY909" s="81"/>
      <c r="AZ909" s="81"/>
      <c r="BA909" s="81"/>
      <c r="BB909" s="81"/>
    </row>
    <row r="910" spans="1:54" x14ac:dyDescent="0.35">
      <c r="A910" s="66" t="s">
        <v>730</v>
      </c>
      <c r="B910" s="66" t="s">
        <v>1103</v>
      </c>
      <c r="C910" s="67"/>
      <c r="D910" s="68"/>
      <c r="E910" s="69"/>
      <c r="F910" s="70"/>
      <c r="G910" s="67"/>
      <c r="H910" s="71"/>
      <c r="I910" s="72"/>
      <c r="J910" s="72"/>
      <c r="K910" s="36"/>
      <c r="L910" s="79"/>
      <c r="M910" s="79"/>
      <c r="N910" s="74"/>
      <c r="O910" s="81" t="s">
        <v>1208</v>
      </c>
      <c r="P910" s="83">
        <v>44461.927361111113</v>
      </c>
      <c r="Q910" s="81" t="s">
        <v>1421</v>
      </c>
      <c r="R910" s="81"/>
      <c r="S910" s="81"/>
      <c r="T910" s="81"/>
      <c r="U910" s="81"/>
      <c r="V910" s="85" t="str">
        <f>HYPERLINK("https://pbs.twimg.com/profile_images/1442150322919514113/b-h8zcst_normal.jpg")</f>
        <v>https://pbs.twimg.com/profile_images/1442150322919514113/b-h8zcst_normal.jpg</v>
      </c>
      <c r="W910" s="83">
        <v>44461.927361111113</v>
      </c>
      <c r="X910" s="89">
        <v>44461</v>
      </c>
      <c r="Y910" s="87" t="s">
        <v>2345</v>
      </c>
      <c r="Z910" s="85" t="str">
        <f>HYPERLINK("https://twitter.com/dahcapekya/status/1440801932415668225")</f>
        <v>https://twitter.com/dahcapekya/status/1440801932415668225</v>
      </c>
      <c r="AA910" s="81"/>
      <c r="AB910" s="81"/>
      <c r="AC910" s="87" t="s">
        <v>3269</v>
      </c>
      <c r="AD910" s="87" t="s">
        <v>3755</v>
      </c>
      <c r="AE910" s="81" t="b">
        <v>0</v>
      </c>
      <c r="AF910" s="81">
        <v>1</v>
      </c>
      <c r="AG910" s="87" t="s">
        <v>3974</v>
      </c>
      <c r="AH910" s="81" t="b">
        <v>0</v>
      </c>
      <c r="AI910" s="81" t="s">
        <v>4092</v>
      </c>
      <c r="AJ910" s="81"/>
      <c r="AK910" s="87" t="s">
        <v>3875</v>
      </c>
      <c r="AL910" s="81" t="b">
        <v>0</v>
      </c>
      <c r="AM910" s="81">
        <v>0</v>
      </c>
      <c r="AN910" s="87" t="s">
        <v>3875</v>
      </c>
      <c r="AO910" s="87" t="s">
        <v>4109</v>
      </c>
      <c r="AP910" s="81" t="b">
        <v>0</v>
      </c>
      <c r="AQ910" s="87" t="s">
        <v>3755</v>
      </c>
      <c r="AR910" s="81" t="s">
        <v>179</v>
      </c>
      <c r="AS910" s="81">
        <v>0</v>
      </c>
      <c r="AT910" s="81">
        <v>0</v>
      </c>
      <c r="AU910" s="81"/>
      <c r="AV910" s="81"/>
      <c r="AW910" s="81"/>
      <c r="AX910" s="81"/>
      <c r="AY910" s="81"/>
      <c r="AZ910" s="81"/>
      <c r="BA910" s="81"/>
      <c r="BB910" s="81"/>
    </row>
    <row r="911" spans="1:54" x14ac:dyDescent="0.35">
      <c r="A911" s="66" t="s">
        <v>731</v>
      </c>
      <c r="B911" s="66" t="s">
        <v>731</v>
      </c>
      <c r="C911" s="67"/>
      <c r="D911" s="68"/>
      <c r="E911" s="69"/>
      <c r="F911" s="70"/>
      <c r="G911" s="67"/>
      <c r="H911" s="71"/>
      <c r="I911" s="72"/>
      <c r="J911" s="72"/>
      <c r="K911" s="36"/>
      <c r="L911" s="79"/>
      <c r="M911" s="79"/>
      <c r="N911" s="74"/>
      <c r="O911" s="81" t="s">
        <v>179</v>
      </c>
      <c r="P911" s="83">
        <v>44461.929942129631</v>
      </c>
      <c r="Q911" s="81" t="s">
        <v>1422</v>
      </c>
      <c r="R911" s="81" t="s">
        <v>1722</v>
      </c>
      <c r="S911" s="81" t="s">
        <v>1745</v>
      </c>
      <c r="T911" s="87" t="s">
        <v>1771</v>
      </c>
      <c r="U911" s="81"/>
      <c r="V911" s="85" t="str">
        <f>HYPERLINK("https://pbs.twimg.com/profile_images/1359759067665686529/8-Sus6Cq_normal.jpg")</f>
        <v>https://pbs.twimg.com/profile_images/1359759067665686529/8-Sus6Cq_normal.jpg</v>
      </c>
      <c r="W911" s="83">
        <v>44461.929942129631</v>
      </c>
      <c r="X911" s="89">
        <v>44461</v>
      </c>
      <c r="Y911" s="87" t="s">
        <v>2346</v>
      </c>
      <c r="Z911" s="85" t="str">
        <f>HYPERLINK("https://twitter.com/beritappat/status/1440802870866051075")</f>
        <v>https://twitter.com/beritappat/status/1440802870866051075</v>
      </c>
      <c r="AA911" s="81"/>
      <c r="AB911" s="81"/>
      <c r="AC911" s="87" t="s">
        <v>3270</v>
      </c>
      <c r="AD911" s="81"/>
      <c r="AE911" s="81" t="b">
        <v>0</v>
      </c>
      <c r="AF911" s="81">
        <v>0</v>
      </c>
      <c r="AG911" s="87" t="s">
        <v>3875</v>
      </c>
      <c r="AH911" s="81" t="b">
        <v>0</v>
      </c>
      <c r="AI911" s="81" t="s">
        <v>4092</v>
      </c>
      <c r="AJ911" s="81"/>
      <c r="AK911" s="87" t="s">
        <v>3875</v>
      </c>
      <c r="AL911" s="81" t="b">
        <v>0</v>
      </c>
      <c r="AM911" s="81">
        <v>0</v>
      </c>
      <c r="AN911" s="87" t="s">
        <v>3875</v>
      </c>
      <c r="AO911" s="87" t="s">
        <v>4122</v>
      </c>
      <c r="AP911" s="81" t="b">
        <v>0</v>
      </c>
      <c r="AQ911" s="87" t="s">
        <v>3270</v>
      </c>
      <c r="AR911" s="81" t="s">
        <v>179</v>
      </c>
      <c r="AS911" s="81">
        <v>0</v>
      </c>
      <c r="AT911" s="81">
        <v>0</v>
      </c>
      <c r="AU911" s="81"/>
      <c r="AV911" s="81"/>
      <c r="AW911" s="81"/>
      <c r="AX911" s="81"/>
      <c r="AY911" s="81"/>
      <c r="AZ911" s="81"/>
      <c r="BA911" s="81"/>
      <c r="BB911" s="81"/>
    </row>
    <row r="912" spans="1:54" x14ac:dyDescent="0.35">
      <c r="A912" s="66" t="s">
        <v>732</v>
      </c>
      <c r="B912" s="66" t="s">
        <v>981</v>
      </c>
      <c r="C912" s="67"/>
      <c r="D912" s="68"/>
      <c r="E912" s="69"/>
      <c r="F912" s="70"/>
      <c r="G912" s="67"/>
      <c r="H912" s="71"/>
      <c r="I912" s="72"/>
      <c r="J912" s="72"/>
      <c r="K912" s="36"/>
      <c r="L912" s="79"/>
      <c r="M912" s="79"/>
      <c r="N912" s="74"/>
      <c r="O912" s="81" t="s">
        <v>1205</v>
      </c>
      <c r="P912" s="83">
        <v>44461.981111111112</v>
      </c>
      <c r="Q912" s="81" t="s">
        <v>1423</v>
      </c>
      <c r="R912" s="81"/>
      <c r="S912" s="81"/>
      <c r="T912" s="87" t="s">
        <v>1761</v>
      </c>
      <c r="U912" s="85" t="str">
        <f>HYPERLINK("https://pbs.twimg.com/media/E_7TTslUcAUqXs5.jpg")</f>
        <v>https://pbs.twimg.com/media/E_7TTslUcAUqXs5.jpg</v>
      </c>
      <c r="V912" s="85" t="str">
        <f>HYPERLINK("https://pbs.twimg.com/media/E_7TTslUcAUqXs5.jpg")</f>
        <v>https://pbs.twimg.com/media/E_7TTslUcAUqXs5.jpg</v>
      </c>
      <c r="W912" s="83">
        <v>44461.981111111112</v>
      </c>
      <c r="X912" s="89">
        <v>44461</v>
      </c>
      <c r="Y912" s="87" t="s">
        <v>2347</v>
      </c>
      <c r="Z912" s="85" t="str">
        <f>HYPERLINK("https://twitter.com/minosyahmadi/status/1440821411036024837")</f>
        <v>https://twitter.com/minosyahmadi/status/1440821411036024837</v>
      </c>
      <c r="AA912" s="81"/>
      <c r="AB912" s="81"/>
      <c r="AC912" s="87" t="s">
        <v>3271</v>
      </c>
      <c r="AD912" s="81"/>
      <c r="AE912" s="81" t="b">
        <v>0</v>
      </c>
      <c r="AF912" s="81">
        <v>0</v>
      </c>
      <c r="AG912" s="87" t="s">
        <v>3875</v>
      </c>
      <c r="AH912" s="81" t="b">
        <v>0</v>
      </c>
      <c r="AI912" s="81" t="s">
        <v>4092</v>
      </c>
      <c r="AJ912" s="81"/>
      <c r="AK912" s="87" t="s">
        <v>3875</v>
      </c>
      <c r="AL912" s="81" t="b">
        <v>0</v>
      </c>
      <c r="AM912" s="81">
        <v>2</v>
      </c>
      <c r="AN912" s="87" t="s">
        <v>3622</v>
      </c>
      <c r="AO912" s="87" t="s">
        <v>4109</v>
      </c>
      <c r="AP912" s="81" t="b">
        <v>0</v>
      </c>
      <c r="AQ912" s="87" t="s">
        <v>3622</v>
      </c>
      <c r="AR912" s="81" t="s">
        <v>179</v>
      </c>
      <c r="AS912" s="81">
        <v>0</v>
      </c>
      <c r="AT912" s="81">
        <v>0</v>
      </c>
      <c r="AU912" s="81"/>
      <c r="AV912" s="81"/>
      <c r="AW912" s="81"/>
      <c r="AX912" s="81"/>
      <c r="AY912" s="81"/>
      <c r="AZ912" s="81"/>
      <c r="BA912" s="81"/>
      <c r="BB912" s="81"/>
    </row>
    <row r="913" spans="1:54" x14ac:dyDescent="0.35">
      <c r="A913" s="66" t="s">
        <v>733</v>
      </c>
      <c r="B913" s="66" t="s">
        <v>733</v>
      </c>
      <c r="C913" s="67"/>
      <c r="D913" s="68"/>
      <c r="E913" s="69"/>
      <c r="F913" s="70"/>
      <c r="G913" s="67"/>
      <c r="H913" s="71"/>
      <c r="I913" s="72"/>
      <c r="J913" s="72"/>
      <c r="K913" s="36"/>
      <c r="L913" s="79"/>
      <c r="M913" s="79"/>
      <c r="N913" s="74"/>
      <c r="O913" s="81" t="s">
        <v>179</v>
      </c>
      <c r="P913" s="83">
        <v>44461.994513888887</v>
      </c>
      <c r="Q913" s="81" t="s">
        <v>1424</v>
      </c>
      <c r="R913" s="81"/>
      <c r="S913" s="81"/>
      <c r="T913" s="81"/>
      <c r="U913" s="81"/>
      <c r="V913" s="85" t="str">
        <f>HYPERLINK("https://pbs.twimg.com/profile_images/1440945187237203976/j4ZuZ0ib_normal.jpg")</f>
        <v>https://pbs.twimg.com/profile_images/1440945187237203976/j4ZuZ0ib_normal.jpg</v>
      </c>
      <c r="W913" s="83">
        <v>44461.994513888887</v>
      </c>
      <c r="X913" s="89">
        <v>44461</v>
      </c>
      <c r="Y913" s="87" t="s">
        <v>2348</v>
      </c>
      <c r="Z913" s="85" t="str">
        <f>HYPERLINK("https://twitter.com/lianajust4you/status/1440826268941832199")</f>
        <v>https://twitter.com/lianajust4you/status/1440826268941832199</v>
      </c>
      <c r="AA913" s="81"/>
      <c r="AB913" s="81"/>
      <c r="AC913" s="87" t="s">
        <v>3272</v>
      </c>
      <c r="AD913" s="81"/>
      <c r="AE913" s="81" t="b">
        <v>0</v>
      </c>
      <c r="AF913" s="81">
        <v>0</v>
      </c>
      <c r="AG913" s="87" t="s">
        <v>3875</v>
      </c>
      <c r="AH913" s="81" t="b">
        <v>0</v>
      </c>
      <c r="AI913" s="81" t="s">
        <v>4092</v>
      </c>
      <c r="AJ913" s="81"/>
      <c r="AK913" s="87" t="s">
        <v>3875</v>
      </c>
      <c r="AL913" s="81" t="b">
        <v>0</v>
      </c>
      <c r="AM913" s="81">
        <v>0</v>
      </c>
      <c r="AN913" s="87" t="s">
        <v>3875</v>
      </c>
      <c r="AO913" s="87" t="s">
        <v>4109</v>
      </c>
      <c r="AP913" s="81" t="b">
        <v>0</v>
      </c>
      <c r="AQ913" s="87" t="s">
        <v>3272</v>
      </c>
      <c r="AR913" s="81" t="s">
        <v>179</v>
      </c>
      <c r="AS913" s="81">
        <v>0</v>
      </c>
      <c r="AT913" s="81">
        <v>0</v>
      </c>
      <c r="AU913" s="81" t="s">
        <v>4142</v>
      </c>
      <c r="AV913" s="81" t="s">
        <v>4145</v>
      </c>
      <c r="AW913" s="81" t="s">
        <v>12</v>
      </c>
      <c r="AX913" s="81" t="s">
        <v>4148</v>
      </c>
      <c r="AY913" s="81" t="s">
        <v>4153</v>
      </c>
      <c r="AZ913" s="81" t="s">
        <v>4158</v>
      </c>
      <c r="BA913" s="81" t="s">
        <v>4161</v>
      </c>
      <c r="BB913" s="85" t="str">
        <f>HYPERLINK("https://api.twitter.com/1.1/geo/id/900dd3ca7a614b4f.json")</f>
        <v>https://api.twitter.com/1.1/geo/id/900dd3ca7a614b4f.json</v>
      </c>
    </row>
    <row r="914" spans="1:54" x14ac:dyDescent="0.35">
      <c r="A914" s="66" t="s">
        <v>734</v>
      </c>
      <c r="B914" s="66" t="s">
        <v>734</v>
      </c>
      <c r="C914" s="67"/>
      <c r="D914" s="68"/>
      <c r="E914" s="69"/>
      <c r="F914" s="70"/>
      <c r="G914" s="67"/>
      <c r="H914" s="71"/>
      <c r="I914" s="72"/>
      <c r="J914" s="72"/>
      <c r="K914" s="36"/>
      <c r="L914" s="79"/>
      <c r="M914" s="79"/>
      <c r="N914" s="74"/>
      <c r="O914" s="81" t="s">
        <v>179</v>
      </c>
      <c r="P914" s="83">
        <v>44462.032638888886</v>
      </c>
      <c r="Q914" s="81" t="s">
        <v>1425</v>
      </c>
      <c r="R914" s="81"/>
      <c r="S914" s="81"/>
      <c r="T914" s="81"/>
      <c r="U914" s="81"/>
      <c r="V914" s="85" t="str">
        <f>HYPERLINK("https://pbs.twimg.com/profile_images/1343890913257353216/ny6-7ckL_normal.jpg")</f>
        <v>https://pbs.twimg.com/profile_images/1343890913257353216/ny6-7ckL_normal.jpg</v>
      </c>
      <c r="W914" s="83">
        <v>44462.032638888886</v>
      </c>
      <c r="X914" s="89">
        <v>44462</v>
      </c>
      <c r="Y914" s="87" t="s">
        <v>2265</v>
      </c>
      <c r="Z914" s="85" t="str">
        <f>HYPERLINK("https://twitter.com/czwolo/status/1440840086426320897")</f>
        <v>https://twitter.com/czwolo/status/1440840086426320897</v>
      </c>
      <c r="AA914" s="81"/>
      <c r="AB914" s="81"/>
      <c r="AC914" s="87" t="s">
        <v>3273</v>
      </c>
      <c r="AD914" s="81"/>
      <c r="AE914" s="81" t="b">
        <v>0</v>
      </c>
      <c r="AF914" s="81">
        <v>0</v>
      </c>
      <c r="AG914" s="87" t="s">
        <v>3875</v>
      </c>
      <c r="AH914" s="81" t="b">
        <v>0</v>
      </c>
      <c r="AI914" s="81" t="s">
        <v>4092</v>
      </c>
      <c r="AJ914" s="81"/>
      <c r="AK914" s="87" t="s">
        <v>3875</v>
      </c>
      <c r="AL914" s="81" t="b">
        <v>0</v>
      </c>
      <c r="AM914" s="81">
        <v>0</v>
      </c>
      <c r="AN914" s="87" t="s">
        <v>3875</v>
      </c>
      <c r="AO914" s="87" t="s">
        <v>4109</v>
      </c>
      <c r="AP914" s="81" t="b">
        <v>0</v>
      </c>
      <c r="AQ914" s="87" t="s">
        <v>3273</v>
      </c>
      <c r="AR914" s="81" t="s">
        <v>179</v>
      </c>
      <c r="AS914" s="81">
        <v>0</v>
      </c>
      <c r="AT914" s="81">
        <v>0</v>
      </c>
      <c r="AU914" s="81"/>
      <c r="AV914" s="81"/>
      <c r="AW914" s="81"/>
      <c r="AX914" s="81"/>
      <c r="AY914" s="81"/>
      <c r="AZ914" s="81"/>
      <c r="BA914" s="81"/>
      <c r="BB914" s="81"/>
    </row>
    <row r="915" spans="1:54" x14ac:dyDescent="0.35">
      <c r="A915" s="66" t="s">
        <v>735</v>
      </c>
      <c r="B915" s="66" t="s">
        <v>1032</v>
      </c>
      <c r="C915" s="67"/>
      <c r="D915" s="68"/>
      <c r="E915" s="69"/>
      <c r="F915" s="70"/>
      <c r="G915" s="67"/>
      <c r="H915" s="71"/>
      <c r="I915" s="72"/>
      <c r="J915" s="72"/>
      <c r="K915" s="36"/>
      <c r="L915" s="79"/>
      <c r="M915" s="79"/>
      <c r="N915" s="74"/>
      <c r="O915" s="81" t="s">
        <v>1208</v>
      </c>
      <c r="P915" s="83">
        <v>44462.04109953704</v>
      </c>
      <c r="Q915" s="81" t="s">
        <v>1426</v>
      </c>
      <c r="R915" s="81"/>
      <c r="S915" s="81"/>
      <c r="T915" s="81"/>
      <c r="U915" s="81"/>
      <c r="V915" s="85" t="str">
        <f>HYPERLINK("https://pbs.twimg.com/profile_images/1441199014410526727/8MUBsgO4_normal.jpg")</f>
        <v>https://pbs.twimg.com/profile_images/1441199014410526727/8MUBsgO4_normal.jpg</v>
      </c>
      <c r="W915" s="83">
        <v>44462.04109953704</v>
      </c>
      <c r="X915" s="89">
        <v>44462</v>
      </c>
      <c r="Y915" s="87" t="s">
        <v>2349</v>
      </c>
      <c r="Z915" s="85" t="str">
        <f>HYPERLINK("https://twitter.com/cikanovika/status/1440843152781312001")</f>
        <v>https://twitter.com/cikanovika/status/1440843152781312001</v>
      </c>
      <c r="AA915" s="81"/>
      <c r="AB915" s="81"/>
      <c r="AC915" s="87" t="s">
        <v>3274</v>
      </c>
      <c r="AD915" s="87" t="s">
        <v>3756</v>
      </c>
      <c r="AE915" s="81" t="b">
        <v>0</v>
      </c>
      <c r="AF915" s="81">
        <v>0</v>
      </c>
      <c r="AG915" s="87" t="s">
        <v>3912</v>
      </c>
      <c r="AH915" s="81" t="b">
        <v>0</v>
      </c>
      <c r="AI915" s="81" t="s">
        <v>4092</v>
      </c>
      <c r="AJ915" s="81"/>
      <c r="AK915" s="87" t="s">
        <v>3875</v>
      </c>
      <c r="AL915" s="81" t="b">
        <v>0</v>
      </c>
      <c r="AM915" s="81">
        <v>0</v>
      </c>
      <c r="AN915" s="87" t="s">
        <v>3875</v>
      </c>
      <c r="AO915" s="87" t="s">
        <v>4109</v>
      </c>
      <c r="AP915" s="81" t="b">
        <v>0</v>
      </c>
      <c r="AQ915" s="87" t="s">
        <v>3756</v>
      </c>
      <c r="AR915" s="81" t="s">
        <v>179</v>
      </c>
      <c r="AS915" s="81">
        <v>0</v>
      </c>
      <c r="AT915" s="81">
        <v>0</v>
      </c>
      <c r="AU915" s="81"/>
      <c r="AV915" s="81"/>
      <c r="AW915" s="81"/>
      <c r="AX915" s="81"/>
      <c r="AY915" s="81"/>
      <c r="AZ915" s="81"/>
      <c r="BA915" s="81"/>
      <c r="BB915" s="81"/>
    </row>
    <row r="916" spans="1:54" x14ac:dyDescent="0.35">
      <c r="A916" s="66" t="s">
        <v>736</v>
      </c>
      <c r="B916" s="66" t="s">
        <v>1104</v>
      </c>
      <c r="C916" s="67"/>
      <c r="D916" s="68"/>
      <c r="E916" s="69"/>
      <c r="F916" s="70"/>
      <c r="G916" s="67"/>
      <c r="H916" s="71"/>
      <c r="I916" s="72"/>
      <c r="J916" s="72"/>
      <c r="K916" s="36"/>
      <c r="L916" s="79"/>
      <c r="M916" s="79"/>
      <c r="N916" s="74"/>
      <c r="O916" s="81" t="s">
        <v>1206</v>
      </c>
      <c r="P916" s="83">
        <v>44462.163368055553</v>
      </c>
      <c r="Q916" s="81" t="s">
        <v>1427</v>
      </c>
      <c r="R916" s="81"/>
      <c r="S916" s="81"/>
      <c r="T916" s="81"/>
      <c r="U916" s="81"/>
      <c r="V916" s="85" t="str">
        <f>HYPERLINK("https://pbs.twimg.com/profile_images/1431544653715701761/C5iiF4UR_normal.jpg")</f>
        <v>https://pbs.twimg.com/profile_images/1431544653715701761/C5iiF4UR_normal.jpg</v>
      </c>
      <c r="W916" s="83">
        <v>44462.163368055553</v>
      </c>
      <c r="X916" s="89">
        <v>44462</v>
      </c>
      <c r="Y916" s="87" t="s">
        <v>2350</v>
      </c>
      <c r="Z916" s="85" t="str">
        <f>HYPERLINK("https://twitter.com/p4ndemin/status/1440887459575832583")</f>
        <v>https://twitter.com/p4ndemin/status/1440887459575832583</v>
      </c>
      <c r="AA916" s="81"/>
      <c r="AB916" s="81"/>
      <c r="AC916" s="87" t="s">
        <v>3275</v>
      </c>
      <c r="AD916" s="87" t="s">
        <v>3757</v>
      </c>
      <c r="AE916" s="81" t="b">
        <v>0</v>
      </c>
      <c r="AF916" s="81">
        <v>0</v>
      </c>
      <c r="AG916" s="87" t="s">
        <v>3975</v>
      </c>
      <c r="AH916" s="81" t="b">
        <v>0</v>
      </c>
      <c r="AI916" s="81" t="s">
        <v>4092</v>
      </c>
      <c r="AJ916" s="81"/>
      <c r="AK916" s="87" t="s">
        <v>3875</v>
      </c>
      <c r="AL916" s="81" t="b">
        <v>0</v>
      </c>
      <c r="AM916" s="81">
        <v>0</v>
      </c>
      <c r="AN916" s="87" t="s">
        <v>3875</v>
      </c>
      <c r="AO916" s="87" t="s">
        <v>4109</v>
      </c>
      <c r="AP916" s="81" t="b">
        <v>0</v>
      </c>
      <c r="AQ916" s="87" t="s">
        <v>3757</v>
      </c>
      <c r="AR916" s="81" t="s">
        <v>179</v>
      </c>
      <c r="AS916" s="81">
        <v>0</v>
      </c>
      <c r="AT916" s="81">
        <v>0</v>
      </c>
      <c r="AU916" s="81"/>
      <c r="AV916" s="81"/>
      <c r="AW916" s="81"/>
      <c r="AX916" s="81"/>
      <c r="AY916" s="81"/>
      <c r="AZ916" s="81"/>
      <c r="BA916" s="81"/>
      <c r="BB916" s="81"/>
    </row>
    <row r="917" spans="1:54" x14ac:dyDescent="0.35">
      <c r="A917" s="66" t="s">
        <v>736</v>
      </c>
      <c r="B917" s="66" t="s">
        <v>1105</v>
      </c>
      <c r="C917" s="67"/>
      <c r="D917" s="68"/>
      <c r="E917" s="69"/>
      <c r="F917" s="70"/>
      <c r="G917" s="67"/>
      <c r="H917" s="71"/>
      <c r="I917" s="72"/>
      <c r="J917" s="72"/>
      <c r="K917" s="36"/>
      <c r="L917" s="79"/>
      <c r="M917" s="79"/>
      <c r="N917" s="74"/>
      <c r="O917" s="81" t="s">
        <v>1208</v>
      </c>
      <c r="P917" s="83">
        <v>44462.163368055553</v>
      </c>
      <c r="Q917" s="81" t="s">
        <v>1427</v>
      </c>
      <c r="R917" s="81"/>
      <c r="S917" s="81"/>
      <c r="T917" s="81"/>
      <c r="U917" s="81"/>
      <c r="V917" s="85" t="str">
        <f>HYPERLINK("https://pbs.twimg.com/profile_images/1431544653715701761/C5iiF4UR_normal.jpg")</f>
        <v>https://pbs.twimg.com/profile_images/1431544653715701761/C5iiF4UR_normal.jpg</v>
      </c>
      <c r="W917" s="83">
        <v>44462.163368055553</v>
      </c>
      <c r="X917" s="89">
        <v>44462</v>
      </c>
      <c r="Y917" s="87" t="s">
        <v>2350</v>
      </c>
      <c r="Z917" s="85" t="str">
        <f>HYPERLINK("https://twitter.com/p4ndemin/status/1440887459575832583")</f>
        <v>https://twitter.com/p4ndemin/status/1440887459575832583</v>
      </c>
      <c r="AA917" s="81"/>
      <c r="AB917" s="81"/>
      <c r="AC917" s="87" t="s">
        <v>3275</v>
      </c>
      <c r="AD917" s="87" t="s">
        <v>3757</v>
      </c>
      <c r="AE917" s="81" t="b">
        <v>0</v>
      </c>
      <c r="AF917" s="81">
        <v>0</v>
      </c>
      <c r="AG917" s="87" t="s">
        <v>3975</v>
      </c>
      <c r="AH917" s="81" t="b">
        <v>0</v>
      </c>
      <c r="AI917" s="81" t="s">
        <v>4092</v>
      </c>
      <c r="AJ917" s="81"/>
      <c r="AK917" s="87" t="s">
        <v>3875</v>
      </c>
      <c r="AL917" s="81" t="b">
        <v>0</v>
      </c>
      <c r="AM917" s="81">
        <v>0</v>
      </c>
      <c r="AN917" s="87" t="s">
        <v>3875</v>
      </c>
      <c r="AO917" s="87" t="s">
        <v>4109</v>
      </c>
      <c r="AP917" s="81" t="b">
        <v>0</v>
      </c>
      <c r="AQ917" s="87" t="s">
        <v>3757</v>
      </c>
      <c r="AR917" s="81" t="s">
        <v>179</v>
      </c>
      <c r="AS917" s="81">
        <v>0</v>
      </c>
      <c r="AT917" s="81">
        <v>0</v>
      </c>
      <c r="AU917" s="81"/>
      <c r="AV917" s="81"/>
      <c r="AW917" s="81"/>
      <c r="AX917" s="81"/>
      <c r="AY917" s="81"/>
      <c r="AZ917" s="81"/>
      <c r="BA917" s="81"/>
      <c r="BB917" s="81"/>
    </row>
    <row r="918" spans="1:54" x14ac:dyDescent="0.35">
      <c r="A918" s="66" t="s">
        <v>737</v>
      </c>
      <c r="B918" s="66" t="s">
        <v>737</v>
      </c>
      <c r="C918" s="67"/>
      <c r="D918" s="68"/>
      <c r="E918" s="69"/>
      <c r="F918" s="70"/>
      <c r="G918" s="67"/>
      <c r="H918" s="71"/>
      <c r="I918" s="72"/>
      <c r="J918" s="72"/>
      <c r="K918" s="36"/>
      <c r="L918" s="79"/>
      <c r="M918" s="79"/>
      <c r="N918" s="74"/>
      <c r="O918" s="81" t="s">
        <v>179</v>
      </c>
      <c r="P918" s="83">
        <v>44462.163344907407</v>
      </c>
      <c r="Q918" s="81" t="s">
        <v>1428</v>
      </c>
      <c r="R918" s="81"/>
      <c r="S918" s="81"/>
      <c r="T918" s="81"/>
      <c r="U918" s="81"/>
      <c r="V918" s="85" t="str">
        <f>HYPERLINK("https://pbs.twimg.com/profile_images/1377812553699524608/SkSjaPCQ_normal.jpg")</f>
        <v>https://pbs.twimg.com/profile_images/1377812553699524608/SkSjaPCQ_normal.jpg</v>
      </c>
      <c r="W918" s="83">
        <v>44462.163344907407</v>
      </c>
      <c r="X918" s="89">
        <v>44462</v>
      </c>
      <c r="Y918" s="87" t="s">
        <v>2351</v>
      </c>
      <c r="Z918" s="85" t="str">
        <f>HYPERLINK("https://twitter.com/jjherlambang/status/1440887451531165699")</f>
        <v>https://twitter.com/jjherlambang/status/1440887451531165699</v>
      </c>
      <c r="AA918" s="81"/>
      <c r="AB918" s="81"/>
      <c r="AC918" s="87" t="s">
        <v>3276</v>
      </c>
      <c r="AD918" s="87" t="s">
        <v>3758</v>
      </c>
      <c r="AE918" s="81" t="b">
        <v>0</v>
      </c>
      <c r="AF918" s="81">
        <v>0</v>
      </c>
      <c r="AG918" s="87" t="s">
        <v>3976</v>
      </c>
      <c r="AH918" s="81" t="b">
        <v>0</v>
      </c>
      <c r="AI918" s="81" t="s">
        <v>4092</v>
      </c>
      <c r="AJ918" s="81"/>
      <c r="AK918" s="87" t="s">
        <v>3875</v>
      </c>
      <c r="AL918" s="81" t="b">
        <v>0</v>
      </c>
      <c r="AM918" s="81">
        <v>1</v>
      </c>
      <c r="AN918" s="87" t="s">
        <v>3875</v>
      </c>
      <c r="AO918" s="87" t="s">
        <v>4111</v>
      </c>
      <c r="AP918" s="81" t="b">
        <v>0</v>
      </c>
      <c r="AQ918" s="87" t="s">
        <v>3758</v>
      </c>
      <c r="AR918" s="81" t="s">
        <v>179</v>
      </c>
      <c r="AS918" s="81">
        <v>0</v>
      </c>
      <c r="AT918" s="81">
        <v>0</v>
      </c>
      <c r="AU918" s="81"/>
      <c r="AV918" s="81"/>
      <c r="AW918" s="81"/>
      <c r="AX918" s="81"/>
      <c r="AY918" s="81"/>
      <c r="AZ918" s="81"/>
      <c r="BA918" s="81"/>
      <c r="BB918" s="81"/>
    </row>
    <row r="919" spans="1:54" x14ac:dyDescent="0.35">
      <c r="A919" s="66" t="s">
        <v>738</v>
      </c>
      <c r="B919" s="66" t="s">
        <v>737</v>
      </c>
      <c r="C919" s="67"/>
      <c r="D919" s="68"/>
      <c r="E919" s="69"/>
      <c r="F919" s="70"/>
      <c r="G919" s="67"/>
      <c r="H919" s="71"/>
      <c r="I919" s="72"/>
      <c r="J919" s="72"/>
      <c r="K919" s="36"/>
      <c r="L919" s="79"/>
      <c r="M919" s="79"/>
      <c r="N919" s="74"/>
      <c r="O919" s="81" t="s">
        <v>1205</v>
      </c>
      <c r="P919" s="83">
        <v>44462.166458333333</v>
      </c>
      <c r="Q919" s="81" t="s">
        <v>1428</v>
      </c>
      <c r="R919" s="81"/>
      <c r="S919" s="81"/>
      <c r="T919" s="81"/>
      <c r="U919" s="81"/>
      <c r="V919" s="85" t="str">
        <f>HYPERLINK("https://pbs.twimg.com/profile_images/891418849437827072/1aJH2eM5_normal.jpg")</f>
        <v>https://pbs.twimg.com/profile_images/891418849437827072/1aJH2eM5_normal.jpg</v>
      </c>
      <c r="W919" s="83">
        <v>44462.166458333333</v>
      </c>
      <c r="X919" s="89">
        <v>44462</v>
      </c>
      <c r="Y919" s="87" t="s">
        <v>2352</v>
      </c>
      <c r="Z919" s="85" t="str">
        <f>HYPERLINK("https://twitter.com/bustanulis/status/1440888579434037248")</f>
        <v>https://twitter.com/bustanulis/status/1440888579434037248</v>
      </c>
      <c r="AA919" s="81"/>
      <c r="AB919" s="81"/>
      <c r="AC919" s="87" t="s">
        <v>3277</v>
      </c>
      <c r="AD919" s="81"/>
      <c r="AE919" s="81" t="b">
        <v>0</v>
      </c>
      <c r="AF919" s="81">
        <v>0</v>
      </c>
      <c r="AG919" s="87" t="s">
        <v>3875</v>
      </c>
      <c r="AH919" s="81" t="b">
        <v>0</v>
      </c>
      <c r="AI919" s="81" t="s">
        <v>4092</v>
      </c>
      <c r="AJ919" s="81"/>
      <c r="AK919" s="87" t="s">
        <v>3875</v>
      </c>
      <c r="AL919" s="81" t="b">
        <v>0</v>
      </c>
      <c r="AM919" s="81">
        <v>1</v>
      </c>
      <c r="AN919" s="87" t="s">
        <v>3276</v>
      </c>
      <c r="AO919" s="87" t="s">
        <v>4109</v>
      </c>
      <c r="AP919" s="81" t="b">
        <v>0</v>
      </c>
      <c r="AQ919" s="87" t="s">
        <v>3276</v>
      </c>
      <c r="AR919" s="81" t="s">
        <v>179</v>
      </c>
      <c r="AS919" s="81">
        <v>0</v>
      </c>
      <c r="AT919" s="81">
        <v>0</v>
      </c>
      <c r="AU919" s="81"/>
      <c r="AV919" s="81"/>
      <c r="AW919" s="81"/>
      <c r="AX919" s="81"/>
      <c r="AY919" s="81"/>
      <c r="AZ919" s="81"/>
      <c r="BA919" s="81"/>
      <c r="BB919" s="81"/>
    </row>
    <row r="920" spans="1:54" x14ac:dyDescent="0.35">
      <c r="A920" s="66" t="s">
        <v>739</v>
      </c>
      <c r="B920" s="66" t="s">
        <v>1106</v>
      </c>
      <c r="C920" s="67"/>
      <c r="D920" s="68"/>
      <c r="E920" s="69"/>
      <c r="F920" s="70"/>
      <c r="G920" s="67"/>
      <c r="H920" s="71"/>
      <c r="I920" s="72"/>
      <c r="J920" s="72"/>
      <c r="K920" s="36"/>
      <c r="L920" s="79"/>
      <c r="M920" s="79"/>
      <c r="N920" s="74"/>
      <c r="O920" s="81" t="s">
        <v>1206</v>
      </c>
      <c r="P920" s="83">
        <v>44462.190787037034</v>
      </c>
      <c r="Q920" s="81" t="s">
        <v>1429</v>
      </c>
      <c r="R920" s="81"/>
      <c r="S920" s="81"/>
      <c r="T920" s="81"/>
      <c r="U920" s="81"/>
      <c r="V920" s="85" t="str">
        <f>HYPERLINK("https://pbs.twimg.com/profile_images/1442435455044124681/mULzLjh5_normal.jpg")</f>
        <v>https://pbs.twimg.com/profile_images/1442435455044124681/mULzLjh5_normal.jpg</v>
      </c>
      <c r="W920" s="83">
        <v>44462.190787037034</v>
      </c>
      <c r="X920" s="89">
        <v>44462</v>
      </c>
      <c r="Y920" s="87" t="s">
        <v>2353</v>
      </c>
      <c r="Z920" s="85" t="str">
        <f>HYPERLINK("https://twitter.com/rzk_bunga/status/1440897394439180288")</f>
        <v>https://twitter.com/rzk_bunga/status/1440897394439180288</v>
      </c>
      <c r="AA920" s="81"/>
      <c r="AB920" s="81"/>
      <c r="AC920" s="87" t="s">
        <v>3278</v>
      </c>
      <c r="AD920" s="87" t="s">
        <v>3759</v>
      </c>
      <c r="AE920" s="81" t="b">
        <v>0</v>
      </c>
      <c r="AF920" s="81">
        <v>0</v>
      </c>
      <c r="AG920" s="87" t="s">
        <v>3977</v>
      </c>
      <c r="AH920" s="81" t="b">
        <v>0</v>
      </c>
      <c r="AI920" s="81" t="s">
        <v>4092</v>
      </c>
      <c r="AJ920" s="81"/>
      <c r="AK920" s="87" t="s">
        <v>3875</v>
      </c>
      <c r="AL920" s="81" t="b">
        <v>0</v>
      </c>
      <c r="AM920" s="81">
        <v>0</v>
      </c>
      <c r="AN920" s="87" t="s">
        <v>3875</v>
      </c>
      <c r="AO920" s="87" t="s">
        <v>4110</v>
      </c>
      <c r="AP920" s="81" t="b">
        <v>0</v>
      </c>
      <c r="AQ920" s="87" t="s">
        <v>3759</v>
      </c>
      <c r="AR920" s="81" t="s">
        <v>179</v>
      </c>
      <c r="AS920" s="81">
        <v>0</v>
      </c>
      <c r="AT920" s="81">
        <v>0</v>
      </c>
      <c r="AU920" s="81"/>
      <c r="AV920" s="81"/>
      <c r="AW920" s="81"/>
      <c r="AX920" s="81"/>
      <c r="AY920" s="81"/>
      <c r="AZ920" s="81"/>
      <c r="BA920" s="81"/>
      <c r="BB920" s="81"/>
    </row>
    <row r="921" spans="1:54" x14ac:dyDescent="0.35">
      <c r="A921" s="66" t="s">
        <v>739</v>
      </c>
      <c r="B921" s="66" t="s">
        <v>1107</v>
      </c>
      <c r="C921" s="67"/>
      <c r="D921" s="68"/>
      <c r="E921" s="69"/>
      <c r="F921" s="70"/>
      <c r="G921" s="67"/>
      <c r="H921" s="71"/>
      <c r="I921" s="72"/>
      <c r="J921" s="72"/>
      <c r="K921" s="36"/>
      <c r="L921" s="79"/>
      <c r="M921" s="79"/>
      <c r="N921" s="74"/>
      <c r="O921" s="81" t="s">
        <v>1208</v>
      </c>
      <c r="P921" s="83">
        <v>44462.190787037034</v>
      </c>
      <c r="Q921" s="81" t="s">
        <v>1429</v>
      </c>
      <c r="R921" s="81"/>
      <c r="S921" s="81"/>
      <c r="T921" s="81"/>
      <c r="U921" s="81"/>
      <c r="V921" s="85" t="str">
        <f>HYPERLINK("https://pbs.twimg.com/profile_images/1442435455044124681/mULzLjh5_normal.jpg")</f>
        <v>https://pbs.twimg.com/profile_images/1442435455044124681/mULzLjh5_normal.jpg</v>
      </c>
      <c r="W921" s="83">
        <v>44462.190787037034</v>
      </c>
      <c r="X921" s="89">
        <v>44462</v>
      </c>
      <c r="Y921" s="87" t="s">
        <v>2353</v>
      </c>
      <c r="Z921" s="85" t="str">
        <f>HYPERLINK("https://twitter.com/rzk_bunga/status/1440897394439180288")</f>
        <v>https://twitter.com/rzk_bunga/status/1440897394439180288</v>
      </c>
      <c r="AA921" s="81"/>
      <c r="AB921" s="81"/>
      <c r="AC921" s="87" t="s">
        <v>3278</v>
      </c>
      <c r="AD921" s="87" t="s">
        <v>3759</v>
      </c>
      <c r="AE921" s="81" t="b">
        <v>0</v>
      </c>
      <c r="AF921" s="81">
        <v>0</v>
      </c>
      <c r="AG921" s="87" t="s">
        <v>3977</v>
      </c>
      <c r="AH921" s="81" t="b">
        <v>0</v>
      </c>
      <c r="AI921" s="81" t="s">
        <v>4092</v>
      </c>
      <c r="AJ921" s="81"/>
      <c r="AK921" s="87" t="s">
        <v>3875</v>
      </c>
      <c r="AL921" s="81" t="b">
        <v>0</v>
      </c>
      <c r="AM921" s="81">
        <v>0</v>
      </c>
      <c r="AN921" s="87" t="s">
        <v>3875</v>
      </c>
      <c r="AO921" s="87" t="s">
        <v>4110</v>
      </c>
      <c r="AP921" s="81" t="b">
        <v>0</v>
      </c>
      <c r="AQ921" s="87" t="s">
        <v>3759</v>
      </c>
      <c r="AR921" s="81" t="s">
        <v>179</v>
      </c>
      <c r="AS921" s="81">
        <v>0</v>
      </c>
      <c r="AT921" s="81">
        <v>0</v>
      </c>
      <c r="AU921" s="81"/>
      <c r="AV921" s="81"/>
      <c r="AW921" s="81"/>
      <c r="AX921" s="81"/>
      <c r="AY921" s="81"/>
      <c r="AZ921" s="81"/>
      <c r="BA921" s="81"/>
      <c r="BB921" s="81"/>
    </row>
    <row r="922" spans="1:54" x14ac:dyDescent="0.35">
      <c r="A922" s="66" t="s">
        <v>740</v>
      </c>
      <c r="B922" s="66" t="s">
        <v>1108</v>
      </c>
      <c r="C922" s="67"/>
      <c r="D922" s="68"/>
      <c r="E922" s="69"/>
      <c r="F922" s="70"/>
      <c r="G922" s="67"/>
      <c r="H922" s="71"/>
      <c r="I922" s="72"/>
      <c r="J922" s="72"/>
      <c r="K922" s="36"/>
      <c r="L922" s="79"/>
      <c r="M922" s="79"/>
      <c r="N922" s="74"/>
      <c r="O922" s="81" t="s">
        <v>1206</v>
      </c>
      <c r="P922" s="83">
        <v>44462.246423611112</v>
      </c>
      <c r="Q922" s="81" t="s">
        <v>1430</v>
      </c>
      <c r="R922" s="81"/>
      <c r="S922" s="81"/>
      <c r="T922" s="81"/>
      <c r="U922" s="81"/>
      <c r="V922" s="85" t="str">
        <f>HYPERLINK("https://pbs.twimg.com/profile_images/1328318897603297286/uM3ZlF9p_normal.jpg")</f>
        <v>https://pbs.twimg.com/profile_images/1328318897603297286/uM3ZlF9p_normal.jpg</v>
      </c>
      <c r="W922" s="83">
        <v>44462.246423611112</v>
      </c>
      <c r="X922" s="89">
        <v>44462</v>
      </c>
      <c r="Y922" s="87" t="s">
        <v>2354</v>
      </c>
      <c r="Z922" s="85" t="str">
        <f>HYPERLINK("https://twitter.com/imattuadniw/status/1440917557368614913")</f>
        <v>https://twitter.com/imattuadniw/status/1440917557368614913</v>
      </c>
      <c r="AA922" s="81"/>
      <c r="AB922" s="81"/>
      <c r="AC922" s="87" t="s">
        <v>3279</v>
      </c>
      <c r="AD922" s="81"/>
      <c r="AE922" s="81" t="b">
        <v>0</v>
      </c>
      <c r="AF922" s="81">
        <v>0</v>
      </c>
      <c r="AG922" s="87" t="s">
        <v>3875</v>
      </c>
      <c r="AH922" s="81" t="b">
        <v>0</v>
      </c>
      <c r="AI922" s="81" t="s">
        <v>4092</v>
      </c>
      <c r="AJ922" s="81"/>
      <c r="AK922" s="87" t="s">
        <v>3875</v>
      </c>
      <c r="AL922" s="81" t="b">
        <v>0</v>
      </c>
      <c r="AM922" s="81">
        <v>0</v>
      </c>
      <c r="AN922" s="87" t="s">
        <v>3875</v>
      </c>
      <c r="AO922" s="87" t="s">
        <v>4110</v>
      </c>
      <c r="AP922" s="81" t="b">
        <v>0</v>
      </c>
      <c r="AQ922" s="87" t="s">
        <v>3279</v>
      </c>
      <c r="AR922" s="81" t="s">
        <v>179</v>
      </c>
      <c r="AS922" s="81">
        <v>0</v>
      </c>
      <c r="AT922" s="81">
        <v>0</v>
      </c>
      <c r="AU922" s="81"/>
      <c r="AV922" s="81"/>
      <c r="AW922" s="81"/>
      <c r="AX922" s="81"/>
      <c r="AY922" s="81"/>
      <c r="AZ922" s="81"/>
      <c r="BA922" s="81"/>
      <c r="BB922" s="81"/>
    </row>
    <row r="923" spans="1:54" x14ac:dyDescent="0.35">
      <c r="A923" s="66" t="s">
        <v>740</v>
      </c>
      <c r="B923" s="66" t="s">
        <v>1034</v>
      </c>
      <c r="C923" s="67"/>
      <c r="D923" s="68"/>
      <c r="E923" s="69"/>
      <c r="F923" s="70"/>
      <c r="G923" s="67"/>
      <c r="H923" s="71"/>
      <c r="I923" s="72"/>
      <c r="J923" s="72"/>
      <c r="K923" s="36"/>
      <c r="L923" s="79"/>
      <c r="M923" s="79"/>
      <c r="N923" s="74"/>
      <c r="O923" s="81" t="s">
        <v>1206</v>
      </c>
      <c r="P923" s="83">
        <v>44462.246423611112</v>
      </c>
      <c r="Q923" s="81" t="s">
        <v>1430</v>
      </c>
      <c r="R923" s="81"/>
      <c r="S923" s="81"/>
      <c r="T923" s="81"/>
      <c r="U923" s="81"/>
      <c r="V923" s="85" t="str">
        <f>HYPERLINK("https://pbs.twimg.com/profile_images/1328318897603297286/uM3ZlF9p_normal.jpg")</f>
        <v>https://pbs.twimg.com/profile_images/1328318897603297286/uM3ZlF9p_normal.jpg</v>
      </c>
      <c r="W923" s="83">
        <v>44462.246423611112</v>
      </c>
      <c r="X923" s="89">
        <v>44462</v>
      </c>
      <c r="Y923" s="87" t="s">
        <v>2354</v>
      </c>
      <c r="Z923" s="85" t="str">
        <f>HYPERLINK("https://twitter.com/imattuadniw/status/1440917557368614913")</f>
        <v>https://twitter.com/imattuadniw/status/1440917557368614913</v>
      </c>
      <c r="AA923" s="81"/>
      <c r="AB923" s="81"/>
      <c r="AC923" s="87" t="s">
        <v>3279</v>
      </c>
      <c r="AD923" s="81"/>
      <c r="AE923" s="81" t="b">
        <v>0</v>
      </c>
      <c r="AF923" s="81">
        <v>0</v>
      </c>
      <c r="AG923" s="87" t="s">
        <v>3875</v>
      </c>
      <c r="AH923" s="81" t="b">
        <v>0</v>
      </c>
      <c r="AI923" s="81" t="s">
        <v>4092</v>
      </c>
      <c r="AJ923" s="81"/>
      <c r="AK923" s="87" t="s">
        <v>3875</v>
      </c>
      <c r="AL923" s="81" t="b">
        <v>0</v>
      </c>
      <c r="AM923" s="81">
        <v>0</v>
      </c>
      <c r="AN923" s="87" t="s">
        <v>3875</v>
      </c>
      <c r="AO923" s="87" t="s">
        <v>4110</v>
      </c>
      <c r="AP923" s="81" t="b">
        <v>0</v>
      </c>
      <c r="AQ923" s="87" t="s">
        <v>3279</v>
      </c>
      <c r="AR923" s="81" t="s">
        <v>179</v>
      </c>
      <c r="AS923" s="81">
        <v>0</v>
      </c>
      <c r="AT923" s="81">
        <v>0</v>
      </c>
      <c r="AU923" s="81"/>
      <c r="AV923" s="81"/>
      <c r="AW923" s="81"/>
      <c r="AX923" s="81"/>
      <c r="AY923" s="81"/>
      <c r="AZ923" s="81"/>
      <c r="BA923" s="81"/>
      <c r="BB923" s="81"/>
    </row>
    <row r="924" spans="1:54" x14ac:dyDescent="0.35">
      <c r="A924" s="66" t="s">
        <v>741</v>
      </c>
      <c r="B924" s="66" t="s">
        <v>741</v>
      </c>
      <c r="C924" s="67"/>
      <c r="D924" s="68"/>
      <c r="E924" s="69"/>
      <c r="F924" s="70"/>
      <c r="G924" s="67"/>
      <c r="H924" s="71"/>
      <c r="I924" s="72"/>
      <c r="J924" s="72"/>
      <c r="K924" s="36"/>
      <c r="L924" s="79"/>
      <c r="M924" s="79"/>
      <c r="N924" s="74"/>
      <c r="O924" s="81" t="s">
        <v>179</v>
      </c>
      <c r="P924" s="83">
        <v>44460.037673611114</v>
      </c>
      <c r="Q924" s="81" t="s">
        <v>1431</v>
      </c>
      <c r="R924" s="81"/>
      <c r="S924" s="81"/>
      <c r="T924" s="81"/>
      <c r="U924" s="81"/>
      <c r="V924" s="85" t="str">
        <f>HYPERLINK("https://pbs.twimg.com/profile_images/1152387842267471872/ZD4BHcke_normal.jpg")</f>
        <v>https://pbs.twimg.com/profile_images/1152387842267471872/ZD4BHcke_normal.jpg</v>
      </c>
      <c r="W924" s="83">
        <v>44460.037673611114</v>
      </c>
      <c r="X924" s="89">
        <v>44460</v>
      </c>
      <c r="Y924" s="87" t="s">
        <v>2355</v>
      </c>
      <c r="Z924" s="85" t="str">
        <f>HYPERLINK("https://twitter.com/ko2w/status/1440117132356845570")</f>
        <v>https://twitter.com/ko2w/status/1440117132356845570</v>
      </c>
      <c r="AA924" s="81"/>
      <c r="AB924" s="81"/>
      <c r="AC924" s="87" t="s">
        <v>3280</v>
      </c>
      <c r="AD924" s="81"/>
      <c r="AE924" s="81" t="b">
        <v>0</v>
      </c>
      <c r="AF924" s="81">
        <v>2</v>
      </c>
      <c r="AG924" s="87" t="s">
        <v>3875</v>
      </c>
      <c r="AH924" s="81" t="b">
        <v>0</v>
      </c>
      <c r="AI924" s="81" t="s">
        <v>4092</v>
      </c>
      <c r="AJ924" s="81"/>
      <c r="AK924" s="87" t="s">
        <v>3875</v>
      </c>
      <c r="AL924" s="81" t="b">
        <v>0</v>
      </c>
      <c r="AM924" s="81">
        <v>0</v>
      </c>
      <c r="AN924" s="87" t="s">
        <v>3875</v>
      </c>
      <c r="AO924" s="87" t="s">
        <v>4111</v>
      </c>
      <c r="AP924" s="81" t="b">
        <v>0</v>
      </c>
      <c r="AQ924" s="87" t="s">
        <v>3280</v>
      </c>
      <c r="AR924" s="81" t="s">
        <v>179</v>
      </c>
      <c r="AS924" s="81">
        <v>0</v>
      </c>
      <c r="AT924" s="81">
        <v>0</v>
      </c>
      <c r="AU924" s="81"/>
      <c r="AV924" s="81"/>
      <c r="AW924" s="81"/>
      <c r="AX924" s="81"/>
      <c r="AY924" s="81"/>
      <c r="AZ924" s="81"/>
      <c r="BA924" s="81"/>
      <c r="BB924" s="81"/>
    </row>
    <row r="925" spans="1:54" x14ac:dyDescent="0.35">
      <c r="A925" s="66" t="s">
        <v>742</v>
      </c>
      <c r="B925" s="66" t="s">
        <v>741</v>
      </c>
      <c r="C925" s="67"/>
      <c r="D925" s="68"/>
      <c r="E925" s="69"/>
      <c r="F925" s="70"/>
      <c r="G925" s="67"/>
      <c r="H925" s="71"/>
      <c r="I925" s="72"/>
      <c r="J925" s="72"/>
      <c r="K925" s="36"/>
      <c r="L925" s="79"/>
      <c r="M925" s="79"/>
      <c r="N925" s="74"/>
      <c r="O925" s="81" t="s">
        <v>1208</v>
      </c>
      <c r="P925" s="83">
        <v>44462.298391203702</v>
      </c>
      <c r="Q925" s="81" t="s">
        <v>1432</v>
      </c>
      <c r="R925" s="81"/>
      <c r="S925" s="81"/>
      <c r="T925" s="81"/>
      <c r="U925" s="81"/>
      <c r="V925" s="85" t="str">
        <f>HYPERLINK("https://pbs.twimg.com/profile_images/1018383053255659521/ftb_vb3n_normal.jpg")</f>
        <v>https://pbs.twimg.com/profile_images/1018383053255659521/ftb_vb3n_normal.jpg</v>
      </c>
      <c r="W925" s="83">
        <v>44462.298391203702</v>
      </c>
      <c r="X925" s="89">
        <v>44462</v>
      </c>
      <c r="Y925" s="87" t="s">
        <v>2356</v>
      </c>
      <c r="Z925" s="85" t="str">
        <f>HYPERLINK("https://twitter.com/saiahunk/status/1440936392423456773")</f>
        <v>https://twitter.com/saiahunk/status/1440936392423456773</v>
      </c>
      <c r="AA925" s="81"/>
      <c r="AB925" s="81"/>
      <c r="AC925" s="87" t="s">
        <v>3281</v>
      </c>
      <c r="AD925" s="87" t="s">
        <v>3280</v>
      </c>
      <c r="AE925" s="81" t="b">
        <v>0</v>
      </c>
      <c r="AF925" s="81">
        <v>0</v>
      </c>
      <c r="AG925" s="87" t="s">
        <v>3978</v>
      </c>
      <c r="AH925" s="81" t="b">
        <v>0</v>
      </c>
      <c r="AI925" s="81" t="s">
        <v>4092</v>
      </c>
      <c r="AJ925" s="81"/>
      <c r="AK925" s="87" t="s">
        <v>3875</v>
      </c>
      <c r="AL925" s="81" t="b">
        <v>0</v>
      </c>
      <c r="AM925" s="81">
        <v>0</v>
      </c>
      <c r="AN925" s="87" t="s">
        <v>3875</v>
      </c>
      <c r="AO925" s="87" t="s">
        <v>4109</v>
      </c>
      <c r="AP925" s="81" t="b">
        <v>0</v>
      </c>
      <c r="AQ925" s="87" t="s">
        <v>3280</v>
      </c>
      <c r="AR925" s="81" t="s">
        <v>179</v>
      </c>
      <c r="AS925" s="81">
        <v>0</v>
      </c>
      <c r="AT925" s="81">
        <v>0</v>
      </c>
      <c r="AU925" s="81"/>
      <c r="AV925" s="81"/>
      <c r="AW925" s="81"/>
      <c r="AX925" s="81"/>
      <c r="AY925" s="81"/>
      <c r="AZ925" s="81"/>
      <c r="BA925" s="81"/>
      <c r="BB925" s="81"/>
    </row>
    <row r="926" spans="1:54" x14ac:dyDescent="0.35">
      <c r="A926" s="66" t="s">
        <v>743</v>
      </c>
      <c r="B926" s="66" t="s">
        <v>743</v>
      </c>
      <c r="C926" s="67"/>
      <c r="D926" s="68"/>
      <c r="E926" s="69"/>
      <c r="F926" s="70"/>
      <c r="G926" s="67"/>
      <c r="H926" s="71"/>
      <c r="I926" s="72"/>
      <c r="J926" s="72"/>
      <c r="K926" s="36"/>
      <c r="L926" s="79"/>
      <c r="M926" s="79"/>
      <c r="N926" s="74"/>
      <c r="O926" s="81" t="s">
        <v>179</v>
      </c>
      <c r="P926" s="83">
        <v>44462.299155092594</v>
      </c>
      <c r="Q926" s="81" t="s">
        <v>1433</v>
      </c>
      <c r="R926" s="81"/>
      <c r="S926" s="81"/>
      <c r="T926" s="81"/>
      <c r="U926" s="85" t="str">
        <f>HYPERLINK("https://pbs.twimg.com/media/E_88QxpVEAI8KPr.jpg")</f>
        <v>https://pbs.twimg.com/media/E_88QxpVEAI8KPr.jpg</v>
      </c>
      <c r="V926" s="85" t="str">
        <f>HYPERLINK("https://pbs.twimg.com/media/E_88QxpVEAI8KPr.jpg")</f>
        <v>https://pbs.twimg.com/media/E_88QxpVEAI8KPr.jpg</v>
      </c>
      <c r="W926" s="83">
        <v>44462.299155092594</v>
      </c>
      <c r="X926" s="89">
        <v>44462</v>
      </c>
      <c r="Y926" s="87" t="s">
        <v>2357</v>
      </c>
      <c r="Z926" s="85" t="str">
        <f>HYPERLINK("https://twitter.com/res_okus/status/1440936667787841542")</f>
        <v>https://twitter.com/res_okus/status/1440936667787841542</v>
      </c>
      <c r="AA926" s="81"/>
      <c r="AB926" s="81"/>
      <c r="AC926" s="87" t="s">
        <v>3282</v>
      </c>
      <c r="AD926" s="81"/>
      <c r="AE926" s="81" t="b">
        <v>0</v>
      </c>
      <c r="AF926" s="81">
        <v>0</v>
      </c>
      <c r="AG926" s="87" t="s">
        <v>3875</v>
      </c>
      <c r="AH926" s="81" t="b">
        <v>0</v>
      </c>
      <c r="AI926" s="81" t="s">
        <v>4092</v>
      </c>
      <c r="AJ926" s="81"/>
      <c r="AK926" s="87" t="s">
        <v>3875</v>
      </c>
      <c r="AL926" s="81" t="b">
        <v>0</v>
      </c>
      <c r="AM926" s="81">
        <v>0</v>
      </c>
      <c r="AN926" s="87" t="s">
        <v>3875</v>
      </c>
      <c r="AO926" s="87" t="s">
        <v>4109</v>
      </c>
      <c r="AP926" s="81" t="b">
        <v>0</v>
      </c>
      <c r="AQ926" s="87" t="s">
        <v>3282</v>
      </c>
      <c r="AR926" s="81" t="s">
        <v>179</v>
      </c>
      <c r="AS926" s="81">
        <v>0</v>
      </c>
      <c r="AT926" s="81">
        <v>0</v>
      </c>
      <c r="AU926" s="81"/>
      <c r="AV926" s="81"/>
      <c r="AW926" s="81"/>
      <c r="AX926" s="81"/>
      <c r="AY926" s="81"/>
      <c r="AZ926" s="81"/>
      <c r="BA926" s="81"/>
      <c r="BB926" s="81"/>
    </row>
    <row r="927" spans="1:54" x14ac:dyDescent="0.35">
      <c r="A927" s="66" t="s">
        <v>744</v>
      </c>
      <c r="B927" s="66" t="s">
        <v>744</v>
      </c>
      <c r="C927" s="67"/>
      <c r="D927" s="68"/>
      <c r="E927" s="69"/>
      <c r="F927" s="70"/>
      <c r="G927" s="67"/>
      <c r="H927" s="71"/>
      <c r="I927" s="72"/>
      <c r="J927" s="72"/>
      <c r="K927" s="36"/>
      <c r="L927" s="79"/>
      <c r="M927" s="79"/>
      <c r="N927" s="74"/>
      <c r="O927" s="81" t="s">
        <v>179</v>
      </c>
      <c r="P927" s="83">
        <v>44462.065300925926</v>
      </c>
      <c r="Q927" s="81" t="s">
        <v>1434</v>
      </c>
      <c r="R927" s="85" t="str">
        <f>HYPERLINK("https://curiouscat.qa/-gardenia/post/1241401426")</f>
        <v>https://curiouscat.qa/-gardenia/post/1241401426</v>
      </c>
      <c r="S927" s="81" t="s">
        <v>1746</v>
      </c>
      <c r="T927" s="81"/>
      <c r="U927" s="81"/>
      <c r="V927" s="85" t="str">
        <f>HYPERLINK("https://pbs.twimg.com/profile_images/1442704888786407426/_vFoPfdC_normal.jpg")</f>
        <v>https://pbs.twimg.com/profile_images/1442704888786407426/_vFoPfdC_normal.jpg</v>
      </c>
      <c r="W927" s="83">
        <v>44462.065300925926</v>
      </c>
      <c r="X927" s="89">
        <v>44462</v>
      </c>
      <c r="Y927" s="87" t="s">
        <v>2358</v>
      </c>
      <c r="Z927" s="85" t="str">
        <f>HYPERLINK("https://twitter.com/oecsik/status/1440851921888165899")</f>
        <v>https://twitter.com/oecsik/status/1440851921888165899</v>
      </c>
      <c r="AA927" s="81"/>
      <c r="AB927" s="81"/>
      <c r="AC927" s="87" t="s">
        <v>3283</v>
      </c>
      <c r="AD927" s="81"/>
      <c r="AE927" s="81" t="b">
        <v>0</v>
      </c>
      <c r="AF927" s="81">
        <v>0</v>
      </c>
      <c r="AG927" s="87" t="s">
        <v>3875</v>
      </c>
      <c r="AH927" s="81" t="b">
        <v>0</v>
      </c>
      <c r="AI927" s="81" t="s">
        <v>4092</v>
      </c>
      <c r="AJ927" s="81"/>
      <c r="AK927" s="87" t="s">
        <v>3875</v>
      </c>
      <c r="AL927" s="81" t="b">
        <v>0</v>
      </c>
      <c r="AM927" s="81">
        <v>0</v>
      </c>
      <c r="AN927" s="87" t="s">
        <v>3875</v>
      </c>
      <c r="AO927" s="87" t="s">
        <v>4110</v>
      </c>
      <c r="AP927" s="81" t="b">
        <v>0</v>
      </c>
      <c r="AQ927" s="87" t="s">
        <v>3283</v>
      </c>
      <c r="AR927" s="81" t="s">
        <v>179</v>
      </c>
      <c r="AS927" s="81">
        <v>0</v>
      </c>
      <c r="AT927" s="81">
        <v>0</v>
      </c>
      <c r="AU927" s="81"/>
      <c r="AV927" s="81"/>
      <c r="AW927" s="81"/>
      <c r="AX927" s="81"/>
      <c r="AY927" s="81"/>
      <c r="AZ927" s="81"/>
      <c r="BA927" s="81"/>
      <c r="BB927" s="81"/>
    </row>
    <row r="928" spans="1:54" x14ac:dyDescent="0.35">
      <c r="A928" s="66" t="s">
        <v>744</v>
      </c>
      <c r="B928" s="66" t="s">
        <v>744</v>
      </c>
      <c r="C928" s="67"/>
      <c r="D928" s="68"/>
      <c r="E928" s="69"/>
      <c r="F928" s="70"/>
      <c r="G928" s="67"/>
      <c r="H928" s="71"/>
      <c r="I928" s="72"/>
      <c r="J928" s="72"/>
      <c r="K928" s="36"/>
      <c r="L928" s="79"/>
      <c r="M928" s="79"/>
      <c r="N928" s="74"/>
      <c r="O928" s="81" t="s">
        <v>179</v>
      </c>
      <c r="P928" s="83">
        <v>44462.30431712963</v>
      </c>
      <c r="Q928" s="81" t="s">
        <v>1435</v>
      </c>
      <c r="R928" s="85" t="str">
        <f>HYPERLINK("https://curiouscat.qa/-gardenia/post/1241438163")</f>
        <v>https://curiouscat.qa/-gardenia/post/1241438163</v>
      </c>
      <c r="S928" s="81" t="s">
        <v>1746</v>
      </c>
      <c r="T928" s="81"/>
      <c r="U928" s="81"/>
      <c r="V928" s="85" t="str">
        <f>HYPERLINK("https://pbs.twimg.com/profile_images/1442704888786407426/_vFoPfdC_normal.jpg")</f>
        <v>https://pbs.twimg.com/profile_images/1442704888786407426/_vFoPfdC_normal.jpg</v>
      </c>
      <c r="W928" s="83">
        <v>44462.30431712963</v>
      </c>
      <c r="X928" s="89">
        <v>44462</v>
      </c>
      <c r="Y928" s="87" t="s">
        <v>2359</v>
      </c>
      <c r="Z928" s="85" t="str">
        <f>HYPERLINK("https://twitter.com/oecsik/status/1440938537877061634")</f>
        <v>https://twitter.com/oecsik/status/1440938537877061634</v>
      </c>
      <c r="AA928" s="81"/>
      <c r="AB928" s="81"/>
      <c r="AC928" s="87" t="s">
        <v>3284</v>
      </c>
      <c r="AD928" s="81"/>
      <c r="AE928" s="81" t="b">
        <v>0</v>
      </c>
      <c r="AF928" s="81">
        <v>0</v>
      </c>
      <c r="AG928" s="87" t="s">
        <v>3875</v>
      </c>
      <c r="AH928" s="81" t="b">
        <v>0</v>
      </c>
      <c r="AI928" s="81" t="s">
        <v>4092</v>
      </c>
      <c r="AJ928" s="81"/>
      <c r="AK928" s="87" t="s">
        <v>3875</v>
      </c>
      <c r="AL928" s="81" t="b">
        <v>0</v>
      </c>
      <c r="AM928" s="81">
        <v>0</v>
      </c>
      <c r="AN928" s="87" t="s">
        <v>3875</v>
      </c>
      <c r="AO928" s="87" t="s">
        <v>4110</v>
      </c>
      <c r="AP928" s="81" t="b">
        <v>0</v>
      </c>
      <c r="AQ928" s="87" t="s">
        <v>3284</v>
      </c>
      <c r="AR928" s="81" t="s">
        <v>179</v>
      </c>
      <c r="AS928" s="81">
        <v>0</v>
      </c>
      <c r="AT928" s="81">
        <v>0</v>
      </c>
      <c r="AU928" s="81"/>
      <c r="AV928" s="81"/>
      <c r="AW928" s="81"/>
      <c r="AX928" s="81"/>
      <c r="AY928" s="81"/>
      <c r="AZ928" s="81"/>
      <c r="BA928" s="81"/>
      <c r="BB928" s="81"/>
    </row>
    <row r="929" spans="1:54" x14ac:dyDescent="0.35">
      <c r="A929" s="66" t="s">
        <v>745</v>
      </c>
      <c r="B929" s="66" t="s">
        <v>745</v>
      </c>
      <c r="C929" s="67"/>
      <c r="D929" s="68"/>
      <c r="E929" s="69"/>
      <c r="F929" s="70"/>
      <c r="G929" s="67"/>
      <c r="H929" s="71"/>
      <c r="I929" s="72"/>
      <c r="J929" s="72"/>
      <c r="K929" s="36"/>
      <c r="L929" s="79"/>
      <c r="M929" s="79"/>
      <c r="N929" s="74"/>
      <c r="O929" s="81" t="s">
        <v>179</v>
      </c>
      <c r="P929" s="83">
        <v>44462.309016203704</v>
      </c>
      <c r="Q929" s="81" t="s">
        <v>1436</v>
      </c>
      <c r="R929" s="85" t="str">
        <f>HYPERLINK("https://www.portalkalbar.com/2021/09/lowongan-kerja-pt-pos-indonesia-persero_23.html")</f>
        <v>https://www.portalkalbar.com/2021/09/lowongan-kerja-pt-pos-indonesia-persero_23.html</v>
      </c>
      <c r="S929" s="81" t="s">
        <v>1747</v>
      </c>
      <c r="T929" s="81"/>
      <c r="U929" s="85" t="str">
        <f>HYPERLINK("https://pbs.twimg.com/media/E_8_geIVcAcozom.jpg")</f>
        <v>https://pbs.twimg.com/media/E_8_geIVcAcozom.jpg</v>
      </c>
      <c r="V929" s="85" t="str">
        <f>HYPERLINK("https://pbs.twimg.com/media/E_8_geIVcAcozom.jpg")</f>
        <v>https://pbs.twimg.com/media/E_8_geIVcAcozom.jpg</v>
      </c>
      <c r="W929" s="83">
        <v>44462.309016203704</v>
      </c>
      <c r="X929" s="89">
        <v>44462</v>
      </c>
      <c r="Y929" s="87" t="s">
        <v>2360</v>
      </c>
      <c r="Z929" s="85" t="str">
        <f>HYPERLINK("https://twitter.com/portalkalbar1/status/1440940240621891587")</f>
        <v>https://twitter.com/portalkalbar1/status/1440940240621891587</v>
      </c>
      <c r="AA929" s="81"/>
      <c r="AB929" s="81"/>
      <c r="AC929" s="87" t="s">
        <v>3285</v>
      </c>
      <c r="AD929" s="81"/>
      <c r="AE929" s="81" t="b">
        <v>0</v>
      </c>
      <c r="AF929" s="81">
        <v>0</v>
      </c>
      <c r="AG929" s="87" t="s">
        <v>3875</v>
      </c>
      <c r="AH929" s="81" t="b">
        <v>0</v>
      </c>
      <c r="AI929" s="81" t="s">
        <v>4092</v>
      </c>
      <c r="AJ929" s="81"/>
      <c r="AK929" s="87" t="s">
        <v>3875</v>
      </c>
      <c r="AL929" s="81" t="b">
        <v>0</v>
      </c>
      <c r="AM929" s="81">
        <v>0</v>
      </c>
      <c r="AN929" s="87" t="s">
        <v>3875</v>
      </c>
      <c r="AO929" s="87" t="s">
        <v>4111</v>
      </c>
      <c r="AP929" s="81" t="b">
        <v>0</v>
      </c>
      <c r="AQ929" s="87" t="s">
        <v>3285</v>
      </c>
      <c r="AR929" s="81" t="s">
        <v>179</v>
      </c>
      <c r="AS929" s="81">
        <v>0</v>
      </c>
      <c r="AT929" s="81">
        <v>0</v>
      </c>
      <c r="AU929" s="81"/>
      <c r="AV929" s="81"/>
      <c r="AW929" s="81"/>
      <c r="AX929" s="81"/>
      <c r="AY929" s="81"/>
      <c r="AZ929" s="81"/>
      <c r="BA929" s="81"/>
      <c r="BB929" s="81"/>
    </row>
    <row r="930" spans="1:54" x14ac:dyDescent="0.35">
      <c r="A930" s="66" t="s">
        <v>746</v>
      </c>
      <c r="B930" s="66" t="s">
        <v>746</v>
      </c>
      <c r="C930" s="67"/>
      <c r="D930" s="68"/>
      <c r="E930" s="69"/>
      <c r="F930" s="70"/>
      <c r="G930" s="67"/>
      <c r="H930" s="71"/>
      <c r="I930" s="72"/>
      <c r="J930" s="72"/>
      <c r="K930" s="36"/>
      <c r="L930" s="79"/>
      <c r="M930" s="79"/>
      <c r="N930" s="74"/>
      <c r="O930" s="81" t="s">
        <v>179</v>
      </c>
      <c r="P930" s="83">
        <v>44462.317094907405</v>
      </c>
      <c r="Q930" s="81" t="s">
        <v>1437</v>
      </c>
      <c r="R930" s="81"/>
      <c r="S930" s="81"/>
      <c r="T930" s="81"/>
      <c r="U930" s="81"/>
      <c r="V930" s="85" t="str">
        <f>HYPERLINK("https://pbs.twimg.com/profile_images/994041206542712832/uhVZfhwi_normal.jpg")</f>
        <v>https://pbs.twimg.com/profile_images/994041206542712832/uhVZfhwi_normal.jpg</v>
      </c>
      <c r="W930" s="83">
        <v>44462.317094907405</v>
      </c>
      <c r="X930" s="89">
        <v>44462</v>
      </c>
      <c r="Y930" s="87" t="s">
        <v>2361</v>
      </c>
      <c r="Z930" s="85" t="str">
        <f>HYPERLINK("https://twitter.com/bapas_makassar/status/1440943169714081792")</f>
        <v>https://twitter.com/bapas_makassar/status/1440943169714081792</v>
      </c>
      <c r="AA930" s="81"/>
      <c r="AB930" s="81"/>
      <c r="AC930" s="87" t="s">
        <v>3286</v>
      </c>
      <c r="AD930" s="87" t="s">
        <v>3760</v>
      </c>
      <c r="AE930" s="81" t="b">
        <v>0</v>
      </c>
      <c r="AF930" s="81">
        <v>0</v>
      </c>
      <c r="AG930" s="87" t="s">
        <v>3979</v>
      </c>
      <c r="AH930" s="81" t="b">
        <v>0</v>
      </c>
      <c r="AI930" s="81" t="s">
        <v>4092</v>
      </c>
      <c r="AJ930" s="81"/>
      <c r="AK930" s="87" t="s">
        <v>3875</v>
      </c>
      <c r="AL930" s="81" t="b">
        <v>0</v>
      </c>
      <c r="AM930" s="81">
        <v>0</v>
      </c>
      <c r="AN930" s="87" t="s">
        <v>3875</v>
      </c>
      <c r="AO930" s="87" t="s">
        <v>4111</v>
      </c>
      <c r="AP930" s="81" t="b">
        <v>0</v>
      </c>
      <c r="AQ930" s="87" t="s">
        <v>3760</v>
      </c>
      <c r="AR930" s="81" t="s">
        <v>179</v>
      </c>
      <c r="AS930" s="81">
        <v>0</v>
      </c>
      <c r="AT930" s="81">
        <v>0</v>
      </c>
      <c r="AU930" s="81"/>
      <c r="AV930" s="81"/>
      <c r="AW930" s="81"/>
      <c r="AX930" s="81"/>
      <c r="AY930" s="81"/>
      <c r="AZ930" s="81"/>
      <c r="BA930" s="81"/>
      <c r="BB930" s="81"/>
    </row>
    <row r="931" spans="1:54" x14ac:dyDescent="0.35">
      <c r="A931" s="66" t="s">
        <v>747</v>
      </c>
      <c r="B931" s="66" t="s">
        <v>1109</v>
      </c>
      <c r="C931" s="67"/>
      <c r="D931" s="68"/>
      <c r="E931" s="69"/>
      <c r="F931" s="70"/>
      <c r="G931" s="67"/>
      <c r="H931" s="71"/>
      <c r="I931" s="72"/>
      <c r="J931" s="72"/>
      <c r="K931" s="36"/>
      <c r="L931" s="79"/>
      <c r="M931" s="79"/>
      <c r="N931" s="74"/>
      <c r="O931" s="81" t="s">
        <v>1206</v>
      </c>
      <c r="P931" s="83">
        <v>44462.350057870368</v>
      </c>
      <c r="Q931" s="81" t="s">
        <v>1438</v>
      </c>
      <c r="R931" s="81"/>
      <c r="S931" s="81"/>
      <c r="T931" s="81"/>
      <c r="U931" s="81"/>
      <c r="V931" s="85" t="str">
        <f>HYPERLINK("https://pbs.twimg.com/profile_images/1286049738568024064/S4XsA1cf_normal.jpg")</f>
        <v>https://pbs.twimg.com/profile_images/1286049738568024064/S4XsA1cf_normal.jpg</v>
      </c>
      <c r="W931" s="83">
        <v>44462.350057870368</v>
      </c>
      <c r="X931" s="89">
        <v>44462</v>
      </c>
      <c r="Y931" s="87" t="s">
        <v>2362</v>
      </c>
      <c r="Z931" s="85" t="str">
        <f>HYPERLINK("https://twitter.com/wafaarhmn/status/1440955113711931400")</f>
        <v>https://twitter.com/wafaarhmn/status/1440955113711931400</v>
      </c>
      <c r="AA931" s="81"/>
      <c r="AB931" s="81"/>
      <c r="AC931" s="87" t="s">
        <v>3287</v>
      </c>
      <c r="AD931" s="87" t="s">
        <v>3761</v>
      </c>
      <c r="AE931" s="81" t="b">
        <v>0</v>
      </c>
      <c r="AF931" s="81">
        <v>0</v>
      </c>
      <c r="AG931" s="87" t="s">
        <v>3980</v>
      </c>
      <c r="AH931" s="81" t="b">
        <v>0</v>
      </c>
      <c r="AI931" s="81" t="s">
        <v>4092</v>
      </c>
      <c r="AJ931" s="81"/>
      <c r="AK931" s="87" t="s">
        <v>3875</v>
      </c>
      <c r="AL931" s="81" t="b">
        <v>0</v>
      </c>
      <c r="AM931" s="81">
        <v>0</v>
      </c>
      <c r="AN931" s="87" t="s">
        <v>3875</v>
      </c>
      <c r="AO931" s="87" t="s">
        <v>4109</v>
      </c>
      <c r="AP931" s="81" t="b">
        <v>0</v>
      </c>
      <c r="AQ931" s="87" t="s">
        <v>3761</v>
      </c>
      <c r="AR931" s="81" t="s">
        <v>179</v>
      </c>
      <c r="AS931" s="81">
        <v>0</v>
      </c>
      <c r="AT931" s="81">
        <v>0</v>
      </c>
      <c r="AU931" s="81"/>
      <c r="AV931" s="81"/>
      <c r="AW931" s="81"/>
      <c r="AX931" s="81"/>
      <c r="AY931" s="81"/>
      <c r="AZ931" s="81"/>
      <c r="BA931" s="81"/>
      <c r="BB931" s="81"/>
    </row>
    <row r="932" spans="1:54" x14ac:dyDescent="0.35">
      <c r="A932" s="66" t="s">
        <v>747</v>
      </c>
      <c r="B932" s="66" t="s">
        <v>1110</v>
      </c>
      <c r="C932" s="67"/>
      <c r="D932" s="68"/>
      <c r="E932" s="69"/>
      <c r="F932" s="70"/>
      <c r="G932" s="67"/>
      <c r="H932" s="71"/>
      <c r="I932" s="72"/>
      <c r="J932" s="72"/>
      <c r="K932" s="36"/>
      <c r="L932" s="79"/>
      <c r="M932" s="79"/>
      <c r="N932" s="74"/>
      <c r="O932" s="81" t="s">
        <v>1208</v>
      </c>
      <c r="P932" s="83">
        <v>44462.350057870368</v>
      </c>
      <c r="Q932" s="81" t="s">
        <v>1438</v>
      </c>
      <c r="R932" s="81"/>
      <c r="S932" s="81"/>
      <c r="T932" s="81"/>
      <c r="U932" s="81"/>
      <c r="V932" s="85" t="str">
        <f>HYPERLINK("https://pbs.twimg.com/profile_images/1286049738568024064/S4XsA1cf_normal.jpg")</f>
        <v>https://pbs.twimg.com/profile_images/1286049738568024064/S4XsA1cf_normal.jpg</v>
      </c>
      <c r="W932" s="83">
        <v>44462.350057870368</v>
      </c>
      <c r="X932" s="89">
        <v>44462</v>
      </c>
      <c r="Y932" s="87" t="s">
        <v>2362</v>
      </c>
      <c r="Z932" s="85" t="str">
        <f>HYPERLINK("https://twitter.com/wafaarhmn/status/1440955113711931400")</f>
        <v>https://twitter.com/wafaarhmn/status/1440955113711931400</v>
      </c>
      <c r="AA932" s="81"/>
      <c r="AB932" s="81"/>
      <c r="AC932" s="87" t="s">
        <v>3287</v>
      </c>
      <c r="AD932" s="87" t="s">
        <v>3761</v>
      </c>
      <c r="AE932" s="81" t="b">
        <v>0</v>
      </c>
      <c r="AF932" s="81">
        <v>0</v>
      </c>
      <c r="AG932" s="87" t="s">
        <v>3980</v>
      </c>
      <c r="AH932" s="81" t="b">
        <v>0</v>
      </c>
      <c r="AI932" s="81" t="s">
        <v>4092</v>
      </c>
      <c r="AJ932" s="81"/>
      <c r="AK932" s="87" t="s">
        <v>3875</v>
      </c>
      <c r="AL932" s="81" t="b">
        <v>0</v>
      </c>
      <c r="AM932" s="81">
        <v>0</v>
      </c>
      <c r="AN932" s="87" t="s">
        <v>3875</v>
      </c>
      <c r="AO932" s="87" t="s">
        <v>4109</v>
      </c>
      <c r="AP932" s="81" t="b">
        <v>0</v>
      </c>
      <c r="AQ932" s="87" t="s">
        <v>3761</v>
      </c>
      <c r="AR932" s="81" t="s">
        <v>179</v>
      </c>
      <c r="AS932" s="81">
        <v>0</v>
      </c>
      <c r="AT932" s="81">
        <v>0</v>
      </c>
      <c r="AU932" s="81"/>
      <c r="AV932" s="81"/>
      <c r="AW932" s="81"/>
      <c r="AX932" s="81"/>
      <c r="AY932" s="81"/>
      <c r="AZ932" s="81"/>
      <c r="BA932" s="81"/>
      <c r="BB932" s="81"/>
    </row>
    <row r="933" spans="1:54" x14ac:dyDescent="0.35">
      <c r="A933" s="66" t="s">
        <v>748</v>
      </c>
      <c r="B933" s="66" t="s">
        <v>748</v>
      </c>
      <c r="C933" s="67"/>
      <c r="D933" s="68"/>
      <c r="E933" s="69"/>
      <c r="F933" s="70"/>
      <c r="G933" s="67"/>
      <c r="H933" s="71"/>
      <c r="I933" s="72"/>
      <c r="J933" s="72"/>
      <c r="K933" s="36"/>
      <c r="L933" s="79"/>
      <c r="M933" s="79"/>
      <c r="N933" s="74"/>
      <c r="O933" s="81" t="s">
        <v>179</v>
      </c>
      <c r="P933" s="83">
        <v>44462.358784722222</v>
      </c>
      <c r="Q933" s="81" t="s">
        <v>1439</v>
      </c>
      <c r="R933" s="81"/>
      <c r="S933" s="81"/>
      <c r="T933" s="81"/>
      <c r="U933" s="85" t="str">
        <f>HYPERLINK("https://pbs.twimg.com/media/E_9P6dtVQAEK2VW.jpg")</f>
        <v>https://pbs.twimg.com/media/E_9P6dtVQAEK2VW.jpg</v>
      </c>
      <c r="V933" s="85" t="str">
        <f>HYPERLINK("https://pbs.twimg.com/media/E_9P6dtVQAEK2VW.jpg")</f>
        <v>https://pbs.twimg.com/media/E_9P6dtVQAEK2VW.jpg</v>
      </c>
      <c r="W933" s="83">
        <v>44462.358784722222</v>
      </c>
      <c r="X933" s="89">
        <v>44462</v>
      </c>
      <c r="Y933" s="87" t="s">
        <v>2363</v>
      </c>
      <c r="Z933" s="85" t="str">
        <f>HYPERLINK("https://twitter.com/rain_bow80/status/1440958277336981505")</f>
        <v>https://twitter.com/rain_bow80/status/1440958277336981505</v>
      </c>
      <c r="AA933" s="81"/>
      <c r="AB933" s="81"/>
      <c r="AC933" s="87" t="s">
        <v>3288</v>
      </c>
      <c r="AD933" s="87" t="s">
        <v>3762</v>
      </c>
      <c r="AE933" s="81" t="b">
        <v>0</v>
      </c>
      <c r="AF933" s="81">
        <v>1</v>
      </c>
      <c r="AG933" s="87" t="s">
        <v>3981</v>
      </c>
      <c r="AH933" s="81" t="b">
        <v>0</v>
      </c>
      <c r="AI933" s="81" t="s">
        <v>4092</v>
      </c>
      <c r="AJ933" s="81"/>
      <c r="AK933" s="87" t="s">
        <v>3875</v>
      </c>
      <c r="AL933" s="81" t="b">
        <v>0</v>
      </c>
      <c r="AM933" s="81">
        <v>0</v>
      </c>
      <c r="AN933" s="87" t="s">
        <v>3875</v>
      </c>
      <c r="AO933" s="87" t="s">
        <v>4109</v>
      </c>
      <c r="AP933" s="81" t="b">
        <v>0</v>
      </c>
      <c r="AQ933" s="87" t="s">
        <v>3762</v>
      </c>
      <c r="AR933" s="81" t="s">
        <v>179</v>
      </c>
      <c r="AS933" s="81">
        <v>0</v>
      </c>
      <c r="AT933" s="81">
        <v>0</v>
      </c>
      <c r="AU933" s="81"/>
      <c r="AV933" s="81"/>
      <c r="AW933" s="81"/>
      <c r="AX933" s="81"/>
      <c r="AY933" s="81"/>
      <c r="AZ933" s="81"/>
      <c r="BA933" s="81"/>
      <c r="BB933" s="81"/>
    </row>
    <row r="934" spans="1:54" x14ac:dyDescent="0.35">
      <c r="A934" s="66" t="s">
        <v>749</v>
      </c>
      <c r="B934" s="66" t="s">
        <v>750</v>
      </c>
      <c r="C934" s="67"/>
      <c r="D934" s="68"/>
      <c r="E934" s="69"/>
      <c r="F934" s="70"/>
      <c r="G934" s="67"/>
      <c r="H934" s="71"/>
      <c r="I934" s="72"/>
      <c r="J934" s="72"/>
      <c r="K934" s="36"/>
      <c r="L934" s="79"/>
      <c r="M934" s="79"/>
      <c r="N934" s="74"/>
      <c r="O934" s="81" t="s">
        <v>1208</v>
      </c>
      <c r="P934" s="83">
        <v>44462.419386574074</v>
      </c>
      <c r="Q934" s="81" t="s">
        <v>1440</v>
      </c>
      <c r="R934" s="81"/>
      <c r="S934" s="81"/>
      <c r="T934" s="81"/>
      <c r="U934" s="81"/>
      <c r="V934" s="85" t="str">
        <f>HYPERLINK("https://pbs.twimg.com/profile_images/1437480358333669378/joQ5DRuU_normal.jpg")</f>
        <v>https://pbs.twimg.com/profile_images/1437480358333669378/joQ5DRuU_normal.jpg</v>
      </c>
      <c r="W934" s="83">
        <v>44462.419386574074</v>
      </c>
      <c r="X934" s="89">
        <v>44462</v>
      </c>
      <c r="Y934" s="87" t="s">
        <v>2364</v>
      </c>
      <c r="Z934" s="85" t="str">
        <f>HYPERLINK("https://twitter.com/dounsedap/status/1440980239551590403")</f>
        <v>https://twitter.com/dounsedap/status/1440980239551590403</v>
      </c>
      <c r="AA934" s="81"/>
      <c r="AB934" s="81"/>
      <c r="AC934" s="87" t="s">
        <v>3289</v>
      </c>
      <c r="AD934" s="87" t="s">
        <v>3763</v>
      </c>
      <c r="AE934" s="81" t="b">
        <v>0</v>
      </c>
      <c r="AF934" s="81">
        <v>0</v>
      </c>
      <c r="AG934" s="87" t="s">
        <v>3982</v>
      </c>
      <c r="AH934" s="81" t="b">
        <v>0</v>
      </c>
      <c r="AI934" s="81" t="s">
        <v>4092</v>
      </c>
      <c r="AJ934" s="81"/>
      <c r="AK934" s="87" t="s">
        <v>3875</v>
      </c>
      <c r="AL934" s="81" t="b">
        <v>0</v>
      </c>
      <c r="AM934" s="81">
        <v>0</v>
      </c>
      <c r="AN934" s="87" t="s">
        <v>3875</v>
      </c>
      <c r="AO934" s="87" t="s">
        <v>4109</v>
      </c>
      <c r="AP934" s="81" t="b">
        <v>0</v>
      </c>
      <c r="AQ934" s="87" t="s">
        <v>3763</v>
      </c>
      <c r="AR934" s="81" t="s">
        <v>179</v>
      </c>
      <c r="AS934" s="81">
        <v>0</v>
      </c>
      <c r="AT934" s="81">
        <v>0</v>
      </c>
      <c r="AU934" s="81"/>
      <c r="AV934" s="81"/>
      <c r="AW934" s="81"/>
      <c r="AX934" s="81"/>
      <c r="AY934" s="81"/>
      <c r="AZ934" s="81"/>
      <c r="BA934" s="81"/>
      <c r="BB934" s="81"/>
    </row>
    <row r="935" spans="1:54" x14ac:dyDescent="0.35">
      <c r="A935" s="66" t="s">
        <v>750</v>
      </c>
      <c r="B935" s="66" t="s">
        <v>749</v>
      </c>
      <c r="C935" s="67"/>
      <c r="D935" s="68"/>
      <c r="E935" s="69"/>
      <c r="F935" s="70"/>
      <c r="G935" s="67"/>
      <c r="H935" s="71"/>
      <c r="I935" s="72"/>
      <c r="J935" s="72"/>
      <c r="K935" s="36"/>
      <c r="L935" s="79"/>
      <c r="M935" s="79"/>
      <c r="N935" s="74"/>
      <c r="O935" s="81" t="s">
        <v>1208</v>
      </c>
      <c r="P935" s="83">
        <v>44462.419953703706</v>
      </c>
      <c r="Q935" s="81" t="s">
        <v>1441</v>
      </c>
      <c r="R935" s="81"/>
      <c r="S935" s="81"/>
      <c r="T935" s="81"/>
      <c r="U935" s="81"/>
      <c r="V935" s="85" t="str">
        <f>HYPERLINK("https://pbs.twimg.com/profile_images/1440905439441342464/PH_eKI8I_normal.jpg")</f>
        <v>https://pbs.twimg.com/profile_images/1440905439441342464/PH_eKI8I_normal.jpg</v>
      </c>
      <c r="W935" s="83">
        <v>44462.419953703706</v>
      </c>
      <c r="X935" s="89">
        <v>44462</v>
      </c>
      <c r="Y935" s="87" t="s">
        <v>2365</v>
      </c>
      <c r="Z935" s="85" t="str">
        <f>HYPERLINK("https://twitter.com/dwoonyyy/status/1440980443575189513")</f>
        <v>https://twitter.com/dwoonyyy/status/1440980443575189513</v>
      </c>
      <c r="AA935" s="81"/>
      <c r="AB935" s="81"/>
      <c r="AC935" s="87" t="s">
        <v>3290</v>
      </c>
      <c r="AD935" s="87" t="s">
        <v>3289</v>
      </c>
      <c r="AE935" s="81" t="b">
        <v>0</v>
      </c>
      <c r="AF935" s="81">
        <v>0</v>
      </c>
      <c r="AG935" s="87" t="s">
        <v>3983</v>
      </c>
      <c r="AH935" s="81" t="b">
        <v>0</v>
      </c>
      <c r="AI935" s="81" t="s">
        <v>4092</v>
      </c>
      <c r="AJ935" s="81"/>
      <c r="AK935" s="87" t="s">
        <v>3875</v>
      </c>
      <c r="AL935" s="81" t="b">
        <v>0</v>
      </c>
      <c r="AM935" s="81">
        <v>0</v>
      </c>
      <c r="AN935" s="87" t="s">
        <v>3875</v>
      </c>
      <c r="AO935" s="87" t="s">
        <v>4109</v>
      </c>
      <c r="AP935" s="81" t="b">
        <v>0</v>
      </c>
      <c r="AQ935" s="87" t="s">
        <v>3289</v>
      </c>
      <c r="AR935" s="81" t="s">
        <v>179</v>
      </c>
      <c r="AS935" s="81">
        <v>0</v>
      </c>
      <c r="AT935" s="81">
        <v>0</v>
      </c>
      <c r="AU935" s="81"/>
      <c r="AV935" s="81"/>
      <c r="AW935" s="81"/>
      <c r="AX935" s="81"/>
      <c r="AY935" s="81"/>
      <c r="AZ935" s="81"/>
      <c r="BA935" s="81"/>
      <c r="BB935" s="81"/>
    </row>
    <row r="936" spans="1:54" x14ac:dyDescent="0.35">
      <c r="A936" s="66" t="s">
        <v>751</v>
      </c>
      <c r="B936" s="66" t="s">
        <v>752</v>
      </c>
      <c r="C936" s="67"/>
      <c r="D936" s="68"/>
      <c r="E936" s="69"/>
      <c r="F936" s="70"/>
      <c r="G936" s="67"/>
      <c r="H936" s="71"/>
      <c r="I936" s="72"/>
      <c r="J936" s="72"/>
      <c r="K936" s="36"/>
      <c r="L936" s="79"/>
      <c r="M936" s="79"/>
      <c r="N936" s="74"/>
      <c r="O936" s="81" t="s">
        <v>1208</v>
      </c>
      <c r="P936" s="83">
        <v>44462.408726851849</v>
      </c>
      <c r="Q936" s="81" t="s">
        <v>1442</v>
      </c>
      <c r="R936" s="81"/>
      <c r="S936" s="81"/>
      <c r="T936" s="81"/>
      <c r="U936" s="81"/>
      <c r="V936" s="85" t="str">
        <f>HYPERLINK("https://pbs.twimg.com/profile_images/1425056024554131464/B9R69UKK_normal.jpg")</f>
        <v>https://pbs.twimg.com/profile_images/1425056024554131464/B9R69UKK_normal.jpg</v>
      </c>
      <c r="W936" s="83">
        <v>44462.408726851849</v>
      </c>
      <c r="X936" s="89">
        <v>44462</v>
      </c>
      <c r="Y936" s="87" t="s">
        <v>2366</v>
      </c>
      <c r="Z936" s="85" t="str">
        <f>HYPERLINK("https://twitter.com/ayayyawae/status/1440976375310020618")</f>
        <v>https://twitter.com/ayayyawae/status/1440976375310020618</v>
      </c>
      <c r="AA936" s="81"/>
      <c r="AB936" s="81"/>
      <c r="AC936" s="87" t="s">
        <v>3291</v>
      </c>
      <c r="AD936" s="87" t="s">
        <v>3764</v>
      </c>
      <c r="AE936" s="81" t="b">
        <v>0</v>
      </c>
      <c r="AF936" s="81">
        <v>0</v>
      </c>
      <c r="AG936" s="87" t="s">
        <v>3984</v>
      </c>
      <c r="AH936" s="81" t="b">
        <v>0</v>
      </c>
      <c r="AI936" s="81" t="s">
        <v>4092</v>
      </c>
      <c r="AJ936" s="81"/>
      <c r="AK936" s="87" t="s">
        <v>3875</v>
      </c>
      <c r="AL936" s="81" t="b">
        <v>0</v>
      </c>
      <c r="AM936" s="81">
        <v>0</v>
      </c>
      <c r="AN936" s="87" t="s">
        <v>3875</v>
      </c>
      <c r="AO936" s="87" t="s">
        <v>4109</v>
      </c>
      <c r="AP936" s="81" t="b">
        <v>0</v>
      </c>
      <c r="AQ936" s="87" t="s">
        <v>3764</v>
      </c>
      <c r="AR936" s="81" t="s">
        <v>179</v>
      </c>
      <c r="AS936" s="81">
        <v>0</v>
      </c>
      <c r="AT936" s="81">
        <v>0</v>
      </c>
      <c r="AU936" s="81"/>
      <c r="AV936" s="81"/>
      <c r="AW936" s="81"/>
      <c r="AX936" s="81"/>
      <c r="AY936" s="81"/>
      <c r="AZ936" s="81"/>
      <c r="BA936" s="81"/>
      <c r="BB936" s="81"/>
    </row>
    <row r="937" spans="1:54" x14ac:dyDescent="0.35">
      <c r="A937" s="66" t="s">
        <v>752</v>
      </c>
      <c r="B937" s="66" t="s">
        <v>751</v>
      </c>
      <c r="C937" s="67"/>
      <c r="D937" s="68"/>
      <c r="E937" s="69"/>
      <c r="F937" s="70"/>
      <c r="G937" s="67"/>
      <c r="H937" s="71"/>
      <c r="I937" s="72"/>
      <c r="J937" s="72"/>
      <c r="K937" s="36"/>
      <c r="L937" s="79"/>
      <c r="M937" s="79"/>
      <c r="N937" s="74"/>
      <c r="O937" s="81" t="s">
        <v>1208</v>
      </c>
      <c r="P937" s="83">
        <v>44462.4609837963</v>
      </c>
      <c r="Q937" s="81" t="s">
        <v>1443</v>
      </c>
      <c r="R937" s="81"/>
      <c r="S937" s="81"/>
      <c r="T937" s="81"/>
      <c r="U937" s="81"/>
      <c r="V937" s="85" t="str">
        <f>HYPERLINK("https://pbs.twimg.com/profile_images/1380601253864955909/YcaS5QIb_normal.jpg")</f>
        <v>https://pbs.twimg.com/profile_images/1380601253864955909/YcaS5QIb_normal.jpg</v>
      </c>
      <c r="W937" s="83">
        <v>44462.4609837963</v>
      </c>
      <c r="X937" s="89">
        <v>44462</v>
      </c>
      <c r="Y937" s="87" t="s">
        <v>2367</v>
      </c>
      <c r="Z937" s="85" t="str">
        <f>HYPERLINK("https://twitter.com/insecuretard/status/1440995311569104897")</f>
        <v>https://twitter.com/insecuretard/status/1440995311569104897</v>
      </c>
      <c r="AA937" s="81"/>
      <c r="AB937" s="81"/>
      <c r="AC937" s="87" t="s">
        <v>3292</v>
      </c>
      <c r="AD937" s="87" t="s">
        <v>3291</v>
      </c>
      <c r="AE937" s="81" t="b">
        <v>0</v>
      </c>
      <c r="AF937" s="81">
        <v>0</v>
      </c>
      <c r="AG937" s="87" t="s">
        <v>3985</v>
      </c>
      <c r="AH937" s="81" t="b">
        <v>0</v>
      </c>
      <c r="AI937" s="81" t="s">
        <v>4092</v>
      </c>
      <c r="AJ937" s="81"/>
      <c r="AK937" s="87" t="s">
        <v>3875</v>
      </c>
      <c r="AL937" s="81" t="b">
        <v>0</v>
      </c>
      <c r="AM937" s="81">
        <v>0</v>
      </c>
      <c r="AN937" s="87" t="s">
        <v>3875</v>
      </c>
      <c r="AO937" s="87" t="s">
        <v>4109</v>
      </c>
      <c r="AP937" s="81" t="b">
        <v>0</v>
      </c>
      <c r="AQ937" s="87" t="s">
        <v>3291</v>
      </c>
      <c r="AR937" s="81" t="s">
        <v>179</v>
      </c>
      <c r="AS937" s="81">
        <v>0</v>
      </c>
      <c r="AT937" s="81">
        <v>0</v>
      </c>
      <c r="AU937" s="81"/>
      <c r="AV937" s="81"/>
      <c r="AW937" s="81"/>
      <c r="AX937" s="81"/>
      <c r="AY937" s="81"/>
      <c r="AZ937" s="81"/>
      <c r="BA937" s="81"/>
      <c r="BB937" s="81"/>
    </row>
    <row r="938" spans="1:54" x14ac:dyDescent="0.35">
      <c r="A938" s="66" t="s">
        <v>753</v>
      </c>
      <c r="B938" s="66" t="s">
        <v>1111</v>
      </c>
      <c r="C938" s="67"/>
      <c r="D938" s="68"/>
      <c r="E938" s="69"/>
      <c r="F938" s="70"/>
      <c r="G938" s="67"/>
      <c r="H938" s="71"/>
      <c r="I938" s="72"/>
      <c r="J938" s="72"/>
      <c r="K938" s="36"/>
      <c r="L938" s="79"/>
      <c r="M938" s="79"/>
      <c r="N938" s="74"/>
      <c r="O938" s="81" t="s">
        <v>1208</v>
      </c>
      <c r="P938" s="83">
        <v>44462.469236111108</v>
      </c>
      <c r="Q938" s="81" t="s">
        <v>1444</v>
      </c>
      <c r="R938" s="81"/>
      <c r="S938" s="81"/>
      <c r="T938" s="81"/>
      <c r="U938" s="81"/>
      <c r="V938" s="85" t="str">
        <f>HYPERLINK("https://pbs.twimg.com/profile_images/1440325167650000913/i_OYQ1v__normal.jpg")</f>
        <v>https://pbs.twimg.com/profile_images/1440325167650000913/i_OYQ1v__normal.jpg</v>
      </c>
      <c r="W938" s="83">
        <v>44462.469236111108</v>
      </c>
      <c r="X938" s="89">
        <v>44462</v>
      </c>
      <c r="Y938" s="87" t="s">
        <v>2368</v>
      </c>
      <c r="Z938" s="85" t="str">
        <f>HYPERLINK("https://twitter.com/hottieboobies/status/1440998301088694273")</f>
        <v>https://twitter.com/hottieboobies/status/1440998301088694273</v>
      </c>
      <c r="AA938" s="81"/>
      <c r="AB938" s="81"/>
      <c r="AC938" s="87" t="s">
        <v>3293</v>
      </c>
      <c r="AD938" s="87" t="s">
        <v>3765</v>
      </c>
      <c r="AE938" s="81" t="b">
        <v>0</v>
      </c>
      <c r="AF938" s="81">
        <v>0</v>
      </c>
      <c r="AG938" s="87" t="s">
        <v>3986</v>
      </c>
      <c r="AH938" s="81" t="b">
        <v>0</v>
      </c>
      <c r="AI938" s="81" t="s">
        <v>4095</v>
      </c>
      <c r="AJ938" s="81"/>
      <c r="AK938" s="87" t="s">
        <v>3875</v>
      </c>
      <c r="AL938" s="81" t="b">
        <v>0</v>
      </c>
      <c r="AM938" s="81">
        <v>0</v>
      </c>
      <c r="AN938" s="87" t="s">
        <v>3875</v>
      </c>
      <c r="AO938" s="87" t="s">
        <v>4109</v>
      </c>
      <c r="AP938" s="81" t="b">
        <v>0</v>
      </c>
      <c r="AQ938" s="87" t="s">
        <v>3765</v>
      </c>
      <c r="AR938" s="81" t="s">
        <v>179</v>
      </c>
      <c r="AS938" s="81">
        <v>0</v>
      </c>
      <c r="AT938" s="81">
        <v>0</v>
      </c>
      <c r="AU938" s="81"/>
      <c r="AV938" s="81"/>
      <c r="AW938" s="81"/>
      <c r="AX938" s="81"/>
      <c r="AY938" s="81"/>
      <c r="AZ938" s="81"/>
      <c r="BA938" s="81"/>
      <c r="BB938" s="81"/>
    </row>
    <row r="939" spans="1:54" x14ac:dyDescent="0.35">
      <c r="A939" s="66" t="s">
        <v>754</v>
      </c>
      <c r="B939" s="66" t="s">
        <v>754</v>
      </c>
      <c r="C939" s="67"/>
      <c r="D939" s="68"/>
      <c r="E939" s="69"/>
      <c r="F939" s="70"/>
      <c r="G939" s="67"/>
      <c r="H939" s="71"/>
      <c r="I939" s="72"/>
      <c r="J939" s="72"/>
      <c r="K939" s="36"/>
      <c r="L939" s="79"/>
      <c r="M939" s="79"/>
      <c r="N939" s="74"/>
      <c r="O939" s="81" t="s">
        <v>179</v>
      </c>
      <c r="P939" s="83">
        <v>44460.073645833334</v>
      </c>
      <c r="Q939" s="81" t="s">
        <v>1445</v>
      </c>
      <c r="R939" s="81"/>
      <c r="S939" s="81"/>
      <c r="T939" s="81"/>
      <c r="U939" s="81"/>
      <c r="V939" s="85" t="str">
        <f>HYPERLINK("https://pbs.twimg.com/profile_images/1422902722257248259/DGIKPTt8_normal.jpg")</f>
        <v>https://pbs.twimg.com/profile_images/1422902722257248259/DGIKPTt8_normal.jpg</v>
      </c>
      <c r="W939" s="83">
        <v>44460.073645833334</v>
      </c>
      <c r="X939" s="89">
        <v>44460</v>
      </c>
      <c r="Y939" s="87" t="s">
        <v>2369</v>
      </c>
      <c r="Z939" s="85" t="str">
        <f>HYPERLINK("https://twitter.com/banjarbase/status/1440130169386192896")</f>
        <v>https://twitter.com/banjarbase/status/1440130169386192896</v>
      </c>
      <c r="AA939" s="81"/>
      <c r="AB939" s="81"/>
      <c r="AC939" s="87" t="s">
        <v>3294</v>
      </c>
      <c r="AD939" s="81"/>
      <c r="AE939" s="81" t="b">
        <v>0</v>
      </c>
      <c r="AF939" s="81">
        <v>0</v>
      </c>
      <c r="AG939" s="87" t="s">
        <v>3875</v>
      </c>
      <c r="AH939" s="81" t="b">
        <v>0</v>
      </c>
      <c r="AI939" s="81" t="s">
        <v>4092</v>
      </c>
      <c r="AJ939" s="81"/>
      <c r="AK939" s="87" t="s">
        <v>3875</v>
      </c>
      <c r="AL939" s="81" t="b">
        <v>0</v>
      </c>
      <c r="AM939" s="81">
        <v>0</v>
      </c>
      <c r="AN939" s="87" t="s">
        <v>3875</v>
      </c>
      <c r="AO939" s="87" t="s">
        <v>4127</v>
      </c>
      <c r="AP939" s="81" t="b">
        <v>0</v>
      </c>
      <c r="AQ939" s="87" t="s">
        <v>3294</v>
      </c>
      <c r="AR939" s="81" t="s">
        <v>179</v>
      </c>
      <c r="AS939" s="81">
        <v>0</v>
      </c>
      <c r="AT939" s="81">
        <v>0</v>
      </c>
      <c r="AU939" s="81"/>
      <c r="AV939" s="81"/>
      <c r="AW939" s="81"/>
      <c r="AX939" s="81"/>
      <c r="AY939" s="81"/>
      <c r="AZ939" s="81"/>
      <c r="BA939" s="81"/>
      <c r="BB939" s="81"/>
    </row>
    <row r="940" spans="1:54" x14ac:dyDescent="0.35">
      <c r="A940" s="66" t="s">
        <v>755</v>
      </c>
      <c r="B940" s="66" t="s">
        <v>754</v>
      </c>
      <c r="C940" s="67"/>
      <c r="D940" s="68"/>
      <c r="E940" s="69"/>
      <c r="F940" s="70"/>
      <c r="G940" s="67"/>
      <c r="H940" s="71"/>
      <c r="I940" s="72"/>
      <c r="J940" s="72"/>
      <c r="K940" s="36"/>
      <c r="L940" s="79"/>
      <c r="M940" s="79"/>
      <c r="N940" s="74"/>
      <c r="O940" s="81" t="s">
        <v>1208</v>
      </c>
      <c r="P940" s="83">
        <v>44462.471828703703</v>
      </c>
      <c r="Q940" s="81" t="s">
        <v>1446</v>
      </c>
      <c r="R940" s="81"/>
      <c r="S940" s="81"/>
      <c r="T940" s="81"/>
      <c r="U940" s="81"/>
      <c r="V940" s="85" t="str">
        <f>HYPERLINK("https://pbs.twimg.com/profile_images/1441794143450107904/eeyW_lat_normal.jpg")</f>
        <v>https://pbs.twimg.com/profile_images/1441794143450107904/eeyW_lat_normal.jpg</v>
      </c>
      <c r="W940" s="83">
        <v>44462.471828703703</v>
      </c>
      <c r="X940" s="89">
        <v>44462</v>
      </c>
      <c r="Y940" s="87" t="s">
        <v>2370</v>
      </c>
      <c r="Z940" s="85" t="str">
        <f>HYPERLINK("https://twitter.com/fcks_/status/1440999240939966472")</f>
        <v>https://twitter.com/fcks_/status/1440999240939966472</v>
      </c>
      <c r="AA940" s="81"/>
      <c r="AB940" s="81"/>
      <c r="AC940" s="87" t="s">
        <v>3295</v>
      </c>
      <c r="AD940" s="87" t="s">
        <v>3766</v>
      </c>
      <c r="AE940" s="81" t="b">
        <v>0</v>
      </c>
      <c r="AF940" s="81">
        <v>0</v>
      </c>
      <c r="AG940" s="87" t="s">
        <v>3880</v>
      </c>
      <c r="AH940" s="81" t="b">
        <v>0</v>
      </c>
      <c r="AI940" s="81" t="s">
        <v>4092</v>
      </c>
      <c r="AJ940" s="81"/>
      <c r="AK940" s="87" t="s">
        <v>3875</v>
      </c>
      <c r="AL940" s="81" t="b">
        <v>0</v>
      </c>
      <c r="AM940" s="81">
        <v>0</v>
      </c>
      <c r="AN940" s="87" t="s">
        <v>3875</v>
      </c>
      <c r="AO940" s="87" t="s">
        <v>4109</v>
      </c>
      <c r="AP940" s="81" t="b">
        <v>0</v>
      </c>
      <c r="AQ940" s="87" t="s">
        <v>3766</v>
      </c>
      <c r="AR940" s="81" t="s">
        <v>179</v>
      </c>
      <c r="AS940" s="81">
        <v>0</v>
      </c>
      <c r="AT940" s="81">
        <v>0</v>
      </c>
      <c r="AU940" s="81"/>
      <c r="AV940" s="81"/>
      <c r="AW940" s="81"/>
      <c r="AX940" s="81"/>
      <c r="AY940" s="81"/>
      <c r="AZ940" s="81"/>
      <c r="BA940" s="81"/>
      <c r="BB940" s="81"/>
    </row>
    <row r="941" spans="1:54" x14ac:dyDescent="0.35">
      <c r="A941" s="66" t="s">
        <v>756</v>
      </c>
      <c r="B941" s="66" t="s">
        <v>1112</v>
      </c>
      <c r="C941" s="67"/>
      <c r="D941" s="68"/>
      <c r="E941" s="69"/>
      <c r="F941" s="70"/>
      <c r="G941" s="67"/>
      <c r="H941" s="71"/>
      <c r="I941" s="72"/>
      <c r="J941" s="72"/>
      <c r="K941" s="36"/>
      <c r="L941" s="79"/>
      <c r="M941" s="79"/>
      <c r="N941" s="74"/>
      <c r="O941" s="81" t="s">
        <v>1208</v>
      </c>
      <c r="P941" s="83">
        <v>44462.478333333333</v>
      </c>
      <c r="Q941" s="81" t="s">
        <v>1447</v>
      </c>
      <c r="R941" s="81"/>
      <c r="S941" s="81"/>
      <c r="T941" s="81"/>
      <c r="U941" s="81"/>
      <c r="V941" s="85" t="str">
        <f>HYPERLINK("https://pbs.twimg.com/profile_images/1392467121087475718/fTHYWD8M_normal.jpg")</f>
        <v>https://pbs.twimg.com/profile_images/1392467121087475718/fTHYWD8M_normal.jpg</v>
      </c>
      <c r="W941" s="83">
        <v>44462.478333333333</v>
      </c>
      <c r="X941" s="89">
        <v>44462</v>
      </c>
      <c r="Y941" s="87" t="s">
        <v>2371</v>
      </c>
      <c r="Z941" s="85" t="str">
        <f>HYPERLINK("https://twitter.com/solitaire_evil/status/1441001600844058635")</f>
        <v>https://twitter.com/solitaire_evil/status/1441001600844058635</v>
      </c>
      <c r="AA941" s="81"/>
      <c r="AB941" s="81"/>
      <c r="AC941" s="87" t="s">
        <v>3296</v>
      </c>
      <c r="AD941" s="87" t="s">
        <v>3767</v>
      </c>
      <c r="AE941" s="81" t="b">
        <v>0</v>
      </c>
      <c r="AF941" s="81">
        <v>0</v>
      </c>
      <c r="AG941" s="87" t="s">
        <v>3987</v>
      </c>
      <c r="AH941" s="81" t="b">
        <v>0</v>
      </c>
      <c r="AI941" s="81" t="s">
        <v>4092</v>
      </c>
      <c r="AJ941" s="81"/>
      <c r="AK941" s="87" t="s">
        <v>3875</v>
      </c>
      <c r="AL941" s="81" t="b">
        <v>0</v>
      </c>
      <c r="AM941" s="81">
        <v>0</v>
      </c>
      <c r="AN941" s="87" t="s">
        <v>3875</v>
      </c>
      <c r="AO941" s="87" t="s">
        <v>4109</v>
      </c>
      <c r="AP941" s="81" t="b">
        <v>0</v>
      </c>
      <c r="AQ941" s="87" t="s">
        <v>3767</v>
      </c>
      <c r="AR941" s="81" t="s">
        <v>179</v>
      </c>
      <c r="AS941" s="81">
        <v>0</v>
      </c>
      <c r="AT941" s="81">
        <v>0</v>
      </c>
      <c r="AU941" s="81"/>
      <c r="AV941" s="81"/>
      <c r="AW941" s="81"/>
      <c r="AX941" s="81"/>
      <c r="AY941" s="81"/>
      <c r="AZ941" s="81"/>
      <c r="BA941" s="81"/>
      <c r="BB941" s="81"/>
    </row>
    <row r="942" spans="1:54" x14ac:dyDescent="0.35">
      <c r="A942" s="66" t="s">
        <v>757</v>
      </c>
      <c r="B942" s="66" t="s">
        <v>757</v>
      </c>
      <c r="C942" s="67"/>
      <c r="D942" s="68"/>
      <c r="E942" s="69"/>
      <c r="F942" s="70"/>
      <c r="G942" s="67"/>
      <c r="H942" s="71"/>
      <c r="I942" s="72"/>
      <c r="J942" s="72"/>
      <c r="K942" s="36"/>
      <c r="L942" s="79"/>
      <c r="M942" s="79"/>
      <c r="N942" s="74"/>
      <c r="O942" s="81" t="s">
        <v>179</v>
      </c>
      <c r="P942" s="83">
        <v>44462.571759259263</v>
      </c>
      <c r="Q942" s="81" t="s">
        <v>1448</v>
      </c>
      <c r="R942" s="81"/>
      <c r="S942" s="81"/>
      <c r="T942" s="81"/>
      <c r="U942" s="81"/>
      <c r="V942" s="85" t="str">
        <f>HYPERLINK("https://pbs.twimg.com/profile_images/1442539867393576966/Q-HOsNpy_normal.jpg")</f>
        <v>https://pbs.twimg.com/profile_images/1442539867393576966/Q-HOsNpy_normal.jpg</v>
      </c>
      <c r="W942" s="83">
        <v>44462.571759259263</v>
      </c>
      <c r="X942" s="89">
        <v>44462</v>
      </c>
      <c r="Y942" s="87" t="s">
        <v>2372</v>
      </c>
      <c r="Z942" s="85" t="str">
        <f>HYPERLINK("https://twitter.com/atanalerectida/status/1441035456846581767")</f>
        <v>https://twitter.com/atanalerectida/status/1441035456846581767</v>
      </c>
      <c r="AA942" s="81"/>
      <c r="AB942" s="81"/>
      <c r="AC942" s="87" t="s">
        <v>3297</v>
      </c>
      <c r="AD942" s="81"/>
      <c r="AE942" s="81" t="b">
        <v>0</v>
      </c>
      <c r="AF942" s="81">
        <v>0</v>
      </c>
      <c r="AG942" s="87" t="s">
        <v>3875</v>
      </c>
      <c r="AH942" s="81" t="b">
        <v>0</v>
      </c>
      <c r="AI942" s="81" t="s">
        <v>4092</v>
      </c>
      <c r="AJ942" s="81"/>
      <c r="AK942" s="87" t="s">
        <v>3875</v>
      </c>
      <c r="AL942" s="81" t="b">
        <v>0</v>
      </c>
      <c r="AM942" s="81">
        <v>0</v>
      </c>
      <c r="AN942" s="87" t="s">
        <v>3875</v>
      </c>
      <c r="AO942" s="87" t="s">
        <v>4111</v>
      </c>
      <c r="AP942" s="81" t="b">
        <v>0</v>
      </c>
      <c r="AQ942" s="87" t="s">
        <v>3297</v>
      </c>
      <c r="AR942" s="81" t="s">
        <v>179</v>
      </c>
      <c r="AS942" s="81">
        <v>0</v>
      </c>
      <c r="AT942" s="81">
        <v>0</v>
      </c>
      <c r="AU942" s="81"/>
      <c r="AV942" s="81"/>
      <c r="AW942" s="81"/>
      <c r="AX942" s="81"/>
      <c r="AY942" s="81"/>
      <c r="AZ942" s="81"/>
      <c r="BA942" s="81"/>
      <c r="BB942" s="81"/>
    </row>
    <row r="943" spans="1:54" x14ac:dyDescent="0.35">
      <c r="A943" s="66" t="s">
        <v>758</v>
      </c>
      <c r="B943" s="66" t="s">
        <v>758</v>
      </c>
      <c r="C943" s="67"/>
      <c r="D943" s="68"/>
      <c r="E943" s="69"/>
      <c r="F943" s="70"/>
      <c r="G943" s="67"/>
      <c r="H943" s="71"/>
      <c r="I943" s="72"/>
      <c r="J943" s="72"/>
      <c r="K943" s="36"/>
      <c r="L943" s="79"/>
      <c r="M943" s="79"/>
      <c r="N943" s="74"/>
      <c r="O943" s="81" t="s">
        <v>179</v>
      </c>
      <c r="P943" s="83">
        <v>44462.577349537038</v>
      </c>
      <c r="Q943" s="81" t="s">
        <v>1449</v>
      </c>
      <c r="R943" s="81"/>
      <c r="S943" s="81"/>
      <c r="T943" s="81"/>
      <c r="U943" s="81"/>
      <c r="V943" s="85" t="str">
        <f>HYPERLINK("https://pbs.twimg.com/profile_images/1429704046294700036/x7_XEJEY_normal.jpg")</f>
        <v>https://pbs.twimg.com/profile_images/1429704046294700036/x7_XEJEY_normal.jpg</v>
      </c>
      <c r="W943" s="83">
        <v>44462.577349537038</v>
      </c>
      <c r="X943" s="89">
        <v>44462</v>
      </c>
      <c r="Y943" s="87" t="s">
        <v>2373</v>
      </c>
      <c r="Z943" s="85" t="str">
        <f>HYPERLINK("https://twitter.com/tys1004/status/1441037482498269187")</f>
        <v>https://twitter.com/tys1004/status/1441037482498269187</v>
      </c>
      <c r="AA943" s="81"/>
      <c r="AB943" s="81"/>
      <c r="AC943" s="87" t="s">
        <v>3298</v>
      </c>
      <c r="AD943" s="81"/>
      <c r="AE943" s="81" t="b">
        <v>0</v>
      </c>
      <c r="AF943" s="81">
        <v>1</v>
      </c>
      <c r="AG943" s="87" t="s">
        <v>3875</v>
      </c>
      <c r="AH943" s="81" t="b">
        <v>0</v>
      </c>
      <c r="AI943" s="81" t="s">
        <v>4092</v>
      </c>
      <c r="AJ943" s="81"/>
      <c r="AK943" s="87" t="s">
        <v>3875</v>
      </c>
      <c r="AL943" s="81" t="b">
        <v>0</v>
      </c>
      <c r="AM943" s="81">
        <v>0</v>
      </c>
      <c r="AN943" s="87" t="s">
        <v>3875</v>
      </c>
      <c r="AO943" s="87" t="s">
        <v>4111</v>
      </c>
      <c r="AP943" s="81" t="b">
        <v>0</v>
      </c>
      <c r="AQ943" s="87" t="s">
        <v>3298</v>
      </c>
      <c r="AR943" s="81" t="s">
        <v>179</v>
      </c>
      <c r="AS943" s="81">
        <v>0</v>
      </c>
      <c r="AT943" s="81">
        <v>0</v>
      </c>
      <c r="AU943" s="81"/>
      <c r="AV943" s="81"/>
      <c r="AW943" s="81"/>
      <c r="AX943" s="81"/>
      <c r="AY943" s="81"/>
      <c r="AZ943" s="81"/>
      <c r="BA943" s="81"/>
      <c r="BB943" s="81"/>
    </row>
    <row r="944" spans="1:54" x14ac:dyDescent="0.35">
      <c r="A944" s="66" t="s">
        <v>759</v>
      </c>
      <c r="B944" s="66" t="s">
        <v>759</v>
      </c>
      <c r="C944" s="67"/>
      <c r="D944" s="68"/>
      <c r="E944" s="69"/>
      <c r="F944" s="70"/>
      <c r="G944" s="67"/>
      <c r="H944" s="71"/>
      <c r="I944" s="72"/>
      <c r="J944" s="72"/>
      <c r="K944" s="36"/>
      <c r="L944" s="79"/>
      <c r="M944" s="79"/>
      <c r="N944" s="74"/>
      <c r="O944" s="81" t="s">
        <v>179</v>
      </c>
      <c r="P944" s="83">
        <v>44462.580914351849</v>
      </c>
      <c r="Q944" s="81" t="s">
        <v>1450</v>
      </c>
      <c r="R944" s="81"/>
      <c r="S944" s="81"/>
      <c r="T944" s="81"/>
      <c r="U944" s="81"/>
      <c r="V944" s="85" t="str">
        <f>HYPERLINK("https://pbs.twimg.com/profile_images/1441799121258512388/EFc-ivKj_normal.jpg")</f>
        <v>https://pbs.twimg.com/profile_images/1441799121258512388/EFc-ivKj_normal.jpg</v>
      </c>
      <c r="W944" s="83">
        <v>44462.580914351849</v>
      </c>
      <c r="X944" s="89">
        <v>44462</v>
      </c>
      <c r="Y944" s="87" t="s">
        <v>2374</v>
      </c>
      <c r="Z944" s="85" t="str">
        <f>HYPERLINK("https://twitter.com/berkepribadian/status/1441038774717194251")</f>
        <v>https://twitter.com/berkepribadian/status/1441038774717194251</v>
      </c>
      <c r="AA944" s="81"/>
      <c r="AB944" s="81"/>
      <c r="AC944" s="87" t="s">
        <v>3299</v>
      </c>
      <c r="AD944" s="87" t="s">
        <v>3768</v>
      </c>
      <c r="AE944" s="81" t="b">
        <v>0</v>
      </c>
      <c r="AF944" s="81">
        <v>1</v>
      </c>
      <c r="AG944" s="87" t="s">
        <v>3988</v>
      </c>
      <c r="AH944" s="81" t="b">
        <v>0</v>
      </c>
      <c r="AI944" s="81" t="s">
        <v>4092</v>
      </c>
      <c r="AJ944" s="81"/>
      <c r="AK944" s="87" t="s">
        <v>3875</v>
      </c>
      <c r="AL944" s="81" t="b">
        <v>0</v>
      </c>
      <c r="AM944" s="81">
        <v>0</v>
      </c>
      <c r="AN944" s="87" t="s">
        <v>3875</v>
      </c>
      <c r="AO944" s="87" t="s">
        <v>4109</v>
      </c>
      <c r="AP944" s="81" t="b">
        <v>0</v>
      </c>
      <c r="AQ944" s="87" t="s">
        <v>3768</v>
      </c>
      <c r="AR944" s="81" t="s">
        <v>179</v>
      </c>
      <c r="AS944" s="81">
        <v>0</v>
      </c>
      <c r="AT944" s="81">
        <v>0</v>
      </c>
      <c r="AU944" s="81"/>
      <c r="AV944" s="81"/>
      <c r="AW944" s="81"/>
      <c r="AX944" s="81"/>
      <c r="AY944" s="81"/>
      <c r="AZ944" s="81"/>
      <c r="BA944" s="81"/>
      <c r="BB944" s="81"/>
    </row>
    <row r="945" spans="1:54" x14ac:dyDescent="0.35">
      <c r="A945" s="66" t="s">
        <v>760</v>
      </c>
      <c r="B945" s="66" t="s">
        <v>1113</v>
      </c>
      <c r="C945" s="67"/>
      <c r="D945" s="68"/>
      <c r="E945" s="69"/>
      <c r="F945" s="70"/>
      <c r="G945" s="67"/>
      <c r="H945" s="71"/>
      <c r="I945" s="72"/>
      <c r="J945" s="72"/>
      <c r="K945" s="36"/>
      <c r="L945" s="79"/>
      <c r="M945" s="79"/>
      <c r="N945" s="74"/>
      <c r="O945" s="81" t="s">
        <v>1208</v>
      </c>
      <c r="P945" s="83">
        <v>44462.58315972222</v>
      </c>
      <c r="Q945" s="81" t="s">
        <v>1451</v>
      </c>
      <c r="R945" s="81"/>
      <c r="S945" s="81"/>
      <c r="T945" s="81"/>
      <c r="U945" s="81"/>
      <c r="V945" s="85" t="str">
        <f>HYPERLINK("https://pbs.twimg.com/profile_images/1441036752852905984/rPk3KAw7_normal.png")</f>
        <v>https://pbs.twimg.com/profile_images/1441036752852905984/rPk3KAw7_normal.png</v>
      </c>
      <c r="W945" s="83">
        <v>44462.58315972222</v>
      </c>
      <c r="X945" s="89">
        <v>44462</v>
      </c>
      <c r="Y945" s="87" t="s">
        <v>2197</v>
      </c>
      <c r="Z945" s="85" t="str">
        <f>HYPERLINK("https://twitter.com/azherbaizane/status/1441039588688945155")</f>
        <v>https://twitter.com/azherbaizane/status/1441039588688945155</v>
      </c>
      <c r="AA945" s="81"/>
      <c r="AB945" s="81"/>
      <c r="AC945" s="87" t="s">
        <v>3300</v>
      </c>
      <c r="AD945" s="81"/>
      <c r="AE945" s="81" t="b">
        <v>0</v>
      </c>
      <c r="AF945" s="81">
        <v>0</v>
      </c>
      <c r="AG945" s="87" t="s">
        <v>3989</v>
      </c>
      <c r="AH945" s="81" t="b">
        <v>0</v>
      </c>
      <c r="AI945" s="81" t="s">
        <v>4092</v>
      </c>
      <c r="AJ945" s="81"/>
      <c r="AK945" s="87" t="s">
        <v>3875</v>
      </c>
      <c r="AL945" s="81" t="b">
        <v>0</v>
      </c>
      <c r="AM945" s="81">
        <v>0</v>
      </c>
      <c r="AN945" s="87" t="s">
        <v>3875</v>
      </c>
      <c r="AO945" s="87" t="s">
        <v>4109</v>
      </c>
      <c r="AP945" s="81" t="b">
        <v>0</v>
      </c>
      <c r="AQ945" s="87" t="s">
        <v>3300</v>
      </c>
      <c r="AR945" s="81" t="s">
        <v>179</v>
      </c>
      <c r="AS945" s="81">
        <v>0</v>
      </c>
      <c r="AT945" s="81">
        <v>0</v>
      </c>
      <c r="AU945" s="81"/>
      <c r="AV945" s="81"/>
      <c r="AW945" s="81"/>
      <c r="AX945" s="81"/>
      <c r="AY945" s="81"/>
      <c r="AZ945" s="81"/>
      <c r="BA945" s="81"/>
      <c r="BB945" s="81"/>
    </row>
    <row r="946" spans="1:54" x14ac:dyDescent="0.35">
      <c r="A946" s="66" t="s">
        <v>761</v>
      </c>
      <c r="B946" s="66" t="s">
        <v>1114</v>
      </c>
      <c r="C946" s="67"/>
      <c r="D946" s="68"/>
      <c r="E946" s="69"/>
      <c r="F946" s="70"/>
      <c r="G946" s="67"/>
      <c r="H946" s="71"/>
      <c r="I946" s="72"/>
      <c r="J946" s="72"/>
      <c r="K946" s="36"/>
      <c r="L946" s="79"/>
      <c r="M946" s="79"/>
      <c r="N946" s="74"/>
      <c r="O946" s="81" t="s">
        <v>1208</v>
      </c>
      <c r="P946" s="83">
        <v>44462.589583333334</v>
      </c>
      <c r="Q946" s="81" t="s">
        <v>1452</v>
      </c>
      <c r="R946" s="81"/>
      <c r="S946" s="81"/>
      <c r="T946" s="81"/>
      <c r="U946" s="81"/>
      <c r="V946" s="85" t="str">
        <f>HYPERLINK("https://pbs.twimg.com/profile_images/1439397054426537987/PNPVArRm_normal.jpg")</f>
        <v>https://pbs.twimg.com/profile_images/1439397054426537987/PNPVArRm_normal.jpg</v>
      </c>
      <c r="W946" s="83">
        <v>44462.589583333334</v>
      </c>
      <c r="X946" s="89">
        <v>44462</v>
      </c>
      <c r="Y946" s="87" t="s">
        <v>2375</v>
      </c>
      <c r="Z946" s="85" t="str">
        <f>HYPERLINK("https://twitter.com/karanavany/status/1441041916158627857")</f>
        <v>https://twitter.com/karanavany/status/1441041916158627857</v>
      </c>
      <c r="AA946" s="81"/>
      <c r="AB946" s="81"/>
      <c r="AC946" s="87" t="s">
        <v>3301</v>
      </c>
      <c r="AD946" s="87" t="s">
        <v>3769</v>
      </c>
      <c r="AE946" s="81" t="b">
        <v>0</v>
      </c>
      <c r="AF946" s="81">
        <v>0</v>
      </c>
      <c r="AG946" s="87" t="s">
        <v>3990</v>
      </c>
      <c r="AH946" s="81" t="b">
        <v>0</v>
      </c>
      <c r="AI946" s="81" t="s">
        <v>4092</v>
      </c>
      <c r="AJ946" s="81"/>
      <c r="AK946" s="87" t="s">
        <v>3875</v>
      </c>
      <c r="AL946" s="81" t="b">
        <v>0</v>
      </c>
      <c r="AM946" s="81">
        <v>0</v>
      </c>
      <c r="AN946" s="87" t="s">
        <v>3875</v>
      </c>
      <c r="AO946" s="87" t="s">
        <v>4111</v>
      </c>
      <c r="AP946" s="81" t="b">
        <v>0</v>
      </c>
      <c r="AQ946" s="87" t="s">
        <v>3769</v>
      </c>
      <c r="AR946" s="81" t="s">
        <v>179</v>
      </c>
      <c r="AS946" s="81">
        <v>0</v>
      </c>
      <c r="AT946" s="81">
        <v>0</v>
      </c>
      <c r="AU946" s="81"/>
      <c r="AV946" s="81"/>
      <c r="AW946" s="81"/>
      <c r="AX946" s="81"/>
      <c r="AY946" s="81"/>
      <c r="AZ946" s="81"/>
      <c r="BA946" s="81"/>
      <c r="BB946" s="81"/>
    </row>
    <row r="947" spans="1:54" x14ac:dyDescent="0.35">
      <c r="A947" s="66" t="s">
        <v>762</v>
      </c>
      <c r="B947" s="66" t="s">
        <v>762</v>
      </c>
      <c r="C947" s="67"/>
      <c r="D947" s="68"/>
      <c r="E947" s="69"/>
      <c r="F947" s="70"/>
      <c r="G947" s="67"/>
      <c r="H947" s="71"/>
      <c r="I947" s="72"/>
      <c r="J947" s="72"/>
      <c r="K947" s="36"/>
      <c r="L947" s="79"/>
      <c r="M947" s="79"/>
      <c r="N947" s="74"/>
      <c r="O947" s="81" t="s">
        <v>179</v>
      </c>
      <c r="P947" s="83">
        <v>44462.595682870371</v>
      </c>
      <c r="Q947" s="81" t="s">
        <v>1453</v>
      </c>
      <c r="R947" s="81"/>
      <c r="S947" s="81"/>
      <c r="T947" s="81"/>
      <c r="U947" s="85" t="str">
        <f>HYPERLINK("https://pbs.twimg.com/media/E_-d_XNUcAAuuzM.jpg")</f>
        <v>https://pbs.twimg.com/media/E_-d_XNUcAAuuzM.jpg</v>
      </c>
      <c r="V947" s="85" t="str">
        <f>HYPERLINK("https://pbs.twimg.com/media/E_-d_XNUcAAuuzM.jpg")</f>
        <v>https://pbs.twimg.com/media/E_-d_XNUcAAuuzM.jpg</v>
      </c>
      <c r="W947" s="83">
        <v>44462.595682870371</v>
      </c>
      <c r="X947" s="89">
        <v>44462</v>
      </c>
      <c r="Y947" s="87" t="s">
        <v>2376</v>
      </c>
      <c r="Z947" s="85" t="str">
        <f>HYPERLINK("https://twitter.com/kominfo_srg/status/1441044124140929031")</f>
        <v>https://twitter.com/kominfo_srg/status/1441044124140929031</v>
      </c>
      <c r="AA947" s="81"/>
      <c r="AB947" s="81"/>
      <c r="AC947" s="87" t="s">
        <v>3302</v>
      </c>
      <c r="AD947" s="81"/>
      <c r="AE947" s="81" t="b">
        <v>0</v>
      </c>
      <c r="AF947" s="81">
        <v>0</v>
      </c>
      <c r="AG947" s="87" t="s">
        <v>3875</v>
      </c>
      <c r="AH947" s="81" t="b">
        <v>0</v>
      </c>
      <c r="AI947" s="81" t="s">
        <v>4092</v>
      </c>
      <c r="AJ947" s="81"/>
      <c r="AK947" s="87" t="s">
        <v>3875</v>
      </c>
      <c r="AL947" s="81" t="b">
        <v>0</v>
      </c>
      <c r="AM947" s="81">
        <v>1</v>
      </c>
      <c r="AN947" s="87" t="s">
        <v>3875</v>
      </c>
      <c r="AO947" s="87" t="s">
        <v>4110</v>
      </c>
      <c r="AP947" s="81" t="b">
        <v>0</v>
      </c>
      <c r="AQ947" s="87" t="s">
        <v>3302</v>
      </c>
      <c r="AR947" s="81" t="s">
        <v>179</v>
      </c>
      <c r="AS947" s="81">
        <v>0</v>
      </c>
      <c r="AT947" s="81">
        <v>0</v>
      </c>
      <c r="AU947" s="81"/>
      <c r="AV947" s="81"/>
      <c r="AW947" s="81"/>
      <c r="AX947" s="81"/>
      <c r="AY947" s="81"/>
      <c r="AZ947" s="81"/>
      <c r="BA947" s="81"/>
      <c r="BB947" s="81"/>
    </row>
    <row r="948" spans="1:54" x14ac:dyDescent="0.35">
      <c r="A948" s="66" t="s">
        <v>763</v>
      </c>
      <c r="B948" s="66" t="s">
        <v>762</v>
      </c>
      <c r="C948" s="67"/>
      <c r="D948" s="68"/>
      <c r="E948" s="69"/>
      <c r="F948" s="70"/>
      <c r="G948" s="67"/>
      <c r="H948" s="71"/>
      <c r="I948" s="72"/>
      <c r="J948" s="72"/>
      <c r="K948" s="36"/>
      <c r="L948" s="79"/>
      <c r="M948" s="79"/>
      <c r="N948" s="74"/>
      <c r="O948" s="81" t="s">
        <v>1205</v>
      </c>
      <c r="P948" s="83">
        <v>44462.612893518519</v>
      </c>
      <c r="Q948" s="81" t="s">
        <v>1453</v>
      </c>
      <c r="R948" s="81"/>
      <c r="S948" s="81"/>
      <c r="T948" s="81"/>
      <c r="U948" s="85" t="str">
        <f>HYPERLINK("https://pbs.twimg.com/media/E_-d_XNUcAAuuzM.jpg")</f>
        <v>https://pbs.twimg.com/media/E_-d_XNUcAAuuzM.jpg</v>
      </c>
      <c r="V948" s="85" t="str">
        <f>HYPERLINK("https://pbs.twimg.com/media/E_-d_XNUcAAuuzM.jpg")</f>
        <v>https://pbs.twimg.com/media/E_-d_XNUcAAuuzM.jpg</v>
      </c>
      <c r="W948" s="83">
        <v>44462.612893518519</v>
      </c>
      <c r="X948" s="89">
        <v>44462</v>
      </c>
      <c r="Y948" s="87" t="s">
        <v>2377</v>
      </c>
      <c r="Z948" s="85" t="str">
        <f>HYPERLINK("https://twitter.com/kurniawanricho/status/1441050361498796041")</f>
        <v>https://twitter.com/kurniawanricho/status/1441050361498796041</v>
      </c>
      <c r="AA948" s="81"/>
      <c r="AB948" s="81"/>
      <c r="AC948" s="87" t="s">
        <v>3303</v>
      </c>
      <c r="AD948" s="81"/>
      <c r="AE948" s="81" t="b">
        <v>0</v>
      </c>
      <c r="AF948" s="81">
        <v>0</v>
      </c>
      <c r="AG948" s="87" t="s">
        <v>3875</v>
      </c>
      <c r="AH948" s="81" t="b">
        <v>0</v>
      </c>
      <c r="AI948" s="81" t="s">
        <v>4092</v>
      </c>
      <c r="AJ948" s="81"/>
      <c r="AK948" s="87" t="s">
        <v>3875</v>
      </c>
      <c r="AL948" s="81" t="b">
        <v>0</v>
      </c>
      <c r="AM948" s="81">
        <v>1</v>
      </c>
      <c r="AN948" s="87" t="s">
        <v>3302</v>
      </c>
      <c r="AO948" s="87" t="s">
        <v>4109</v>
      </c>
      <c r="AP948" s="81" t="b">
        <v>0</v>
      </c>
      <c r="AQ948" s="87" t="s">
        <v>3302</v>
      </c>
      <c r="AR948" s="81" t="s">
        <v>179</v>
      </c>
      <c r="AS948" s="81">
        <v>0</v>
      </c>
      <c r="AT948" s="81">
        <v>0</v>
      </c>
      <c r="AU948" s="81"/>
      <c r="AV948" s="81"/>
      <c r="AW948" s="81"/>
      <c r="AX948" s="81"/>
      <c r="AY948" s="81"/>
      <c r="AZ948" s="81"/>
      <c r="BA948" s="81"/>
      <c r="BB948" s="81"/>
    </row>
    <row r="949" spans="1:54" x14ac:dyDescent="0.35">
      <c r="A949" s="66" t="s">
        <v>764</v>
      </c>
      <c r="B949" s="66" t="s">
        <v>1115</v>
      </c>
      <c r="C949" s="67"/>
      <c r="D949" s="68"/>
      <c r="E949" s="69"/>
      <c r="F949" s="70"/>
      <c r="G949" s="67"/>
      <c r="H949" s="71"/>
      <c r="I949" s="72"/>
      <c r="J949" s="72"/>
      <c r="K949" s="36"/>
      <c r="L949" s="79"/>
      <c r="M949" s="79"/>
      <c r="N949" s="74"/>
      <c r="O949" s="81" t="s">
        <v>1206</v>
      </c>
      <c r="P949" s="83">
        <v>44462.683668981481</v>
      </c>
      <c r="Q949" s="81" t="s">
        <v>1454</v>
      </c>
      <c r="R949" s="81"/>
      <c r="S949" s="81"/>
      <c r="T949" s="81"/>
      <c r="U949" s="81"/>
      <c r="V949" s="85" t="str">
        <f>HYPERLINK("https://pbs.twimg.com/profile_images/1207987350405406722/ZkCDTos6_normal.jpg")</f>
        <v>https://pbs.twimg.com/profile_images/1207987350405406722/ZkCDTos6_normal.jpg</v>
      </c>
      <c r="W949" s="83">
        <v>44462.683668981481</v>
      </c>
      <c r="X949" s="89">
        <v>44462</v>
      </c>
      <c r="Y949" s="87" t="s">
        <v>2378</v>
      </c>
      <c r="Z949" s="85" t="str">
        <f>HYPERLINK("https://twitter.com/dianonno/status/1441076012679262217")</f>
        <v>https://twitter.com/dianonno/status/1441076012679262217</v>
      </c>
      <c r="AA949" s="81"/>
      <c r="AB949" s="81"/>
      <c r="AC949" s="87" t="s">
        <v>3304</v>
      </c>
      <c r="AD949" s="87" t="s">
        <v>3770</v>
      </c>
      <c r="AE949" s="81" t="b">
        <v>0</v>
      </c>
      <c r="AF949" s="81">
        <v>0</v>
      </c>
      <c r="AG949" s="87" t="s">
        <v>3991</v>
      </c>
      <c r="AH949" s="81" t="b">
        <v>0</v>
      </c>
      <c r="AI949" s="81" t="s">
        <v>4092</v>
      </c>
      <c r="AJ949" s="81"/>
      <c r="AK949" s="87" t="s">
        <v>3875</v>
      </c>
      <c r="AL949" s="81" t="b">
        <v>0</v>
      </c>
      <c r="AM949" s="81">
        <v>0</v>
      </c>
      <c r="AN949" s="87" t="s">
        <v>3875</v>
      </c>
      <c r="AO949" s="87" t="s">
        <v>4109</v>
      </c>
      <c r="AP949" s="81" t="b">
        <v>0</v>
      </c>
      <c r="AQ949" s="87" t="s">
        <v>3770</v>
      </c>
      <c r="AR949" s="81" t="s">
        <v>179</v>
      </c>
      <c r="AS949" s="81">
        <v>0</v>
      </c>
      <c r="AT949" s="81">
        <v>0</v>
      </c>
      <c r="AU949" s="81"/>
      <c r="AV949" s="81"/>
      <c r="AW949" s="81"/>
      <c r="AX949" s="81"/>
      <c r="AY949" s="81"/>
      <c r="AZ949" s="81"/>
      <c r="BA949" s="81"/>
      <c r="BB949" s="81"/>
    </row>
    <row r="950" spans="1:54" x14ac:dyDescent="0.35">
      <c r="A950" s="66" t="s">
        <v>764</v>
      </c>
      <c r="B950" s="66" t="s">
        <v>1116</v>
      </c>
      <c r="C950" s="67"/>
      <c r="D950" s="68"/>
      <c r="E950" s="69"/>
      <c r="F950" s="70"/>
      <c r="G950" s="67"/>
      <c r="H950" s="71"/>
      <c r="I950" s="72"/>
      <c r="J950" s="72"/>
      <c r="K950" s="36"/>
      <c r="L950" s="79"/>
      <c r="M950" s="79"/>
      <c r="N950" s="74"/>
      <c r="O950" s="81" t="s">
        <v>1206</v>
      </c>
      <c r="P950" s="83">
        <v>44462.683668981481</v>
      </c>
      <c r="Q950" s="81" t="s">
        <v>1454</v>
      </c>
      <c r="R950" s="81"/>
      <c r="S950" s="81"/>
      <c r="T950" s="81"/>
      <c r="U950" s="81"/>
      <c r="V950" s="85" t="str">
        <f>HYPERLINK("https://pbs.twimg.com/profile_images/1207987350405406722/ZkCDTos6_normal.jpg")</f>
        <v>https://pbs.twimg.com/profile_images/1207987350405406722/ZkCDTos6_normal.jpg</v>
      </c>
      <c r="W950" s="83">
        <v>44462.683668981481</v>
      </c>
      <c r="X950" s="89">
        <v>44462</v>
      </c>
      <c r="Y950" s="87" t="s">
        <v>2378</v>
      </c>
      <c r="Z950" s="85" t="str">
        <f>HYPERLINK("https://twitter.com/dianonno/status/1441076012679262217")</f>
        <v>https://twitter.com/dianonno/status/1441076012679262217</v>
      </c>
      <c r="AA950" s="81"/>
      <c r="AB950" s="81"/>
      <c r="AC950" s="87" t="s">
        <v>3304</v>
      </c>
      <c r="AD950" s="87" t="s">
        <v>3770</v>
      </c>
      <c r="AE950" s="81" t="b">
        <v>0</v>
      </c>
      <c r="AF950" s="81">
        <v>0</v>
      </c>
      <c r="AG950" s="87" t="s">
        <v>3991</v>
      </c>
      <c r="AH950" s="81" t="b">
        <v>0</v>
      </c>
      <c r="AI950" s="81" t="s">
        <v>4092</v>
      </c>
      <c r="AJ950" s="81"/>
      <c r="AK950" s="87" t="s">
        <v>3875</v>
      </c>
      <c r="AL950" s="81" t="b">
        <v>0</v>
      </c>
      <c r="AM950" s="81">
        <v>0</v>
      </c>
      <c r="AN950" s="87" t="s">
        <v>3875</v>
      </c>
      <c r="AO950" s="87" t="s">
        <v>4109</v>
      </c>
      <c r="AP950" s="81" t="b">
        <v>0</v>
      </c>
      <c r="AQ950" s="87" t="s">
        <v>3770</v>
      </c>
      <c r="AR950" s="81" t="s">
        <v>179</v>
      </c>
      <c r="AS950" s="81">
        <v>0</v>
      </c>
      <c r="AT950" s="81">
        <v>0</v>
      </c>
      <c r="AU950" s="81"/>
      <c r="AV950" s="81"/>
      <c r="AW950" s="81"/>
      <c r="AX950" s="81"/>
      <c r="AY950" s="81"/>
      <c r="AZ950" s="81"/>
      <c r="BA950" s="81"/>
      <c r="BB950" s="81"/>
    </row>
    <row r="951" spans="1:54" x14ac:dyDescent="0.35">
      <c r="A951" s="66" t="s">
        <v>764</v>
      </c>
      <c r="B951" s="66" t="s">
        <v>1117</v>
      </c>
      <c r="C951" s="67"/>
      <c r="D951" s="68"/>
      <c r="E951" s="69"/>
      <c r="F951" s="70"/>
      <c r="G951" s="67"/>
      <c r="H951" s="71"/>
      <c r="I951" s="72"/>
      <c r="J951" s="72"/>
      <c r="K951" s="36"/>
      <c r="L951" s="79"/>
      <c r="M951" s="79"/>
      <c r="N951" s="74"/>
      <c r="O951" s="81" t="s">
        <v>1208</v>
      </c>
      <c r="P951" s="83">
        <v>44462.683668981481</v>
      </c>
      <c r="Q951" s="81" t="s">
        <v>1454</v>
      </c>
      <c r="R951" s="81"/>
      <c r="S951" s="81"/>
      <c r="T951" s="81"/>
      <c r="U951" s="81"/>
      <c r="V951" s="85" t="str">
        <f>HYPERLINK("https://pbs.twimg.com/profile_images/1207987350405406722/ZkCDTos6_normal.jpg")</f>
        <v>https://pbs.twimg.com/profile_images/1207987350405406722/ZkCDTos6_normal.jpg</v>
      </c>
      <c r="W951" s="83">
        <v>44462.683668981481</v>
      </c>
      <c r="X951" s="89">
        <v>44462</v>
      </c>
      <c r="Y951" s="87" t="s">
        <v>2378</v>
      </c>
      <c r="Z951" s="85" t="str">
        <f>HYPERLINK("https://twitter.com/dianonno/status/1441076012679262217")</f>
        <v>https://twitter.com/dianonno/status/1441076012679262217</v>
      </c>
      <c r="AA951" s="81"/>
      <c r="AB951" s="81"/>
      <c r="AC951" s="87" t="s">
        <v>3304</v>
      </c>
      <c r="AD951" s="87" t="s">
        <v>3770</v>
      </c>
      <c r="AE951" s="81" t="b">
        <v>0</v>
      </c>
      <c r="AF951" s="81">
        <v>0</v>
      </c>
      <c r="AG951" s="87" t="s">
        <v>3991</v>
      </c>
      <c r="AH951" s="81" t="b">
        <v>0</v>
      </c>
      <c r="AI951" s="81" t="s">
        <v>4092</v>
      </c>
      <c r="AJ951" s="81"/>
      <c r="AK951" s="87" t="s">
        <v>3875</v>
      </c>
      <c r="AL951" s="81" t="b">
        <v>0</v>
      </c>
      <c r="AM951" s="81">
        <v>0</v>
      </c>
      <c r="AN951" s="87" t="s">
        <v>3875</v>
      </c>
      <c r="AO951" s="87" t="s">
        <v>4109</v>
      </c>
      <c r="AP951" s="81" t="b">
        <v>0</v>
      </c>
      <c r="AQ951" s="87" t="s">
        <v>3770</v>
      </c>
      <c r="AR951" s="81" t="s">
        <v>179</v>
      </c>
      <c r="AS951" s="81">
        <v>0</v>
      </c>
      <c r="AT951" s="81">
        <v>0</v>
      </c>
      <c r="AU951" s="81"/>
      <c r="AV951" s="81"/>
      <c r="AW951" s="81"/>
      <c r="AX951" s="81"/>
      <c r="AY951" s="81"/>
      <c r="AZ951" s="81"/>
      <c r="BA951" s="81"/>
      <c r="BB951" s="81"/>
    </row>
    <row r="952" spans="1:54" x14ac:dyDescent="0.35">
      <c r="A952" s="66" t="s">
        <v>765</v>
      </c>
      <c r="B952" s="66" t="s">
        <v>1032</v>
      </c>
      <c r="C952" s="67"/>
      <c r="D952" s="68"/>
      <c r="E952" s="69"/>
      <c r="F952" s="70"/>
      <c r="G952" s="67"/>
      <c r="H952" s="71"/>
      <c r="I952" s="72"/>
      <c r="J952" s="72"/>
      <c r="K952" s="36"/>
      <c r="L952" s="79"/>
      <c r="M952" s="79"/>
      <c r="N952" s="74"/>
      <c r="O952" s="81" t="s">
        <v>1208</v>
      </c>
      <c r="P952" s="83">
        <v>44462.698773148149</v>
      </c>
      <c r="Q952" s="81" t="s">
        <v>1455</v>
      </c>
      <c r="R952" s="81"/>
      <c r="S952" s="81"/>
      <c r="T952" s="81"/>
      <c r="U952" s="81"/>
      <c r="V952" s="85" t="str">
        <f>HYPERLINK("https://pbs.twimg.com/profile_images/1438493991838760963/S8zFj6Lo_normal.jpg")</f>
        <v>https://pbs.twimg.com/profile_images/1438493991838760963/S8zFj6Lo_normal.jpg</v>
      </c>
      <c r="W952" s="83">
        <v>44462.698773148149</v>
      </c>
      <c r="X952" s="89">
        <v>44462</v>
      </c>
      <c r="Y952" s="87" t="s">
        <v>2379</v>
      </c>
      <c r="Z952" s="85" t="str">
        <f>HYPERLINK("https://twitter.com/hatteeuu/status/1441081483158966276")</f>
        <v>https://twitter.com/hatteeuu/status/1441081483158966276</v>
      </c>
      <c r="AA952" s="81"/>
      <c r="AB952" s="81"/>
      <c r="AC952" s="87" t="s">
        <v>3305</v>
      </c>
      <c r="AD952" s="87" t="s">
        <v>3771</v>
      </c>
      <c r="AE952" s="81" t="b">
        <v>0</v>
      </c>
      <c r="AF952" s="81">
        <v>0</v>
      </c>
      <c r="AG952" s="87" t="s">
        <v>3912</v>
      </c>
      <c r="AH952" s="81" t="b">
        <v>0</v>
      </c>
      <c r="AI952" s="81" t="s">
        <v>4092</v>
      </c>
      <c r="AJ952" s="81"/>
      <c r="AK952" s="87" t="s">
        <v>3875</v>
      </c>
      <c r="AL952" s="81" t="b">
        <v>0</v>
      </c>
      <c r="AM952" s="81">
        <v>0</v>
      </c>
      <c r="AN952" s="87" t="s">
        <v>3875</v>
      </c>
      <c r="AO952" s="87" t="s">
        <v>4109</v>
      </c>
      <c r="AP952" s="81" t="b">
        <v>0</v>
      </c>
      <c r="AQ952" s="87" t="s">
        <v>3771</v>
      </c>
      <c r="AR952" s="81" t="s">
        <v>179</v>
      </c>
      <c r="AS952" s="81">
        <v>0</v>
      </c>
      <c r="AT952" s="81">
        <v>0</v>
      </c>
      <c r="AU952" s="81"/>
      <c r="AV952" s="81"/>
      <c r="AW952" s="81"/>
      <c r="AX952" s="81"/>
      <c r="AY952" s="81"/>
      <c r="AZ952" s="81"/>
      <c r="BA952" s="81"/>
      <c r="BB952" s="81"/>
    </row>
    <row r="953" spans="1:54" x14ac:dyDescent="0.35">
      <c r="A953" s="66" t="s">
        <v>766</v>
      </c>
      <c r="B953" s="66" t="s">
        <v>766</v>
      </c>
      <c r="C953" s="67"/>
      <c r="D953" s="68"/>
      <c r="E953" s="69"/>
      <c r="F953" s="70"/>
      <c r="G953" s="67"/>
      <c r="H953" s="71"/>
      <c r="I953" s="72"/>
      <c r="J953" s="72"/>
      <c r="K953" s="36"/>
      <c r="L953" s="79"/>
      <c r="M953" s="79"/>
      <c r="N953" s="74"/>
      <c r="O953" s="81" t="s">
        <v>179</v>
      </c>
      <c r="P953" s="83">
        <v>44462.702430555553</v>
      </c>
      <c r="Q953" s="81" t="s">
        <v>1456</v>
      </c>
      <c r="R953" s="81"/>
      <c r="S953" s="81"/>
      <c r="T953" s="81"/>
      <c r="U953" s="85" t="str">
        <f>HYPERLINK("https://pbs.twimg.com/media/E__BLMNVkAUGRij.jpg")</f>
        <v>https://pbs.twimg.com/media/E__BLMNVkAUGRij.jpg</v>
      </c>
      <c r="V953" s="85" t="str">
        <f>HYPERLINK("https://pbs.twimg.com/media/E__BLMNVkAUGRij.jpg")</f>
        <v>https://pbs.twimg.com/media/E__BLMNVkAUGRij.jpg</v>
      </c>
      <c r="W953" s="83">
        <v>44462.702430555553</v>
      </c>
      <c r="X953" s="89">
        <v>44462</v>
      </c>
      <c r="Y953" s="87" t="s">
        <v>2380</v>
      </c>
      <c r="Z953" s="85" t="str">
        <f>HYPERLINK("https://twitter.com/imandangodaan/status/1441082811738312704")</f>
        <v>https://twitter.com/imandangodaan/status/1441082811738312704</v>
      </c>
      <c r="AA953" s="81"/>
      <c r="AB953" s="81"/>
      <c r="AC953" s="87" t="s">
        <v>3306</v>
      </c>
      <c r="AD953" s="81"/>
      <c r="AE953" s="81" t="b">
        <v>0</v>
      </c>
      <c r="AF953" s="81">
        <v>0</v>
      </c>
      <c r="AG953" s="87" t="s">
        <v>3875</v>
      </c>
      <c r="AH953" s="81" t="b">
        <v>0</v>
      </c>
      <c r="AI953" s="81" t="s">
        <v>4092</v>
      </c>
      <c r="AJ953" s="81"/>
      <c r="AK953" s="87" t="s">
        <v>3875</v>
      </c>
      <c r="AL953" s="81" t="b">
        <v>0</v>
      </c>
      <c r="AM953" s="81">
        <v>0</v>
      </c>
      <c r="AN953" s="87" t="s">
        <v>3875</v>
      </c>
      <c r="AO953" s="87" t="s">
        <v>4110</v>
      </c>
      <c r="AP953" s="81" t="b">
        <v>0</v>
      </c>
      <c r="AQ953" s="87" t="s">
        <v>3306</v>
      </c>
      <c r="AR953" s="81" t="s">
        <v>179</v>
      </c>
      <c r="AS953" s="81">
        <v>0</v>
      </c>
      <c r="AT953" s="81">
        <v>0</v>
      </c>
      <c r="AU953" s="81"/>
      <c r="AV953" s="81"/>
      <c r="AW953" s="81"/>
      <c r="AX953" s="81"/>
      <c r="AY953" s="81"/>
      <c r="AZ953" s="81"/>
      <c r="BA953" s="81"/>
      <c r="BB953" s="81"/>
    </row>
    <row r="954" spans="1:54" x14ac:dyDescent="0.35">
      <c r="A954" s="66" t="s">
        <v>767</v>
      </c>
      <c r="B954" s="66" t="s">
        <v>1032</v>
      </c>
      <c r="C954" s="67"/>
      <c r="D954" s="68"/>
      <c r="E954" s="69"/>
      <c r="F954" s="70"/>
      <c r="G954" s="67"/>
      <c r="H954" s="71"/>
      <c r="I954" s="72"/>
      <c r="J954" s="72"/>
      <c r="K954" s="36"/>
      <c r="L954" s="79"/>
      <c r="M954" s="79"/>
      <c r="N954" s="74"/>
      <c r="O954" s="81" t="s">
        <v>1208</v>
      </c>
      <c r="P954" s="83">
        <v>44462.704039351855</v>
      </c>
      <c r="Q954" s="81" t="s">
        <v>1457</v>
      </c>
      <c r="R954" s="81"/>
      <c r="S954" s="81"/>
      <c r="T954" s="81"/>
      <c r="U954" s="81"/>
      <c r="V954" s="85" t="str">
        <f>HYPERLINK("https://pbs.twimg.com/profile_images/1440973987601797126/3LPJIhTv_normal.jpg")</f>
        <v>https://pbs.twimg.com/profile_images/1440973987601797126/3LPJIhTv_normal.jpg</v>
      </c>
      <c r="W954" s="83">
        <v>44462.704039351855</v>
      </c>
      <c r="X954" s="89">
        <v>44462</v>
      </c>
      <c r="Y954" s="87" t="s">
        <v>2381</v>
      </c>
      <c r="Z954" s="85" t="str">
        <f>HYPERLINK("https://twitter.com/rapangkatdua/status/1441083394155184129")</f>
        <v>https://twitter.com/rapangkatdua/status/1441083394155184129</v>
      </c>
      <c r="AA954" s="81"/>
      <c r="AB954" s="81"/>
      <c r="AC954" s="87" t="s">
        <v>3307</v>
      </c>
      <c r="AD954" s="87" t="s">
        <v>3771</v>
      </c>
      <c r="AE954" s="81" t="b">
        <v>0</v>
      </c>
      <c r="AF954" s="81">
        <v>0</v>
      </c>
      <c r="AG954" s="87" t="s">
        <v>3912</v>
      </c>
      <c r="AH954" s="81" t="b">
        <v>0</v>
      </c>
      <c r="AI954" s="81" t="s">
        <v>4092</v>
      </c>
      <c r="AJ954" s="81"/>
      <c r="AK954" s="87" t="s">
        <v>3875</v>
      </c>
      <c r="AL954" s="81" t="b">
        <v>0</v>
      </c>
      <c r="AM954" s="81">
        <v>0</v>
      </c>
      <c r="AN954" s="87" t="s">
        <v>3875</v>
      </c>
      <c r="AO954" s="87" t="s">
        <v>4109</v>
      </c>
      <c r="AP954" s="81" t="b">
        <v>0</v>
      </c>
      <c r="AQ954" s="87" t="s">
        <v>3771</v>
      </c>
      <c r="AR954" s="81" t="s">
        <v>179</v>
      </c>
      <c r="AS954" s="81">
        <v>0</v>
      </c>
      <c r="AT954" s="81">
        <v>0</v>
      </c>
      <c r="AU954" s="81"/>
      <c r="AV954" s="81"/>
      <c r="AW954" s="81"/>
      <c r="AX954" s="81"/>
      <c r="AY954" s="81"/>
      <c r="AZ954" s="81"/>
      <c r="BA954" s="81"/>
      <c r="BB954" s="81"/>
    </row>
    <row r="955" spans="1:54" x14ac:dyDescent="0.35">
      <c r="A955" s="66" t="s">
        <v>768</v>
      </c>
      <c r="B955" s="66" t="s">
        <v>1118</v>
      </c>
      <c r="C955" s="67"/>
      <c r="D955" s="68"/>
      <c r="E955" s="69"/>
      <c r="F955" s="70"/>
      <c r="G955" s="67"/>
      <c r="H955" s="71"/>
      <c r="I955" s="72"/>
      <c r="J955" s="72"/>
      <c r="K955" s="36"/>
      <c r="L955" s="79"/>
      <c r="M955" s="79"/>
      <c r="N955" s="74"/>
      <c r="O955" s="81" t="s">
        <v>1208</v>
      </c>
      <c r="P955" s="83">
        <v>44462.715185185189</v>
      </c>
      <c r="Q955" s="81" t="s">
        <v>1458</v>
      </c>
      <c r="R955" s="81"/>
      <c r="S955" s="81"/>
      <c r="T955" s="81"/>
      <c r="U955" s="81"/>
      <c r="V955" s="85" t="str">
        <f>HYPERLINK("https://pbs.twimg.com/profile_images/1441916920471515138/f-K1bgCn_normal.png")</f>
        <v>https://pbs.twimg.com/profile_images/1441916920471515138/f-K1bgCn_normal.png</v>
      </c>
      <c r="W955" s="83">
        <v>44462.715185185189</v>
      </c>
      <c r="X955" s="89">
        <v>44462</v>
      </c>
      <c r="Y955" s="87" t="s">
        <v>2382</v>
      </c>
      <c r="Z955" s="85" t="str">
        <f>HYPERLINK("https://twitter.com/clcyoojiin/status/1441087430409347073")</f>
        <v>https://twitter.com/clcyoojiin/status/1441087430409347073</v>
      </c>
      <c r="AA955" s="81"/>
      <c r="AB955" s="81"/>
      <c r="AC955" s="87" t="s">
        <v>3308</v>
      </c>
      <c r="AD955" s="87" t="s">
        <v>3772</v>
      </c>
      <c r="AE955" s="81" t="b">
        <v>0</v>
      </c>
      <c r="AF955" s="81">
        <v>0</v>
      </c>
      <c r="AG955" s="87" t="s">
        <v>3992</v>
      </c>
      <c r="AH955" s="81" t="b">
        <v>0</v>
      </c>
      <c r="AI955" s="81" t="s">
        <v>4092</v>
      </c>
      <c r="AJ955" s="81"/>
      <c r="AK955" s="87" t="s">
        <v>3875</v>
      </c>
      <c r="AL955" s="81" t="b">
        <v>0</v>
      </c>
      <c r="AM955" s="81">
        <v>0</v>
      </c>
      <c r="AN955" s="87" t="s">
        <v>3875</v>
      </c>
      <c r="AO955" s="87" t="s">
        <v>4109</v>
      </c>
      <c r="AP955" s="81" t="b">
        <v>0</v>
      </c>
      <c r="AQ955" s="87" t="s">
        <v>3772</v>
      </c>
      <c r="AR955" s="81" t="s">
        <v>179</v>
      </c>
      <c r="AS955" s="81">
        <v>0</v>
      </c>
      <c r="AT955" s="81">
        <v>0</v>
      </c>
      <c r="AU955" s="81"/>
      <c r="AV955" s="81"/>
      <c r="AW955" s="81"/>
      <c r="AX955" s="81"/>
      <c r="AY955" s="81"/>
      <c r="AZ955" s="81"/>
      <c r="BA955" s="81"/>
      <c r="BB955" s="81"/>
    </row>
    <row r="956" spans="1:54" x14ac:dyDescent="0.35">
      <c r="A956" s="66" t="s">
        <v>769</v>
      </c>
      <c r="B956" s="66" t="s">
        <v>769</v>
      </c>
      <c r="C956" s="67"/>
      <c r="D956" s="68"/>
      <c r="E956" s="69"/>
      <c r="F956" s="70"/>
      <c r="G956" s="67"/>
      <c r="H956" s="71"/>
      <c r="I956" s="72"/>
      <c r="J956" s="72"/>
      <c r="K956" s="36"/>
      <c r="L956" s="79"/>
      <c r="M956" s="79"/>
      <c r="N956" s="74"/>
      <c r="O956" s="81" t="s">
        <v>179</v>
      </c>
      <c r="P956" s="83">
        <v>44462.901388888888</v>
      </c>
      <c r="Q956" s="81" t="s">
        <v>1459</v>
      </c>
      <c r="R956" s="81"/>
      <c r="S956" s="81"/>
      <c r="T956" s="81"/>
      <c r="U956" s="81"/>
      <c r="V956" s="85" t="str">
        <f>HYPERLINK("https://pbs.twimg.com/profile_images/1377329036452458496/MMiQiEWJ_normal.jpg")</f>
        <v>https://pbs.twimg.com/profile_images/1377329036452458496/MMiQiEWJ_normal.jpg</v>
      </c>
      <c r="W956" s="83">
        <v>44462.901388888888</v>
      </c>
      <c r="X956" s="89">
        <v>44462</v>
      </c>
      <c r="Y956" s="87" t="s">
        <v>2383</v>
      </c>
      <c r="Z956" s="85" t="str">
        <f>HYPERLINK("https://twitter.com/vacantspice/status/1441154911157194755")</f>
        <v>https://twitter.com/vacantspice/status/1441154911157194755</v>
      </c>
      <c r="AA956" s="81"/>
      <c r="AB956" s="81"/>
      <c r="AC956" s="87" t="s">
        <v>3309</v>
      </c>
      <c r="AD956" s="81"/>
      <c r="AE956" s="81" t="b">
        <v>0</v>
      </c>
      <c r="AF956" s="81">
        <v>0</v>
      </c>
      <c r="AG956" s="87" t="s">
        <v>3875</v>
      </c>
      <c r="AH956" s="81" t="b">
        <v>0</v>
      </c>
      <c r="AI956" s="81" t="s">
        <v>4092</v>
      </c>
      <c r="AJ956" s="81"/>
      <c r="AK956" s="87" t="s">
        <v>3875</v>
      </c>
      <c r="AL956" s="81" t="b">
        <v>0</v>
      </c>
      <c r="AM956" s="81">
        <v>0</v>
      </c>
      <c r="AN956" s="87" t="s">
        <v>3875</v>
      </c>
      <c r="AO956" s="87" t="s">
        <v>4109</v>
      </c>
      <c r="AP956" s="81" t="b">
        <v>0</v>
      </c>
      <c r="AQ956" s="87" t="s">
        <v>3309</v>
      </c>
      <c r="AR956" s="81" t="s">
        <v>179</v>
      </c>
      <c r="AS956" s="81">
        <v>0</v>
      </c>
      <c r="AT956" s="81">
        <v>0</v>
      </c>
      <c r="AU956" s="81"/>
      <c r="AV956" s="81"/>
      <c r="AW956" s="81"/>
      <c r="AX956" s="81"/>
      <c r="AY956" s="81"/>
      <c r="AZ956" s="81"/>
      <c r="BA956" s="81"/>
      <c r="BB956" s="81"/>
    </row>
    <row r="957" spans="1:54" x14ac:dyDescent="0.35">
      <c r="A957" s="66" t="s">
        <v>770</v>
      </c>
      <c r="B957" s="66" t="s">
        <v>1119</v>
      </c>
      <c r="C957" s="67"/>
      <c r="D957" s="68"/>
      <c r="E957" s="69"/>
      <c r="F957" s="70"/>
      <c r="G957" s="67"/>
      <c r="H957" s="71"/>
      <c r="I957" s="72"/>
      <c r="J957" s="72"/>
      <c r="K957" s="36"/>
      <c r="L957" s="79"/>
      <c r="M957" s="79"/>
      <c r="N957" s="74"/>
      <c r="O957" s="81" t="s">
        <v>1208</v>
      </c>
      <c r="P957" s="83">
        <v>44462.934791666667</v>
      </c>
      <c r="Q957" s="81" t="s">
        <v>1460</v>
      </c>
      <c r="R957" s="81"/>
      <c r="S957" s="81"/>
      <c r="T957" s="81"/>
      <c r="U957" s="81"/>
      <c r="V957" s="85" t="str">
        <f>HYPERLINK("https://pbs.twimg.com/profile_images/1174978753887272960/RJfxneDh_normal.jpg")</f>
        <v>https://pbs.twimg.com/profile_images/1174978753887272960/RJfxneDh_normal.jpg</v>
      </c>
      <c r="W957" s="83">
        <v>44462.934791666667</v>
      </c>
      <c r="X957" s="89">
        <v>44462</v>
      </c>
      <c r="Y957" s="87" t="s">
        <v>2384</v>
      </c>
      <c r="Z957" s="85" t="str">
        <f>HYPERLINK("https://twitter.com/donita_xena/status/1441167014987370496")</f>
        <v>https://twitter.com/donita_xena/status/1441167014987370496</v>
      </c>
      <c r="AA957" s="81"/>
      <c r="AB957" s="81"/>
      <c r="AC957" s="87" t="s">
        <v>3310</v>
      </c>
      <c r="AD957" s="87" t="s">
        <v>3773</v>
      </c>
      <c r="AE957" s="81" t="b">
        <v>0</v>
      </c>
      <c r="AF957" s="81">
        <v>0</v>
      </c>
      <c r="AG957" s="87" t="s">
        <v>3993</v>
      </c>
      <c r="AH957" s="81" t="b">
        <v>0</v>
      </c>
      <c r="AI957" s="81" t="s">
        <v>4092</v>
      </c>
      <c r="AJ957" s="81"/>
      <c r="AK957" s="87" t="s">
        <v>3875</v>
      </c>
      <c r="AL957" s="81" t="b">
        <v>0</v>
      </c>
      <c r="AM957" s="81">
        <v>0</v>
      </c>
      <c r="AN957" s="87" t="s">
        <v>3875</v>
      </c>
      <c r="AO957" s="87" t="s">
        <v>4109</v>
      </c>
      <c r="AP957" s="81" t="b">
        <v>0</v>
      </c>
      <c r="AQ957" s="87" t="s">
        <v>3773</v>
      </c>
      <c r="AR957" s="81" t="s">
        <v>179</v>
      </c>
      <c r="AS957" s="81">
        <v>0</v>
      </c>
      <c r="AT957" s="81">
        <v>0</v>
      </c>
      <c r="AU957" s="81"/>
      <c r="AV957" s="81"/>
      <c r="AW957" s="81"/>
      <c r="AX957" s="81"/>
      <c r="AY957" s="81"/>
      <c r="AZ957" s="81"/>
      <c r="BA957" s="81"/>
      <c r="BB957" s="81"/>
    </row>
    <row r="958" spans="1:54" x14ac:dyDescent="0.35">
      <c r="A958" s="66" t="s">
        <v>771</v>
      </c>
      <c r="B958" s="66" t="s">
        <v>1120</v>
      </c>
      <c r="C958" s="67"/>
      <c r="D958" s="68"/>
      <c r="E958" s="69"/>
      <c r="F958" s="70"/>
      <c r="G958" s="67"/>
      <c r="H958" s="71"/>
      <c r="I958" s="72"/>
      <c r="J958" s="72"/>
      <c r="K958" s="36"/>
      <c r="L958" s="79"/>
      <c r="M958" s="79"/>
      <c r="N958" s="74"/>
      <c r="O958" s="81" t="s">
        <v>1208</v>
      </c>
      <c r="P958" s="83">
        <v>44463.035300925927</v>
      </c>
      <c r="Q958" s="81" t="s">
        <v>1461</v>
      </c>
      <c r="R958" s="81"/>
      <c r="S958" s="81"/>
      <c r="T958" s="81"/>
      <c r="U958" s="81"/>
      <c r="V958" s="85" t="str">
        <f>HYPERLINK("https://pbs.twimg.com/profile_images/1441780228473249795/lFfsDD-Z_normal.jpg")</f>
        <v>https://pbs.twimg.com/profile_images/1441780228473249795/lFfsDD-Z_normal.jpg</v>
      </c>
      <c r="W958" s="83">
        <v>44463.035300925927</v>
      </c>
      <c r="X958" s="89">
        <v>44463</v>
      </c>
      <c r="Y958" s="87" t="s">
        <v>2385</v>
      </c>
      <c r="Z958" s="85" t="str">
        <f>HYPERLINK("https://twitter.com/savaalesha/status/1441203437740257282")</f>
        <v>https://twitter.com/savaalesha/status/1441203437740257282</v>
      </c>
      <c r="AA958" s="81"/>
      <c r="AB958" s="81"/>
      <c r="AC958" s="87" t="s">
        <v>3311</v>
      </c>
      <c r="AD958" s="87" t="s">
        <v>3774</v>
      </c>
      <c r="AE958" s="81" t="b">
        <v>0</v>
      </c>
      <c r="AF958" s="81">
        <v>0</v>
      </c>
      <c r="AG958" s="87" t="s">
        <v>3994</v>
      </c>
      <c r="AH958" s="81" t="b">
        <v>0</v>
      </c>
      <c r="AI958" s="81" t="s">
        <v>4092</v>
      </c>
      <c r="AJ958" s="81"/>
      <c r="AK958" s="87" t="s">
        <v>3875</v>
      </c>
      <c r="AL958" s="81" t="b">
        <v>0</v>
      </c>
      <c r="AM958" s="81">
        <v>0</v>
      </c>
      <c r="AN958" s="87" t="s">
        <v>3875</v>
      </c>
      <c r="AO958" s="87" t="s">
        <v>4109</v>
      </c>
      <c r="AP958" s="81" t="b">
        <v>0</v>
      </c>
      <c r="AQ958" s="87" t="s">
        <v>3774</v>
      </c>
      <c r="AR958" s="81" t="s">
        <v>179</v>
      </c>
      <c r="AS958" s="81">
        <v>0</v>
      </c>
      <c r="AT958" s="81">
        <v>0</v>
      </c>
      <c r="AU958" s="81"/>
      <c r="AV958" s="81"/>
      <c r="AW958" s="81"/>
      <c r="AX958" s="81"/>
      <c r="AY958" s="81"/>
      <c r="AZ958" s="81"/>
      <c r="BA958" s="81"/>
      <c r="BB958" s="81"/>
    </row>
    <row r="959" spans="1:54" x14ac:dyDescent="0.35">
      <c r="A959" s="66" t="s">
        <v>772</v>
      </c>
      <c r="B959" s="66" t="s">
        <v>772</v>
      </c>
      <c r="C959" s="67"/>
      <c r="D959" s="68"/>
      <c r="E959" s="69"/>
      <c r="F959" s="70"/>
      <c r="G959" s="67"/>
      <c r="H959" s="71"/>
      <c r="I959" s="72"/>
      <c r="J959" s="72"/>
      <c r="K959" s="36"/>
      <c r="L959" s="79"/>
      <c r="M959" s="79"/>
      <c r="N959" s="74"/>
      <c r="O959" s="81" t="s">
        <v>179</v>
      </c>
      <c r="P959" s="83">
        <v>44463.085335648146</v>
      </c>
      <c r="Q959" s="81" t="s">
        <v>1462</v>
      </c>
      <c r="R959" s="81"/>
      <c r="S959" s="81"/>
      <c r="T959" s="81"/>
      <c r="U959" s="81"/>
      <c r="V959" s="85" t="str">
        <f>HYPERLINK("https://pbs.twimg.com/profile_images/1237603396497993730/qxEdmAue_normal.jpg")</f>
        <v>https://pbs.twimg.com/profile_images/1237603396497993730/qxEdmAue_normal.jpg</v>
      </c>
      <c r="W959" s="83">
        <v>44463.085335648146</v>
      </c>
      <c r="X959" s="89">
        <v>44463</v>
      </c>
      <c r="Y959" s="87" t="s">
        <v>2386</v>
      </c>
      <c r="Z959" s="85" t="str">
        <f>HYPERLINK("https://twitter.com/unsfess_/status/1441221571071209480")</f>
        <v>https://twitter.com/unsfess_/status/1441221571071209480</v>
      </c>
      <c r="AA959" s="81"/>
      <c r="AB959" s="81"/>
      <c r="AC959" s="87" t="s">
        <v>3312</v>
      </c>
      <c r="AD959" s="81"/>
      <c r="AE959" s="81" t="b">
        <v>0</v>
      </c>
      <c r="AF959" s="81">
        <v>1</v>
      </c>
      <c r="AG959" s="87" t="s">
        <v>3875</v>
      </c>
      <c r="AH959" s="81" t="b">
        <v>0</v>
      </c>
      <c r="AI959" s="81" t="s">
        <v>4092</v>
      </c>
      <c r="AJ959" s="81"/>
      <c r="AK959" s="87" t="s">
        <v>3875</v>
      </c>
      <c r="AL959" s="81" t="b">
        <v>0</v>
      </c>
      <c r="AM959" s="81">
        <v>0</v>
      </c>
      <c r="AN959" s="87" t="s">
        <v>3875</v>
      </c>
      <c r="AO959" s="87" t="s">
        <v>4128</v>
      </c>
      <c r="AP959" s="81" t="b">
        <v>0</v>
      </c>
      <c r="AQ959" s="87" t="s">
        <v>3312</v>
      </c>
      <c r="AR959" s="81" t="s">
        <v>179</v>
      </c>
      <c r="AS959" s="81">
        <v>0</v>
      </c>
      <c r="AT959" s="81">
        <v>0</v>
      </c>
      <c r="AU959" s="81"/>
      <c r="AV959" s="81"/>
      <c r="AW959" s="81"/>
      <c r="AX959" s="81"/>
      <c r="AY959" s="81"/>
      <c r="AZ959" s="81"/>
      <c r="BA959" s="81"/>
      <c r="BB959" s="81"/>
    </row>
    <row r="960" spans="1:54" x14ac:dyDescent="0.35">
      <c r="A960" s="66" t="s">
        <v>773</v>
      </c>
      <c r="B960" s="66" t="s">
        <v>1121</v>
      </c>
      <c r="C960" s="67"/>
      <c r="D960" s="68"/>
      <c r="E960" s="69"/>
      <c r="F960" s="70"/>
      <c r="G960" s="67"/>
      <c r="H960" s="71"/>
      <c r="I960" s="72"/>
      <c r="J960" s="72"/>
      <c r="K960" s="36"/>
      <c r="L960" s="79"/>
      <c r="M960" s="79"/>
      <c r="N960" s="74"/>
      <c r="O960" s="81" t="s">
        <v>1208</v>
      </c>
      <c r="P960" s="83">
        <v>44463.115486111114</v>
      </c>
      <c r="Q960" s="81" t="s">
        <v>1463</v>
      </c>
      <c r="R960" s="81"/>
      <c r="S960" s="81"/>
      <c r="T960" s="81"/>
      <c r="U960" s="81"/>
      <c r="V960" s="85" t="str">
        <f>HYPERLINK("https://pbs.twimg.com/profile_images/1280089413112918016/bJzp5Akl_normal.jpg")</f>
        <v>https://pbs.twimg.com/profile_images/1280089413112918016/bJzp5Akl_normal.jpg</v>
      </c>
      <c r="W960" s="83">
        <v>44463.115486111114</v>
      </c>
      <c r="X960" s="89">
        <v>44463</v>
      </c>
      <c r="Y960" s="87" t="s">
        <v>2387</v>
      </c>
      <c r="Z960" s="85" t="str">
        <f>HYPERLINK("https://twitter.com/ardhiantopan/status/1441232495240908807")</f>
        <v>https://twitter.com/ardhiantopan/status/1441232495240908807</v>
      </c>
      <c r="AA960" s="81"/>
      <c r="AB960" s="81"/>
      <c r="AC960" s="87" t="s">
        <v>3313</v>
      </c>
      <c r="AD960" s="87" t="s">
        <v>3775</v>
      </c>
      <c r="AE960" s="81" t="b">
        <v>0</v>
      </c>
      <c r="AF960" s="81">
        <v>0</v>
      </c>
      <c r="AG960" s="87" t="s">
        <v>3995</v>
      </c>
      <c r="AH960" s="81" t="b">
        <v>0</v>
      </c>
      <c r="AI960" s="81" t="s">
        <v>4092</v>
      </c>
      <c r="AJ960" s="81"/>
      <c r="AK960" s="87" t="s">
        <v>3875</v>
      </c>
      <c r="AL960" s="81" t="b">
        <v>0</v>
      </c>
      <c r="AM960" s="81">
        <v>0</v>
      </c>
      <c r="AN960" s="87" t="s">
        <v>3875</v>
      </c>
      <c r="AO960" s="87" t="s">
        <v>4109</v>
      </c>
      <c r="AP960" s="81" t="b">
        <v>0</v>
      </c>
      <c r="AQ960" s="87" t="s">
        <v>3775</v>
      </c>
      <c r="AR960" s="81" t="s">
        <v>179</v>
      </c>
      <c r="AS960" s="81">
        <v>0</v>
      </c>
      <c r="AT960" s="81">
        <v>0</v>
      </c>
      <c r="AU960" s="81"/>
      <c r="AV960" s="81"/>
      <c r="AW960" s="81"/>
      <c r="AX960" s="81"/>
      <c r="AY960" s="81"/>
      <c r="AZ960" s="81"/>
      <c r="BA960" s="81"/>
      <c r="BB960" s="81"/>
    </row>
    <row r="961" spans="1:54" x14ac:dyDescent="0.35">
      <c r="A961" s="66" t="s">
        <v>774</v>
      </c>
      <c r="B961" s="66" t="s">
        <v>1121</v>
      </c>
      <c r="C961" s="67"/>
      <c r="D961" s="68"/>
      <c r="E961" s="69"/>
      <c r="F961" s="70"/>
      <c r="G961" s="67"/>
      <c r="H961" s="71"/>
      <c r="I961" s="72"/>
      <c r="J961" s="72"/>
      <c r="K961" s="36"/>
      <c r="L961" s="79"/>
      <c r="M961" s="79"/>
      <c r="N961" s="74"/>
      <c r="O961" s="81" t="s">
        <v>1208</v>
      </c>
      <c r="P961" s="83">
        <v>44463.115659722222</v>
      </c>
      <c r="Q961" s="81" t="s">
        <v>1464</v>
      </c>
      <c r="R961" s="81"/>
      <c r="S961" s="81"/>
      <c r="T961" s="81"/>
      <c r="U961" s="81"/>
      <c r="V961" s="85" t="str">
        <f>HYPERLINK("https://pbs.twimg.com/profile_images/1439121524447858688/PuMPorp-_normal.jpg")</f>
        <v>https://pbs.twimg.com/profile_images/1439121524447858688/PuMPorp-_normal.jpg</v>
      </c>
      <c r="W961" s="83">
        <v>44463.115659722222</v>
      </c>
      <c r="X961" s="89">
        <v>44463</v>
      </c>
      <c r="Y961" s="87" t="s">
        <v>2388</v>
      </c>
      <c r="Z961" s="85" t="str">
        <f>HYPERLINK("https://twitter.com/zalorjal/status/1441232560135176194")</f>
        <v>https://twitter.com/zalorjal/status/1441232560135176194</v>
      </c>
      <c r="AA961" s="81"/>
      <c r="AB961" s="81"/>
      <c r="AC961" s="87" t="s">
        <v>3314</v>
      </c>
      <c r="AD961" s="87" t="s">
        <v>3775</v>
      </c>
      <c r="AE961" s="81" t="b">
        <v>0</v>
      </c>
      <c r="AF961" s="81">
        <v>1</v>
      </c>
      <c r="AG961" s="87" t="s">
        <v>3995</v>
      </c>
      <c r="AH961" s="81" t="b">
        <v>0</v>
      </c>
      <c r="AI961" s="81" t="s">
        <v>4092</v>
      </c>
      <c r="AJ961" s="81"/>
      <c r="AK961" s="87" t="s">
        <v>3875</v>
      </c>
      <c r="AL961" s="81" t="b">
        <v>0</v>
      </c>
      <c r="AM961" s="81">
        <v>0</v>
      </c>
      <c r="AN961" s="87" t="s">
        <v>3875</v>
      </c>
      <c r="AO961" s="87" t="s">
        <v>4109</v>
      </c>
      <c r="AP961" s="81" t="b">
        <v>0</v>
      </c>
      <c r="AQ961" s="87" t="s">
        <v>3775</v>
      </c>
      <c r="AR961" s="81" t="s">
        <v>179</v>
      </c>
      <c r="AS961" s="81">
        <v>0</v>
      </c>
      <c r="AT961" s="81">
        <v>0</v>
      </c>
      <c r="AU961" s="81"/>
      <c r="AV961" s="81"/>
      <c r="AW961" s="81"/>
      <c r="AX961" s="81"/>
      <c r="AY961" s="81"/>
      <c r="AZ961" s="81"/>
      <c r="BA961" s="81"/>
      <c r="BB961" s="81"/>
    </row>
    <row r="962" spans="1:54" x14ac:dyDescent="0.35">
      <c r="A962" s="66" t="s">
        <v>775</v>
      </c>
      <c r="B962" s="66" t="s">
        <v>1121</v>
      </c>
      <c r="C962" s="67"/>
      <c r="D962" s="68"/>
      <c r="E962" s="69"/>
      <c r="F962" s="70"/>
      <c r="G962" s="67"/>
      <c r="H962" s="71"/>
      <c r="I962" s="72"/>
      <c r="J962" s="72"/>
      <c r="K962" s="36"/>
      <c r="L962" s="79"/>
      <c r="M962" s="79"/>
      <c r="N962" s="74"/>
      <c r="O962" s="81" t="s">
        <v>1208</v>
      </c>
      <c r="P962" s="83">
        <v>44463.116018518522</v>
      </c>
      <c r="Q962" s="81" t="s">
        <v>1465</v>
      </c>
      <c r="R962" s="81"/>
      <c r="S962" s="81"/>
      <c r="T962" s="81"/>
      <c r="U962" s="81"/>
      <c r="V962" s="85" t="str">
        <f>HYPERLINK("https://pbs.twimg.com/profile_images/1434855294920658947/yENsY-yt_normal.jpg")</f>
        <v>https://pbs.twimg.com/profile_images/1434855294920658947/yENsY-yt_normal.jpg</v>
      </c>
      <c r="W962" s="83">
        <v>44463.116018518522</v>
      </c>
      <c r="X962" s="89">
        <v>44463</v>
      </c>
      <c r="Y962" s="87" t="s">
        <v>2389</v>
      </c>
      <c r="Z962" s="85" t="str">
        <f>HYPERLINK("https://twitter.com/spwidii/status/1441232689135173635")</f>
        <v>https://twitter.com/spwidii/status/1441232689135173635</v>
      </c>
      <c r="AA962" s="81"/>
      <c r="AB962" s="81"/>
      <c r="AC962" s="87" t="s">
        <v>3315</v>
      </c>
      <c r="AD962" s="87" t="s">
        <v>3775</v>
      </c>
      <c r="AE962" s="81" t="b">
        <v>0</v>
      </c>
      <c r="AF962" s="81">
        <v>0</v>
      </c>
      <c r="AG962" s="87" t="s">
        <v>3995</v>
      </c>
      <c r="AH962" s="81" t="b">
        <v>0</v>
      </c>
      <c r="AI962" s="81" t="s">
        <v>4092</v>
      </c>
      <c r="AJ962" s="81"/>
      <c r="AK962" s="87" t="s">
        <v>3875</v>
      </c>
      <c r="AL962" s="81" t="b">
        <v>0</v>
      </c>
      <c r="AM962" s="81">
        <v>0</v>
      </c>
      <c r="AN962" s="87" t="s">
        <v>3875</v>
      </c>
      <c r="AO962" s="87" t="s">
        <v>4109</v>
      </c>
      <c r="AP962" s="81" t="b">
        <v>0</v>
      </c>
      <c r="AQ962" s="87" t="s">
        <v>3775</v>
      </c>
      <c r="AR962" s="81" t="s">
        <v>179</v>
      </c>
      <c r="AS962" s="81">
        <v>0</v>
      </c>
      <c r="AT962" s="81">
        <v>0</v>
      </c>
      <c r="AU962" s="81"/>
      <c r="AV962" s="81"/>
      <c r="AW962" s="81"/>
      <c r="AX962" s="81"/>
      <c r="AY962" s="81"/>
      <c r="AZ962" s="81"/>
      <c r="BA962" s="81"/>
      <c r="BB962" s="81"/>
    </row>
    <row r="963" spans="1:54" x14ac:dyDescent="0.35">
      <c r="A963" s="66" t="s">
        <v>776</v>
      </c>
      <c r="B963" s="66" t="s">
        <v>1121</v>
      </c>
      <c r="C963" s="67"/>
      <c r="D963" s="68"/>
      <c r="E963" s="69"/>
      <c r="F963" s="70"/>
      <c r="G963" s="67"/>
      <c r="H963" s="71"/>
      <c r="I963" s="72"/>
      <c r="J963" s="72"/>
      <c r="K963" s="36"/>
      <c r="L963" s="79"/>
      <c r="M963" s="79"/>
      <c r="N963" s="74"/>
      <c r="O963" s="81" t="s">
        <v>1208</v>
      </c>
      <c r="P963" s="83">
        <v>44463.121076388888</v>
      </c>
      <c r="Q963" s="81" t="s">
        <v>1466</v>
      </c>
      <c r="R963" s="81"/>
      <c r="S963" s="81"/>
      <c r="T963" s="81"/>
      <c r="U963" s="81"/>
      <c r="V963" s="85" t="str">
        <f>HYPERLINK("https://pbs.twimg.com/profile_images/1420975422670475265/Ty2J9DJk_normal.jpg")</f>
        <v>https://pbs.twimg.com/profile_images/1420975422670475265/Ty2J9DJk_normal.jpg</v>
      </c>
      <c r="W963" s="83">
        <v>44463.121076388888</v>
      </c>
      <c r="X963" s="89">
        <v>44463</v>
      </c>
      <c r="Y963" s="87" t="s">
        <v>2390</v>
      </c>
      <c r="Z963" s="85" t="str">
        <f>HYPERLINK("https://twitter.com/ftsprm/status/1441234522704519169")</f>
        <v>https://twitter.com/ftsprm/status/1441234522704519169</v>
      </c>
      <c r="AA963" s="81"/>
      <c r="AB963" s="81"/>
      <c r="AC963" s="87" t="s">
        <v>3316</v>
      </c>
      <c r="AD963" s="87" t="s">
        <v>3775</v>
      </c>
      <c r="AE963" s="81" t="b">
        <v>0</v>
      </c>
      <c r="AF963" s="81">
        <v>0</v>
      </c>
      <c r="AG963" s="87" t="s">
        <v>3995</v>
      </c>
      <c r="AH963" s="81" t="b">
        <v>0</v>
      </c>
      <c r="AI963" s="81" t="s">
        <v>4092</v>
      </c>
      <c r="AJ963" s="81"/>
      <c r="AK963" s="87" t="s">
        <v>3875</v>
      </c>
      <c r="AL963" s="81" t="b">
        <v>0</v>
      </c>
      <c r="AM963" s="81">
        <v>0</v>
      </c>
      <c r="AN963" s="87" t="s">
        <v>3875</v>
      </c>
      <c r="AO963" s="87" t="s">
        <v>4109</v>
      </c>
      <c r="AP963" s="81" t="b">
        <v>0</v>
      </c>
      <c r="AQ963" s="87" t="s">
        <v>3775</v>
      </c>
      <c r="AR963" s="81" t="s">
        <v>179</v>
      </c>
      <c r="AS963" s="81">
        <v>0</v>
      </c>
      <c r="AT963" s="81">
        <v>0</v>
      </c>
      <c r="AU963" s="81"/>
      <c r="AV963" s="81"/>
      <c r="AW963" s="81"/>
      <c r="AX963" s="81"/>
      <c r="AY963" s="81"/>
      <c r="AZ963" s="81"/>
      <c r="BA963" s="81"/>
      <c r="BB963" s="81"/>
    </row>
    <row r="964" spans="1:54" x14ac:dyDescent="0.35">
      <c r="A964" s="66" t="s">
        <v>777</v>
      </c>
      <c r="B964" s="66" t="s">
        <v>1122</v>
      </c>
      <c r="C964" s="67"/>
      <c r="D964" s="68"/>
      <c r="E964" s="69"/>
      <c r="F964" s="70"/>
      <c r="G964" s="67"/>
      <c r="H964" s="71"/>
      <c r="I964" s="72"/>
      <c r="J964" s="72"/>
      <c r="K964" s="36"/>
      <c r="L964" s="79"/>
      <c r="M964" s="79"/>
      <c r="N964" s="74"/>
      <c r="O964" s="81" t="s">
        <v>1206</v>
      </c>
      <c r="P964" s="83">
        <v>44463.147361111114</v>
      </c>
      <c r="Q964" s="81" t="s">
        <v>1467</v>
      </c>
      <c r="R964" s="81"/>
      <c r="S964" s="81"/>
      <c r="T964" s="81"/>
      <c r="U964" s="85" t="str">
        <f>HYPERLINK("https://pbs.twimg.com/media/FABTza1VQAQU9Np.jpg")</f>
        <v>https://pbs.twimg.com/media/FABTza1VQAQU9Np.jpg</v>
      </c>
      <c r="V964" s="85" t="str">
        <f>HYPERLINK("https://pbs.twimg.com/media/FABTza1VQAQU9Np.jpg")</f>
        <v>https://pbs.twimg.com/media/FABTza1VQAQU9Np.jpg</v>
      </c>
      <c r="W964" s="83">
        <v>44463.147361111114</v>
      </c>
      <c r="X964" s="89">
        <v>44463</v>
      </c>
      <c r="Y964" s="87" t="s">
        <v>2391</v>
      </c>
      <c r="Z964" s="85" t="str">
        <f>HYPERLINK("https://twitter.com/ariemega/status/1441244047067152395")</f>
        <v>https://twitter.com/ariemega/status/1441244047067152395</v>
      </c>
      <c r="AA964" s="81"/>
      <c r="AB964" s="81"/>
      <c r="AC964" s="87" t="s">
        <v>3317</v>
      </c>
      <c r="AD964" s="87" t="s">
        <v>3776</v>
      </c>
      <c r="AE964" s="81" t="b">
        <v>0</v>
      </c>
      <c r="AF964" s="81">
        <v>0</v>
      </c>
      <c r="AG964" s="87" t="s">
        <v>3996</v>
      </c>
      <c r="AH964" s="81" t="b">
        <v>0</v>
      </c>
      <c r="AI964" s="81" t="s">
        <v>4092</v>
      </c>
      <c r="AJ964" s="81"/>
      <c r="AK964" s="87" t="s">
        <v>3875</v>
      </c>
      <c r="AL964" s="81" t="b">
        <v>0</v>
      </c>
      <c r="AM964" s="81">
        <v>0</v>
      </c>
      <c r="AN964" s="87" t="s">
        <v>3875</v>
      </c>
      <c r="AO964" s="87" t="s">
        <v>4111</v>
      </c>
      <c r="AP964" s="81" t="b">
        <v>0</v>
      </c>
      <c r="AQ964" s="87" t="s">
        <v>3776</v>
      </c>
      <c r="AR964" s="81" t="s">
        <v>179</v>
      </c>
      <c r="AS964" s="81">
        <v>0</v>
      </c>
      <c r="AT964" s="81">
        <v>0</v>
      </c>
      <c r="AU964" s="81"/>
      <c r="AV964" s="81"/>
      <c r="AW964" s="81"/>
      <c r="AX964" s="81"/>
      <c r="AY964" s="81"/>
      <c r="AZ964" s="81"/>
      <c r="BA964" s="81"/>
      <c r="BB964" s="81"/>
    </row>
    <row r="965" spans="1:54" x14ac:dyDescent="0.35">
      <c r="A965" s="66" t="s">
        <v>777</v>
      </c>
      <c r="B965" s="66" t="s">
        <v>1123</v>
      </c>
      <c r="C965" s="67"/>
      <c r="D965" s="68"/>
      <c r="E965" s="69"/>
      <c r="F965" s="70"/>
      <c r="G965" s="67"/>
      <c r="H965" s="71"/>
      <c r="I965" s="72"/>
      <c r="J965" s="72"/>
      <c r="K965" s="36"/>
      <c r="L965" s="79"/>
      <c r="M965" s="79"/>
      <c r="N965" s="74"/>
      <c r="O965" s="81" t="s">
        <v>1208</v>
      </c>
      <c r="P965" s="83">
        <v>44463.147361111114</v>
      </c>
      <c r="Q965" s="81" t="s">
        <v>1467</v>
      </c>
      <c r="R965" s="81"/>
      <c r="S965" s="81"/>
      <c r="T965" s="81"/>
      <c r="U965" s="85" t="str">
        <f>HYPERLINK("https://pbs.twimg.com/media/FABTza1VQAQU9Np.jpg")</f>
        <v>https://pbs.twimg.com/media/FABTza1VQAQU9Np.jpg</v>
      </c>
      <c r="V965" s="85" t="str">
        <f>HYPERLINK("https://pbs.twimg.com/media/FABTza1VQAQU9Np.jpg")</f>
        <v>https://pbs.twimg.com/media/FABTza1VQAQU9Np.jpg</v>
      </c>
      <c r="W965" s="83">
        <v>44463.147361111114</v>
      </c>
      <c r="X965" s="89">
        <v>44463</v>
      </c>
      <c r="Y965" s="87" t="s">
        <v>2391</v>
      </c>
      <c r="Z965" s="85" t="str">
        <f>HYPERLINK("https://twitter.com/ariemega/status/1441244047067152395")</f>
        <v>https://twitter.com/ariemega/status/1441244047067152395</v>
      </c>
      <c r="AA965" s="81"/>
      <c r="AB965" s="81"/>
      <c r="AC965" s="87" t="s">
        <v>3317</v>
      </c>
      <c r="AD965" s="87" t="s">
        <v>3776</v>
      </c>
      <c r="AE965" s="81" t="b">
        <v>0</v>
      </c>
      <c r="AF965" s="81">
        <v>0</v>
      </c>
      <c r="AG965" s="87" t="s">
        <v>3996</v>
      </c>
      <c r="AH965" s="81" t="b">
        <v>0</v>
      </c>
      <c r="AI965" s="81" t="s">
        <v>4092</v>
      </c>
      <c r="AJ965" s="81"/>
      <c r="AK965" s="87" t="s">
        <v>3875</v>
      </c>
      <c r="AL965" s="81" t="b">
        <v>0</v>
      </c>
      <c r="AM965" s="81">
        <v>0</v>
      </c>
      <c r="AN965" s="87" t="s">
        <v>3875</v>
      </c>
      <c r="AO965" s="87" t="s">
        <v>4111</v>
      </c>
      <c r="AP965" s="81" t="b">
        <v>0</v>
      </c>
      <c r="AQ965" s="87" t="s">
        <v>3776</v>
      </c>
      <c r="AR965" s="81" t="s">
        <v>179</v>
      </c>
      <c r="AS965" s="81">
        <v>0</v>
      </c>
      <c r="AT965" s="81">
        <v>0</v>
      </c>
      <c r="AU965" s="81"/>
      <c r="AV965" s="81"/>
      <c r="AW965" s="81"/>
      <c r="AX965" s="81"/>
      <c r="AY965" s="81"/>
      <c r="AZ965" s="81"/>
      <c r="BA965" s="81"/>
      <c r="BB965" s="81"/>
    </row>
    <row r="966" spans="1:54" x14ac:dyDescent="0.35">
      <c r="A966" s="66" t="s">
        <v>778</v>
      </c>
      <c r="B966" s="66" t="s">
        <v>778</v>
      </c>
      <c r="C966" s="67"/>
      <c r="D966" s="68"/>
      <c r="E966" s="69"/>
      <c r="F966" s="70"/>
      <c r="G966" s="67"/>
      <c r="H966" s="71"/>
      <c r="I966" s="72"/>
      <c r="J966" s="72"/>
      <c r="K966" s="36"/>
      <c r="L966" s="79"/>
      <c r="M966" s="79"/>
      <c r="N966" s="74"/>
      <c r="O966" s="81" t="s">
        <v>179</v>
      </c>
      <c r="P966" s="83">
        <v>44463.156307870369</v>
      </c>
      <c r="Q966" s="81" t="s">
        <v>1468</v>
      </c>
      <c r="R966" s="81"/>
      <c r="S966" s="81"/>
      <c r="T966" s="81"/>
      <c r="U966" s="85" t="str">
        <f>HYPERLINK("https://pbs.twimg.com/media/FABWw1dVUAg4Nsu.jpg")</f>
        <v>https://pbs.twimg.com/media/FABWw1dVUAg4Nsu.jpg</v>
      </c>
      <c r="V966" s="85" t="str">
        <f>HYPERLINK("https://pbs.twimg.com/media/FABWw1dVUAg4Nsu.jpg")</f>
        <v>https://pbs.twimg.com/media/FABWw1dVUAg4Nsu.jpg</v>
      </c>
      <c r="W966" s="83">
        <v>44463.156307870369</v>
      </c>
      <c r="X966" s="89">
        <v>44463</v>
      </c>
      <c r="Y966" s="87" t="s">
        <v>2392</v>
      </c>
      <c r="Z966" s="85" t="str">
        <f>HYPERLINK("https://twitter.com/karinaartie/status/1441247289847140362")</f>
        <v>https://twitter.com/karinaartie/status/1441247289847140362</v>
      </c>
      <c r="AA966" s="81"/>
      <c r="AB966" s="81"/>
      <c r="AC966" s="87" t="s">
        <v>3318</v>
      </c>
      <c r="AD966" s="87" t="s">
        <v>3777</v>
      </c>
      <c r="AE966" s="81" t="b">
        <v>0</v>
      </c>
      <c r="AF966" s="81">
        <v>0</v>
      </c>
      <c r="AG966" s="87" t="s">
        <v>3997</v>
      </c>
      <c r="AH966" s="81" t="b">
        <v>0</v>
      </c>
      <c r="AI966" s="81" t="s">
        <v>4092</v>
      </c>
      <c r="AJ966" s="81"/>
      <c r="AK966" s="87" t="s">
        <v>3875</v>
      </c>
      <c r="AL966" s="81" t="b">
        <v>0</v>
      </c>
      <c r="AM966" s="81">
        <v>0</v>
      </c>
      <c r="AN966" s="87" t="s">
        <v>3875</v>
      </c>
      <c r="AO966" s="87" t="s">
        <v>4109</v>
      </c>
      <c r="AP966" s="81" t="b">
        <v>0</v>
      </c>
      <c r="AQ966" s="87" t="s">
        <v>3777</v>
      </c>
      <c r="AR966" s="81" t="s">
        <v>179</v>
      </c>
      <c r="AS966" s="81">
        <v>0</v>
      </c>
      <c r="AT966" s="81">
        <v>0</v>
      </c>
      <c r="AU966" s="81" t="s">
        <v>4143</v>
      </c>
      <c r="AV966" s="81" t="s">
        <v>4145</v>
      </c>
      <c r="AW966" s="81" t="s">
        <v>12</v>
      </c>
      <c r="AX966" s="81" t="s">
        <v>4149</v>
      </c>
      <c r="AY966" s="81" t="s">
        <v>4154</v>
      </c>
      <c r="AZ966" s="81" t="s">
        <v>4159</v>
      </c>
      <c r="BA966" s="81" t="s">
        <v>4161</v>
      </c>
      <c r="BB966" s="85" t="str">
        <f>HYPERLINK("https://api.twitter.com/1.1/geo/id/25f5e9dbc1b635ac.json")</f>
        <v>https://api.twitter.com/1.1/geo/id/25f5e9dbc1b635ac.json</v>
      </c>
    </row>
    <row r="967" spans="1:54" x14ac:dyDescent="0.35">
      <c r="A967" s="66" t="s">
        <v>779</v>
      </c>
      <c r="B967" s="66" t="s">
        <v>779</v>
      </c>
      <c r="C967" s="67"/>
      <c r="D967" s="68"/>
      <c r="E967" s="69"/>
      <c r="F967" s="70"/>
      <c r="G967" s="67"/>
      <c r="H967" s="71"/>
      <c r="I967" s="72"/>
      <c r="J967" s="72"/>
      <c r="K967" s="36"/>
      <c r="L967" s="79"/>
      <c r="M967" s="79"/>
      <c r="N967" s="74"/>
      <c r="O967" s="81" t="s">
        <v>179</v>
      </c>
      <c r="P967" s="83">
        <v>44463.204097222224</v>
      </c>
      <c r="Q967" s="81" t="s">
        <v>1469</v>
      </c>
      <c r="R967" s="81"/>
      <c r="S967" s="81"/>
      <c r="T967" s="81"/>
      <c r="U967" s="81"/>
      <c r="V967" s="85" t="str">
        <f>HYPERLINK("https://pbs.twimg.com/profile_images/1439260906093830145/AVGDSZhq_normal.jpg")</f>
        <v>https://pbs.twimg.com/profile_images/1439260906093830145/AVGDSZhq_normal.jpg</v>
      </c>
      <c r="W967" s="83">
        <v>44463.204097222224</v>
      </c>
      <c r="X967" s="89">
        <v>44463</v>
      </c>
      <c r="Y967" s="87" t="s">
        <v>2393</v>
      </c>
      <c r="Z967" s="85" t="str">
        <f>HYPERLINK("https://twitter.com/mavieestnoire/status/1441264606555504643")</f>
        <v>https://twitter.com/mavieestnoire/status/1441264606555504643</v>
      </c>
      <c r="AA967" s="81"/>
      <c r="AB967" s="81"/>
      <c r="AC967" s="87" t="s">
        <v>3319</v>
      </c>
      <c r="AD967" s="81"/>
      <c r="AE967" s="81" t="b">
        <v>0</v>
      </c>
      <c r="AF967" s="81">
        <v>0</v>
      </c>
      <c r="AG967" s="87" t="s">
        <v>3875</v>
      </c>
      <c r="AH967" s="81" t="b">
        <v>0</v>
      </c>
      <c r="AI967" s="81" t="s">
        <v>4092</v>
      </c>
      <c r="AJ967" s="81"/>
      <c r="AK967" s="87" t="s">
        <v>3875</v>
      </c>
      <c r="AL967" s="81" t="b">
        <v>0</v>
      </c>
      <c r="AM967" s="81">
        <v>0</v>
      </c>
      <c r="AN967" s="87" t="s">
        <v>3875</v>
      </c>
      <c r="AO967" s="87" t="s">
        <v>4109</v>
      </c>
      <c r="AP967" s="81" t="b">
        <v>0</v>
      </c>
      <c r="AQ967" s="87" t="s">
        <v>3319</v>
      </c>
      <c r="AR967" s="81" t="s">
        <v>179</v>
      </c>
      <c r="AS967" s="81">
        <v>0</v>
      </c>
      <c r="AT967" s="81">
        <v>0</v>
      </c>
      <c r="AU967" s="81"/>
      <c r="AV967" s="81"/>
      <c r="AW967" s="81"/>
      <c r="AX967" s="81"/>
      <c r="AY967" s="81"/>
      <c r="AZ967" s="81"/>
      <c r="BA967" s="81"/>
      <c r="BB967" s="81"/>
    </row>
    <row r="968" spans="1:54" x14ac:dyDescent="0.35">
      <c r="A968" s="66" t="s">
        <v>780</v>
      </c>
      <c r="B968" s="66" t="s">
        <v>780</v>
      </c>
      <c r="C968" s="67"/>
      <c r="D968" s="68"/>
      <c r="E968" s="69"/>
      <c r="F968" s="70"/>
      <c r="G968" s="67"/>
      <c r="H968" s="71"/>
      <c r="I968" s="72"/>
      <c r="J968" s="72"/>
      <c r="K968" s="36"/>
      <c r="L968" s="79"/>
      <c r="M968" s="79"/>
      <c r="N968" s="74"/>
      <c r="O968" s="81" t="s">
        <v>179</v>
      </c>
      <c r="P968" s="83">
        <v>44463.204143518517</v>
      </c>
      <c r="Q968" s="81" t="s">
        <v>1470</v>
      </c>
      <c r="R968" s="81"/>
      <c r="S968" s="81"/>
      <c r="T968" s="81"/>
      <c r="U968" s="85" t="str">
        <f>HYPERLINK("https://pbs.twimg.com/media/FABmiThVcAUkjUU.jpg")</f>
        <v>https://pbs.twimg.com/media/FABmiThVcAUkjUU.jpg</v>
      </c>
      <c r="V968" s="85" t="str">
        <f>HYPERLINK("https://pbs.twimg.com/media/FABmiThVcAUkjUU.jpg")</f>
        <v>https://pbs.twimg.com/media/FABmiThVcAUkjUU.jpg</v>
      </c>
      <c r="W968" s="83">
        <v>44463.204143518517</v>
      </c>
      <c r="X968" s="89">
        <v>44463</v>
      </c>
      <c r="Y968" s="87" t="s">
        <v>2394</v>
      </c>
      <c r="Z968" s="85" t="str">
        <f>HYPERLINK("https://twitter.com/polsektinggi/status/1441264622850297865")</f>
        <v>https://twitter.com/polsektinggi/status/1441264622850297865</v>
      </c>
      <c r="AA968" s="81"/>
      <c r="AB968" s="81"/>
      <c r="AC968" s="87" t="s">
        <v>3320</v>
      </c>
      <c r="AD968" s="81"/>
      <c r="AE968" s="81" t="b">
        <v>0</v>
      </c>
      <c r="AF968" s="81">
        <v>0</v>
      </c>
      <c r="AG968" s="87" t="s">
        <v>3875</v>
      </c>
      <c r="AH968" s="81" t="b">
        <v>0</v>
      </c>
      <c r="AI968" s="81" t="s">
        <v>4092</v>
      </c>
      <c r="AJ968" s="81"/>
      <c r="AK968" s="87" t="s">
        <v>3875</v>
      </c>
      <c r="AL968" s="81" t="b">
        <v>0</v>
      </c>
      <c r="AM968" s="81">
        <v>0</v>
      </c>
      <c r="AN968" s="87" t="s">
        <v>3875</v>
      </c>
      <c r="AO968" s="87" t="s">
        <v>4109</v>
      </c>
      <c r="AP968" s="81" t="b">
        <v>0</v>
      </c>
      <c r="AQ968" s="87" t="s">
        <v>3320</v>
      </c>
      <c r="AR968" s="81" t="s">
        <v>179</v>
      </c>
      <c r="AS968" s="81">
        <v>0</v>
      </c>
      <c r="AT968" s="81">
        <v>0</v>
      </c>
      <c r="AU968" s="81"/>
      <c r="AV968" s="81"/>
      <c r="AW968" s="81"/>
      <c r="AX968" s="81"/>
      <c r="AY968" s="81"/>
      <c r="AZ968" s="81"/>
      <c r="BA968" s="81"/>
      <c r="BB968" s="81"/>
    </row>
    <row r="969" spans="1:54" x14ac:dyDescent="0.35">
      <c r="A969" s="66" t="s">
        <v>781</v>
      </c>
      <c r="B969" s="66" t="s">
        <v>1124</v>
      </c>
      <c r="C969" s="67"/>
      <c r="D969" s="68"/>
      <c r="E969" s="69"/>
      <c r="F969" s="70"/>
      <c r="G969" s="67"/>
      <c r="H969" s="71"/>
      <c r="I969" s="72"/>
      <c r="J969" s="72"/>
      <c r="K969" s="36"/>
      <c r="L969" s="79"/>
      <c r="M969" s="79"/>
      <c r="N969" s="74"/>
      <c r="O969" s="81" t="s">
        <v>1208</v>
      </c>
      <c r="P969" s="83">
        <v>44463.205995370372</v>
      </c>
      <c r="Q969" s="81" t="s">
        <v>1471</v>
      </c>
      <c r="R969" s="81"/>
      <c r="S969" s="81"/>
      <c r="T969" s="81"/>
      <c r="U969" s="81"/>
      <c r="V969" s="85" t="str">
        <f>HYPERLINK("https://pbs.twimg.com/profile_images/1407642938197168132/Ri8ZozSZ_normal.jpg")</f>
        <v>https://pbs.twimg.com/profile_images/1407642938197168132/Ri8ZozSZ_normal.jpg</v>
      </c>
      <c r="W969" s="83">
        <v>44463.205995370372</v>
      </c>
      <c r="X969" s="89">
        <v>44463</v>
      </c>
      <c r="Y969" s="87" t="s">
        <v>2395</v>
      </c>
      <c r="Z969" s="85" t="str">
        <f>HYPERLINK("https://twitter.com/dochil97/status/1441265296820486144")</f>
        <v>https://twitter.com/dochil97/status/1441265296820486144</v>
      </c>
      <c r="AA969" s="81"/>
      <c r="AB969" s="81"/>
      <c r="AC969" s="87" t="s">
        <v>3321</v>
      </c>
      <c r="AD969" s="87" t="s">
        <v>3778</v>
      </c>
      <c r="AE969" s="81" t="b">
        <v>0</v>
      </c>
      <c r="AF969" s="81">
        <v>0</v>
      </c>
      <c r="AG969" s="87" t="s">
        <v>3998</v>
      </c>
      <c r="AH969" s="81" t="b">
        <v>0</v>
      </c>
      <c r="AI969" s="81" t="s">
        <v>4092</v>
      </c>
      <c r="AJ969" s="81"/>
      <c r="AK969" s="87" t="s">
        <v>3875</v>
      </c>
      <c r="AL969" s="81" t="b">
        <v>0</v>
      </c>
      <c r="AM969" s="81">
        <v>0</v>
      </c>
      <c r="AN969" s="87" t="s">
        <v>3875</v>
      </c>
      <c r="AO969" s="87" t="s">
        <v>4109</v>
      </c>
      <c r="AP969" s="81" t="b">
        <v>0</v>
      </c>
      <c r="AQ969" s="87" t="s">
        <v>3778</v>
      </c>
      <c r="AR969" s="81" t="s">
        <v>179</v>
      </c>
      <c r="AS969" s="81">
        <v>0</v>
      </c>
      <c r="AT969" s="81">
        <v>0</v>
      </c>
      <c r="AU969" s="81"/>
      <c r="AV969" s="81"/>
      <c r="AW969" s="81"/>
      <c r="AX969" s="81"/>
      <c r="AY969" s="81"/>
      <c r="AZ969" s="81"/>
      <c r="BA969" s="81"/>
      <c r="BB969" s="81"/>
    </row>
    <row r="970" spans="1:54" x14ac:dyDescent="0.35">
      <c r="A970" s="66" t="s">
        <v>782</v>
      </c>
      <c r="B970" s="66" t="s">
        <v>782</v>
      </c>
      <c r="C970" s="67"/>
      <c r="D970" s="68"/>
      <c r="E970" s="69"/>
      <c r="F970" s="70"/>
      <c r="G970" s="67"/>
      <c r="H970" s="71"/>
      <c r="I970" s="72"/>
      <c r="J970" s="72"/>
      <c r="K970" s="36"/>
      <c r="L970" s="79"/>
      <c r="M970" s="79"/>
      <c r="N970" s="74"/>
      <c r="O970" s="81" t="s">
        <v>179</v>
      </c>
      <c r="P970" s="83">
        <v>44463.211215277777</v>
      </c>
      <c r="Q970" s="81" t="s">
        <v>1472</v>
      </c>
      <c r="R970" s="81"/>
      <c r="S970" s="81"/>
      <c r="T970" s="81"/>
      <c r="U970" s="85" t="str">
        <f>HYPERLINK("https://pbs.twimg.com/media/FABo2b3VEAgQXL4.jpg")</f>
        <v>https://pbs.twimg.com/media/FABo2b3VEAgQXL4.jpg</v>
      </c>
      <c r="V970" s="85" t="str">
        <f>HYPERLINK("https://pbs.twimg.com/media/FABo2b3VEAgQXL4.jpg")</f>
        <v>https://pbs.twimg.com/media/FABo2b3VEAgQXL4.jpg</v>
      </c>
      <c r="W970" s="83">
        <v>44463.211215277777</v>
      </c>
      <c r="X970" s="89">
        <v>44463</v>
      </c>
      <c r="Y970" s="87" t="s">
        <v>2396</v>
      </c>
      <c r="Z970" s="85" t="str">
        <f>HYPERLINK("https://twitter.com/humas_sipirok/status/1441267187461677058")</f>
        <v>https://twitter.com/humas_sipirok/status/1441267187461677058</v>
      </c>
      <c r="AA970" s="81"/>
      <c r="AB970" s="81"/>
      <c r="AC970" s="87" t="s">
        <v>3322</v>
      </c>
      <c r="AD970" s="81"/>
      <c r="AE970" s="81" t="b">
        <v>0</v>
      </c>
      <c r="AF970" s="81">
        <v>0</v>
      </c>
      <c r="AG970" s="87" t="s">
        <v>3875</v>
      </c>
      <c r="AH970" s="81" t="b">
        <v>0</v>
      </c>
      <c r="AI970" s="81" t="s">
        <v>4092</v>
      </c>
      <c r="AJ970" s="81"/>
      <c r="AK970" s="87" t="s">
        <v>3875</v>
      </c>
      <c r="AL970" s="81" t="b">
        <v>0</v>
      </c>
      <c r="AM970" s="81">
        <v>0</v>
      </c>
      <c r="AN970" s="87" t="s">
        <v>3875</v>
      </c>
      <c r="AO970" s="87" t="s">
        <v>4109</v>
      </c>
      <c r="AP970" s="81" t="b">
        <v>0</v>
      </c>
      <c r="AQ970" s="87" t="s">
        <v>3322</v>
      </c>
      <c r="AR970" s="81" t="s">
        <v>179</v>
      </c>
      <c r="AS970" s="81">
        <v>0</v>
      </c>
      <c r="AT970" s="81">
        <v>0</v>
      </c>
      <c r="AU970" s="81"/>
      <c r="AV970" s="81"/>
      <c r="AW970" s="81"/>
      <c r="AX970" s="81"/>
      <c r="AY970" s="81"/>
      <c r="AZ970" s="81"/>
      <c r="BA970" s="81"/>
      <c r="BB970" s="81"/>
    </row>
    <row r="971" spans="1:54" x14ac:dyDescent="0.35">
      <c r="A971" s="66" t="s">
        <v>783</v>
      </c>
      <c r="B971" s="66" t="s">
        <v>783</v>
      </c>
      <c r="C971" s="67"/>
      <c r="D971" s="68"/>
      <c r="E971" s="69"/>
      <c r="F971" s="70"/>
      <c r="G971" s="67"/>
      <c r="H971" s="71"/>
      <c r="I971" s="72"/>
      <c r="J971" s="72"/>
      <c r="K971" s="36"/>
      <c r="L971" s="79"/>
      <c r="M971" s="79"/>
      <c r="N971" s="74"/>
      <c r="O971" s="81" t="s">
        <v>179</v>
      </c>
      <c r="P971" s="83">
        <v>44461.121574074074</v>
      </c>
      <c r="Q971" s="81" t="s">
        <v>1473</v>
      </c>
      <c r="R971" s="85" t="str">
        <f>HYPERLINK("https://www.datalelang.id")</f>
        <v>https://www.datalelang.id</v>
      </c>
      <c r="S971" s="81" t="s">
        <v>1748</v>
      </c>
      <c r="T971" s="87" t="s">
        <v>1772</v>
      </c>
      <c r="U971" s="81"/>
      <c r="V971" s="85" t="str">
        <f>HYPERLINK("https://pbs.twimg.com/profile_images/1345395692525637632/s2zFSLf9_normal.jpg")</f>
        <v>https://pbs.twimg.com/profile_images/1345395692525637632/s2zFSLf9_normal.jpg</v>
      </c>
      <c r="W971" s="83">
        <v>44461.121574074074</v>
      </c>
      <c r="X971" s="89">
        <v>44461</v>
      </c>
      <c r="Y971" s="87" t="s">
        <v>2397</v>
      </c>
      <c r="Z971" s="85" t="str">
        <f>HYPERLINK("https://twitter.com/lutfimove/status/1440509925172527112")</f>
        <v>https://twitter.com/lutfimove/status/1440509925172527112</v>
      </c>
      <c r="AA971" s="81"/>
      <c r="AB971" s="81"/>
      <c r="AC971" s="87" t="s">
        <v>3323</v>
      </c>
      <c r="AD971" s="81"/>
      <c r="AE971" s="81" t="b">
        <v>0</v>
      </c>
      <c r="AF971" s="81">
        <v>0</v>
      </c>
      <c r="AG971" s="87" t="s">
        <v>3875</v>
      </c>
      <c r="AH971" s="81" t="b">
        <v>0</v>
      </c>
      <c r="AI971" s="81" t="s">
        <v>4092</v>
      </c>
      <c r="AJ971" s="81"/>
      <c r="AK971" s="87" t="s">
        <v>3875</v>
      </c>
      <c r="AL971" s="81" t="b">
        <v>0</v>
      </c>
      <c r="AM971" s="81">
        <v>0</v>
      </c>
      <c r="AN971" s="87" t="s">
        <v>3875</v>
      </c>
      <c r="AO971" s="87" t="s">
        <v>4129</v>
      </c>
      <c r="AP971" s="81" t="b">
        <v>0</v>
      </c>
      <c r="AQ971" s="87" t="s">
        <v>3323</v>
      </c>
      <c r="AR971" s="81" t="s">
        <v>179</v>
      </c>
      <c r="AS971" s="81">
        <v>0</v>
      </c>
      <c r="AT971" s="81">
        <v>0</v>
      </c>
      <c r="AU971" s="81"/>
      <c r="AV971" s="81"/>
      <c r="AW971" s="81"/>
      <c r="AX971" s="81"/>
      <c r="AY971" s="81"/>
      <c r="AZ971" s="81"/>
      <c r="BA971" s="81"/>
      <c r="BB971" s="81"/>
    </row>
    <row r="972" spans="1:54" x14ac:dyDescent="0.35">
      <c r="A972" s="66" t="s">
        <v>783</v>
      </c>
      <c r="B972" s="66" t="s">
        <v>783</v>
      </c>
      <c r="C972" s="67"/>
      <c r="D972" s="68"/>
      <c r="E972" s="69"/>
      <c r="F972" s="70"/>
      <c r="G972" s="67"/>
      <c r="H972" s="71"/>
      <c r="I972" s="72"/>
      <c r="J972" s="72"/>
      <c r="K972" s="36"/>
      <c r="L972" s="79"/>
      <c r="M972" s="79"/>
      <c r="N972" s="74"/>
      <c r="O972" s="81" t="s">
        <v>179</v>
      </c>
      <c r="P972" s="83">
        <v>44461.548657407409</v>
      </c>
      <c r="Q972" s="81" t="s">
        <v>1474</v>
      </c>
      <c r="R972" s="85" t="str">
        <f>HYPERLINK("https://www.datalelang.id")</f>
        <v>https://www.datalelang.id</v>
      </c>
      <c r="S972" s="81" t="s">
        <v>1748</v>
      </c>
      <c r="T972" s="87" t="s">
        <v>1772</v>
      </c>
      <c r="U972" s="81"/>
      <c r="V972" s="85" t="str">
        <f>HYPERLINK("https://pbs.twimg.com/profile_images/1345395692525637632/s2zFSLf9_normal.jpg")</f>
        <v>https://pbs.twimg.com/profile_images/1345395692525637632/s2zFSLf9_normal.jpg</v>
      </c>
      <c r="W972" s="83">
        <v>44461.548657407409</v>
      </c>
      <c r="X972" s="89">
        <v>44461</v>
      </c>
      <c r="Y972" s="87" t="s">
        <v>2398</v>
      </c>
      <c r="Z972" s="85" t="str">
        <f>HYPERLINK("https://twitter.com/lutfimove/status/1440664696684564487")</f>
        <v>https://twitter.com/lutfimove/status/1440664696684564487</v>
      </c>
      <c r="AA972" s="81"/>
      <c r="AB972" s="81"/>
      <c r="AC972" s="87" t="s">
        <v>3324</v>
      </c>
      <c r="AD972" s="81"/>
      <c r="AE972" s="81" t="b">
        <v>0</v>
      </c>
      <c r="AF972" s="81">
        <v>0</v>
      </c>
      <c r="AG972" s="87" t="s">
        <v>3875</v>
      </c>
      <c r="AH972" s="81" t="b">
        <v>0</v>
      </c>
      <c r="AI972" s="81" t="s">
        <v>4092</v>
      </c>
      <c r="AJ972" s="81"/>
      <c r="AK972" s="87" t="s">
        <v>3875</v>
      </c>
      <c r="AL972" s="81" t="b">
        <v>0</v>
      </c>
      <c r="AM972" s="81">
        <v>0</v>
      </c>
      <c r="AN972" s="87" t="s">
        <v>3875</v>
      </c>
      <c r="AO972" s="87" t="s">
        <v>4129</v>
      </c>
      <c r="AP972" s="81" t="b">
        <v>0</v>
      </c>
      <c r="AQ972" s="87" t="s">
        <v>3324</v>
      </c>
      <c r="AR972" s="81" t="s">
        <v>179</v>
      </c>
      <c r="AS972" s="81">
        <v>0</v>
      </c>
      <c r="AT972" s="81">
        <v>0</v>
      </c>
      <c r="AU972" s="81"/>
      <c r="AV972" s="81"/>
      <c r="AW972" s="81"/>
      <c r="AX972" s="81"/>
      <c r="AY972" s="81"/>
      <c r="AZ972" s="81"/>
      <c r="BA972" s="81"/>
      <c r="BB972" s="81"/>
    </row>
    <row r="973" spans="1:54" x14ac:dyDescent="0.35">
      <c r="A973" s="66" t="s">
        <v>783</v>
      </c>
      <c r="B973" s="66" t="s">
        <v>783</v>
      </c>
      <c r="C973" s="67"/>
      <c r="D973" s="68"/>
      <c r="E973" s="69"/>
      <c r="F973" s="70"/>
      <c r="G973" s="67"/>
      <c r="H973" s="71"/>
      <c r="I973" s="72"/>
      <c r="J973" s="72"/>
      <c r="K973" s="36"/>
      <c r="L973" s="79"/>
      <c r="M973" s="79"/>
      <c r="N973" s="74"/>
      <c r="O973" s="81" t="s">
        <v>179</v>
      </c>
      <c r="P973" s="83">
        <v>44463.232685185183</v>
      </c>
      <c r="Q973" s="81" t="s">
        <v>1475</v>
      </c>
      <c r="R973" s="85" t="str">
        <f>HYPERLINK("https://www.datalelang.id")</f>
        <v>https://www.datalelang.id</v>
      </c>
      <c r="S973" s="81" t="s">
        <v>1748</v>
      </c>
      <c r="T973" s="87" t="s">
        <v>1772</v>
      </c>
      <c r="U973" s="81"/>
      <c r="V973" s="85" t="str">
        <f>HYPERLINK("https://pbs.twimg.com/profile_images/1345395692525637632/s2zFSLf9_normal.jpg")</f>
        <v>https://pbs.twimg.com/profile_images/1345395692525637632/s2zFSLf9_normal.jpg</v>
      </c>
      <c r="W973" s="83">
        <v>44463.232685185183</v>
      </c>
      <c r="X973" s="89">
        <v>44463</v>
      </c>
      <c r="Y973" s="87" t="s">
        <v>2399</v>
      </c>
      <c r="Z973" s="85" t="str">
        <f>HYPERLINK("https://twitter.com/lutfimove/status/1441274968822595586")</f>
        <v>https://twitter.com/lutfimove/status/1441274968822595586</v>
      </c>
      <c r="AA973" s="81"/>
      <c r="AB973" s="81"/>
      <c r="AC973" s="87" t="s">
        <v>3325</v>
      </c>
      <c r="AD973" s="81"/>
      <c r="AE973" s="81" t="b">
        <v>0</v>
      </c>
      <c r="AF973" s="81">
        <v>0</v>
      </c>
      <c r="AG973" s="87" t="s">
        <v>3875</v>
      </c>
      <c r="AH973" s="81" t="b">
        <v>0</v>
      </c>
      <c r="AI973" s="81" t="s">
        <v>4092</v>
      </c>
      <c r="AJ973" s="81"/>
      <c r="AK973" s="87" t="s">
        <v>3875</v>
      </c>
      <c r="AL973" s="81" t="b">
        <v>0</v>
      </c>
      <c r="AM973" s="81">
        <v>0</v>
      </c>
      <c r="AN973" s="87" t="s">
        <v>3875</v>
      </c>
      <c r="AO973" s="87" t="s">
        <v>4129</v>
      </c>
      <c r="AP973" s="81" t="b">
        <v>0</v>
      </c>
      <c r="AQ973" s="87" t="s">
        <v>3325</v>
      </c>
      <c r="AR973" s="81" t="s">
        <v>179</v>
      </c>
      <c r="AS973" s="81">
        <v>0</v>
      </c>
      <c r="AT973" s="81">
        <v>0</v>
      </c>
      <c r="AU973" s="81"/>
      <c r="AV973" s="81"/>
      <c r="AW973" s="81"/>
      <c r="AX973" s="81"/>
      <c r="AY973" s="81"/>
      <c r="AZ973" s="81"/>
      <c r="BA973" s="81"/>
      <c r="BB973" s="81"/>
    </row>
    <row r="974" spans="1:54" x14ac:dyDescent="0.35">
      <c r="A974" s="66" t="s">
        <v>784</v>
      </c>
      <c r="B974" s="66" t="s">
        <v>1125</v>
      </c>
      <c r="C974" s="67"/>
      <c r="D974" s="68"/>
      <c r="E974" s="69"/>
      <c r="F974" s="70"/>
      <c r="G974" s="67"/>
      <c r="H974" s="71"/>
      <c r="I974" s="72"/>
      <c r="J974" s="72"/>
      <c r="K974" s="36"/>
      <c r="L974" s="79"/>
      <c r="M974" s="79"/>
      <c r="N974" s="74"/>
      <c r="O974" s="81" t="s">
        <v>1208</v>
      </c>
      <c r="P974" s="83">
        <v>44463.241782407407</v>
      </c>
      <c r="Q974" s="81" t="s">
        <v>1476</v>
      </c>
      <c r="R974" s="81"/>
      <c r="S974" s="81"/>
      <c r="T974" s="81"/>
      <c r="U974" s="81"/>
      <c r="V974" s="85" t="str">
        <f>HYPERLINK("https://pbs.twimg.com/profile_images/999553338805899265/qGXo7Q0s_normal.jpg")</f>
        <v>https://pbs.twimg.com/profile_images/999553338805899265/qGXo7Q0s_normal.jpg</v>
      </c>
      <c r="W974" s="83">
        <v>44463.241782407407</v>
      </c>
      <c r="X974" s="89">
        <v>44463</v>
      </c>
      <c r="Y974" s="87" t="s">
        <v>2400</v>
      </c>
      <c r="Z974" s="85" t="str">
        <f>HYPERLINK("https://twitter.com/dickquake/status/1441278264626978823")</f>
        <v>https://twitter.com/dickquake/status/1441278264626978823</v>
      </c>
      <c r="AA974" s="81"/>
      <c r="AB974" s="81"/>
      <c r="AC974" s="87" t="s">
        <v>3326</v>
      </c>
      <c r="AD974" s="87" t="s">
        <v>3779</v>
      </c>
      <c r="AE974" s="81" t="b">
        <v>0</v>
      </c>
      <c r="AF974" s="81">
        <v>0</v>
      </c>
      <c r="AG974" s="87" t="s">
        <v>3999</v>
      </c>
      <c r="AH974" s="81" t="b">
        <v>0</v>
      </c>
      <c r="AI974" s="81" t="s">
        <v>4092</v>
      </c>
      <c r="AJ974" s="81"/>
      <c r="AK974" s="87" t="s">
        <v>3875</v>
      </c>
      <c r="AL974" s="81" t="b">
        <v>0</v>
      </c>
      <c r="AM974" s="81">
        <v>0</v>
      </c>
      <c r="AN974" s="87" t="s">
        <v>3875</v>
      </c>
      <c r="AO974" s="87" t="s">
        <v>4110</v>
      </c>
      <c r="AP974" s="81" t="b">
        <v>0</v>
      </c>
      <c r="AQ974" s="87" t="s">
        <v>3779</v>
      </c>
      <c r="AR974" s="81" t="s">
        <v>179</v>
      </c>
      <c r="AS974" s="81">
        <v>0</v>
      </c>
      <c r="AT974" s="81">
        <v>0</v>
      </c>
      <c r="AU974" s="81"/>
      <c r="AV974" s="81"/>
      <c r="AW974" s="81"/>
      <c r="AX974" s="81"/>
      <c r="AY974" s="81"/>
      <c r="AZ974" s="81"/>
      <c r="BA974" s="81"/>
      <c r="BB974" s="81"/>
    </row>
    <row r="975" spans="1:54" x14ac:dyDescent="0.35">
      <c r="A975" s="66" t="s">
        <v>785</v>
      </c>
      <c r="B975" s="66" t="s">
        <v>785</v>
      </c>
      <c r="C975" s="67"/>
      <c r="D975" s="68"/>
      <c r="E975" s="69"/>
      <c r="F975" s="70"/>
      <c r="G975" s="67"/>
      <c r="H975" s="71"/>
      <c r="I975" s="72"/>
      <c r="J975" s="72"/>
      <c r="K975" s="36"/>
      <c r="L975" s="79"/>
      <c r="M975" s="79"/>
      <c r="N975" s="74"/>
      <c r="O975" s="81" t="s">
        <v>179</v>
      </c>
      <c r="P975" s="83">
        <v>44463.243344907409</v>
      </c>
      <c r="Q975" s="81" t="s">
        <v>1477</v>
      </c>
      <c r="R975" s="81"/>
      <c r="S975" s="81"/>
      <c r="T975" s="87" t="s">
        <v>1773</v>
      </c>
      <c r="U975" s="85" t="str">
        <f>HYPERLINK("https://pbs.twimg.com/media/FABzXG_VIAACMuN.jpg")</f>
        <v>https://pbs.twimg.com/media/FABzXG_VIAACMuN.jpg</v>
      </c>
      <c r="V975" s="85" t="str">
        <f>HYPERLINK("https://pbs.twimg.com/media/FABzXG_VIAACMuN.jpg")</f>
        <v>https://pbs.twimg.com/media/FABzXG_VIAACMuN.jpg</v>
      </c>
      <c r="W975" s="83">
        <v>44463.243344907409</v>
      </c>
      <c r="X975" s="89">
        <v>44463</v>
      </c>
      <c r="Y975" s="87" t="s">
        <v>2401</v>
      </c>
      <c r="Z975" s="85" t="str">
        <f>HYPERLINK("https://twitter.com/pajaklahat309/status/1441278832485363718")</f>
        <v>https://twitter.com/pajaklahat309/status/1441278832485363718</v>
      </c>
      <c r="AA975" s="81"/>
      <c r="AB975" s="81"/>
      <c r="AC975" s="87" t="s">
        <v>3327</v>
      </c>
      <c r="AD975" s="81"/>
      <c r="AE975" s="81" t="b">
        <v>0</v>
      </c>
      <c r="AF975" s="81">
        <v>0</v>
      </c>
      <c r="AG975" s="87" t="s">
        <v>3875</v>
      </c>
      <c r="AH975" s="81" t="b">
        <v>0</v>
      </c>
      <c r="AI975" s="81" t="s">
        <v>4092</v>
      </c>
      <c r="AJ975" s="81"/>
      <c r="AK975" s="87" t="s">
        <v>3875</v>
      </c>
      <c r="AL975" s="81" t="b">
        <v>0</v>
      </c>
      <c r="AM975" s="81">
        <v>0</v>
      </c>
      <c r="AN975" s="87" t="s">
        <v>3875</v>
      </c>
      <c r="AO975" s="87" t="s">
        <v>4111</v>
      </c>
      <c r="AP975" s="81" t="b">
        <v>0</v>
      </c>
      <c r="AQ975" s="87" t="s">
        <v>3327</v>
      </c>
      <c r="AR975" s="81" t="s">
        <v>179</v>
      </c>
      <c r="AS975" s="81">
        <v>0</v>
      </c>
      <c r="AT975" s="81">
        <v>0</v>
      </c>
      <c r="AU975" s="81"/>
      <c r="AV975" s="81"/>
      <c r="AW975" s="81"/>
      <c r="AX975" s="81"/>
      <c r="AY975" s="81"/>
      <c r="AZ975" s="81"/>
      <c r="BA975" s="81"/>
      <c r="BB975" s="81"/>
    </row>
    <row r="976" spans="1:54" x14ac:dyDescent="0.35">
      <c r="A976" s="66" t="s">
        <v>786</v>
      </c>
      <c r="B976" s="66" t="s">
        <v>1018</v>
      </c>
      <c r="C976" s="67"/>
      <c r="D976" s="68"/>
      <c r="E976" s="69"/>
      <c r="F976" s="70"/>
      <c r="G976" s="67"/>
      <c r="H976" s="71"/>
      <c r="I976" s="72"/>
      <c r="J976" s="72"/>
      <c r="K976" s="36"/>
      <c r="L976" s="79"/>
      <c r="M976" s="79"/>
      <c r="N976" s="74"/>
      <c r="O976" s="81" t="s">
        <v>1208</v>
      </c>
      <c r="P976" s="83">
        <v>44463.259479166663</v>
      </c>
      <c r="Q976" s="81" t="s">
        <v>1478</v>
      </c>
      <c r="R976" s="81"/>
      <c r="S976" s="81"/>
      <c r="T976" s="81"/>
      <c r="U976" s="81"/>
      <c r="V976" s="85" t="str">
        <f>HYPERLINK("https://pbs.twimg.com/profile_images/1441270211475238917/xjo3yelm_normal.jpg")</f>
        <v>https://pbs.twimg.com/profile_images/1441270211475238917/xjo3yelm_normal.jpg</v>
      </c>
      <c r="W976" s="83">
        <v>44463.259479166663</v>
      </c>
      <c r="X976" s="89">
        <v>44463</v>
      </c>
      <c r="Y976" s="87" t="s">
        <v>2402</v>
      </c>
      <c r="Z976" s="85" t="str">
        <f>HYPERLINK("https://twitter.com/jajan2311/status/1441284676069453828")</f>
        <v>https://twitter.com/jajan2311/status/1441284676069453828</v>
      </c>
      <c r="AA976" s="81"/>
      <c r="AB976" s="81"/>
      <c r="AC976" s="87" t="s">
        <v>3328</v>
      </c>
      <c r="AD976" s="87" t="s">
        <v>3780</v>
      </c>
      <c r="AE976" s="81" t="b">
        <v>0</v>
      </c>
      <c r="AF976" s="81">
        <v>0</v>
      </c>
      <c r="AG976" s="87" t="s">
        <v>3909</v>
      </c>
      <c r="AH976" s="81" t="b">
        <v>0</v>
      </c>
      <c r="AI976" s="81" t="s">
        <v>4092</v>
      </c>
      <c r="AJ976" s="81"/>
      <c r="AK976" s="87" t="s">
        <v>3875</v>
      </c>
      <c r="AL976" s="81" t="b">
        <v>0</v>
      </c>
      <c r="AM976" s="81">
        <v>0</v>
      </c>
      <c r="AN976" s="87" t="s">
        <v>3875</v>
      </c>
      <c r="AO976" s="87" t="s">
        <v>4109</v>
      </c>
      <c r="AP976" s="81" t="b">
        <v>0</v>
      </c>
      <c r="AQ976" s="87" t="s">
        <v>3780</v>
      </c>
      <c r="AR976" s="81" t="s">
        <v>179</v>
      </c>
      <c r="AS976" s="81">
        <v>0</v>
      </c>
      <c r="AT976" s="81">
        <v>0</v>
      </c>
      <c r="AU976" s="81"/>
      <c r="AV976" s="81"/>
      <c r="AW976" s="81"/>
      <c r="AX976" s="81"/>
      <c r="AY976" s="81"/>
      <c r="AZ976" s="81"/>
      <c r="BA976" s="81"/>
      <c r="BB976" s="81"/>
    </row>
    <row r="977" spans="1:54" x14ac:dyDescent="0.35">
      <c r="A977" s="66" t="s">
        <v>787</v>
      </c>
      <c r="B977" s="66" t="s">
        <v>787</v>
      </c>
      <c r="C977" s="67"/>
      <c r="D977" s="68"/>
      <c r="E977" s="69"/>
      <c r="F977" s="70"/>
      <c r="G977" s="67"/>
      <c r="H977" s="71"/>
      <c r="I977" s="72"/>
      <c r="J977" s="72"/>
      <c r="K977" s="36"/>
      <c r="L977" s="79"/>
      <c r="M977" s="79"/>
      <c r="N977" s="74"/>
      <c r="O977" s="81" t="s">
        <v>179</v>
      </c>
      <c r="P977" s="83">
        <v>44463.283541666664</v>
      </c>
      <c r="Q977" s="81" t="s">
        <v>1479</v>
      </c>
      <c r="R977" s="81"/>
      <c r="S977" s="81"/>
      <c r="T977" s="81"/>
      <c r="U977" s="85" t="str">
        <f>HYPERLINK("https://pbs.twimg.com/media/FACAtDnVUAoXYS8.jpg")</f>
        <v>https://pbs.twimg.com/media/FACAtDnVUAoXYS8.jpg</v>
      </c>
      <c r="V977" s="85" t="str">
        <f>HYPERLINK("https://pbs.twimg.com/media/FACAtDnVUAoXYS8.jpg")</f>
        <v>https://pbs.twimg.com/media/FACAtDnVUAoXYS8.jpg</v>
      </c>
      <c r="W977" s="83">
        <v>44463.283541666664</v>
      </c>
      <c r="X977" s="89">
        <v>44463</v>
      </c>
      <c r="Y977" s="87" t="s">
        <v>2403</v>
      </c>
      <c r="Z977" s="85" t="str">
        <f>HYPERLINK("https://twitter.com/sherlock_ed97/status/1441293398766276609")</f>
        <v>https://twitter.com/sherlock_ed97/status/1441293398766276609</v>
      </c>
      <c r="AA977" s="81"/>
      <c r="AB977" s="81"/>
      <c r="AC977" s="87" t="s">
        <v>3329</v>
      </c>
      <c r="AD977" s="81"/>
      <c r="AE977" s="81" t="b">
        <v>0</v>
      </c>
      <c r="AF977" s="81">
        <v>0</v>
      </c>
      <c r="AG977" s="87" t="s">
        <v>3875</v>
      </c>
      <c r="AH977" s="81" t="b">
        <v>0</v>
      </c>
      <c r="AI977" s="81" t="s">
        <v>4092</v>
      </c>
      <c r="AJ977" s="81"/>
      <c r="AK977" s="87" t="s">
        <v>3875</v>
      </c>
      <c r="AL977" s="81" t="b">
        <v>0</v>
      </c>
      <c r="AM977" s="81">
        <v>0</v>
      </c>
      <c r="AN977" s="87" t="s">
        <v>3875</v>
      </c>
      <c r="AO977" s="87" t="s">
        <v>4110</v>
      </c>
      <c r="AP977" s="81" t="b">
        <v>0</v>
      </c>
      <c r="AQ977" s="87" t="s">
        <v>3329</v>
      </c>
      <c r="AR977" s="81" t="s">
        <v>179</v>
      </c>
      <c r="AS977" s="81">
        <v>0</v>
      </c>
      <c r="AT977" s="81">
        <v>0</v>
      </c>
      <c r="AU977" s="81"/>
      <c r="AV977" s="81"/>
      <c r="AW977" s="81"/>
      <c r="AX977" s="81"/>
      <c r="AY977" s="81"/>
      <c r="AZ977" s="81"/>
      <c r="BA977" s="81"/>
      <c r="BB977" s="81"/>
    </row>
    <row r="978" spans="1:54" x14ac:dyDescent="0.35">
      <c r="A978" s="66" t="s">
        <v>788</v>
      </c>
      <c r="B978" s="66" t="s">
        <v>788</v>
      </c>
      <c r="C978" s="67"/>
      <c r="D978" s="68"/>
      <c r="E978" s="69"/>
      <c r="F978" s="70"/>
      <c r="G978" s="67"/>
      <c r="H978" s="71"/>
      <c r="I978" s="72"/>
      <c r="J978" s="72"/>
      <c r="K978" s="36"/>
      <c r="L978" s="79"/>
      <c r="M978" s="79"/>
      <c r="N978" s="74"/>
      <c r="O978" s="81" t="s">
        <v>179</v>
      </c>
      <c r="P978" s="83">
        <v>44463.298310185186</v>
      </c>
      <c r="Q978" s="81" t="s">
        <v>1480</v>
      </c>
      <c r="R978" s="81"/>
      <c r="S978" s="81"/>
      <c r="T978" s="81"/>
      <c r="U978" s="85" t="str">
        <f>HYPERLINK("https://pbs.twimg.com/media/FACFkOPVgAMVpFd.jpg")</f>
        <v>https://pbs.twimg.com/media/FACFkOPVgAMVpFd.jpg</v>
      </c>
      <c r="V978" s="85" t="str">
        <f>HYPERLINK("https://pbs.twimg.com/media/FACFkOPVgAMVpFd.jpg")</f>
        <v>https://pbs.twimg.com/media/FACFkOPVgAMVpFd.jpg</v>
      </c>
      <c r="W978" s="83">
        <v>44463.298310185186</v>
      </c>
      <c r="X978" s="89">
        <v>44463</v>
      </c>
      <c r="Y978" s="87" t="s">
        <v>2404</v>
      </c>
      <c r="Z978" s="85" t="str">
        <f>HYPERLINK("https://twitter.com/bon_amicf/status/1441298749934870528")</f>
        <v>https://twitter.com/bon_amicf/status/1441298749934870528</v>
      </c>
      <c r="AA978" s="81"/>
      <c r="AB978" s="81"/>
      <c r="AC978" s="87" t="s">
        <v>3330</v>
      </c>
      <c r="AD978" s="81"/>
      <c r="AE978" s="81" t="b">
        <v>0</v>
      </c>
      <c r="AF978" s="81">
        <v>0</v>
      </c>
      <c r="AG978" s="87" t="s">
        <v>3875</v>
      </c>
      <c r="AH978" s="81" t="b">
        <v>0</v>
      </c>
      <c r="AI978" s="81" t="s">
        <v>4092</v>
      </c>
      <c r="AJ978" s="81"/>
      <c r="AK978" s="87" t="s">
        <v>3875</v>
      </c>
      <c r="AL978" s="81" t="b">
        <v>0</v>
      </c>
      <c r="AM978" s="81">
        <v>0</v>
      </c>
      <c r="AN978" s="87" t="s">
        <v>3875</v>
      </c>
      <c r="AO978" s="87" t="s">
        <v>4110</v>
      </c>
      <c r="AP978" s="81" t="b">
        <v>0</v>
      </c>
      <c r="AQ978" s="87" t="s">
        <v>3330</v>
      </c>
      <c r="AR978" s="81" t="s">
        <v>179</v>
      </c>
      <c r="AS978" s="81">
        <v>0</v>
      </c>
      <c r="AT978" s="81">
        <v>0</v>
      </c>
      <c r="AU978" s="81"/>
      <c r="AV978" s="81"/>
      <c r="AW978" s="81"/>
      <c r="AX978" s="81"/>
      <c r="AY978" s="81"/>
      <c r="AZ978" s="81"/>
      <c r="BA978" s="81"/>
      <c r="BB978" s="81"/>
    </row>
    <row r="979" spans="1:54" x14ac:dyDescent="0.35">
      <c r="A979" s="66" t="s">
        <v>789</v>
      </c>
      <c r="B979" s="66" t="s">
        <v>789</v>
      </c>
      <c r="C979" s="67"/>
      <c r="D979" s="68"/>
      <c r="E979" s="69"/>
      <c r="F979" s="70"/>
      <c r="G979" s="67"/>
      <c r="H979" s="71"/>
      <c r="I979" s="72"/>
      <c r="J979" s="72"/>
      <c r="K979" s="36"/>
      <c r="L979" s="79"/>
      <c r="M979" s="79"/>
      <c r="N979" s="74"/>
      <c r="O979" s="81" t="s">
        <v>179</v>
      </c>
      <c r="P979" s="83">
        <v>44463.304131944446</v>
      </c>
      <c r="Q979" s="81" t="s">
        <v>1481</v>
      </c>
      <c r="R979" s="81"/>
      <c r="S979" s="81"/>
      <c r="T979" s="81"/>
      <c r="U979" s="81"/>
      <c r="V979" s="85" t="str">
        <f>HYPERLINK("https://pbs.twimg.com/profile_images/1438382977726095360/RWDUipdk_normal.jpg")</f>
        <v>https://pbs.twimg.com/profile_images/1438382977726095360/RWDUipdk_normal.jpg</v>
      </c>
      <c r="W979" s="83">
        <v>44463.304131944446</v>
      </c>
      <c r="X979" s="89">
        <v>44463</v>
      </c>
      <c r="Y979" s="87" t="s">
        <v>2405</v>
      </c>
      <c r="Z979" s="85" t="str">
        <f>HYPERLINK("https://twitter.com/httpjeyu/status/1441300859653005316")</f>
        <v>https://twitter.com/httpjeyu/status/1441300859653005316</v>
      </c>
      <c r="AA979" s="81"/>
      <c r="AB979" s="81"/>
      <c r="AC979" s="87" t="s">
        <v>3331</v>
      </c>
      <c r="AD979" s="81"/>
      <c r="AE979" s="81" t="b">
        <v>0</v>
      </c>
      <c r="AF979" s="81">
        <v>0</v>
      </c>
      <c r="AG979" s="87" t="s">
        <v>3875</v>
      </c>
      <c r="AH979" s="81" t="b">
        <v>0</v>
      </c>
      <c r="AI979" s="81" t="s">
        <v>4092</v>
      </c>
      <c r="AJ979" s="81"/>
      <c r="AK979" s="87" t="s">
        <v>3875</v>
      </c>
      <c r="AL979" s="81" t="b">
        <v>0</v>
      </c>
      <c r="AM979" s="81">
        <v>0</v>
      </c>
      <c r="AN979" s="87" t="s">
        <v>3875</v>
      </c>
      <c r="AO979" s="87" t="s">
        <v>4109</v>
      </c>
      <c r="AP979" s="81" t="b">
        <v>0</v>
      </c>
      <c r="AQ979" s="87" t="s">
        <v>3331</v>
      </c>
      <c r="AR979" s="81" t="s">
        <v>179</v>
      </c>
      <c r="AS979" s="81">
        <v>0</v>
      </c>
      <c r="AT979" s="81">
        <v>0</v>
      </c>
      <c r="AU979" s="81"/>
      <c r="AV979" s="81"/>
      <c r="AW979" s="81"/>
      <c r="AX979" s="81"/>
      <c r="AY979" s="81"/>
      <c r="AZ979" s="81"/>
      <c r="BA979" s="81"/>
      <c r="BB979" s="81"/>
    </row>
    <row r="980" spans="1:54" x14ac:dyDescent="0.35">
      <c r="A980" s="66" t="s">
        <v>790</v>
      </c>
      <c r="B980" s="66" t="s">
        <v>790</v>
      </c>
      <c r="C980" s="67"/>
      <c r="D980" s="68"/>
      <c r="E980" s="69"/>
      <c r="F980" s="70"/>
      <c r="G980" s="67"/>
      <c r="H980" s="71"/>
      <c r="I980" s="72"/>
      <c r="J980" s="72"/>
      <c r="K980" s="36"/>
      <c r="L980" s="79"/>
      <c r="M980" s="79"/>
      <c r="N980" s="74"/>
      <c r="O980" s="81" t="s">
        <v>179</v>
      </c>
      <c r="P980" s="83">
        <v>44463.313368055555</v>
      </c>
      <c r="Q980" s="81" t="s">
        <v>1482</v>
      </c>
      <c r="R980" s="85" t="str">
        <f>HYPERLINK("https://www.instagram.com/p/CUMjIScpgra/?utm_medium=twitter")</f>
        <v>https://www.instagram.com/p/CUMjIScpgra/?utm_medium=twitter</v>
      </c>
      <c r="S980" s="81" t="s">
        <v>1736</v>
      </c>
      <c r="T980" s="81"/>
      <c r="U980" s="81"/>
      <c r="V980" s="85" t="str">
        <f>HYPERLINK("https://pbs.twimg.com/profile_images/1197352427495641089/uBR_D0G3_normal.jpg")</f>
        <v>https://pbs.twimg.com/profile_images/1197352427495641089/uBR_D0G3_normal.jpg</v>
      </c>
      <c r="W980" s="83">
        <v>44463.313368055555</v>
      </c>
      <c r="X980" s="89">
        <v>44463</v>
      </c>
      <c r="Y980" s="87" t="s">
        <v>2087</v>
      </c>
      <c r="Z980" s="85" t="str">
        <f>HYPERLINK("https://twitter.com/polantastaput/status/1441304206615334914")</f>
        <v>https://twitter.com/polantastaput/status/1441304206615334914</v>
      </c>
      <c r="AA980" s="81"/>
      <c r="AB980" s="81"/>
      <c r="AC980" s="87" t="s">
        <v>3332</v>
      </c>
      <c r="AD980" s="81"/>
      <c r="AE980" s="81" t="b">
        <v>0</v>
      </c>
      <c r="AF980" s="81">
        <v>0</v>
      </c>
      <c r="AG980" s="87" t="s">
        <v>3875</v>
      </c>
      <c r="AH980" s="81" t="b">
        <v>0</v>
      </c>
      <c r="AI980" s="81" t="s">
        <v>4092</v>
      </c>
      <c r="AJ980" s="81"/>
      <c r="AK980" s="87" t="s">
        <v>3875</v>
      </c>
      <c r="AL980" s="81" t="b">
        <v>0</v>
      </c>
      <c r="AM980" s="81">
        <v>0</v>
      </c>
      <c r="AN980" s="87" t="s">
        <v>3875</v>
      </c>
      <c r="AO980" s="87" t="s">
        <v>4117</v>
      </c>
      <c r="AP980" s="81" t="b">
        <v>0</v>
      </c>
      <c r="AQ980" s="87" t="s">
        <v>3332</v>
      </c>
      <c r="AR980" s="81" t="s">
        <v>179</v>
      </c>
      <c r="AS980" s="81">
        <v>0</v>
      </c>
      <c r="AT980" s="81">
        <v>0</v>
      </c>
      <c r="AU980" s="81"/>
      <c r="AV980" s="81"/>
      <c r="AW980" s="81"/>
      <c r="AX980" s="81"/>
      <c r="AY980" s="81"/>
      <c r="AZ980" s="81"/>
      <c r="BA980" s="81"/>
      <c r="BB980" s="81"/>
    </row>
    <row r="981" spans="1:54" x14ac:dyDescent="0.35">
      <c r="A981" s="66" t="s">
        <v>791</v>
      </c>
      <c r="B981" s="66" t="s">
        <v>1126</v>
      </c>
      <c r="C981" s="67"/>
      <c r="D981" s="68"/>
      <c r="E981" s="69"/>
      <c r="F981" s="70"/>
      <c r="G981" s="67"/>
      <c r="H981" s="71"/>
      <c r="I981" s="72"/>
      <c r="J981" s="72"/>
      <c r="K981" s="36"/>
      <c r="L981" s="79"/>
      <c r="M981" s="79"/>
      <c r="N981" s="74"/>
      <c r="O981" s="81" t="s">
        <v>1208</v>
      </c>
      <c r="P981" s="83">
        <v>44463.315613425926</v>
      </c>
      <c r="Q981" s="81" t="s">
        <v>1483</v>
      </c>
      <c r="R981" s="81"/>
      <c r="S981" s="81"/>
      <c r="T981" s="81"/>
      <c r="U981" s="81"/>
      <c r="V981" s="85" t="str">
        <f>HYPERLINK("https://pbs.twimg.com/profile_images/1441627351675129858/S-cHD1kx_normal.png")</f>
        <v>https://pbs.twimg.com/profile_images/1441627351675129858/S-cHD1kx_normal.png</v>
      </c>
      <c r="W981" s="83">
        <v>44463.315613425926</v>
      </c>
      <c r="X981" s="89">
        <v>44463</v>
      </c>
      <c r="Y981" s="87" t="s">
        <v>2406</v>
      </c>
      <c r="Z981" s="85" t="str">
        <f>HYPERLINK("https://twitter.com/przesdir/status/1441305021648302080")</f>
        <v>https://twitter.com/przesdir/status/1441305021648302080</v>
      </c>
      <c r="AA981" s="81"/>
      <c r="AB981" s="81"/>
      <c r="AC981" s="87" t="s">
        <v>3333</v>
      </c>
      <c r="AD981" s="87" t="s">
        <v>3781</v>
      </c>
      <c r="AE981" s="81" t="b">
        <v>0</v>
      </c>
      <c r="AF981" s="81">
        <v>0</v>
      </c>
      <c r="AG981" s="87" t="s">
        <v>4000</v>
      </c>
      <c r="AH981" s="81" t="b">
        <v>0</v>
      </c>
      <c r="AI981" s="81" t="s">
        <v>4092</v>
      </c>
      <c r="AJ981" s="81"/>
      <c r="AK981" s="87" t="s">
        <v>3875</v>
      </c>
      <c r="AL981" s="81" t="b">
        <v>0</v>
      </c>
      <c r="AM981" s="81">
        <v>0</v>
      </c>
      <c r="AN981" s="87" t="s">
        <v>3875</v>
      </c>
      <c r="AO981" s="87" t="s">
        <v>4109</v>
      </c>
      <c r="AP981" s="81" t="b">
        <v>0</v>
      </c>
      <c r="AQ981" s="87" t="s">
        <v>3781</v>
      </c>
      <c r="AR981" s="81" t="s">
        <v>179</v>
      </c>
      <c r="AS981" s="81">
        <v>0</v>
      </c>
      <c r="AT981" s="81">
        <v>0</v>
      </c>
      <c r="AU981" s="81"/>
      <c r="AV981" s="81"/>
      <c r="AW981" s="81"/>
      <c r="AX981" s="81"/>
      <c r="AY981" s="81"/>
      <c r="AZ981" s="81"/>
      <c r="BA981" s="81"/>
      <c r="BB981" s="81"/>
    </row>
    <row r="982" spans="1:54" x14ac:dyDescent="0.35">
      <c r="A982" s="66" t="s">
        <v>792</v>
      </c>
      <c r="B982" s="66" t="s">
        <v>792</v>
      </c>
      <c r="C982" s="67"/>
      <c r="D982" s="68"/>
      <c r="E982" s="69"/>
      <c r="F982" s="70"/>
      <c r="G982" s="67"/>
      <c r="H982" s="71"/>
      <c r="I982" s="72"/>
      <c r="J982" s="72"/>
      <c r="K982" s="36"/>
      <c r="L982" s="79"/>
      <c r="M982" s="79"/>
      <c r="N982" s="74"/>
      <c r="O982" s="81" t="s">
        <v>179</v>
      </c>
      <c r="P982" s="83">
        <v>44463.311377314814</v>
      </c>
      <c r="Q982" s="81" t="s">
        <v>1484</v>
      </c>
      <c r="R982" s="81"/>
      <c r="S982" s="81"/>
      <c r="T982" s="81"/>
      <c r="U982" s="81"/>
      <c r="V982" s="85" t="str">
        <f>HYPERLINK("https://pbs.twimg.com/profile_images/1091001834414567424/dSCs8N1n_normal.jpg")</f>
        <v>https://pbs.twimg.com/profile_images/1091001834414567424/dSCs8N1n_normal.jpg</v>
      </c>
      <c r="W982" s="83">
        <v>44463.311377314814</v>
      </c>
      <c r="X982" s="89">
        <v>44463</v>
      </c>
      <c r="Y982" s="87" t="s">
        <v>2407</v>
      </c>
      <c r="Z982" s="85" t="str">
        <f>HYPERLINK("https://twitter.com/faiznaputri/status/1441303483169210368")</f>
        <v>https://twitter.com/faiznaputri/status/1441303483169210368</v>
      </c>
      <c r="AA982" s="81"/>
      <c r="AB982" s="81"/>
      <c r="AC982" s="87" t="s">
        <v>3334</v>
      </c>
      <c r="AD982" s="87" t="s">
        <v>3782</v>
      </c>
      <c r="AE982" s="81" t="b">
        <v>0</v>
      </c>
      <c r="AF982" s="81">
        <v>0</v>
      </c>
      <c r="AG982" s="87" t="s">
        <v>4001</v>
      </c>
      <c r="AH982" s="81" t="b">
        <v>0</v>
      </c>
      <c r="AI982" s="81" t="s">
        <v>4092</v>
      </c>
      <c r="AJ982" s="81"/>
      <c r="AK982" s="87" t="s">
        <v>3875</v>
      </c>
      <c r="AL982" s="81" t="b">
        <v>0</v>
      </c>
      <c r="AM982" s="81">
        <v>0</v>
      </c>
      <c r="AN982" s="87" t="s">
        <v>3875</v>
      </c>
      <c r="AO982" s="87" t="s">
        <v>4109</v>
      </c>
      <c r="AP982" s="81" t="b">
        <v>0</v>
      </c>
      <c r="AQ982" s="87" t="s">
        <v>3782</v>
      </c>
      <c r="AR982" s="81" t="s">
        <v>179</v>
      </c>
      <c r="AS982" s="81">
        <v>0</v>
      </c>
      <c r="AT982" s="81">
        <v>0</v>
      </c>
      <c r="AU982" s="81"/>
      <c r="AV982" s="81"/>
      <c r="AW982" s="81"/>
      <c r="AX982" s="81"/>
      <c r="AY982" s="81"/>
      <c r="AZ982" s="81"/>
      <c r="BA982" s="81"/>
      <c r="BB982" s="81"/>
    </row>
    <row r="983" spans="1:54" x14ac:dyDescent="0.35">
      <c r="A983" s="66" t="s">
        <v>792</v>
      </c>
      <c r="B983" s="66" t="s">
        <v>792</v>
      </c>
      <c r="C983" s="67"/>
      <c r="D983" s="68"/>
      <c r="E983" s="69"/>
      <c r="F983" s="70"/>
      <c r="G983" s="67"/>
      <c r="H983" s="71"/>
      <c r="I983" s="72"/>
      <c r="J983" s="72"/>
      <c r="K983" s="36"/>
      <c r="L983" s="79"/>
      <c r="M983" s="79"/>
      <c r="N983" s="74"/>
      <c r="O983" s="81" t="s">
        <v>179</v>
      </c>
      <c r="P983" s="83">
        <v>44463.311967592592</v>
      </c>
      <c r="Q983" s="81" t="s">
        <v>1485</v>
      </c>
      <c r="R983" s="81"/>
      <c r="S983" s="81"/>
      <c r="T983" s="81"/>
      <c r="U983" s="81"/>
      <c r="V983" s="85" t="str">
        <f>HYPERLINK("https://pbs.twimg.com/profile_images/1091001834414567424/dSCs8N1n_normal.jpg")</f>
        <v>https://pbs.twimg.com/profile_images/1091001834414567424/dSCs8N1n_normal.jpg</v>
      </c>
      <c r="W983" s="83">
        <v>44463.311967592592</v>
      </c>
      <c r="X983" s="89">
        <v>44463</v>
      </c>
      <c r="Y983" s="87" t="s">
        <v>2408</v>
      </c>
      <c r="Z983" s="85" t="str">
        <f>HYPERLINK("https://twitter.com/faiznaputri/status/1441303698987048966")</f>
        <v>https://twitter.com/faiznaputri/status/1441303698987048966</v>
      </c>
      <c r="AA983" s="81"/>
      <c r="AB983" s="81"/>
      <c r="AC983" s="87" t="s">
        <v>3335</v>
      </c>
      <c r="AD983" s="87" t="s">
        <v>3334</v>
      </c>
      <c r="AE983" s="81" t="b">
        <v>0</v>
      </c>
      <c r="AF983" s="81">
        <v>0</v>
      </c>
      <c r="AG983" s="87" t="s">
        <v>4001</v>
      </c>
      <c r="AH983" s="81" t="b">
        <v>0</v>
      </c>
      <c r="AI983" s="81" t="s">
        <v>4092</v>
      </c>
      <c r="AJ983" s="81"/>
      <c r="AK983" s="87" t="s">
        <v>3875</v>
      </c>
      <c r="AL983" s="81" t="b">
        <v>0</v>
      </c>
      <c r="AM983" s="81">
        <v>0</v>
      </c>
      <c r="AN983" s="87" t="s">
        <v>3875</v>
      </c>
      <c r="AO983" s="87" t="s">
        <v>4109</v>
      </c>
      <c r="AP983" s="81" t="b">
        <v>0</v>
      </c>
      <c r="AQ983" s="87" t="s">
        <v>3334</v>
      </c>
      <c r="AR983" s="81" t="s">
        <v>179</v>
      </c>
      <c r="AS983" s="81">
        <v>0</v>
      </c>
      <c r="AT983" s="81">
        <v>0</v>
      </c>
      <c r="AU983" s="81"/>
      <c r="AV983" s="81"/>
      <c r="AW983" s="81"/>
      <c r="AX983" s="81"/>
      <c r="AY983" s="81"/>
      <c r="AZ983" s="81"/>
      <c r="BA983" s="81"/>
      <c r="BB983" s="81"/>
    </row>
    <row r="984" spans="1:54" x14ac:dyDescent="0.35">
      <c r="A984" s="66" t="s">
        <v>792</v>
      </c>
      <c r="B984" s="66" t="s">
        <v>792</v>
      </c>
      <c r="C984" s="67"/>
      <c r="D984" s="68"/>
      <c r="E984" s="69"/>
      <c r="F984" s="70"/>
      <c r="G984" s="67"/>
      <c r="H984" s="71"/>
      <c r="I984" s="72"/>
      <c r="J984" s="72"/>
      <c r="K984" s="36"/>
      <c r="L984" s="79"/>
      <c r="M984" s="79"/>
      <c r="N984" s="74"/>
      <c r="O984" s="81" t="s">
        <v>179</v>
      </c>
      <c r="P984" s="83">
        <v>44463.319398148145</v>
      </c>
      <c r="Q984" s="81" t="s">
        <v>1486</v>
      </c>
      <c r="R984" s="81"/>
      <c r="S984" s="81"/>
      <c r="T984" s="81"/>
      <c r="U984" s="81"/>
      <c r="V984" s="85" t="str">
        <f>HYPERLINK("https://pbs.twimg.com/profile_images/1091001834414567424/dSCs8N1n_normal.jpg")</f>
        <v>https://pbs.twimg.com/profile_images/1091001834414567424/dSCs8N1n_normal.jpg</v>
      </c>
      <c r="W984" s="83">
        <v>44463.319398148145</v>
      </c>
      <c r="X984" s="89">
        <v>44463</v>
      </c>
      <c r="Y984" s="87" t="s">
        <v>2409</v>
      </c>
      <c r="Z984" s="85" t="str">
        <f>HYPERLINK("https://twitter.com/faiznaputri/status/1441306390501359622")</f>
        <v>https://twitter.com/faiznaputri/status/1441306390501359622</v>
      </c>
      <c r="AA984" s="81"/>
      <c r="AB984" s="81"/>
      <c r="AC984" s="87" t="s">
        <v>3336</v>
      </c>
      <c r="AD984" s="87" t="s">
        <v>3783</v>
      </c>
      <c r="AE984" s="81" t="b">
        <v>0</v>
      </c>
      <c r="AF984" s="81">
        <v>0</v>
      </c>
      <c r="AG984" s="87" t="s">
        <v>4001</v>
      </c>
      <c r="AH984" s="81" t="b">
        <v>0</v>
      </c>
      <c r="AI984" s="81" t="s">
        <v>4092</v>
      </c>
      <c r="AJ984" s="81"/>
      <c r="AK984" s="87" t="s">
        <v>3875</v>
      </c>
      <c r="AL984" s="81" t="b">
        <v>0</v>
      </c>
      <c r="AM984" s="81">
        <v>0</v>
      </c>
      <c r="AN984" s="87" t="s">
        <v>3875</v>
      </c>
      <c r="AO984" s="87" t="s">
        <v>4109</v>
      </c>
      <c r="AP984" s="81" t="b">
        <v>0</v>
      </c>
      <c r="AQ984" s="87" t="s">
        <v>3783</v>
      </c>
      <c r="AR984" s="81" t="s">
        <v>179</v>
      </c>
      <c r="AS984" s="81">
        <v>0</v>
      </c>
      <c r="AT984" s="81">
        <v>0</v>
      </c>
      <c r="AU984" s="81"/>
      <c r="AV984" s="81"/>
      <c r="AW984" s="81"/>
      <c r="AX984" s="81"/>
      <c r="AY984" s="81"/>
      <c r="AZ984" s="81"/>
      <c r="BA984" s="81"/>
      <c r="BB984" s="81"/>
    </row>
    <row r="985" spans="1:54" x14ac:dyDescent="0.35">
      <c r="A985" s="66" t="s">
        <v>792</v>
      </c>
      <c r="B985" s="66" t="s">
        <v>792</v>
      </c>
      <c r="C985" s="67"/>
      <c r="D985" s="68"/>
      <c r="E985" s="69"/>
      <c r="F985" s="70"/>
      <c r="G985" s="67"/>
      <c r="H985" s="71"/>
      <c r="I985" s="72"/>
      <c r="J985" s="72"/>
      <c r="K985" s="36"/>
      <c r="L985" s="79"/>
      <c r="M985" s="79"/>
      <c r="N985" s="74"/>
      <c r="O985" s="81" t="s">
        <v>179</v>
      </c>
      <c r="P985" s="83">
        <v>44463.327314814815</v>
      </c>
      <c r="Q985" s="81" t="s">
        <v>1487</v>
      </c>
      <c r="R985" s="81"/>
      <c r="S985" s="81"/>
      <c r="T985" s="81"/>
      <c r="U985" s="81"/>
      <c r="V985" s="85" t="str">
        <f>HYPERLINK("https://pbs.twimg.com/profile_images/1091001834414567424/dSCs8N1n_normal.jpg")</f>
        <v>https://pbs.twimg.com/profile_images/1091001834414567424/dSCs8N1n_normal.jpg</v>
      </c>
      <c r="W985" s="83">
        <v>44463.327314814815</v>
      </c>
      <c r="X985" s="89">
        <v>44463</v>
      </c>
      <c r="Y985" s="87" t="s">
        <v>2410</v>
      </c>
      <c r="Z985" s="85" t="str">
        <f>HYPERLINK("https://twitter.com/faiznaputri/status/1441309262186119174")</f>
        <v>https://twitter.com/faiznaputri/status/1441309262186119174</v>
      </c>
      <c r="AA985" s="81"/>
      <c r="AB985" s="81"/>
      <c r="AC985" s="87" t="s">
        <v>3337</v>
      </c>
      <c r="AD985" s="87" t="s">
        <v>3336</v>
      </c>
      <c r="AE985" s="81" t="b">
        <v>0</v>
      </c>
      <c r="AF985" s="81">
        <v>0</v>
      </c>
      <c r="AG985" s="87" t="s">
        <v>4001</v>
      </c>
      <c r="AH985" s="81" t="b">
        <v>0</v>
      </c>
      <c r="AI985" s="81" t="s">
        <v>4092</v>
      </c>
      <c r="AJ985" s="81"/>
      <c r="AK985" s="87" t="s">
        <v>3875</v>
      </c>
      <c r="AL985" s="81" t="b">
        <v>0</v>
      </c>
      <c r="AM985" s="81">
        <v>0</v>
      </c>
      <c r="AN985" s="87" t="s">
        <v>3875</v>
      </c>
      <c r="AO985" s="87" t="s">
        <v>4109</v>
      </c>
      <c r="AP985" s="81" t="b">
        <v>0</v>
      </c>
      <c r="AQ985" s="87" t="s">
        <v>3336</v>
      </c>
      <c r="AR985" s="81" t="s">
        <v>179</v>
      </c>
      <c r="AS985" s="81">
        <v>0</v>
      </c>
      <c r="AT985" s="81">
        <v>0</v>
      </c>
      <c r="AU985" s="81"/>
      <c r="AV985" s="81"/>
      <c r="AW985" s="81"/>
      <c r="AX985" s="81"/>
      <c r="AY985" s="81"/>
      <c r="AZ985" s="81"/>
      <c r="BA985" s="81"/>
      <c r="BB985" s="81"/>
    </row>
    <row r="986" spans="1:54" x14ac:dyDescent="0.35">
      <c r="A986" s="66" t="s">
        <v>793</v>
      </c>
      <c r="B986" s="66" t="s">
        <v>1127</v>
      </c>
      <c r="C986" s="67"/>
      <c r="D986" s="68"/>
      <c r="E986" s="69"/>
      <c r="F986" s="70"/>
      <c r="G986" s="67"/>
      <c r="H986" s="71"/>
      <c r="I986" s="72"/>
      <c r="J986" s="72"/>
      <c r="K986" s="36"/>
      <c r="L986" s="79"/>
      <c r="M986" s="79"/>
      <c r="N986" s="74"/>
      <c r="O986" s="81" t="s">
        <v>1208</v>
      </c>
      <c r="P986" s="83">
        <v>44463.330694444441</v>
      </c>
      <c r="Q986" s="81" t="s">
        <v>1488</v>
      </c>
      <c r="R986" s="81"/>
      <c r="S986" s="81"/>
      <c r="T986" s="81"/>
      <c r="U986" s="81"/>
      <c r="V986" s="85" t="str">
        <f>HYPERLINK("https://pbs.twimg.com/profile_images/1440971112947486720/9qlGF_9q_normal.jpg")</f>
        <v>https://pbs.twimg.com/profile_images/1440971112947486720/9qlGF_9q_normal.jpg</v>
      </c>
      <c r="W986" s="83">
        <v>44463.330694444441</v>
      </c>
      <c r="X986" s="89">
        <v>44463</v>
      </c>
      <c r="Y986" s="87" t="s">
        <v>2411</v>
      </c>
      <c r="Z986" s="85" t="str">
        <f>HYPERLINK("https://twitter.com/ichihoony/status/1441310484314034197")</f>
        <v>https://twitter.com/ichihoony/status/1441310484314034197</v>
      </c>
      <c r="AA986" s="81"/>
      <c r="AB986" s="81"/>
      <c r="AC986" s="87" t="s">
        <v>3338</v>
      </c>
      <c r="AD986" s="87" t="s">
        <v>3784</v>
      </c>
      <c r="AE986" s="81" t="b">
        <v>0</v>
      </c>
      <c r="AF986" s="81">
        <v>0</v>
      </c>
      <c r="AG986" s="87" t="s">
        <v>4002</v>
      </c>
      <c r="AH986" s="81" t="b">
        <v>0</v>
      </c>
      <c r="AI986" s="81" t="s">
        <v>4092</v>
      </c>
      <c r="AJ986" s="81"/>
      <c r="AK986" s="87" t="s">
        <v>3875</v>
      </c>
      <c r="AL986" s="81" t="b">
        <v>0</v>
      </c>
      <c r="AM986" s="81">
        <v>0</v>
      </c>
      <c r="AN986" s="87" t="s">
        <v>3875</v>
      </c>
      <c r="AO986" s="87" t="s">
        <v>4109</v>
      </c>
      <c r="AP986" s="81" t="b">
        <v>0</v>
      </c>
      <c r="AQ986" s="87" t="s">
        <v>3784</v>
      </c>
      <c r="AR986" s="81" t="s">
        <v>179</v>
      </c>
      <c r="AS986" s="81">
        <v>0</v>
      </c>
      <c r="AT986" s="81">
        <v>0</v>
      </c>
      <c r="AU986" s="81"/>
      <c r="AV986" s="81"/>
      <c r="AW986" s="81"/>
      <c r="AX986" s="81"/>
      <c r="AY986" s="81"/>
      <c r="AZ986" s="81"/>
      <c r="BA986" s="81"/>
      <c r="BB986" s="81"/>
    </row>
    <row r="987" spans="1:54" x14ac:dyDescent="0.35">
      <c r="A987" s="66" t="s">
        <v>793</v>
      </c>
      <c r="B987" s="66" t="s">
        <v>972</v>
      </c>
      <c r="C987" s="67"/>
      <c r="D987" s="68"/>
      <c r="E987" s="69"/>
      <c r="F987" s="70"/>
      <c r="G987" s="67"/>
      <c r="H987" s="71"/>
      <c r="I987" s="72"/>
      <c r="J987" s="72"/>
      <c r="K987" s="36"/>
      <c r="L987" s="79"/>
      <c r="M987" s="79"/>
      <c r="N987" s="74"/>
      <c r="O987" s="81" t="s">
        <v>1206</v>
      </c>
      <c r="P987" s="83">
        <v>44463.330694444441</v>
      </c>
      <c r="Q987" s="81" t="s">
        <v>1488</v>
      </c>
      <c r="R987" s="81"/>
      <c r="S987" s="81"/>
      <c r="T987" s="81"/>
      <c r="U987" s="81"/>
      <c r="V987" s="85" t="str">
        <f>HYPERLINK("https://pbs.twimg.com/profile_images/1440971112947486720/9qlGF_9q_normal.jpg")</f>
        <v>https://pbs.twimg.com/profile_images/1440971112947486720/9qlGF_9q_normal.jpg</v>
      </c>
      <c r="W987" s="83">
        <v>44463.330694444441</v>
      </c>
      <c r="X987" s="89">
        <v>44463</v>
      </c>
      <c r="Y987" s="87" t="s">
        <v>2411</v>
      </c>
      <c r="Z987" s="85" t="str">
        <f>HYPERLINK("https://twitter.com/ichihoony/status/1441310484314034197")</f>
        <v>https://twitter.com/ichihoony/status/1441310484314034197</v>
      </c>
      <c r="AA987" s="81"/>
      <c r="AB987" s="81"/>
      <c r="AC987" s="87" t="s">
        <v>3338</v>
      </c>
      <c r="AD987" s="87" t="s">
        <v>3784</v>
      </c>
      <c r="AE987" s="81" t="b">
        <v>0</v>
      </c>
      <c r="AF987" s="81">
        <v>0</v>
      </c>
      <c r="AG987" s="87" t="s">
        <v>4002</v>
      </c>
      <c r="AH987" s="81" t="b">
        <v>0</v>
      </c>
      <c r="AI987" s="81" t="s">
        <v>4092</v>
      </c>
      <c r="AJ987" s="81"/>
      <c r="AK987" s="87" t="s">
        <v>3875</v>
      </c>
      <c r="AL987" s="81" t="b">
        <v>0</v>
      </c>
      <c r="AM987" s="81">
        <v>0</v>
      </c>
      <c r="AN987" s="87" t="s">
        <v>3875</v>
      </c>
      <c r="AO987" s="87" t="s">
        <v>4109</v>
      </c>
      <c r="AP987" s="81" t="b">
        <v>0</v>
      </c>
      <c r="AQ987" s="87" t="s">
        <v>3784</v>
      </c>
      <c r="AR987" s="81" t="s">
        <v>179</v>
      </c>
      <c r="AS987" s="81">
        <v>0</v>
      </c>
      <c r="AT987" s="81">
        <v>0</v>
      </c>
      <c r="AU987" s="81"/>
      <c r="AV987" s="81"/>
      <c r="AW987" s="81"/>
      <c r="AX987" s="81"/>
      <c r="AY987" s="81"/>
      <c r="AZ987" s="81"/>
      <c r="BA987" s="81"/>
      <c r="BB987" s="81"/>
    </row>
    <row r="988" spans="1:54" x14ac:dyDescent="0.35">
      <c r="A988" s="66" t="s">
        <v>794</v>
      </c>
      <c r="B988" s="66" t="s">
        <v>1128</v>
      </c>
      <c r="C988" s="67"/>
      <c r="D988" s="68"/>
      <c r="E988" s="69"/>
      <c r="F988" s="70"/>
      <c r="G988" s="67"/>
      <c r="H988" s="71"/>
      <c r="I988" s="72"/>
      <c r="J988" s="72"/>
      <c r="K988" s="36"/>
      <c r="L988" s="79"/>
      <c r="M988" s="79"/>
      <c r="N988" s="74"/>
      <c r="O988" s="81" t="s">
        <v>1206</v>
      </c>
      <c r="P988" s="83">
        <v>44049.155381944445</v>
      </c>
      <c r="Q988" s="81" t="s">
        <v>1489</v>
      </c>
      <c r="R988" s="81"/>
      <c r="S988" s="81"/>
      <c r="T988" s="87" t="s">
        <v>1774</v>
      </c>
      <c r="U988" s="85" t="str">
        <f>HYPERLINK("https://pbs.twimg.com/ext_tw_video_thumb/1291218175674073088/pu/img/EwACxOkuw9UidA7z.jpg")</f>
        <v>https://pbs.twimg.com/ext_tw_video_thumb/1291218175674073088/pu/img/EwACxOkuw9UidA7z.jpg</v>
      </c>
      <c r="V988" s="85" t="str">
        <f>HYPERLINK("https://pbs.twimg.com/ext_tw_video_thumb/1291218175674073088/pu/img/EwACxOkuw9UidA7z.jpg")</f>
        <v>https://pbs.twimg.com/ext_tw_video_thumb/1291218175674073088/pu/img/EwACxOkuw9UidA7z.jpg</v>
      </c>
      <c r="W988" s="83">
        <v>44049.155381944445</v>
      </c>
      <c r="X988" s="89">
        <v>44049</v>
      </c>
      <c r="Y988" s="87" t="s">
        <v>2412</v>
      </c>
      <c r="Z988" s="85" t="str">
        <f>HYPERLINK("https://twitter.com/_pln_id/status/1291218378586120192")</f>
        <v>https://twitter.com/_pln_id/status/1291218378586120192</v>
      </c>
      <c r="AA988" s="81"/>
      <c r="AB988" s="81"/>
      <c r="AC988" s="87" t="s">
        <v>3339</v>
      </c>
      <c r="AD988" s="81"/>
      <c r="AE988" s="81" t="b">
        <v>0</v>
      </c>
      <c r="AF988" s="81">
        <v>16</v>
      </c>
      <c r="AG988" s="87" t="s">
        <v>3875</v>
      </c>
      <c r="AH988" s="81" t="b">
        <v>0</v>
      </c>
      <c r="AI988" s="81" t="s">
        <v>4092</v>
      </c>
      <c r="AJ988" s="81"/>
      <c r="AK988" s="87" t="s">
        <v>3875</v>
      </c>
      <c r="AL988" s="81" t="b">
        <v>0</v>
      </c>
      <c r="AM988" s="81">
        <v>49</v>
      </c>
      <c r="AN988" s="87" t="s">
        <v>3875</v>
      </c>
      <c r="AO988" s="87" t="s">
        <v>4109</v>
      </c>
      <c r="AP988" s="81" t="b">
        <v>0</v>
      </c>
      <c r="AQ988" s="87" t="s">
        <v>3339</v>
      </c>
      <c r="AR988" s="81" t="s">
        <v>1205</v>
      </c>
      <c r="AS988" s="81">
        <v>0</v>
      </c>
      <c r="AT988" s="81">
        <v>0</v>
      </c>
      <c r="AU988" s="81"/>
      <c r="AV988" s="81"/>
      <c r="AW988" s="81"/>
      <c r="AX988" s="81"/>
      <c r="AY988" s="81"/>
      <c r="AZ988" s="81"/>
      <c r="BA988" s="81"/>
      <c r="BB988" s="81"/>
    </row>
    <row r="989" spans="1:54" x14ac:dyDescent="0.35">
      <c r="A989" s="66" t="s">
        <v>795</v>
      </c>
      <c r="B989" s="66" t="s">
        <v>1128</v>
      </c>
      <c r="C989" s="67"/>
      <c r="D989" s="68"/>
      <c r="E989" s="69"/>
      <c r="F989" s="70"/>
      <c r="G989" s="67"/>
      <c r="H989" s="71"/>
      <c r="I989" s="72"/>
      <c r="J989" s="72"/>
      <c r="K989" s="36"/>
      <c r="L989" s="79"/>
      <c r="M989" s="79"/>
      <c r="N989" s="74"/>
      <c r="O989" s="81" t="s">
        <v>1207</v>
      </c>
      <c r="P989" s="83">
        <v>44463.367118055554</v>
      </c>
      <c r="Q989" s="81" t="s">
        <v>1489</v>
      </c>
      <c r="R989" s="81"/>
      <c r="S989" s="81"/>
      <c r="T989" s="87" t="s">
        <v>1774</v>
      </c>
      <c r="U989" s="85" t="str">
        <f>HYPERLINK("https://pbs.twimg.com/ext_tw_video_thumb/1291218175674073088/pu/img/EwACxOkuw9UidA7z.jpg")</f>
        <v>https://pbs.twimg.com/ext_tw_video_thumb/1291218175674073088/pu/img/EwACxOkuw9UidA7z.jpg</v>
      </c>
      <c r="V989" s="85" t="str">
        <f>HYPERLINK("https://pbs.twimg.com/ext_tw_video_thumb/1291218175674073088/pu/img/EwACxOkuw9UidA7z.jpg")</f>
        <v>https://pbs.twimg.com/ext_tw_video_thumb/1291218175674073088/pu/img/EwACxOkuw9UidA7z.jpg</v>
      </c>
      <c r="W989" s="83">
        <v>44463.367118055554</v>
      </c>
      <c r="X989" s="89">
        <v>44463</v>
      </c>
      <c r="Y989" s="87" t="s">
        <v>2413</v>
      </c>
      <c r="Z989" s="85" t="str">
        <f>HYPERLINK("https://twitter.com/bennyhutabarat_/status/1441323684916916226")</f>
        <v>https://twitter.com/bennyhutabarat_/status/1441323684916916226</v>
      </c>
      <c r="AA989" s="81"/>
      <c r="AB989" s="81"/>
      <c r="AC989" s="87" t="s">
        <v>3340</v>
      </c>
      <c r="AD989" s="81"/>
      <c r="AE989" s="81" t="b">
        <v>0</v>
      </c>
      <c r="AF989" s="81">
        <v>0</v>
      </c>
      <c r="AG989" s="87" t="s">
        <v>3875</v>
      </c>
      <c r="AH989" s="81" t="b">
        <v>0</v>
      </c>
      <c r="AI989" s="81" t="s">
        <v>4092</v>
      </c>
      <c r="AJ989" s="81"/>
      <c r="AK989" s="87" t="s">
        <v>3875</v>
      </c>
      <c r="AL989" s="81" t="b">
        <v>0</v>
      </c>
      <c r="AM989" s="81">
        <v>49</v>
      </c>
      <c r="AN989" s="87" t="s">
        <v>3339</v>
      </c>
      <c r="AO989" s="87" t="s">
        <v>4109</v>
      </c>
      <c r="AP989" s="81" t="b">
        <v>0</v>
      </c>
      <c r="AQ989" s="87" t="s">
        <v>3339</v>
      </c>
      <c r="AR989" s="81" t="s">
        <v>179</v>
      </c>
      <c r="AS989" s="81">
        <v>0</v>
      </c>
      <c r="AT989" s="81">
        <v>0</v>
      </c>
      <c r="AU989" s="81"/>
      <c r="AV989" s="81"/>
      <c r="AW989" s="81"/>
      <c r="AX989" s="81"/>
      <c r="AY989" s="81"/>
      <c r="AZ989" s="81"/>
      <c r="BA989" s="81"/>
      <c r="BB989" s="81"/>
    </row>
    <row r="990" spans="1:54" x14ac:dyDescent="0.35">
      <c r="A990" s="66" t="s">
        <v>795</v>
      </c>
      <c r="B990" s="66" t="s">
        <v>794</v>
      </c>
      <c r="C990" s="67"/>
      <c r="D990" s="68"/>
      <c r="E990" s="69"/>
      <c r="F990" s="70"/>
      <c r="G990" s="67"/>
      <c r="H990" s="71"/>
      <c r="I990" s="72"/>
      <c r="J990" s="72"/>
      <c r="K990" s="36"/>
      <c r="L990" s="79"/>
      <c r="M990" s="79"/>
      <c r="N990" s="74"/>
      <c r="O990" s="81" t="s">
        <v>1205</v>
      </c>
      <c r="P990" s="83">
        <v>44463.367118055554</v>
      </c>
      <c r="Q990" s="81" t="s">
        <v>1489</v>
      </c>
      <c r="R990" s="81"/>
      <c r="S990" s="81"/>
      <c r="T990" s="87" t="s">
        <v>1774</v>
      </c>
      <c r="U990" s="85" t="str">
        <f>HYPERLINK("https://pbs.twimg.com/ext_tw_video_thumb/1291218175674073088/pu/img/EwACxOkuw9UidA7z.jpg")</f>
        <v>https://pbs.twimg.com/ext_tw_video_thumb/1291218175674073088/pu/img/EwACxOkuw9UidA7z.jpg</v>
      </c>
      <c r="V990" s="85" t="str">
        <f>HYPERLINK("https://pbs.twimg.com/ext_tw_video_thumb/1291218175674073088/pu/img/EwACxOkuw9UidA7z.jpg")</f>
        <v>https://pbs.twimg.com/ext_tw_video_thumb/1291218175674073088/pu/img/EwACxOkuw9UidA7z.jpg</v>
      </c>
      <c r="W990" s="83">
        <v>44463.367118055554</v>
      </c>
      <c r="X990" s="89">
        <v>44463</v>
      </c>
      <c r="Y990" s="87" t="s">
        <v>2413</v>
      </c>
      <c r="Z990" s="85" t="str">
        <f>HYPERLINK("https://twitter.com/bennyhutabarat_/status/1441323684916916226")</f>
        <v>https://twitter.com/bennyhutabarat_/status/1441323684916916226</v>
      </c>
      <c r="AA990" s="81"/>
      <c r="AB990" s="81"/>
      <c r="AC990" s="87" t="s">
        <v>3340</v>
      </c>
      <c r="AD990" s="81"/>
      <c r="AE990" s="81" t="b">
        <v>0</v>
      </c>
      <c r="AF990" s="81">
        <v>0</v>
      </c>
      <c r="AG990" s="87" t="s">
        <v>3875</v>
      </c>
      <c r="AH990" s="81" t="b">
        <v>0</v>
      </c>
      <c r="AI990" s="81" t="s">
        <v>4092</v>
      </c>
      <c r="AJ990" s="81"/>
      <c r="AK990" s="87" t="s">
        <v>3875</v>
      </c>
      <c r="AL990" s="81" t="b">
        <v>0</v>
      </c>
      <c r="AM990" s="81">
        <v>49</v>
      </c>
      <c r="AN990" s="87" t="s">
        <v>3339</v>
      </c>
      <c r="AO990" s="87" t="s">
        <v>4109</v>
      </c>
      <c r="AP990" s="81" t="b">
        <v>0</v>
      </c>
      <c r="AQ990" s="87" t="s">
        <v>3339</v>
      </c>
      <c r="AR990" s="81" t="s">
        <v>179</v>
      </c>
      <c r="AS990" s="81">
        <v>0</v>
      </c>
      <c r="AT990" s="81">
        <v>0</v>
      </c>
      <c r="AU990" s="81"/>
      <c r="AV990" s="81"/>
      <c r="AW990" s="81"/>
      <c r="AX990" s="81"/>
      <c r="AY990" s="81"/>
      <c r="AZ990" s="81"/>
      <c r="BA990" s="81"/>
      <c r="BB990" s="81"/>
    </row>
    <row r="991" spans="1:54" x14ac:dyDescent="0.35">
      <c r="A991" s="66" t="s">
        <v>796</v>
      </c>
      <c r="B991" s="66" t="s">
        <v>1129</v>
      </c>
      <c r="C991" s="67"/>
      <c r="D991" s="68"/>
      <c r="E991" s="69"/>
      <c r="F991" s="70"/>
      <c r="G991" s="67"/>
      <c r="H991" s="71"/>
      <c r="I991" s="72"/>
      <c r="J991" s="72"/>
      <c r="K991" s="36"/>
      <c r="L991" s="79"/>
      <c r="M991" s="79"/>
      <c r="N991" s="74"/>
      <c r="O991" s="81" t="s">
        <v>1206</v>
      </c>
      <c r="P991" s="83">
        <v>44463.376643518517</v>
      </c>
      <c r="Q991" s="81" t="s">
        <v>1490</v>
      </c>
      <c r="R991" s="81"/>
      <c r="S991" s="81"/>
      <c r="T991" s="81"/>
      <c r="U991" s="85" t="str">
        <f>HYPERLINK("https://pbs.twimg.com/media/FACfXIoVUAs4pDF.jpg")</f>
        <v>https://pbs.twimg.com/media/FACfXIoVUAs4pDF.jpg</v>
      </c>
      <c r="V991" s="85" t="str">
        <f>HYPERLINK("https://pbs.twimg.com/media/FACfXIoVUAs4pDF.jpg")</f>
        <v>https://pbs.twimg.com/media/FACfXIoVUAs4pDF.jpg</v>
      </c>
      <c r="W991" s="83">
        <v>44463.376643518517</v>
      </c>
      <c r="X991" s="89">
        <v>44463</v>
      </c>
      <c r="Y991" s="87" t="s">
        <v>2414</v>
      </c>
      <c r="Z991" s="85" t="str">
        <f>HYPERLINK("https://twitter.com/sellysellycat/status/1441327136908853255")</f>
        <v>https://twitter.com/sellysellycat/status/1441327136908853255</v>
      </c>
      <c r="AA991" s="81"/>
      <c r="AB991" s="81"/>
      <c r="AC991" s="87" t="s">
        <v>3341</v>
      </c>
      <c r="AD991" s="87" t="s">
        <v>3785</v>
      </c>
      <c r="AE991" s="81" t="b">
        <v>0</v>
      </c>
      <c r="AF991" s="81">
        <v>0</v>
      </c>
      <c r="AG991" s="87" t="s">
        <v>4003</v>
      </c>
      <c r="AH991" s="81" t="b">
        <v>0</v>
      </c>
      <c r="AI991" s="81" t="s">
        <v>4092</v>
      </c>
      <c r="AJ991" s="81"/>
      <c r="AK991" s="87" t="s">
        <v>3875</v>
      </c>
      <c r="AL991" s="81" t="b">
        <v>0</v>
      </c>
      <c r="AM991" s="81">
        <v>0</v>
      </c>
      <c r="AN991" s="87" t="s">
        <v>3875</v>
      </c>
      <c r="AO991" s="87" t="s">
        <v>4109</v>
      </c>
      <c r="AP991" s="81" t="b">
        <v>0</v>
      </c>
      <c r="AQ991" s="87" t="s">
        <v>3785</v>
      </c>
      <c r="AR991" s="81" t="s">
        <v>179</v>
      </c>
      <c r="AS991" s="81">
        <v>0</v>
      </c>
      <c r="AT991" s="81">
        <v>0</v>
      </c>
      <c r="AU991" s="81"/>
      <c r="AV991" s="81"/>
      <c r="AW991" s="81"/>
      <c r="AX991" s="81"/>
      <c r="AY991" s="81"/>
      <c r="AZ991" s="81"/>
      <c r="BA991" s="81"/>
      <c r="BB991" s="81"/>
    </row>
    <row r="992" spans="1:54" x14ac:dyDescent="0.35">
      <c r="A992" s="66" t="s">
        <v>796</v>
      </c>
      <c r="B992" s="66" t="s">
        <v>1130</v>
      </c>
      <c r="C992" s="67"/>
      <c r="D992" s="68"/>
      <c r="E992" s="69"/>
      <c r="F992" s="70"/>
      <c r="G992" s="67"/>
      <c r="H992" s="71"/>
      <c r="I992" s="72"/>
      <c r="J992" s="72"/>
      <c r="K992" s="36"/>
      <c r="L992" s="79"/>
      <c r="M992" s="79"/>
      <c r="N992" s="74"/>
      <c r="O992" s="81" t="s">
        <v>1206</v>
      </c>
      <c r="P992" s="83">
        <v>44463.376643518517</v>
      </c>
      <c r="Q992" s="81" t="s">
        <v>1490</v>
      </c>
      <c r="R992" s="81"/>
      <c r="S992" s="81"/>
      <c r="T992" s="81"/>
      <c r="U992" s="85" t="str">
        <f>HYPERLINK("https://pbs.twimg.com/media/FACfXIoVUAs4pDF.jpg")</f>
        <v>https://pbs.twimg.com/media/FACfXIoVUAs4pDF.jpg</v>
      </c>
      <c r="V992" s="85" t="str">
        <f>HYPERLINK("https://pbs.twimg.com/media/FACfXIoVUAs4pDF.jpg")</f>
        <v>https://pbs.twimg.com/media/FACfXIoVUAs4pDF.jpg</v>
      </c>
      <c r="W992" s="83">
        <v>44463.376643518517</v>
      </c>
      <c r="X992" s="89">
        <v>44463</v>
      </c>
      <c r="Y992" s="87" t="s">
        <v>2414</v>
      </c>
      <c r="Z992" s="85" t="str">
        <f>HYPERLINK("https://twitter.com/sellysellycat/status/1441327136908853255")</f>
        <v>https://twitter.com/sellysellycat/status/1441327136908853255</v>
      </c>
      <c r="AA992" s="81"/>
      <c r="AB992" s="81"/>
      <c r="AC992" s="87" t="s">
        <v>3341</v>
      </c>
      <c r="AD992" s="87" t="s">
        <v>3785</v>
      </c>
      <c r="AE992" s="81" t="b">
        <v>0</v>
      </c>
      <c r="AF992" s="81">
        <v>0</v>
      </c>
      <c r="AG992" s="87" t="s">
        <v>4003</v>
      </c>
      <c r="AH992" s="81" t="b">
        <v>0</v>
      </c>
      <c r="AI992" s="81" t="s">
        <v>4092</v>
      </c>
      <c r="AJ992" s="81"/>
      <c r="AK992" s="87" t="s">
        <v>3875</v>
      </c>
      <c r="AL992" s="81" t="b">
        <v>0</v>
      </c>
      <c r="AM992" s="81">
        <v>0</v>
      </c>
      <c r="AN992" s="87" t="s">
        <v>3875</v>
      </c>
      <c r="AO992" s="87" t="s">
        <v>4109</v>
      </c>
      <c r="AP992" s="81" t="b">
        <v>0</v>
      </c>
      <c r="AQ992" s="87" t="s">
        <v>3785</v>
      </c>
      <c r="AR992" s="81" t="s">
        <v>179</v>
      </c>
      <c r="AS992" s="81">
        <v>0</v>
      </c>
      <c r="AT992" s="81">
        <v>0</v>
      </c>
      <c r="AU992" s="81"/>
      <c r="AV992" s="81"/>
      <c r="AW992" s="81"/>
      <c r="AX992" s="81"/>
      <c r="AY992" s="81"/>
      <c r="AZ992" s="81"/>
      <c r="BA992" s="81"/>
      <c r="BB992" s="81"/>
    </row>
    <row r="993" spans="1:54" x14ac:dyDescent="0.35">
      <c r="A993" s="66" t="s">
        <v>796</v>
      </c>
      <c r="B993" s="66" t="s">
        <v>1131</v>
      </c>
      <c r="C993" s="67"/>
      <c r="D993" s="68"/>
      <c r="E993" s="69"/>
      <c r="F993" s="70"/>
      <c r="G993" s="67"/>
      <c r="H993" s="71"/>
      <c r="I993" s="72"/>
      <c r="J993" s="72"/>
      <c r="K993" s="36"/>
      <c r="L993" s="79"/>
      <c r="M993" s="79"/>
      <c r="N993" s="74"/>
      <c r="O993" s="81" t="s">
        <v>1206</v>
      </c>
      <c r="P993" s="83">
        <v>44463.376643518517</v>
      </c>
      <c r="Q993" s="81" t="s">
        <v>1490</v>
      </c>
      <c r="R993" s="81"/>
      <c r="S993" s="81"/>
      <c r="T993" s="81"/>
      <c r="U993" s="85" t="str">
        <f>HYPERLINK("https://pbs.twimg.com/media/FACfXIoVUAs4pDF.jpg")</f>
        <v>https://pbs.twimg.com/media/FACfXIoVUAs4pDF.jpg</v>
      </c>
      <c r="V993" s="85" t="str">
        <f>HYPERLINK("https://pbs.twimg.com/media/FACfXIoVUAs4pDF.jpg")</f>
        <v>https://pbs.twimg.com/media/FACfXIoVUAs4pDF.jpg</v>
      </c>
      <c r="W993" s="83">
        <v>44463.376643518517</v>
      </c>
      <c r="X993" s="89">
        <v>44463</v>
      </c>
      <c r="Y993" s="87" t="s">
        <v>2414</v>
      </c>
      <c r="Z993" s="85" t="str">
        <f>HYPERLINK("https://twitter.com/sellysellycat/status/1441327136908853255")</f>
        <v>https://twitter.com/sellysellycat/status/1441327136908853255</v>
      </c>
      <c r="AA993" s="81"/>
      <c r="AB993" s="81"/>
      <c r="AC993" s="87" t="s">
        <v>3341</v>
      </c>
      <c r="AD993" s="87" t="s">
        <v>3785</v>
      </c>
      <c r="AE993" s="81" t="b">
        <v>0</v>
      </c>
      <c r="AF993" s="81">
        <v>0</v>
      </c>
      <c r="AG993" s="87" t="s">
        <v>4003</v>
      </c>
      <c r="AH993" s="81" t="b">
        <v>0</v>
      </c>
      <c r="AI993" s="81" t="s">
        <v>4092</v>
      </c>
      <c r="AJ993" s="81"/>
      <c r="AK993" s="87" t="s">
        <v>3875</v>
      </c>
      <c r="AL993" s="81" t="b">
        <v>0</v>
      </c>
      <c r="AM993" s="81">
        <v>0</v>
      </c>
      <c r="AN993" s="87" t="s">
        <v>3875</v>
      </c>
      <c r="AO993" s="87" t="s">
        <v>4109</v>
      </c>
      <c r="AP993" s="81" t="b">
        <v>0</v>
      </c>
      <c r="AQ993" s="87" t="s">
        <v>3785</v>
      </c>
      <c r="AR993" s="81" t="s">
        <v>179</v>
      </c>
      <c r="AS993" s="81">
        <v>0</v>
      </c>
      <c r="AT993" s="81">
        <v>0</v>
      </c>
      <c r="AU993" s="81"/>
      <c r="AV993" s="81"/>
      <c r="AW993" s="81"/>
      <c r="AX993" s="81"/>
      <c r="AY993" s="81"/>
      <c r="AZ993" s="81"/>
      <c r="BA993" s="81"/>
      <c r="BB993" s="81"/>
    </row>
    <row r="994" spans="1:54" x14ac:dyDescent="0.35">
      <c r="A994" s="66" t="s">
        <v>796</v>
      </c>
      <c r="B994" s="66" t="s">
        <v>1132</v>
      </c>
      <c r="C994" s="67"/>
      <c r="D994" s="68"/>
      <c r="E994" s="69"/>
      <c r="F994" s="70"/>
      <c r="G994" s="67"/>
      <c r="H994" s="71"/>
      <c r="I994" s="72"/>
      <c r="J994" s="72"/>
      <c r="K994" s="36"/>
      <c r="L994" s="79"/>
      <c r="M994" s="79"/>
      <c r="N994" s="74"/>
      <c r="O994" s="81" t="s">
        <v>1208</v>
      </c>
      <c r="P994" s="83">
        <v>44463.376643518517</v>
      </c>
      <c r="Q994" s="81" t="s">
        <v>1490</v>
      </c>
      <c r="R994" s="81"/>
      <c r="S994" s="81"/>
      <c r="T994" s="81"/>
      <c r="U994" s="85" t="str">
        <f>HYPERLINK("https://pbs.twimg.com/media/FACfXIoVUAs4pDF.jpg")</f>
        <v>https://pbs.twimg.com/media/FACfXIoVUAs4pDF.jpg</v>
      </c>
      <c r="V994" s="85" t="str">
        <f>HYPERLINK("https://pbs.twimg.com/media/FACfXIoVUAs4pDF.jpg")</f>
        <v>https://pbs.twimg.com/media/FACfXIoVUAs4pDF.jpg</v>
      </c>
      <c r="W994" s="83">
        <v>44463.376643518517</v>
      </c>
      <c r="X994" s="89">
        <v>44463</v>
      </c>
      <c r="Y994" s="87" t="s">
        <v>2414</v>
      </c>
      <c r="Z994" s="85" t="str">
        <f>HYPERLINK("https://twitter.com/sellysellycat/status/1441327136908853255")</f>
        <v>https://twitter.com/sellysellycat/status/1441327136908853255</v>
      </c>
      <c r="AA994" s="81"/>
      <c r="AB994" s="81"/>
      <c r="AC994" s="87" t="s">
        <v>3341</v>
      </c>
      <c r="AD994" s="87" t="s">
        <v>3785</v>
      </c>
      <c r="AE994" s="81" t="b">
        <v>0</v>
      </c>
      <c r="AF994" s="81">
        <v>0</v>
      </c>
      <c r="AG994" s="87" t="s">
        <v>4003</v>
      </c>
      <c r="AH994" s="81" t="b">
        <v>0</v>
      </c>
      <c r="AI994" s="81" t="s">
        <v>4092</v>
      </c>
      <c r="AJ994" s="81"/>
      <c r="AK994" s="87" t="s">
        <v>3875</v>
      </c>
      <c r="AL994" s="81" t="b">
        <v>0</v>
      </c>
      <c r="AM994" s="81">
        <v>0</v>
      </c>
      <c r="AN994" s="87" t="s">
        <v>3875</v>
      </c>
      <c r="AO994" s="87" t="s">
        <v>4109</v>
      </c>
      <c r="AP994" s="81" t="b">
        <v>0</v>
      </c>
      <c r="AQ994" s="87" t="s">
        <v>3785</v>
      </c>
      <c r="AR994" s="81" t="s">
        <v>179</v>
      </c>
      <c r="AS994" s="81">
        <v>0</v>
      </c>
      <c r="AT994" s="81">
        <v>0</v>
      </c>
      <c r="AU994" s="81"/>
      <c r="AV994" s="81"/>
      <c r="AW994" s="81"/>
      <c r="AX994" s="81"/>
      <c r="AY994" s="81"/>
      <c r="AZ994" s="81"/>
      <c r="BA994" s="81"/>
      <c r="BB994" s="81"/>
    </row>
    <row r="995" spans="1:54" x14ac:dyDescent="0.35">
      <c r="A995" s="66" t="s">
        <v>797</v>
      </c>
      <c r="B995" s="66" t="s">
        <v>797</v>
      </c>
      <c r="C995" s="67"/>
      <c r="D995" s="68"/>
      <c r="E995" s="69"/>
      <c r="F995" s="70"/>
      <c r="G995" s="67"/>
      <c r="H995" s="71"/>
      <c r="I995" s="72"/>
      <c r="J995" s="72"/>
      <c r="K995" s="36"/>
      <c r="L995" s="79"/>
      <c r="M995" s="79"/>
      <c r="N995" s="74"/>
      <c r="O995" s="81" t="s">
        <v>179</v>
      </c>
      <c r="P995" s="83">
        <v>44463.378506944442</v>
      </c>
      <c r="Q995" s="81" t="s">
        <v>1491</v>
      </c>
      <c r="R995" s="81"/>
      <c r="S995" s="81"/>
      <c r="T995" s="81"/>
      <c r="U995" s="81"/>
      <c r="V995" s="85" t="str">
        <f>HYPERLINK("https://pbs.twimg.com/profile_images/1361100945770246147/c29546Kl_normal.jpg")</f>
        <v>https://pbs.twimg.com/profile_images/1361100945770246147/c29546Kl_normal.jpg</v>
      </c>
      <c r="W995" s="83">
        <v>44463.378506944442</v>
      </c>
      <c r="X995" s="89">
        <v>44463</v>
      </c>
      <c r="Y995" s="87" t="s">
        <v>2415</v>
      </c>
      <c r="Z995" s="85" t="str">
        <f>HYPERLINK("https://twitter.com/innieino/status/1441327809834536971")</f>
        <v>https://twitter.com/innieino/status/1441327809834536971</v>
      </c>
      <c r="AA995" s="81"/>
      <c r="AB995" s="81"/>
      <c r="AC995" s="87" t="s">
        <v>3342</v>
      </c>
      <c r="AD995" s="87" t="s">
        <v>3786</v>
      </c>
      <c r="AE995" s="81" t="b">
        <v>0</v>
      </c>
      <c r="AF995" s="81">
        <v>1</v>
      </c>
      <c r="AG995" s="87" t="s">
        <v>4004</v>
      </c>
      <c r="AH995" s="81" t="b">
        <v>0</v>
      </c>
      <c r="AI995" s="81" t="s">
        <v>4092</v>
      </c>
      <c r="AJ995" s="81"/>
      <c r="AK995" s="87" t="s">
        <v>3875</v>
      </c>
      <c r="AL995" s="81" t="b">
        <v>0</v>
      </c>
      <c r="AM995" s="81">
        <v>0</v>
      </c>
      <c r="AN995" s="87" t="s">
        <v>3875</v>
      </c>
      <c r="AO995" s="87" t="s">
        <v>4110</v>
      </c>
      <c r="AP995" s="81" t="b">
        <v>0</v>
      </c>
      <c r="AQ995" s="87" t="s">
        <v>3786</v>
      </c>
      <c r="AR995" s="81" t="s">
        <v>179</v>
      </c>
      <c r="AS995" s="81">
        <v>0</v>
      </c>
      <c r="AT995" s="81">
        <v>0</v>
      </c>
      <c r="AU995" s="81"/>
      <c r="AV995" s="81"/>
      <c r="AW995" s="81"/>
      <c r="AX995" s="81"/>
      <c r="AY995" s="81"/>
      <c r="AZ995" s="81"/>
      <c r="BA995" s="81"/>
      <c r="BB995" s="81"/>
    </row>
    <row r="996" spans="1:54" x14ac:dyDescent="0.35">
      <c r="A996" s="66" t="s">
        <v>798</v>
      </c>
      <c r="B996" s="66" t="s">
        <v>798</v>
      </c>
      <c r="C996" s="67"/>
      <c r="D996" s="68"/>
      <c r="E996" s="69"/>
      <c r="F996" s="70"/>
      <c r="G996" s="67"/>
      <c r="H996" s="71"/>
      <c r="I996" s="72"/>
      <c r="J996" s="72"/>
      <c r="K996" s="36"/>
      <c r="L996" s="79"/>
      <c r="M996" s="79"/>
      <c r="N996" s="74"/>
      <c r="O996" s="81" t="s">
        <v>179</v>
      </c>
      <c r="P996" s="83">
        <v>44463.385625000003</v>
      </c>
      <c r="Q996" s="81" t="s">
        <v>1492</v>
      </c>
      <c r="R996" s="81"/>
      <c r="S996" s="81"/>
      <c r="T996" s="81"/>
      <c r="U996" s="81"/>
      <c r="V996" s="85" t="str">
        <f>HYPERLINK("https://pbs.twimg.com/profile_images/1331139434444558343/pStZTKq9_normal.png")</f>
        <v>https://pbs.twimg.com/profile_images/1331139434444558343/pStZTKq9_normal.png</v>
      </c>
      <c r="W996" s="83">
        <v>44463.385625000003</v>
      </c>
      <c r="X996" s="89">
        <v>44463</v>
      </c>
      <c r="Y996" s="87" t="s">
        <v>2416</v>
      </c>
      <c r="Z996" s="85" t="str">
        <f>HYPERLINK("https://twitter.com/lilboyhongjoong/status/1441330391663595533")</f>
        <v>https://twitter.com/lilboyhongjoong/status/1441330391663595533</v>
      </c>
      <c r="AA996" s="81"/>
      <c r="AB996" s="81"/>
      <c r="AC996" s="87" t="s">
        <v>3343</v>
      </c>
      <c r="AD996" s="81"/>
      <c r="AE996" s="81" t="b">
        <v>0</v>
      </c>
      <c r="AF996" s="81">
        <v>0</v>
      </c>
      <c r="AG996" s="87" t="s">
        <v>3875</v>
      </c>
      <c r="AH996" s="81" t="b">
        <v>0</v>
      </c>
      <c r="AI996" s="81" t="s">
        <v>4092</v>
      </c>
      <c r="AJ996" s="81"/>
      <c r="AK996" s="87" t="s">
        <v>3875</v>
      </c>
      <c r="AL996" s="81" t="b">
        <v>0</v>
      </c>
      <c r="AM996" s="81">
        <v>0</v>
      </c>
      <c r="AN996" s="87" t="s">
        <v>3875</v>
      </c>
      <c r="AO996" s="87" t="s">
        <v>4109</v>
      </c>
      <c r="AP996" s="81" t="b">
        <v>0</v>
      </c>
      <c r="AQ996" s="87" t="s">
        <v>3343</v>
      </c>
      <c r="AR996" s="81" t="s">
        <v>179</v>
      </c>
      <c r="AS996" s="81">
        <v>0</v>
      </c>
      <c r="AT996" s="81">
        <v>0</v>
      </c>
      <c r="AU996" s="81"/>
      <c r="AV996" s="81"/>
      <c r="AW996" s="81"/>
      <c r="AX996" s="81"/>
      <c r="AY996" s="81"/>
      <c r="AZ996" s="81"/>
      <c r="BA996" s="81"/>
      <c r="BB996" s="81"/>
    </row>
    <row r="997" spans="1:54" x14ac:dyDescent="0.35">
      <c r="A997" s="66" t="s">
        <v>798</v>
      </c>
      <c r="B997" s="66" t="s">
        <v>798</v>
      </c>
      <c r="C997" s="67"/>
      <c r="D997" s="68"/>
      <c r="E997" s="69"/>
      <c r="F997" s="70"/>
      <c r="G997" s="67"/>
      <c r="H997" s="71"/>
      <c r="I997" s="72"/>
      <c r="J997" s="72"/>
      <c r="K997" s="36"/>
      <c r="L997" s="79"/>
      <c r="M997" s="79"/>
      <c r="N997" s="74"/>
      <c r="O997" s="81" t="s">
        <v>179</v>
      </c>
      <c r="P997" s="83">
        <v>44463.388240740744</v>
      </c>
      <c r="Q997" s="81" t="s">
        <v>1493</v>
      </c>
      <c r="R997" s="81"/>
      <c r="S997" s="81"/>
      <c r="T997" s="81"/>
      <c r="U997" s="81"/>
      <c r="V997" s="85" t="str">
        <f>HYPERLINK("https://pbs.twimg.com/profile_images/1331139434444558343/pStZTKq9_normal.png")</f>
        <v>https://pbs.twimg.com/profile_images/1331139434444558343/pStZTKq9_normal.png</v>
      </c>
      <c r="W997" s="83">
        <v>44463.388240740744</v>
      </c>
      <c r="X997" s="89">
        <v>44463</v>
      </c>
      <c r="Y997" s="87" t="s">
        <v>2417</v>
      </c>
      <c r="Z997" s="85" t="str">
        <f>HYPERLINK("https://twitter.com/lilboyhongjoong/status/1441331338007613448")</f>
        <v>https://twitter.com/lilboyhongjoong/status/1441331338007613448</v>
      </c>
      <c r="AA997" s="81"/>
      <c r="AB997" s="81"/>
      <c r="AC997" s="87" t="s">
        <v>3344</v>
      </c>
      <c r="AD997" s="81"/>
      <c r="AE997" s="81" t="b">
        <v>0</v>
      </c>
      <c r="AF997" s="81">
        <v>0</v>
      </c>
      <c r="AG997" s="87" t="s">
        <v>3875</v>
      </c>
      <c r="AH997" s="81" t="b">
        <v>0</v>
      </c>
      <c r="AI997" s="81" t="s">
        <v>4092</v>
      </c>
      <c r="AJ997" s="81"/>
      <c r="AK997" s="87" t="s">
        <v>3875</v>
      </c>
      <c r="AL997" s="81" t="b">
        <v>0</v>
      </c>
      <c r="AM997" s="81">
        <v>0</v>
      </c>
      <c r="AN997" s="87" t="s">
        <v>3875</v>
      </c>
      <c r="AO997" s="87" t="s">
        <v>4109</v>
      </c>
      <c r="AP997" s="81" t="b">
        <v>0</v>
      </c>
      <c r="AQ997" s="87" t="s">
        <v>3344</v>
      </c>
      <c r="AR997" s="81" t="s">
        <v>179</v>
      </c>
      <c r="AS997" s="81">
        <v>0</v>
      </c>
      <c r="AT997" s="81">
        <v>0</v>
      </c>
      <c r="AU997" s="81"/>
      <c r="AV997" s="81"/>
      <c r="AW997" s="81"/>
      <c r="AX997" s="81"/>
      <c r="AY997" s="81"/>
      <c r="AZ997" s="81"/>
      <c r="BA997" s="81"/>
      <c r="BB997" s="81"/>
    </row>
    <row r="998" spans="1:54" x14ac:dyDescent="0.35">
      <c r="A998" s="66" t="s">
        <v>799</v>
      </c>
      <c r="B998" s="66" t="s">
        <v>799</v>
      </c>
      <c r="C998" s="67"/>
      <c r="D998" s="68"/>
      <c r="E998" s="69"/>
      <c r="F998" s="70"/>
      <c r="G998" s="67"/>
      <c r="H998" s="71"/>
      <c r="I998" s="72"/>
      <c r="J998" s="72"/>
      <c r="K998" s="36"/>
      <c r="L998" s="79"/>
      <c r="M998" s="79"/>
      <c r="N998" s="74"/>
      <c r="O998" s="81" t="s">
        <v>179</v>
      </c>
      <c r="P998" s="83">
        <v>44463.395277777781</v>
      </c>
      <c r="Q998" s="81" t="s">
        <v>1494</v>
      </c>
      <c r="R998" s="85" t="str">
        <f>HYPERLINK("https://www.instagram.com/p/CUMwoHRhbCO/?utm_medium=twitter")</f>
        <v>https://www.instagram.com/p/CUMwoHRhbCO/?utm_medium=twitter</v>
      </c>
      <c r="S998" s="81" t="s">
        <v>1736</v>
      </c>
      <c r="T998" s="81"/>
      <c r="U998" s="81"/>
      <c r="V998" s="85" t="str">
        <f>HYPERLINK("https://pbs.twimg.com/profile_images/1279956579417088000/Eu1W4pnG_normal.jpg")</f>
        <v>https://pbs.twimg.com/profile_images/1279956579417088000/Eu1W4pnG_normal.jpg</v>
      </c>
      <c r="W998" s="83">
        <v>44463.395277777781</v>
      </c>
      <c r="X998" s="89">
        <v>44463</v>
      </c>
      <c r="Y998" s="87" t="s">
        <v>2418</v>
      </c>
      <c r="Z998" s="85" t="str">
        <f>HYPERLINK("https://twitter.com/bpkp_bengkulu/status/1441333887838261250")</f>
        <v>https://twitter.com/bpkp_bengkulu/status/1441333887838261250</v>
      </c>
      <c r="AA998" s="81"/>
      <c r="AB998" s="81"/>
      <c r="AC998" s="87" t="s">
        <v>3345</v>
      </c>
      <c r="AD998" s="81"/>
      <c r="AE998" s="81" t="b">
        <v>0</v>
      </c>
      <c r="AF998" s="81">
        <v>0</v>
      </c>
      <c r="AG998" s="87" t="s">
        <v>3875</v>
      </c>
      <c r="AH998" s="81" t="b">
        <v>0</v>
      </c>
      <c r="AI998" s="81" t="s">
        <v>4092</v>
      </c>
      <c r="AJ998" s="81"/>
      <c r="AK998" s="87" t="s">
        <v>3875</v>
      </c>
      <c r="AL998" s="81" t="b">
        <v>0</v>
      </c>
      <c r="AM998" s="81">
        <v>0</v>
      </c>
      <c r="AN998" s="87" t="s">
        <v>3875</v>
      </c>
      <c r="AO998" s="87" t="s">
        <v>4117</v>
      </c>
      <c r="AP998" s="81" t="b">
        <v>0</v>
      </c>
      <c r="AQ998" s="87" t="s">
        <v>3345</v>
      </c>
      <c r="AR998" s="81" t="s">
        <v>179</v>
      </c>
      <c r="AS998" s="81">
        <v>0</v>
      </c>
      <c r="AT998" s="81">
        <v>0</v>
      </c>
      <c r="AU998" s="81"/>
      <c r="AV998" s="81"/>
      <c r="AW998" s="81"/>
      <c r="AX998" s="81"/>
      <c r="AY998" s="81"/>
      <c r="AZ998" s="81"/>
      <c r="BA998" s="81"/>
      <c r="BB998" s="81"/>
    </row>
    <row r="999" spans="1:54" x14ac:dyDescent="0.35">
      <c r="A999" s="66" t="s">
        <v>800</v>
      </c>
      <c r="B999" s="66" t="s">
        <v>1133</v>
      </c>
      <c r="C999" s="67"/>
      <c r="D999" s="68"/>
      <c r="E999" s="69"/>
      <c r="F999" s="70"/>
      <c r="G999" s="67"/>
      <c r="H999" s="71"/>
      <c r="I999" s="72"/>
      <c r="J999" s="72"/>
      <c r="K999" s="36"/>
      <c r="L999" s="79"/>
      <c r="M999" s="79"/>
      <c r="N999" s="74"/>
      <c r="O999" s="81" t="s">
        <v>1206</v>
      </c>
      <c r="P999" s="83">
        <v>44463.436076388891</v>
      </c>
      <c r="Q999" s="81" t="s">
        <v>1495</v>
      </c>
      <c r="R999" s="81"/>
      <c r="S999" s="81"/>
      <c r="T999" s="81"/>
      <c r="U999" s="85" t="str">
        <f>HYPERLINK("https://pbs.twimg.com/media/FACy-wfUcAISFvu.jpg")</f>
        <v>https://pbs.twimg.com/media/FACy-wfUcAISFvu.jpg</v>
      </c>
      <c r="V999" s="85" t="str">
        <f>HYPERLINK("https://pbs.twimg.com/media/FACy-wfUcAISFvu.jpg")</f>
        <v>https://pbs.twimg.com/media/FACy-wfUcAISFvu.jpg</v>
      </c>
      <c r="W999" s="83">
        <v>44463.436076388891</v>
      </c>
      <c r="X999" s="89">
        <v>44463</v>
      </c>
      <c r="Y999" s="87" t="s">
        <v>2419</v>
      </c>
      <c r="Z999" s="85" t="str">
        <f>HYPERLINK("https://twitter.com/distanbunjateng/status/1441348674605355011")</f>
        <v>https://twitter.com/distanbunjateng/status/1441348674605355011</v>
      </c>
      <c r="AA999" s="81"/>
      <c r="AB999" s="81"/>
      <c r="AC999" s="87" t="s">
        <v>3346</v>
      </c>
      <c r="AD999" s="87" t="s">
        <v>3787</v>
      </c>
      <c r="AE999" s="81" t="b">
        <v>0</v>
      </c>
      <c r="AF999" s="81">
        <v>0</v>
      </c>
      <c r="AG999" s="87" t="s">
        <v>4005</v>
      </c>
      <c r="AH999" s="81" t="b">
        <v>0</v>
      </c>
      <c r="AI999" s="81" t="s">
        <v>4092</v>
      </c>
      <c r="AJ999" s="81"/>
      <c r="AK999" s="87" t="s">
        <v>3875</v>
      </c>
      <c r="AL999" s="81" t="b">
        <v>0</v>
      </c>
      <c r="AM999" s="81">
        <v>0</v>
      </c>
      <c r="AN999" s="87" t="s">
        <v>3875</v>
      </c>
      <c r="AO999" s="87" t="s">
        <v>4109</v>
      </c>
      <c r="AP999" s="81" t="b">
        <v>0</v>
      </c>
      <c r="AQ999" s="87" t="s">
        <v>3787</v>
      </c>
      <c r="AR999" s="81" t="s">
        <v>179</v>
      </c>
      <c r="AS999" s="81">
        <v>0</v>
      </c>
      <c r="AT999" s="81">
        <v>0</v>
      </c>
      <c r="AU999" s="81"/>
      <c r="AV999" s="81"/>
      <c r="AW999" s="81"/>
      <c r="AX999" s="81"/>
      <c r="AY999" s="81"/>
      <c r="AZ999" s="81"/>
      <c r="BA999" s="81"/>
      <c r="BB999" s="81"/>
    </row>
    <row r="1000" spans="1:54" x14ac:dyDescent="0.35">
      <c r="A1000" s="66" t="s">
        <v>800</v>
      </c>
      <c r="B1000" s="66" t="s">
        <v>1134</v>
      </c>
      <c r="C1000" s="67"/>
      <c r="D1000" s="68"/>
      <c r="E1000" s="69"/>
      <c r="F1000" s="70"/>
      <c r="G1000" s="67"/>
      <c r="H1000" s="71"/>
      <c r="I1000" s="72"/>
      <c r="J1000" s="72"/>
      <c r="K1000" s="36"/>
      <c r="L1000" s="79"/>
      <c r="M1000" s="79"/>
      <c r="N1000" s="74"/>
      <c r="O1000" s="81" t="s">
        <v>1206</v>
      </c>
      <c r="P1000" s="83">
        <v>44463.436076388891</v>
      </c>
      <c r="Q1000" s="81" t="s">
        <v>1495</v>
      </c>
      <c r="R1000" s="81"/>
      <c r="S1000" s="81"/>
      <c r="T1000" s="81"/>
      <c r="U1000" s="85" t="str">
        <f>HYPERLINK("https://pbs.twimg.com/media/FACy-wfUcAISFvu.jpg")</f>
        <v>https://pbs.twimg.com/media/FACy-wfUcAISFvu.jpg</v>
      </c>
      <c r="V1000" s="85" t="str">
        <f>HYPERLINK("https://pbs.twimg.com/media/FACy-wfUcAISFvu.jpg")</f>
        <v>https://pbs.twimg.com/media/FACy-wfUcAISFvu.jpg</v>
      </c>
      <c r="W1000" s="83">
        <v>44463.436076388891</v>
      </c>
      <c r="X1000" s="89">
        <v>44463</v>
      </c>
      <c r="Y1000" s="87" t="s">
        <v>2419</v>
      </c>
      <c r="Z1000" s="85" t="str">
        <f>HYPERLINK("https://twitter.com/distanbunjateng/status/1441348674605355011")</f>
        <v>https://twitter.com/distanbunjateng/status/1441348674605355011</v>
      </c>
      <c r="AA1000" s="81"/>
      <c r="AB1000" s="81"/>
      <c r="AC1000" s="87" t="s">
        <v>3346</v>
      </c>
      <c r="AD1000" s="87" t="s">
        <v>3787</v>
      </c>
      <c r="AE1000" s="81" t="b">
        <v>0</v>
      </c>
      <c r="AF1000" s="81">
        <v>0</v>
      </c>
      <c r="AG1000" s="87" t="s">
        <v>4005</v>
      </c>
      <c r="AH1000" s="81" t="b">
        <v>0</v>
      </c>
      <c r="AI1000" s="81" t="s">
        <v>4092</v>
      </c>
      <c r="AJ1000" s="81"/>
      <c r="AK1000" s="87" t="s">
        <v>3875</v>
      </c>
      <c r="AL1000" s="81" t="b">
        <v>0</v>
      </c>
      <c r="AM1000" s="81">
        <v>0</v>
      </c>
      <c r="AN1000" s="87" t="s">
        <v>3875</v>
      </c>
      <c r="AO1000" s="87" t="s">
        <v>4109</v>
      </c>
      <c r="AP1000" s="81" t="b">
        <v>0</v>
      </c>
      <c r="AQ1000" s="87" t="s">
        <v>3787</v>
      </c>
      <c r="AR1000" s="81" t="s">
        <v>179</v>
      </c>
      <c r="AS1000" s="81">
        <v>0</v>
      </c>
      <c r="AT1000" s="81">
        <v>0</v>
      </c>
      <c r="AU1000" s="81"/>
      <c r="AV1000" s="81"/>
      <c r="AW1000" s="81"/>
      <c r="AX1000" s="81"/>
      <c r="AY1000" s="81"/>
      <c r="AZ1000" s="81"/>
      <c r="BA1000" s="81"/>
      <c r="BB1000" s="81"/>
    </row>
    <row r="1001" spans="1:54" x14ac:dyDescent="0.35">
      <c r="A1001" s="66" t="s">
        <v>800</v>
      </c>
      <c r="B1001" s="66" t="s">
        <v>1135</v>
      </c>
      <c r="C1001" s="67"/>
      <c r="D1001" s="68"/>
      <c r="E1001" s="69"/>
      <c r="F1001" s="70"/>
      <c r="G1001" s="67"/>
      <c r="H1001" s="71"/>
      <c r="I1001" s="72"/>
      <c r="J1001" s="72"/>
      <c r="K1001" s="36"/>
      <c r="L1001" s="79"/>
      <c r="M1001" s="79"/>
      <c r="N1001" s="74"/>
      <c r="O1001" s="81" t="s">
        <v>1206</v>
      </c>
      <c r="P1001" s="83">
        <v>44463.436076388891</v>
      </c>
      <c r="Q1001" s="81" t="s">
        <v>1495</v>
      </c>
      <c r="R1001" s="81"/>
      <c r="S1001" s="81"/>
      <c r="T1001" s="81"/>
      <c r="U1001" s="85" t="str">
        <f>HYPERLINK("https://pbs.twimg.com/media/FACy-wfUcAISFvu.jpg")</f>
        <v>https://pbs.twimg.com/media/FACy-wfUcAISFvu.jpg</v>
      </c>
      <c r="V1001" s="85" t="str">
        <f>HYPERLINK("https://pbs.twimg.com/media/FACy-wfUcAISFvu.jpg")</f>
        <v>https://pbs.twimg.com/media/FACy-wfUcAISFvu.jpg</v>
      </c>
      <c r="W1001" s="83">
        <v>44463.436076388891</v>
      </c>
      <c r="X1001" s="89">
        <v>44463</v>
      </c>
      <c r="Y1001" s="87" t="s">
        <v>2419</v>
      </c>
      <c r="Z1001" s="85" t="str">
        <f>HYPERLINK("https://twitter.com/distanbunjateng/status/1441348674605355011")</f>
        <v>https://twitter.com/distanbunjateng/status/1441348674605355011</v>
      </c>
      <c r="AA1001" s="81"/>
      <c r="AB1001" s="81"/>
      <c r="AC1001" s="87" t="s">
        <v>3346</v>
      </c>
      <c r="AD1001" s="87" t="s">
        <v>3787</v>
      </c>
      <c r="AE1001" s="81" t="b">
        <v>0</v>
      </c>
      <c r="AF1001" s="81">
        <v>0</v>
      </c>
      <c r="AG1001" s="87" t="s">
        <v>4005</v>
      </c>
      <c r="AH1001" s="81" t="b">
        <v>0</v>
      </c>
      <c r="AI1001" s="81" t="s">
        <v>4092</v>
      </c>
      <c r="AJ1001" s="81"/>
      <c r="AK1001" s="87" t="s">
        <v>3875</v>
      </c>
      <c r="AL1001" s="81" t="b">
        <v>0</v>
      </c>
      <c r="AM1001" s="81">
        <v>0</v>
      </c>
      <c r="AN1001" s="87" t="s">
        <v>3875</v>
      </c>
      <c r="AO1001" s="87" t="s">
        <v>4109</v>
      </c>
      <c r="AP1001" s="81" t="b">
        <v>0</v>
      </c>
      <c r="AQ1001" s="87" t="s">
        <v>3787</v>
      </c>
      <c r="AR1001" s="81" t="s">
        <v>179</v>
      </c>
      <c r="AS1001" s="81">
        <v>0</v>
      </c>
      <c r="AT1001" s="81">
        <v>0</v>
      </c>
      <c r="AU1001" s="81"/>
      <c r="AV1001" s="81"/>
      <c r="AW1001" s="81"/>
      <c r="AX1001" s="81"/>
      <c r="AY1001" s="81"/>
      <c r="AZ1001" s="81"/>
      <c r="BA1001" s="81"/>
      <c r="BB1001" s="81"/>
    </row>
    <row r="1002" spans="1:54" x14ac:dyDescent="0.35">
      <c r="A1002" s="66" t="s">
        <v>800</v>
      </c>
      <c r="B1002" s="66" t="s">
        <v>1136</v>
      </c>
      <c r="C1002" s="67"/>
      <c r="D1002" s="68"/>
      <c r="E1002" s="69"/>
      <c r="F1002" s="70"/>
      <c r="G1002" s="67"/>
      <c r="H1002" s="71"/>
      <c r="I1002" s="72"/>
      <c r="J1002" s="72"/>
      <c r="K1002" s="36"/>
      <c r="L1002" s="79"/>
      <c r="M1002" s="79"/>
      <c r="N1002" s="74"/>
      <c r="O1002" s="81" t="s">
        <v>1208</v>
      </c>
      <c r="P1002" s="83">
        <v>44463.436076388891</v>
      </c>
      <c r="Q1002" s="81" t="s">
        <v>1495</v>
      </c>
      <c r="R1002" s="81"/>
      <c r="S1002" s="81"/>
      <c r="T1002" s="81"/>
      <c r="U1002" s="85" t="str">
        <f>HYPERLINK("https://pbs.twimg.com/media/FACy-wfUcAISFvu.jpg")</f>
        <v>https://pbs.twimg.com/media/FACy-wfUcAISFvu.jpg</v>
      </c>
      <c r="V1002" s="85" t="str">
        <f>HYPERLINK("https://pbs.twimg.com/media/FACy-wfUcAISFvu.jpg")</f>
        <v>https://pbs.twimg.com/media/FACy-wfUcAISFvu.jpg</v>
      </c>
      <c r="W1002" s="83">
        <v>44463.436076388891</v>
      </c>
      <c r="X1002" s="89">
        <v>44463</v>
      </c>
      <c r="Y1002" s="87" t="s">
        <v>2419</v>
      </c>
      <c r="Z1002" s="85" t="str">
        <f>HYPERLINK("https://twitter.com/distanbunjateng/status/1441348674605355011")</f>
        <v>https://twitter.com/distanbunjateng/status/1441348674605355011</v>
      </c>
      <c r="AA1002" s="81"/>
      <c r="AB1002" s="81"/>
      <c r="AC1002" s="87" t="s">
        <v>3346</v>
      </c>
      <c r="AD1002" s="87" t="s">
        <v>3787</v>
      </c>
      <c r="AE1002" s="81" t="b">
        <v>0</v>
      </c>
      <c r="AF1002" s="81">
        <v>0</v>
      </c>
      <c r="AG1002" s="87" t="s">
        <v>4005</v>
      </c>
      <c r="AH1002" s="81" t="b">
        <v>0</v>
      </c>
      <c r="AI1002" s="81" t="s">
        <v>4092</v>
      </c>
      <c r="AJ1002" s="81"/>
      <c r="AK1002" s="87" t="s">
        <v>3875</v>
      </c>
      <c r="AL1002" s="81" t="b">
        <v>0</v>
      </c>
      <c r="AM1002" s="81">
        <v>0</v>
      </c>
      <c r="AN1002" s="87" t="s">
        <v>3875</v>
      </c>
      <c r="AO1002" s="87" t="s">
        <v>4109</v>
      </c>
      <c r="AP1002" s="81" t="b">
        <v>0</v>
      </c>
      <c r="AQ1002" s="87" t="s">
        <v>3787</v>
      </c>
      <c r="AR1002" s="81" t="s">
        <v>179</v>
      </c>
      <c r="AS1002" s="81">
        <v>0</v>
      </c>
      <c r="AT1002" s="81">
        <v>0</v>
      </c>
      <c r="AU1002" s="81"/>
      <c r="AV1002" s="81"/>
      <c r="AW1002" s="81"/>
      <c r="AX1002" s="81"/>
      <c r="AY1002" s="81"/>
      <c r="AZ1002" s="81"/>
      <c r="BA1002" s="81"/>
      <c r="BB1002" s="81"/>
    </row>
    <row r="1003" spans="1:54" x14ac:dyDescent="0.35">
      <c r="A1003" s="66" t="s">
        <v>801</v>
      </c>
      <c r="B1003" s="66" t="s">
        <v>1137</v>
      </c>
      <c r="C1003" s="67"/>
      <c r="D1003" s="68"/>
      <c r="E1003" s="69"/>
      <c r="F1003" s="70"/>
      <c r="G1003" s="67"/>
      <c r="H1003" s="71"/>
      <c r="I1003" s="72"/>
      <c r="J1003" s="72"/>
      <c r="K1003" s="36"/>
      <c r="L1003" s="79"/>
      <c r="M1003" s="79"/>
      <c r="N1003" s="74"/>
      <c r="O1003" s="81" t="s">
        <v>1208</v>
      </c>
      <c r="P1003" s="83">
        <v>44463.441863425927</v>
      </c>
      <c r="Q1003" s="81" t="s">
        <v>1496</v>
      </c>
      <c r="R1003" s="81"/>
      <c r="S1003" s="81"/>
      <c r="T1003" s="81"/>
      <c r="U1003" s="85" t="str">
        <f>HYPERLINK("https://pbs.twimg.com/media/FAC0ov_UYAIa4WV.png")</f>
        <v>https://pbs.twimg.com/media/FAC0ov_UYAIa4WV.png</v>
      </c>
      <c r="V1003" s="85" t="str">
        <f>HYPERLINK("https://pbs.twimg.com/media/FAC0ov_UYAIa4WV.png")</f>
        <v>https://pbs.twimg.com/media/FAC0ov_UYAIa4WV.png</v>
      </c>
      <c r="W1003" s="83">
        <v>44463.441863425927</v>
      </c>
      <c r="X1003" s="89">
        <v>44463</v>
      </c>
      <c r="Y1003" s="87" t="s">
        <v>2420</v>
      </c>
      <c r="Z1003" s="85" t="str">
        <f>HYPERLINK("https://twitter.com/hafizsp2/status/1441350773044961293")</f>
        <v>https://twitter.com/hafizsp2/status/1441350773044961293</v>
      </c>
      <c r="AA1003" s="81"/>
      <c r="AB1003" s="81"/>
      <c r="AC1003" s="87" t="s">
        <v>3347</v>
      </c>
      <c r="AD1003" s="87" t="s">
        <v>3788</v>
      </c>
      <c r="AE1003" s="81" t="b">
        <v>0</v>
      </c>
      <c r="AF1003" s="81">
        <v>1</v>
      </c>
      <c r="AG1003" s="87" t="s">
        <v>4006</v>
      </c>
      <c r="AH1003" s="81" t="b">
        <v>0</v>
      </c>
      <c r="AI1003" s="81" t="s">
        <v>4092</v>
      </c>
      <c r="AJ1003" s="81"/>
      <c r="AK1003" s="87" t="s">
        <v>3875</v>
      </c>
      <c r="AL1003" s="81" t="b">
        <v>0</v>
      </c>
      <c r="AM1003" s="81">
        <v>0</v>
      </c>
      <c r="AN1003" s="87" t="s">
        <v>3875</v>
      </c>
      <c r="AO1003" s="87" t="s">
        <v>4111</v>
      </c>
      <c r="AP1003" s="81" t="b">
        <v>0</v>
      </c>
      <c r="AQ1003" s="87" t="s">
        <v>3788</v>
      </c>
      <c r="AR1003" s="81" t="s">
        <v>179</v>
      </c>
      <c r="AS1003" s="81">
        <v>0</v>
      </c>
      <c r="AT1003" s="81">
        <v>0</v>
      </c>
      <c r="AU1003" s="81"/>
      <c r="AV1003" s="81"/>
      <c r="AW1003" s="81"/>
      <c r="AX1003" s="81"/>
      <c r="AY1003" s="81"/>
      <c r="AZ1003" s="81"/>
      <c r="BA1003" s="81"/>
      <c r="BB1003" s="81"/>
    </row>
    <row r="1004" spans="1:54" x14ac:dyDescent="0.35">
      <c r="A1004" s="66" t="s">
        <v>802</v>
      </c>
      <c r="B1004" s="66" t="s">
        <v>1138</v>
      </c>
      <c r="C1004" s="67"/>
      <c r="D1004" s="68"/>
      <c r="E1004" s="69"/>
      <c r="F1004" s="70"/>
      <c r="G1004" s="67"/>
      <c r="H1004" s="71"/>
      <c r="I1004" s="72"/>
      <c r="J1004" s="72"/>
      <c r="K1004" s="36"/>
      <c r="L1004" s="79"/>
      <c r="M1004" s="79"/>
      <c r="N1004" s="74"/>
      <c r="O1004" s="81" t="s">
        <v>1206</v>
      </c>
      <c r="P1004" s="83">
        <v>44463.444398148145</v>
      </c>
      <c r="Q1004" s="81" t="s">
        <v>1497</v>
      </c>
      <c r="R1004" s="81"/>
      <c r="S1004" s="81"/>
      <c r="T1004" s="81"/>
      <c r="U1004" s="81"/>
      <c r="V1004" s="85" t="str">
        <f>HYPERLINK("https://pbs.twimg.com/profile_images/1096681408255283207/WVV2PXzj_normal.jpg")</f>
        <v>https://pbs.twimg.com/profile_images/1096681408255283207/WVV2PXzj_normal.jpg</v>
      </c>
      <c r="W1004" s="83">
        <v>44463.444398148145</v>
      </c>
      <c r="X1004" s="89">
        <v>44463</v>
      </c>
      <c r="Y1004" s="87" t="s">
        <v>2143</v>
      </c>
      <c r="Z1004" s="85" t="str">
        <f>HYPERLINK("https://twitter.com/akukula3/status/1441351687906553860")</f>
        <v>https://twitter.com/akukula3/status/1441351687906553860</v>
      </c>
      <c r="AA1004" s="81"/>
      <c r="AB1004" s="81"/>
      <c r="AC1004" s="87" t="s">
        <v>3348</v>
      </c>
      <c r="AD1004" s="87" t="s">
        <v>3789</v>
      </c>
      <c r="AE1004" s="81" t="b">
        <v>0</v>
      </c>
      <c r="AF1004" s="81">
        <v>1</v>
      </c>
      <c r="AG1004" s="87" t="s">
        <v>4007</v>
      </c>
      <c r="AH1004" s="81" t="b">
        <v>0</v>
      </c>
      <c r="AI1004" s="81" t="s">
        <v>4092</v>
      </c>
      <c r="AJ1004" s="81"/>
      <c r="AK1004" s="87" t="s">
        <v>3875</v>
      </c>
      <c r="AL1004" s="81" t="b">
        <v>0</v>
      </c>
      <c r="AM1004" s="81">
        <v>0</v>
      </c>
      <c r="AN1004" s="87" t="s">
        <v>3875</v>
      </c>
      <c r="AO1004" s="87" t="s">
        <v>4109</v>
      </c>
      <c r="AP1004" s="81" t="b">
        <v>0</v>
      </c>
      <c r="AQ1004" s="87" t="s">
        <v>3789</v>
      </c>
      <c r="AR1004" s="81" t="s">
        <v>179</v>
      </c>
      <c r="AS1004" s="81">
        <v>0</v>
      </c>
      <c r="AT1004" s="81">
        <v>0</v>
      </c>
      <c r="AU1004" s="81"/>
      <c r="AV1004" s="81"/>
      <c r="AW1004" s="81"/>
      <c r="AX1004" s="81"/>
      <c r="AY1004" s="81"/>
      <c r="AZ1004" s="81"/>
      <c r="BA1004" s="81"/>
      <c r="BB1004" s="81"/>
    </row>
    <row r="1005" spans="1:54" x14ac:dyDescent="0.35">
      <c r="A1005" s="66" t="s">
        <v>802</v>
      </c>
      <c r="B1005" s="66" t="s">
        <v>1139</v>
      </c>
      <c r="C1005" s="67"/>
      <c r="D1005" s="68"/>
      <c r="E1005" s="69"/>
      <c r="F1005" s="70"/>
      <c r="G1005" s="67"/>
      <c r="H1005" s="71"/>
      <c r="I1005" s="72"/>
      <c r="J1005" s="72"/>
      <c r="K1005" s="36"/>
      <c r="L1005" s="79"/>
      <c r="M1005" s="79"/>
      <c r="N1005" s="74"/>
      <c r="O1005" s="81" t="s">
        <v>1208</v>
      </c>
      <c r="P1005" s="83">
        <v>44463.444398148145</v>
      </c>
      <c r="Q1005" s="81" t="s">
        <v>1497</v>
      </c>
      <c r="R1005" s="81"/>
      <c r="S1005" s="81"/>
      <c r="T1005" s="81"/>
      <c r="U1005" s="81"/>
      <c r="V1005" s="85" t="str">
        <f>HYPERLINK("https://pbs.twimg.com/profile_images/1096681408255283207/WVV2PXzj_normal.jpg")</f>
        <v>https://pbs.twimg.com/profile_images/1096681408255283207/WVV2PXzj_normal.jpg</v>
      </c>
      <c r="W1005" s="83">
        <v>44463.444398148145</v>
      </c>
      <c r="X1005" s="89">
        <v>44463</v>
      </c>
      <c r="Y1005" s="87" t="s">
        <v>2143</v>
      </c>
      <c r="Z1005" s="85" t="str">
        <f>HYPERLINK("https://twitter.com/akukula3/status/1441351687906553860")</f>
        <v>https://twitter.com/akukula3/status/1441351687906553860</v>
      </c>
      <c r="AA1005" s="81"/>
      <c r="AB1005" s="81"/>
      <c r="AC1005" s="87" t="s">
        <v>3348</v>
      </c>
      <c r="AD1005" s="87" t="s">
        <v>3789</v>
      </c>
      <c r="AE1005" s="81" t="b">
        <v>0</v>
      </c>
      <c r="AF1005" s="81">
        <v>1</v>
      </c>
      <c r="AG1005" s="87" t="s">
        <v>4007</v>
      </c>
      <c r="AH1005" s="81" t="b">
        <v>0</v>
      </c>
      <c r="AI1005" s="81" t="s">
        <v>4092</v>
      </c>
      <c r="AJ1005" s="81"/>
      <c r="AK1005" s="87" t="s">
        <v>3875</v>
      </c>
      <c r="AL1005" s="81" t="b">
        <v>0</v>
      </c>
      <c r="AM1005" s="81">
        <v>0</v>
      </c>
      <c r="AN1005" s="87" t="s">
        <v>3875</v>
      </c>
      <c r="AO1005" s="87" t="s">
        <v>4109</v>
      </c>
      <c r="AP1005" s="81" t="b">
        <v>0</v>
      </c>
      <c r="AQ1005" s="87" t="s">
        <v>3789</v>
      </c>
      <c r="AR1005" s="81" t="s">
        <v>179</v>
      </c>
      <c r="AS1005" s="81">
        <v>0</v>
      </c>
      <c r="AT1005" s="81">
        <v>0</v>
      </c>
      <c r="AU1005" s="81"/>
      <c r="AV1005" s="81"/>
      <c r="AW1005" s="81"/>
      <c r="AX1005" s="81"/>
      <c r="AY1005" s="81"/>
      <c r="AZ1005" s="81"/>
      <c r="BA1005" s="81"/>
      <c r="BB1005" s="81"/>
    </row>
    <row r="1006" spans="1:54" x14ac:dyDescent="0.35">
      <c r="A1006" s="66" t="s">
        <v>803</v>
      </c>
      <c r="B1006" s="66" t="s">
        <v>1140</v>
      </c>
      <c r="C1006" s="67"/>
      <c r="D1006" s="68"/>
      <c r="E1006" s="69"/>
      <c r="F1006" s="70"/>
      <c r="G1006" s="67"/>
      <c r="H1006" s="71"/>
      <c r="I1006" s="72"/>
      <c r="J1006" s="72"/>
      <c r="K1006" s="36"/>
      <c r="L1006" s="79"/>
      <c r="M1006" s="79"/>
      <c r="N1006" s="74"/>
      <c r="O1006" s="81" t="s">
        <v>1208</v>
      </c>
      <c r="P1006" s="83">
        <v>44463.467939814815</v>
      </c>
      <c r="Q1006" s="81" t="s">
        <v>1498</v>
      </c>
      <c r="R1006" s="81"/>
      <c r="S1006" s="81"/>
      <c r="T1006" s="81"/>
      <c r="U1006" s="81"/>
      <c r="V1006" s="85" t="str">
        <f>HYPERLINK("https://pbs.twimg.com/profile_images/1442298972748480513/i09MkoG8_normal.jpg")</f>
        <v>https://pbs.twimg.com/profile_images/1442298972748480513/i09MkoG8_normal.jpg</v>
      </c>
      <c r="W1006" s="83">
        <v>44463.467939814815</v>
      </c>
      <c r="X1006" s="89">
        <v>44463</v>
      </c>
      <c r="Y1006" s="87" t="s">
        <v>2421</v>
      </c>
      <c r="Z1006" s="85" t="str">
        <f>HYPERLINK("https://twitter.com/rizwiky/status/1441360222031732753")</f>
        <v>https://twitter.com/rizwiky/status/1441360222031732753</v>
      </c>
      <c r="AA1006" s="81"/>
      <c r="AB1006" s="81"/>
      <c r="AC1006" s="87" t="s">
        <v>3349</v>
      </c>
      <c r="AD1006" s="87" t="s">
        <v>3790</v>
      </c>
      <c r="AE1006" s="81" t="b">
        <v>0</v>
      </c>
      <c r="AF1006" s="81">
        <v>0</v>
      </c>
      <c r="AG1006" s="87" t="s">
        <v>4008</v>
      </c>
      <c r="AH1006" s="81" t="b">
        <v>0</v>
      </c>
      <c r="AI1006" s="81" t="s">
        <v>4092</v>
      </c>
      <c r="AJ1006" s="81"/>
      <c r="AK1006" s="87" t="s">
        <v>3875</v>
      </c>
      <c r="AL1006" s="81" t="b">
        <v>0</v>
      </c>
      <c r="AM1006" s="81">
        <v>0</v>
      </c>
      <c r="AN1006" s="87" t="s">
        <v>3875</v>
      </c>
      <c r="AO1006" s="87" t="s">
        <v>4109</v>
      </c>
      <c r="AP1006" s="81" t="b">
        <v>0</v>
      </c>
      <c r="AQ1006" s="87" t="s">
        <v>3790</v>
      </c>
      <c r="AR1006" s="81" t="s">
        <v>179</v>
      </c>
      <c r="AS1006" s="81">
        <v>0</v>
      </c>
      <c r="AT1006" s="81">
        <v>0</v>
      </c>
      <c r="AU1006" s="81"/>
      <c r="AV1006" s="81"/>
      <c r="AW1006" s="81"/>
      <c r="AX1006" s="81"/>
      <c r="AY1006" s="81"/>
      <c r="AZ1006" s="81"/>
      <c r="BA1006" s="81"/>
      <c r="BB1006" s="81"/>
    </row>
    <row r="1007" spans="1:54" x14ac:dyDescent="0.35">
      <c r="A1007" s="66" t="s">
        <v>804</v>
      </c>
      <c r="B1007" s="66" t="s">
        <v>1041</v>
      </c>
      <c r="C1007" s="67"/>
      <c r="D1007" s="68"/>
      <c r="E1007" s="69"/>
      <c r="F1007" s="70"/>
      <c r="G1007" s="67"/>
      <c r="H1007" s="71"/>
      <c r="I1007" s="72"/>
      <c r="J1007" s="72"/>
      <c r="K1007" s="36"/>
      <c r="L1007" s="79"/>
      <c r="M1007" s="79"/>
      <c r="N1007" s="74"/>
      <c r="O1007" s="81" t="s">
        <v>1208</v>
      </c>
      <c r="P1007" s="83">
        <v>44463.476099537038</v>
      </c>
      <c r="Q1007" s="81" t="s">
        <v>1499</v>
      </c>
      <c r="R1007" s="81" t="s">
        <v>1723</v>
      </c>
      <c r="S1007" s="81" t="s">
        <v>1749</v>
      </c>
      <c r="T1007" s="81"/>
      <c r="U1007" s="81"/>
      <c r="V1007" s="85" t="str">
        <f>HYPERLINK("https://pbs.twimg.com/profile_images/1384133161106362370/Xs7k_08W_normal.jpg")</f>
        <v>https://pbs.twimg.com/profile_images/1384133161106362370/Xs7k_08W_normal.jpg</v>
      </c>
      <c r="W1007" s="83">
        <v>44463.476099537038</v>
      </c>
      <c r="X1007" s="89">
        <v>44463</v>
      </c>
      <c r="Y1007" s="87" t="s">
        <v>2422</v>
      </c>
      <c r="Z1007" s="85" t="str">
        <f>HYPERLINK("https://twitter.com/insarinwetrust/status/1441363178609201157")</f>
        <v>https://twitter.com/insarinwetrust/status/1441363178609201157</v>
      </c>
      <c r="AA1007" s="81"/>
      <c r="AB1007" s="81"/>
      <c r="AC1007" s="87" t="s">
        <v>3350</v>
      </c>
      <c r="AD1007" s="87" t="s">
        <v>3791</v>
      </c>
      <c r="AE1007" s="81" t="b">
        <v>0</v>
      </c>
      <c r="AF1007" s="81">
        <v>0</v>
      </c>
      <c r="AG1007" s="87" t="s">
        <v>3919</v>
      </c>
      <c r="AH1007" s="81" t="b">
        <v>0</v>
      </c>
      <c r="AI1007" s="81" t="s">
        <v>4092</v>
      </c>
      <c r="AJ1007" s="81"/>
      <c r="AK1007" s="87" t="s">
        <v>3875</v>
      </c>
      <c r="AL1007" s="81" t="b">
        <v>0</v>
      </c>
      <c r="AM1007" s="81">
        <v>0</v>
      </c>
      <c r="AN1007" s="87" t="s">
        <v>3875</v>
      </c>
      <c r="AO1007" s="87" t="s">
        <v>4111</v>
      </c>
      <c r="AP1007" s="81" t="b">
        <v>0</v>
      </c>
      <c r="AQ1007" s="87" t="s">
        <v>3791</v>
      </c>
      <c r="AR1007" s="81" t="s">
        <v>179</v>
      </c>
      <c r="AS1007" s="81">
        <v>0</v>
      </c>
      <c r="AT1007" s="81">
        <v>0</v>
      </c>
      <c r="AU1007" s="81"/>
      <c r="AV1007" s="81"/>
      <c r="AW1007" s="81"/>
      <c r="AX1007" s="81"/>
      <c r="AY1007" s="81"/>
      <c r="AZ1007" s="81"/>
      <c r="BA1007" s="81"/>
      <c r="BB1007" s="81"/>
    </row>
    <row r="1008" spans="1:54" x14ac:dyDescent="0.35">
      <c r="A1008" s="66" t="s">
        <v>805</v>
      </c>
      <c r="B1008" s="66" t="s">
        <v>807</v>
      </c>
      <c r="C1008" s="67"/>
      <c r="D1008" s="68"/>
      <c r="E1008" s="69"/>
      <c r="F1008" s="70"/>
      <c r="G1008" s="67"/>
      <c r="H1008" s="71"/>
      <c r="I1008" s="72"/>
      <c r="J1008" s="72"/>
      <c r="K1008" s="36"/>
      <c r="L1008" s="79"/>
      <c r="M1008" s="79"/>
      <c r="N1008" s="74"/>
      <c r="O1008" s="81" t="s">
        <v>1205</v>
      </c>
      <c r="P1008" s="83">
        <v>44463.486250000002</v>
      </c>
      <c r="Q1008" s="81" t="s">
        <v>1500</v>
      </c>
      <c r="R1008" s="85" t="str">
        <f>HYPERLINK("http://merapi.bgl.esdm.go.id")</f>
        <v>http://merapi.bgl.esdm.go.id</v>
      </c>
      <c r="S1008" s="81" t="s">
        <v>1741</v>
      </c>
      <c r="T1008" s="87" t="s">
        <v>1775</v>
      </c>
      <c r="U1008" s="81"/>
      <c r="V1008" s="85" t="str">
        <f>HYPERLINK("https://pbs.twimg.com/profile_images/378800000267748051/4900e343887e13d035eb421a678ff0f5_normal.jpeg")</f>
        <v>https://pbs.twimg.com/profile_images/378800000267748051/4900e343887e13d035eb421a678ff0f5_normal.jpeg</v>
      </c>
      <c r="W1008" s="83">
        <v>44463.486250000002</v>
      </c>
      <c r="X1008" s="89">
        <v>44463</v>
      </c>
      <c r="Y1008" s="87" t="s">
        <v>2423</v>
      </c>
      <c r="Z1008" s="85" t="str">
        <f>HYPERLINK("https://twitter.com/a_wuri/status/1441366854375669762")</f>
        <v>https://twitter.com/a_wuri/status/1441366854375669762</v>
      </c>
      <c r="AA1008" s="81"/>
      <c r="AB1008" s="81"/>
      <c r="AC1008" s="87" t="s">
        <v>3351</v>
      </c>
      <c r="AD1008" s="81"/>
      <c r="AE1008" s="81" t="b">
        <v>0</v>
      </c>
      <c r="AF1008" s="81">
        <v>0</v>
      </c>
      <c r="AG1008" s="87" t="s">
        <v>3875</v>
      </c>
      <c r="AH1008" s="81" t="b">
        <v>0</v>
      </c>
      <c r="AI1008" s="81" t="s">
        <v>4092</v>
      </c>
      <c r="AJ1008" s="81"/>
      <c r="AK1008" s="87" t="s">
        <v>3875</v>
      </c>
      <c r="AL1008" s="81" t="b">
        <v>0</v>
      </c>
      <c r="AM1008" s="81">
        <v>2</v>
      </c>
      <c r="AN1008" s="87" t="s">
        <v>3353</v>
      </c>
      <c r="AO1008" s="87" t="s">
        <v>4109</v>
      </c>
      <c r="AP1008" s="81" t="b">
        <v>0</v>
      </c>
      <c r="AQ1008" s="87" t="s">
        <v>3353</v>
      </c>
      <c r="AR1008" s="81" t="s">
        <v>179</v>
      </c>
      <c r="AS1008" s="81">
        <v>0</v>
      </c>
      <c r="AT1008" s="81">
        <v>0</v>
      </c>
      <c r="AU1008" s="81"/>
      <c r="AV1008" s="81"/>
      <c r="AW1008" s="81"/>
      <c r="AX1008" s="81"/>
      <c r="AY1008" s="81"/>
      <c r="AZ1008" s="81"/>
      <c r="BA1008" s="81"/>
      <c r="BB1008" s="81"/>
    </row>
    <row r="1009" spans="1:54" x14ac:dyDescent="0.35">
      <c r="A1009" s="66" t="s">
        <v>806</v>
      </c>
      <c r="B1009" s="66" t="s">
        <v>1141</v>
      </c>
      <c r="C1009" s="67"/>
      <c r="D1009" s="68"/>
      <c r="E1009" s="69"/>
      <c r="F1009" s="70"/>
      <c r="G1009" s="67"/>
      <c r="H1009" s="71"/>
      <c r="I1009" s="72"/>
      <c r="J1009" s="72"/>
      <c r="K1009" s="36"/>
      <c r="L1009" s="79"/>
      <c r="M1009" s="79"/>
      <c r="N1009" s="74"/>
      <c r="O1009" s="81" t="s">
        <v>1208</v>
      </c>
      <c r="P1009" s="83">
        <v>44463.486458333333</v>
      </c>
      <c r="Q1009" s="81" t="s">
        <v>1501</v>
      </c>
      <c r="R1009" s="81"/>
      <c r="S1009" s="81"/>
      <c r="T1009" s="81"/>
      <c r="U1009" s="81"/>
      <c r="V1009" s="85" t="str">
        <f>HYPERLINK("https://pbs.twimg.com/profile_images/1395315193224122369/dFageMt1_normal.jpg")</f>
        <v>https://pbs.twimg.com/profile_images/1395315193224122369/dFageMt1_normal.jpg</v>
      </c>
      <c r="W1009" s="83">
        <v>44463.486458333333</v>
      </c>
      <c r="X1009" s="89">
        <v>44463</v>
      </c>
      <c r="Y1009" s="87" t="s">
        <v>2424</v>
      </c>
      <c r="Z1009" s="85" t="str">
        <f>HYPERLINK("https://twitter.com/yesbutwhyyy/status/1441366932884639759")</f>
        <v>https://twitter.com/yesbutwhyyy/status/1441366932884639759</v>
      </c>
      <c r="AA1009" s="81"/>
      <c r="AB1009" s="81"/>
      <c r="AC1009" s="87" t="s">
        <v>3352</v>
      </c>
      <c r="AD1009" s="87" t="s">
        <v>3792</v>
      </c>
      <c r="AE1009" s="81" t="b">
        <v>0</v>
      </c>
      <c r="AF1009" s="81">
        <v>0</v>
      </c>
      <c r="AG1009" s="87" t="s">
        <v>4009</v>
      </c>
      <c r="AH1009" s="81" t="b">
        <v>0</v>
      </c>
      <c r="AI1009" s="81" t="s">
        <v>4092</v>
      </c>
      <c r="AJ1009" s="81"/>
      <c r="AK1009" s="87" t="s">
        <v>3875</v>
      </c>
      <c r="AL1009" s="81" t="b">
        <v>0</v>
      </c>
      <c r="AM1009" s="81">
        <v>0</v>
      </c>
      <c r="AN1009" s="87" t="s">
        <v>3875</v>
      </c>
      <c r="AO1009" s="87" t="s">
        <v>4109</v>
      </c>
      <c r="AP1009" s="81" t="b">
        <v>0</v>
      </c>
      <c r="AQ1009" s="87" t="s">
        <v>3792</v>
      </c>
      <c r="AR1009" s="81" t="s">
        <v>179</v>
      </c>
      <c r="AS1009" s="81">
        <v>0</v>
      </c>
      <c r="AT1009" s="81">
        <v>0</v>
      </c>
      <c r="AU1009" s="81"/>
      <c r="AV1009" s="81"/>
      <c r="AW1009" s="81"/>
      <c r="AX1009" s="81"/>
      <c r="AY1009" s="81"/>
      <c r="AZ1009" s="81"/>
      <c r="BA1009" s="81"/>
      <c r="BB1009" s="81"/>
    </row>
    <row r="1010" spans="1:54" x14ac:dyDescent="0.35">
      <c r="A1010" s="66" t="s">
        <v>807</v>
      </c>
      <c r="B1010" s="66" t="s">
        <v>807</v>
      </c>
      <c r="C1010" s="67"/>
      <c r="D1010" s="68"/>
      <c r="E1010" s="69"/>
      <c r="F1010" s="70"/>
      <c r="G1010" s="67"/>
      <c r="H1010" s="71"/>
      <c r="I1010" s="72"/>
      <c r="J1010" s="72"/>
      <c r="K1010" s="36"/>
      <c r="L1010" s="79"/>
      <c r="M1010" s="79"/>
      <c r="N1010" s="74"/>
      <c r="O1010" s="81" t="s">
        <v>179</v>
      </c>
      <c r="P1010" s="83">
        <v>44463.485324074078</v>
      </c>
      <c r="Q1010" s="81" t="s">
        <v>1500</v>
      </c>
      <c r="R1010" s="85" t="str">
        <f>HYPERLINK("http://merapi.bgl.esdm.go.id")</f>
        <v>http://merapi.bgl.esdm.go.id</v>
      </c>
      <c r="S1010" s="81" t="s">
        <v>1741</v>
      </c>
      <c r="T1010" s="87" t="s">
        <v>1775</v>
      </c>
      <c r="U1010" s="81"/>
      <c r="V1010" s="85" t="str">
        <f>HYPERLINK("https://pbs.twimg.com/profile_images/1060045077291053056/CFyaEhac_normal.jpg")</f>
        <v>https://pbs.twimg.com/profile_images/1060045077291053056/CFyaEhac_normal.jpg</v>
      </c>
      <c r="W1010" s="83">
        <v>44463.485324074078</v>
      </c>
      <c r="X1010" s="89">
        <v>44463</v>
      </c>
      <c r="Y1010" s="87" t="s">
        <v>2425</v>
      </c>
      <c r="Z1010" s="85" t="str">
        <f>HYPERLINK("https://twitter.com/bpptkg/status/1441366522576793608")</f>
        <v>https://twitter.com/bpptkg/status/1441366522576793608</v>
      </c>
      <c r="AA1010" s="81"/>
      <c r="AB1010" s="81"/>
      <c r="AC1010" s="87" t="s">
        <v>3353</v>
      </c>
      <c r="AD1010" s="87" t="s">
        <v>3793</v>
      </c>
      <c r="AE1010" s="81" t="b">
        <v>0</v>
      </c>
      <c r="AF1010" s="81">
        <v>5</v>
      </c>
      <c r="AG1010" s="87" t="s">
        <v>4010</v>
      </c>
      <c r="AH1010" s="81" t="b">
        <v>0</v>
      </c>
      <c r="AI1010" s="81" t="s">
        <v>4092</v>
      </c>
      <c r="AJ1010" s="81"/>
      <c r="AK1010" s="87" t="s">
        <v>3875</v>
      </c>
      <c r="AL1010" s="81" t="b">
        <v>0</v>
      </c>
      <c r="AM1010" s="81">
        <v>2</v>
      </c>
      <c r="AN1010" s="87" t="s">
        <v>3875</v>
      </c>
      <c r="AO1010" s="87" t="s">
        <v>4111</v>
      </c>
      <c r="AP1010" s="81" t="b">
        <v>0</v>
      </c>
      <c r="AQ1010" s="87" t="s">
        <v>3793</v>
      </c>
      <c r="AR1010" s="81" t="s">
        <v>179</v>
      </c>
      <c r="AS1010" s="81">
        <v>0</v>
      </c>
      <c r="AT1010" s="81">
        <v>0</v>
      </c>
      <c r="AU1010" s="81"/>
      <c r="AV1010" s="81"/>
      <c r="AW1010" s="81"/>
      <c r="AX1010" s="81"/>
      <c r="AY1010" s="81"/>
      <c r="AZ1010" s="81"/>
      <c r="BA1010" s="81"/>
      <c r="BB1010" s="81"/>
    </row>
    <row r="1011" spans="1:54" x14ac:dyDescent="0.35">
      <c r="A1011" s="66" t="s">
        <v>808</v>
      </c>
      <c r="B1011" s="66" t="s">
        <v>807</v>
      </c>
      <c r="C1011" s="67"/>
      <c r="D1011" s="68"/>
      <c r="E1011" s="69"/>
      <c r="F1011" s="70"/>
      <c r="G1011" s="67"/>
      <c r="H1011" s="71"/>
      <c r="I1011" s="72"/>
      <c r="J1011" s="72"/>
      <c r="K1011" s="36"/>
      <c r="L1011" s="79"/>
      <c r="M1011" s="79"/>
      <c r="N1011" s="74"/>
      <c r="O1011" s="81" t="s">
        <v>1205</v>
      </c>
      <c r="P1011" s="83">
        <v>44463.49596064815</v>
      </c>
      <c r="Q1011" s="81" t="s">
        <v>1500</v>
      </c>
      <c r="R1011" s="85" t="str">
        <f>HYPERLINK("http://merapi.bgl.esdm.go.id")</f>
        <v>http://merapi.bgl.esdm.go.id</v>
      </c>
      <c r="S1011" s="81" t="s">
        <v>1741</v>
      </c>
      <c r="T1011" s="87" t="s">
        <v>1775</v>
      </c>
      <c r="U1011" s="81"/>
      <c r="V1011" s="85" t="str">
        <f>HYPERLINK("https://pbs.twimg.com/profile_images/1424236706308399107/uSQwuQeM_normal.jpg")</f>
        <v>https://pbs.twimg.com/profile_images/1424236706308399107/uSQwuQeM_normal.jpg</v>
      </c>
      <c r="W1011" s="83">
        <v>44463.49596064815</v>
      </c>
      <c r="X1011" s="89">
        <v>44463</v>
      </c>
      <c r="Y1011" s="87" t="s">
        <v>2426</v>
      </c>
      <c r="Z1011" s="85" t="str">
        <f>HYPERLINK("https://twitter.com/felixsandian/status/1441370376513081347")</f>
        <v>https://twitter.com/felixsandian/status/1441370376513081347</v>
      </c>
      <c r="AA1011" s="81"/>
      <c r="AB1011" s="81"/>
      <c r="AC1011" s="87" t="s">
        <v>3354</v>
      </c>
      <c r="AD1011" s="81"/>
      <c r="AE1011" s="81" t="b">
        <v>0</v>
      </c>
      <c r="AF1011" s="81">
        <v>0</v>
      </c>
      <c r="AG1011" s="87" t="s">
        <v>3875</v>
      </c>
      <c r="AH1011" s="81" t="b">
        <v>0</v>
      </c>
      <c r="AI1011" s="81" t="s">
        <v>4092</v>
      </c>
      <c r="AJ1011" s="81"/>
      <c r="AK1011" s="87" t="s">
        <v>3875</v>
      </c>
      <c r="AL1011" s="81" t="b">
        <v>0</v>
      </c>
      <c r="AM1011" s="81">
        <v>2</v>
      </c>
      <c r="AN1011" s="87" t="s">
        <v>3353</v>
      </c>
      <c r="AO1011" s="87" t="s">
        <v>4109</v>
      </c>
      <c r="AP1011" s="81" t="b">
        <v>0</v>
      </c>
      <c r="AQ1011" s="87" t="s">
        <v>3353</v>
      </c>
      <c r="AR1011" s="81" t="s">
        <v>179</v>
      </c>
      <c r="AS1011" s="81">
        <v>0</v>
      </c>
      <c r="AT1011" s="81">
        <v>0</v>
      </c>
      <c r="AU1011" s="81"/>
      <c r="AV1011" s="81"/>
      <c r="AW1011" s="81"/>
      <c r="AX1011" s="81"/>
      <c r="AY1011" s="81"/>
      <c r="AZ1011" s="81"/>
      <c r="BA1011" s="81"/>
      <c r="BB1011" s="81"/>
    </row>
    <row r="1012" spans="1:54" x14ac:dyDescent="0.35">
      <c r="A1012" s="66" t="s">
        <v>809</v>
      </c>
      <c r="B1012" s="66" t="s">
        <v>1142</v>
      </c>
      <c r="C1012" s="67"/>
      <c r="D1012" s="68"/>
      <c r="E1012" s="69"/>
      <c r="F1012" s="70"/>
      <c r="G1012" s="67"/>
      <c r="H1012" s="71"/>
      <c r="I1012" s="72"/>
      <c r="J1012" s="72"/>
      <c r="K1012" s="36"/>
      <c r="L1012" s="79"/>
      <c r="M1012" s="79"/>
      <c r="N1012" s="74"/>
      <c r="O1012" s="81" t="s">
        <v>1206</v>
      </c>
      <c r="P1012" s="83">
        <v>44463.502141203702</v>
      </c>
      <c r="Q1012" s="81" t="s">
        <v>1502</v>
      </c>
      <c r="R1012" s="81"/>
      <c r="S1012" s="81"/>
      <c r="T1012" s="81"/>
      <c r="U1012" s="81"/>
      <c r="V1012" s="85" t="str">
        <f>HYPERLINK("https://pbs.twimg.com/profile_images/1347197714543464449/eFlyMd2c_normal.jpg")</f>
        <v>https://pbs.twimg.com/profile_images/1347197714543464449/eFlyMd2c_normal.jpg</v>
      </c>
      <c r="W1012" s="83">
        <v>44463.502141203702</v>
      </c>
      <c r="X1012" s="89">
        <v>44463</v>
      </c>
      <c r="Y1012" s="87" t="s">
        <v>2427</v>
      </c>
      <c r="Z1012" s="85" t="str">
        <f>HYPERLINK("https://twitter.com/maswah_/status/1441372613666750474")</f>
        <v>https://twitter.com/maswah_/status/1441372613666750474</v>
      </c>
      <c r="AA1012" s="81"/>
      <c r="AB1012" s="81"/>
      <c r="AC1012" s="87" t="s">
        <v>3355</v>
      </c>
      <c r="AD1012" s="87" t="s">
        <v>3794</v>
      </c>
      <c r="AE1012" s="81" t="b">
        <v>0</v>
      </c>
      <c r="AF1012" s="81">
        <v>0</v>
      </c>
      <c r="AG1012" s="87" t="s">
        <v>4011</v>
      </c>
      <c r="AH1012" s="81" t="b">
        <v>0</v>
      </c>
      <c r="AI1012" s="81" t="s">
        <v>4092</v>
      </c>
      <c r="AJ1012" s="81"/>
      <c r="AK1012" s="87" t="s">
        <v>3875</v>
      </c>
      <c r="AL1012" s="81" t="b">
        <v>0</v>
      </c>
      <c r="AM1012" s="81">
        <v>0</v>
      </c>
      <c r="AN1012" s="87" t="s">
        <v>3875</v>
      </c>
      <c r="AO1012" s="87" t="s">
        <v>4111</v>
      </c>
      <c r="AP1012" s="81" t="b">
        <v>0</v>
      </c>
      <c r="AQ1012" s="87" t="s">
        <v>3794</v>
      </c>
      <c r="AR1012" s="81" t="s">
        <v>179</v>
      </c>
      <c r="AS1012" s="81">
        <v>0</v>
      </c>
      <c r="AT1012" s="81">
        <v>0</v>
      </c>
      <c r="AU1012" s="81"/>
      <c r="AV1012" s="81"/>
      <c r="AW1012" s="81"/>
      <c r="AX1012" s="81"/>
      <c r="AY1012" s="81"/>
      <c r="AZ1012" s="81"/>
      <c r="BA1012" s="81"/>
      <c r="BB1012" s="81"/>
    </row>
    <row r="1013" spans="1:54" x14ac:dyDescent="0.35">
      <c r="A1013" s="66" t="s">
        <v>809</v>
      </c>
      <c r="B1013" s="66" t="s">
        <v>1143</v>
      </c>
      <c r="C1013" s="67"/>
      <c r="D1013" s="68"/>
      <c r="E1013" s="69"/>
      <c r="F1013" s="70"/>
      <c r="G1013" s="67"/>
      <c r="H1013" s="71"/>
      <c r="I1013" s="72"/>
      <c r="J1013" s="72"/>
      <c r="K1013" s="36"/>
      <c r="L1013" s="79"/>
      <c r="M1013" s="79"/>
      <c r="N1013" s="74"/>
      <c r="O1013" s="81" t="s">
        <v>1208</v>
      </c>
      <c r="P1013" s="83">
        <v>44463.502141203702</v>
      </c>
      <c r="Q1013" s="81" t="s">
        <v>1502</v>
      </c>
      <c r="R1013" s="81"/>
      <c r="S1013" s="81"/>
      <c r="T1013" s="81"/>
      <c r="U1013" s="81"/>
      <c r="V1013" s="85" t="str">
        <f>HYPERLINK("https://pbs.twimg.com/profile_images/1347197714543464449/eFlyMd2c_normal.jpg")</f>
        <v>https://pbs.twimg.com/profile_images/1347197714543464449/eFlyMd2c_normal.jpg</v>
      </c>
      <c r="W1013" s="83">
        <v>44463.502141203702</v>
      </c>
      <c r="X1013" s="89">
        <v>44463</v>
      </c>
      <c r="Y1013" s="87" t="s">
        <v>2427</v>
      </c>
      <c r="Z1013" s="85" t="str">
        <f>HYPERLINK("https://twitter.com/maswah_/status/1441372613666750474")</f>
        <v>https://twitter.com/maswah_/status/1441372613666750474</v>
      </c>
      <c r="AA1013" s="81"/>
      <c r="AB1013" s="81"/>
      <c r="AC1013" s="87" t="s">
        <v>3355</v>
      </c>
      <c r="AD1013" s="87" t="s">
        <v>3794</v>
      </c>
      <c r="AE1013" s="81" t="b">
        <v>0</v>
      </c>
      <c r="AF1013" s="81">
        <v>0</v>
      </c>
      <c r="AG1013" s="87" t="s">
        <v>4011</v>
      </c>
      <c r="AH1013" s="81" t="b">
        <v>0</v>
      </c>
      <c r="AI1013" s="81" t="s">
        <v>4092</v>
      </c>
      <c r="AJ1013" s="81"/>
      <c r="AK1013" s="87" t="s">
        <v>3875</v>
      </c>
      <c r="AL1013" s="81" t="b">
        <v>0</v>
      </c>
      <c r="AM1013" s="81">
        <v>0</v>
      </c>
      <c r="AN1013" s="87" t="s">
        <v>3875</v>
      </c>
      <c r="AO1013" s="87" t="s">
        <v>4111</v>
      </c>
      <c r="AP1013" s="81" t="b">
        <v>0</v>
      </c>
      <c r="AQ1013" s="87" t="s">
        <v>3794</v>
      </c>
      <c r="AR1013" s="81" t="s">
        <v>179</v>
      </c>
      <c r="AS1013" s="81">
        <v>0</v>
      </c>
      <c r="AT1013" s="81">
        <v>0</v>
      </c>
      <c r="AU1013" s="81"/>
      <c r="AV1013" s="81"/>
      <c r="AW1013" s="81"/>
      <c r="AX1013" s="81"/>
      <c r="AY1013" s="81"/>
      <c r="AZ1013" s="81"/>
      <c r="BA1013" s="81"/>
      <c r="BB1013" s="81"/>
    </row>
    <row r="1014" spans="1:54" x14ac:dyDescent="0.35">
      <c r="A1014" s="66" t="s">
        <v>809</v>
      </c>
      <c r="B1014" s="66" t="s">
        <v>1144</v>
      </c>
      <c r="C1014" s="67"/>
      <c r="D1014" s="68"/>
      <c r="E1014" s="69"/>
      <c r="F1014" s="70"/>
      <c r="G1014" s="67"/>
      <c r="H1014" s="71"/>
      <c r="I1014" s="72"/>
      <c r="J1014" s="72"/>
      <c r="K1014" s="36"/>
      <c r="L1014" s="79"/>
      <c r="M1014" s="79"/>
      <c r="N1014" s="74"/>
      <c r="O1014" s="81" t="s">
        <v>1206</v>
      </c>
      <c r="P1014" s="83">
        <v>44463.502141203702</v>
      </c>
      <c r="Q1014" s="81" t="s">
        <v>1502</v>
      </c>
      <c r="R1014" s="81"/>
      <c r="S1014" s="81"/>
      <c r="T1014" s="81"/>
      <c r="U1014" s="81"/>
      <c r="V1014" s="85" t="str">
        <f>HYPERLINK("https://pbs.twimg.com/profile_images/1347197714543464449/eFlyMd2c_normal.jpg")</f>
        <v>https://pbs.twimg.com/profile_images/1347197714543464449/eFlyMd2c_normal.jpg</v>
      </c>
      <c r="W1014" s="83">
        <v>44463.502141203702</v>
      </c>
      <c r="X1014" s="89">
        <v>44463</v>
      </c>
      <c r="Y1014" s="87" t="s">
        <v>2427</v>
      </c>
      <c r="Z1014" s="85" t="str">
        <f>HYPERLINK("https://twitter.com/maswah_/status/1441372613666750474")</f>
        <v>https://twitter.com/maswah_/status/1441372613666750474</v>
      </c>
      <c r="AA1014" s="81"/>
      <c r="AB1014" s="81"/>
      <c r="AC1014" s="87" t="s">
        <v>3355</v>
      </c>
      <c r="AD1014" s="87" t="s">
        <v>3794</v>
      </c>
      <c r="AE1014" s="81" t="b">
        <v>0</v>
      </c>
      <c r="AF1014" s="81">
        <v>0</v>
      </c>
      <c r="AG1014" s="87" t="s">
        <v>4011</v>
      </c>
      <c r="AH1014" s="81" t="b">
        <v>0</v>
      </c>
      <c r="AI1014" s="81" t="s">
        <v>4092</v>
      </c>
      <c r="AJ1014" s="81"/>
      <c r="AK1014" s="87" t="s">
        <v>3875</v>
      </c>
      <c r="AL1014" s="81" t="b">
        <v>0</v>
      </c>
      <c r="AM1014" s="81">
        <v>0</v>
      </c>
      <c r="AN1014" s="87" t="s">
        <v>3875</v>
      </c>
      <c r="AO1014" s="87" t="s">
        <v>4111</v>
      </c>
      <c r="AP1014" s="81" t="b">
        <v>0</v>
      </c>
      <c r="AQ1014" s="87" t="s">
        <v>3794</v>
      </c>
      <c r="AR1014" s="81" t="s">
        <v>179</v>
      </c>
      <c r="AS1014" s="81">
        <v>0</v>
      </c>
      <c r="AT1014" s="81">
        <v>0</v>
      </c>
      <c r="AU1014" s="81"/>
      <c r="AV1014" s="81"/>
      <c r="AW1014" s="81"/>
      <c r="AX1014" s="81"/>
      <c r="AY1014" s="81"/>
      <c r="AZ1014" s="81"/>
      <c r="BA1014" s="81"/>
      <c r="BB1014" s="81"/>
    </row>
    <row r="1015" spans="1:54" x14ac:dyDescent="0.35">
      <c r="A1015" s="66" t="s">
        <v>810</v>
      </c>
      <c r="B1015" s="66" t="s">
        <v>1145</v>
      </c>
      <c r="C1015" s="67"/>
      <c r="D1015" s="68"/>
      <c r="E1015" s="69"/>
      <c r="F1015" s="70"/>
      <c r="G1015" s="67"/>
      <c r="H1015" s="71"/>
      <c r="I1015" s="72"/>
      <c r="J1015" s="72"/>
      <c r="K1015" s="36"/>
      <c r="L1015" s="79"/>
      <c r="M1015" s="79"/>
      <c r="N1015" s="74"/>
      <c r="O1015" s="81" t="s">
        <v>1208</v>
      </c>
      <c r="P1015" s="83">
        <v>44463.50953703704</v>
      </c>
      <c r="Q1015" s="81" t="s">
        <v>1503</v>
      </c>
      <c r="R1015" s="81"/>
      <c r="S1015" s="81"/>
      <c r="T1015" s="81"/>
      <c r="U1015" s="81"/>
      <c r="V1015" s="85" t="str">
        <f>HYPERLINK("https://pbs.twimg.com/profile_images/1277205916161421312/xoGCTSgL_normal.jpg")</f>
        <v>https://pbs.twimg.com/profile_images/1277205916161421312/xoGCTSgL_normal.jpg</v>
      </c>
      <c r="W1015" s="83">
        <v>44463.50953703704</v>
      </c>
      <c r="X1015" s="89">
        <v>44463</v>
      </c>
      <c r="Y1015" s="87" t="s">
        <v>2428</v>
      </c>
      <c r="Z1015" s="85" t="str">
        <f>HYPERLINK("https://twitter.com/greyzone9/status/1441375296633012240")</f>
        <v>https://twitter.com/greyzone9/status/1441375296633012240</v>
      </c>
      <c r="AA1015" s="81"/>
      <c r="AB1015" s="81"/>
      <c r="AC1015" s="87" t="s">
        <v>3356</v>
      </c>
      <c r="AD1015" s="87" t="s">
        <v>3795</v>
      </c>
      <c r="AE1015" s="81" t="b">
        <v>0</v>
      </c>
      <c r="AF1015" s="81">
        <v>0</v>
      </c>
      <c r="AG1015" s="87" t="s">
        <v>4012</v>
      </c>
      <c r="AH1015" s="81" t="b">
        <v>0</v>
      </c>
      <c r="AI1015" s="81" t="s">
        <v>4092</v>
      </c>
      <c r="AJ1015" s="81"/>
      <c r="AK1015" s="87" t="s">
        <v>3875</v>
      </c>
      <c r="AL1015" s="81" t="b">
        <v>0</v>
      </c>
      <c r="AM1015" s="81">
        <v>0</v>
      </c>
      <c r="AN1015" s="87" t="s">
        <v>3875</v>
      </c>
      <c r="AO1015" s="87" t="s">
        <v>4109</v>
      </c>
      <c r="AP1015" s="81" t="b">
        <v>0</v>
      </c>
      <c r="AQ1015" s="87" t="s">
        <v>3795</v>
      </c>
      <c r="AR1015" s="81" t="s">
        <v>179</v>
      </c>
      <c r="AS1015" s="81">
        <v>0</v>
      </c>
      <c r="AT1015" s="81">
        <v>0</v>
      </c>
      <c r="AU1015" s="81"/>
      <c r="AV1015" s="81"/>
      <c r="AW1015" s="81"/>
      <c r="AX1015" s="81"/>
      <c r="AY1015" s="81"/>
      <c r="AZ1015" s="81"/>
      <c r="BA1015" s="81"/>
      <c r="BB1015" s="81"/>
    </row>
    <row r="1016" spans="1:54" x14ac:dyDescent="0.35">
      <c r="A1016" s="66" t="s">
        <v>810</v>
      </c>
      <c r="B1016" s="66" t="s">
        <v>1146</v>
      </c>
      <c r="C1016" s="67"/>
      <c r="D1016" s="68"/>
      <c r="E1016" s="69"/>
      <c r="F1016" s="70"/>
      <c r="G1016" s="67"/>
      <c r="H1016" s="71"/>
      <c r="I1016" s="72"/>
      <c r="J1016" s="72"/>
      <c r="K1016" s="36"/>
      <c r="L1016" s="79"/>
      <c r="M1016" s="79"/>
      <c r="N1016" s="74"/>
      <c r="O1016" s="81" t="s">
        <v>1208</v>
      </c>
      <c r="P1016" s="83">
        <v>44463.521550925929</v>
      </c>
      <c r="Q1016" s="81" t="s">
        <v>1504</v>
      </c>
      <c r="R1016" s="81"/>
      <c r="S1016" s="81"/>
      <c r="T1016" s="81"/>
      <c r="U1016" s="81"/>
      <c r="V1016" s="85" t="str">
        <f>HYPERLINK("https://pbs.twimg.com/profile_images/1277205916161421312/xoGCTSgL_normal.jpg")</f>
        <v>https://pbs.twimg.com/profile_images/1277205916161421312/xoGCTSgL_normal.jpg</v>
      </c>
      <c r="W1016" s="83">
        <v>44463.521550925929</v>
      </c>
      <c r="X1016" s="89">
        <v>44463</v>
      </c>
      <c r="Y1016" s="87" t="s">
        <v>2429</v>
      </c>
      <c r="Z1016" s="85" t="str">
        <f>HYPERLINK("https://twitter.com/greyzone9/status/1441379648349229062")</f>
        <v>https://twitter.com/greyzone9/status/1441379648349229062</v>
      </c>
      <c r="AA1016" s="81"/>
      <c r="AB1016" s="81"/>
      <c r="AC1016" s="87" t="s">
        <v>3357</v>
      </c>
      <c r="AD1016" s="87" t="s">
        <v>3796</v>
      </c>
      <c r="AE1016" s="81" t="b">
        <v>0</v>
      </c>
      <c r="AF1016" s="81">
        <v>0</v>
      </c>
      <c r="AG1016" s="87" t="s">
        <v>4013</v>
      </c>
      <c r="AH1016" s="81" t="b">
        <v>0</v>
      </c>
      <c r="AI1016" s="81" t="s">
        <v>4092</v>
      </c>
      <c r="AJ1016" s="81"/>
      <c r="AK1016" s="87" t="s">
        <v>3875</v>
      </c>
      <c r="AL1016" s="81" t="b">
        <v>0</v>
      </c>
      <c r="AM1016" s="81">
        <v>0</v>
      </c>
      <c r="AN1016" s="87" t="s">
        <v>3875</v>
      </c>
      <c r="AO1016" s="87" t="s">
        <v>4109</v>
      </c>
      <c r="AP1016" s="81" t="b">
        <v>0</v>
      </c>
      <c r="AQ1016" s="87" t="s">
        <v>3796</v>
      </c>
      <c r="AR1016" s="81" t="s">
        <v>179</v>
      </c>
      <c r="AS1016" s="81">
        <v>0</v>
      </c>
      <c r="AT1016" s="81">
        <v>0</v>
      </c>
      <c r="AU1016" s="81"/>
      <c r="AV1016" s="81"/>
      <c r="AW1016" s="81"/>
      <c r="AX1016" s="81"/>
      <c r="AY1016" s="81"/>
      <c r="AZ1016" s="81"/>
      <c r="BA1016" s="81"/>
      <c r="BB1016" s="81"/>
    </row>
    <row r="1017" spans="1:54" x14ac:dyDescent="0.35">
      <c r="A1017" s="66" t="s">
        <v>811</v>
      </c>
      <c r="B1017" s="66" t="s">
        <v>1147</v>
      </c>
      <c r="C1017" s="67"/>
      <c r="D1017" s="68"/>
      <c r="E1017" s="69"/>
      <c r="F1017" s="70"/>
      <c r="G1017" s="67"/>
      <c r="H1017" s="71"/>
      <c r="I1017" s="72"/>
      <c r="J1017" s="72"/>
      <c r="K1017" s="36"/>
      <c r="L1017" s="79"/>
      <c r="M1017" s="79"/>
      <c r="N1017" s="74"/>
      <c r="O1017" s="81" t="s">
        <v>1208</v>
      </c>
      <c r="P1017" s="83">
        <v>44463.572569444441</v>
      </c>
      <c r="Q1017" s="81" t="s">
        <v>1505</v>
      </c>
      <c r="R1017" s="81"/>
      <c r="S1017" s="81"/>
      <c r="T1017" s="81"/>
      <c r="U1017" s="81"/>
      <c r="V1017" s="85" t="str">
        <f>HYPERLINK("https://pbs.twimg.com/profile_images/1429846038429396994/fhRMMGwd_normal.jpg")</f>
        <v>https://pbs.twimg.com/profile_images/1429846038429396994/fhRMMGwd_normal.jpg</v>
      </c>
      <c r="W1017" s="83">
        <v>44463.572569444441</v>
      </c>
      <c r="X1017" s="89">
        <v>44463</v>
      </c>
      <c r="Y1017" s="87" t="s">
        <v>2430</v>
      </c>
      <c r="Z1017" s="85" t="str">
        <f>HYPERLINK("https://twitter.com/chancethegrain/status/1441398138128850949")</f>
        <v>https://twitter.com/chancethegrain/status/1441398138128850949</v>
      </c>
      <c r="AA1017" s="81"/>
      <c r="AB1017" s="81"/>
      <c r="AC1017" s="87" t="s">
        <v>3358</v>
      </c>
      <c r="AD1017" s="87" t="s">
        <v>3797</v>
      </c>
      <c r="AE1017" s="81" t="b">
        <v>0</v>
      </c>
      <c r="AF1017" s="81">
        <v>0</v>
      </c>
      <c r="AG1017" s="87" t="s">
        <v>4014</v>
      </c>
      <c r="AH1017" s="81" t="b">
        <v>0</v>
      </c>
      <c r="AI1017" s="81" t="s">
        <v>4092</v>
      </c>
      <c r="AJ1017" s="81"/>
      <c r="AK1017" s="87" t="s">
        <v>3875</v>
      </c>
      <c r="AL1017" s="81" t="b">
        <v>0</v>
      </c>
      <c r="AM1017" s="81">
        <v>0</v>
      </c>
      <c r="AN1017" s="87" t="s">
        <v>3875</v>
      </c>
      <c r="AO1017" s="87" t="s">
        <v>4109</v>
      </c>
      <c r="AP1017" s="81" t="b">
        <v>0</v>
      </c>
      <c r="AQ1017" s="87" t="s">
        <v>3797</v>
      </c>
      <c r="AR1017" s="81" t="s">
        <v>179</v>
      </c>
      <c r="AS1017" s="81">
        <v>0</v>
      </c>
      <c r="AT1017" s="81">
        <v>0</v>
      </c>
      <c r="AU1017" s="81"/>
      <c r="AV1017" s="81"/>
      <c r="AW1017" s="81"/>
      <c r="AX1017" s="81"/>
      <c r="AY1017" s="81"/>
      <c r="AZ1017" s="81"/>
      <c r="BA1017" s="81"/>
      <c r="BB1017" s="81"/>
    </row>
    <row r="1018" spans="1:54" x14ac:dyDescent="0.35">
      <c r="A1018" s="66" t="s">
        <v>812</v>
      </c>
      <c r="B1018" s="66" t="s">
        <v>1055</v>
      </c>
      <c r="C1018" s="67"/>
      <c r="D1018" s="68"/>
      <c r="E1018" s="69"/>
      <c r="F1018" s="70"/>
      <c r="G1018" s="67"/>
      <c r="H1018" s="71"/>
      <c r="I1018" s="72"/>
      <c r="J1018" s="72"/>
      <c r="K1018" s="36"/>
      <c r="L1018" s="79"/>
      <c r="M1018" s="79"/>
      <c r="N1018" s="74"/>
      <c r="O1018" s="81" t="s">
        <v>1207</v>
      </c>
      <c r="P1018" s="83">
        <v>44463.573263888888</v>
      </c>
      <c r="Q1018" s="81" t="s">
        <v>1324</v>
      </c>
      <c r="R1018" s="81"/>
      <c r="S1018" s="81"/>
      <c r="T1018" s="81"/>
      <c r="U1018" s="85" t="str">
        <f>HYPERLINK("https://pbs.twimg.com/media/E_xVJy2VQAQerFe.jpg")</f>
        <v>https://pbs.twimg.com/media/E_xVJy2VQAQerFe.jpg</v>
      </c>
      <c r="V1018" s="85" t="str">
        <f>HYPERLINK("https://pbs.twimg.com/media/E_xVJy2VQAQerFe.jpg")</f>
        <v>https://pbs.twimg.com/media/E_xVJy2VQAQerFe.jpg</v>
      </c>
      <c r="W1018" s="83">
        <v>44463.573263888888</v>
      </c>
      <c r="X1018" s="89">
        <v>44463</v>
      </c>
      <c r="Y1018" s="87" t="s">
        <v>2431</v>
      </c>
      <c r="Z1018" s="85" t="str">
        <f>HYPERLINK("https://twitter.com/nius77/status/1441398388394577920")</f>
        <v>https://twitter.com/nius77/status/1441398388394577920</v>
      </c>
      <c r="AA1018" s="81"/>
      <c r="AB1018" s="81"/>
      <c r="AC1018" s="87" t="s">
        <v>3359</v>
      </c>
      <c r="AD1018" s="81"/>
      <c r="AE1018" s="81" t="b">
        <v>0</v>
      </c>
      <c r="AF1018" s="81">
        <v>0</v>
      </c>
      <c r="AG1018" s="87" t="s">
        <v>3875</v>
      </c>
      <c r="AH1018" s="81" t="b">
        <v>0</v>
      </c>
      <c r="AI1018" s="81" t="s">
        <v>4092</v>
      </c>
      <c r="AJ1018" s="81"/>
      <c r="AK1018" s="87" t="s">
        <v>3875</v>
      </c>
      <c r="AL1018" s="81" t="b">
        <v>0</v>
      </c>
      <c r="AM1018" s="81">
        <v>321</v>
      </c>
      <c r="AN1018" s="87" t="s">
        <v>3520</v>
      </c>
      <c r="AO1018" s="87" t="s">
        <v>4109</v>
      </c>
      <c r="AP1018" s="81" t="b">
        <v>0</v>
      </c>
      <c r="AQ1018" s="87" t="s">
        <v>3520</v>
      </c>
      <c r="AR1018" s="81" t="s">
        <v>179</v>
      </c>
      <c r="AS1018" s="81">
        <v>0</v>
      </c>
      <c r="AT1018" s="81">
        <v>0</v>
      </c>
      <c r="AU1018" s="81"/>
      <c r="AV1018" s="81"/>
      <c r="AW1018" s="81"/>
      <c r="AX1018" s="81"/>
      <c r="AY1018" s="81"/>
      <c r="AZ1018" s="81"/>
      <c r="BA1018" s="81"/>
      <c r="BB1018" s="81"/>
    </row>
    <row r="1019" spans="1:54" x14ac:dyDescent="0.35">
      <c r="A1019" s="66" t="s">
        <v>812</v>
      </c>
      <c r="B1019" s="66" t="s">
        <v>910</v>
      </c>
      <c r="C1019" s="67"/>
      <c r="D1019" s="68"/>
      <c r="E1019" s="69"/>
      <c r="F1019" s="70"/>
      <c r="G1019" s="67"/>
      <c r="H1019" s="71"/>
      <c r="I1019" s="72"/>
      <c r="J1019" s="72"/>
      <c r="K1019" s="36"/>
      <c r="L1019" s="79"/>
      <c r="M1019" s="79"/>
      <c r="N1019" s="74"/>
      <c r="O1019" s="81" t="s">
        <v>1205</v>
      </c>
      <c r="P1019" s="83">
        <v>44463.573263888888</v>
      </c>
      <c r="Q1019" s="81" t="s">
        <v>1324</v>
      </c>
      <c r="R1019" s="81"/>
      <c r="S1019" s="81"/>
      <c r="T1019" s="81"/>
      <c r="U1019" s="85" t="str">
        <f>HYPERLINK("https://pbs.twimg.com/media/E_xVJy2VQAQerFe.jpg")</f>
        <v>https://pbs.twimg.com/media/E_xVJy2VQAQerFe.jpg</v>
      </c>
      <c r="V1019" s="85" t="str">
        <f>HYPERLINK("https://pbs.twimg.com/media/E_xVJy2VQAQerFe.jpg")</f>
        <v>https://pbs.twimg.com/media/E_xVJy2VQAQerFe.jpg</v>
      </c>
      <c r="W1019" s="83">
        <v>44463.573263888888</v>
      </c>
      <c r="X1019" s="89">
        <v>44463</v>
      </c>
      <c r="Y1019" s="87" t="s">
        <v>2431</v>
      </c>
      <c r="Z1019" s="85" t="str">
        <f>HYPERLINK("https://twitter.com/nius77/status/1441398388394577920")</f>
        <v>https://twitter.com/nius77/status/1441398388394577920</v>
      </c>
      <c r="AA1019" s="81"/>
      <c r="AB1019" s="81"/>
      <c r="AC1019" s="87" t="s">
        <v>3359</v>
      </c>
      <c r="AD1019" s="81"/>
      <c r="AE1019" s="81" t="b">
        <v>0</v>
      </c>
      <c r="AF1019" s="81">
        <v>0</v>
      </c>
      <c r="AG1019" s="87" t="s">
        <v>3875</v>
      </c>
      <c r="AH1019" s="81" t="b">
        <v>0</v>
      </c>
      <c r="AI1019" s="81" t="s">
        <v>4092</v>
      </c>
      <c r="AJ1019" s="81"/>
      <c r="AK1019" s="87" t="s">
        <v>3875</v>
      </c>
      <c r="AL1019" s="81" t="b">
        <v>0</v>
      </c>
      <c r="AM1019" s="81">
        <v>321</v>
      </c>
      <c r="AN1019" s="87" t="s">
        <v>3520</v>
      </c>
      <c r="AO1019" s="87" t="s">
        <v>4109</v>
      </c>
      <c r="AP1019" s="81" t="b">
        <v>0</v>
      </c>
      <c r="AQ1019" s="87" t="s">
        <v>3520</v>
      </c>
      <c r="AR1019" s="81" t="s">
        <v>179</v>
      </c>
      <c r="AS1019" s="81">
        <v>0</v>
      </c>
      <c r="AT1019" s="81">
        <v>0</v>
      </c>
      <c r="AU1019" s="81"/>
      <c r="AV1019" s="81"/>
      <c r="AW1019" s="81"/>
      <c r="AX1019" s="81"/>
      <c r="AY1019" s="81"/>
      <c r="AZ1019" s="81"/>
      <c r="BA1019" s="81"/>
      <c r="BB1019" s="81"/>
    </row>
    <row r="1020" spans="1:54" x14ac:dyDescent="0.35">
      <c r="A1020" s="66" t="s">
        <v>813</v>
      </c>
      <c r="B1020" s="66" t="s">
        <v>1148</v>
      </c>
      <c r="C1020" s="67"/>
      <c r="D1020" s="68"/>
      <c r="E1020" s="69"/>
      <c r="F1020" s="70"/>
      <c r="G1020" s="67"/>
      <c r="H1020" s="71"/>
      <c r="I1020" s="72"/>
      <c r="J1020" s="72"/>
      <c r="K1020" s="36"/>
      <c r="L1020" s="79"/>
      <c r="M1020" s="79"/>
      <c r="N1020" s="74"/>
      <c r="O1020" s="81" t="s">
        <v>1206</v>
      </c>
      <c r="P1020" s="83">
        <v>44463.574467592596</v>
      </c>
      <c r="Q1020" s="81" t="s">
        <v>1506</v>
      </c>
      <c r="R1020" s="81"/>
      <c r="S1020" s="81"/>
      <c r="T1020" s="81"/>
      <c r="U1020" s="81"/>
      <c r="V1020" s="85" t="str">
        <f>HYPERLINK("https://pbs.twimg.com/profile_images/1436344957531422725/OMveXNEZ_normal.jpg")</f>
        <v>https://pbs.twimg.com/profile_images/1436344957531422725/OMveXNEZ_normal.jpg</v>
      </c>
      <c r="W1020" s="83">
        <v>44463.574467592596</v>
      </c>
      <c r="X1020" s="89">
        <v>44463</v>
      </c>
      <c r="Y1020" s="87" t="s">
        <v>2432</v>
      </c>
      <c r="Z1020" s="85" t="str">
        <f>HYPERLINK("https://twitter.com/petarung_0404/status/1441398825747247120")</f>
        <v>https://twitter.com/petarung_0404/status/1441398825747247120</v>
      </c>
      <c r="AA1020" s="81"/>
      <c r="AB1020" s="81"/>
      <c r="AC1020" s="87" t="s">
        <v>3360</v>
      </c>
      <c r="AD1020" s="87" t="s">
        <v>3798</v>
      </c>
      <c r="AE1020" s="81" t="b">
        <v>0</v>
      </c>
      <c r="AF1020" s="81">
        <v>0</v>
      </c>
      <c r="AG1020" s="87" t="s">
        <v>4015</v>
      </c>
      <c r="AH1020" s="81" t="b">
        <v>0</v>
      </c>
      <c r="AI1020" s="81" t="s">
        <v>4092</v>
      </c>
      <c r="AJ1020" s="81"/>
      <c r="AK1020" s="87" t="s">
        <v>3875</v>
      </c>
      <c r="AL1020" s="81" t="b">
        <v>0</v>
      </c>
      <c r="AM1020" s="81">
        <v>0</v>
      </c>
      <c r="AN1020" s="87" t="s">
        <v>3875</v>
      </c>
      <c r="AO1020" s="87" t="s">
        <v>4109</v>
      </c>
      <c r="AP1020" s="81" t="b">
        <v>0</v>
      </c>
      <c r="AQ1020" s="87" t="s">
        <v>3798</v>
      </c>
      <c r="AR1020" s="81" t="s">
        <v>179</v>
      </c>
      <c r="AS1020" s="81">
        <v>0</v>
      </c>
      <c r="AT1020" s="81">
        <v>0</v>
      </c>
      <c r="AU1020" s="81"/>
      <c r="AV1020" s="81"/>
      <c r="AW1020" s="81"/>
      <c r="AX1020" s="81"/>
      <c r="AY1020" s="81"/>
      <c r="AZ1020" s="81"/>
      <c r="BA1020" s="81"/>
      <c r="BB1020" s="81"/>
    </row>
    <row r="1021" spans="1:54" x14ac:dyDescent="0.35">
      <c r="A1021" s="66" t="s">
        <v>813</v>
      </c>
      <c r="B1021" s="66" t="s">
        <v>1149</v>
      </c>
      <c r="C1021" s="67"/>
      <c r="D1021" s="68"/>
      <c r="E1021" s="69"/>
      <c r="F1021" s="70"/>
      <c r="G1021" s="67"/>
      <c r="H1021" s="71"/>
      <c r="I1021" s="72"/>
      <c r="J1021" s="72"/>
      <c r="K1021" s="36"/>
      <c r="L1021" s="79"/>
      <c r="M1021" s="79"/>
      <c r="N1021" s="74"/>
      <c r="O1021" s="81" t="s">
        <v>1208</v>
      </c>
      <c r="P1021" s="83">
        <v>44463.574467592596</v>
      </c>
      <c r="Q1021" s="81" t="s">
        <v>1506</v>
      </c>
      <c r="R1021" s="81"/>
      <c r="S1021" s="81"/>
      <c r="T1021" s="81"/>
      <c r="U1021" s="81"/>
      <c r="V1021" s="85" t="str">
        <f>HYPERLINK("https://pbs.twimg.com/profile_images/1436344957531422725/OMveXNEZ_normal.jpg")</f>
        <v>https://pbs.twimg.com/profile_images/1436344957531422725/OMveXNEZ_normal.jpg</v>
      </c>
      <c r="W1021" s="83">
        <v>44463.574467592596</v>
      </c>
      <c r="X1021" s="89">
        <v>44463</v>
      </c>
      <c r="Y1021" s="87" t="s">
        <v>2432</v>
      </c>
      <c r="Z1021" s="85" t="str">
        <f>HYPERLINK("https://twitter.com/petarung_0404/status/1441398825747247120")</f>
        <v>https://twitter.com/petarung_0404/status/1441398825747247120</v>
      </c>
      <c r="AA1021" s="81"/>
      <c r="AB1021" s="81"/>
      <c r="AC1021" s="87" t="s">
        <v>3360</v>
      </c>
      <c r="AD1021" s="87" t="s">
        <v>3798</v>
      </c>
      <c r="AE1021" s="81" t="b">
        <v>0</v>
      </c>
      <c r="AF1021" s="81">
        <v>0</v>
      </c>
      <c r="AG1021" s="87" t="s">
        <v>4015</v>
      </c>
      <c r="AH1021" s="81" t="b">
        <v>0</v>
      </c>
      <c r="AI1021" s="81" t="s">
        <v>4092</v>
      </c>
      <c r="AJ1021" s="81"/>
      <c r="AK1021" s="87" t="s">
        <v>3875</v>
      </c>
      <c r="AL1021" s="81" t="b">
        <v>0</v>
      </c>
      <c r="AM1021" s="81">
        <v>0</v>
      </c>
      <c r="AN1021" s="87" t="s">
        <v>3875</v>
      </c>
      <c r="AO1021" s="87" t="s">
        <v>4109</v>
      </c>
      <c r="AP1021" s="81" t="b">
        <v>0</v>
      </c>
      <c r="AQ1021" s="87" t="s">
        <v>3798</v>
      </c>
      <c r="AR1021" s="81" t="s">
        <v>179</v>
      </c>
      <c r="AS1021" s="81">
        <v>0</v>
      </c>
      <c r="AT1021" s="81">
        <v>0</v>
      </c>
      <c r="AU1021" s="81"/>
      <c r="AV1021" s="81"/>
      <c r="AW1021" s="81"/>
      <c r="AX1021" s="81"/>
      <c r="AY1021" s="81"/>
      <c r="AZ1021" s="81"/>
      <c r="BA1021" s="81"/>
      <c r="BB1021" s="81"/>
    </row>
    <row r="1022" spans="1:54" x14ac:dyDescent="0.35">
      <c r="A1022" s="66" t="s">
        <v>814</v>
      </c>
      <c r="B1022" s="66" t="s">
        <v>814</v>
      </c>
      <c r="C1022" s="67"/>
      <c r="D1022" s="68"/>
      <c r="E1022" s="69"/>
      <c r="F1022" s="70"/>
      <c r="G1022" s="67"/>
      <c r="H1022" s="71"/>
      <c r="I1022" s="72"/>
      <c r="J1022" s="72"/>
      <c r="K1022" s="36"/>
      <c r="L1022" s="79"/>
      <c r="M1022" s="79"/>
      <c r="N1022" s="74"/>
      <c r="O1022" s="81" t="s">
        <v>179</v>
      </c>
      <c r="P1022" s="83">
        <v>44463.603217592594</v>
      </c>
      <c r="Q1022" s="81" t="s">
        <v>1507</v>
      </c>
      <c r="R1022" s="81"/>
      <c r="S1022" s="81"/>
      <c r="T1022" s="81"/>
      <c r="U1022" s="85" t="str">
        <f>HYPERLINK("https://pbs.twimg.com/ext_tw_video_thumb/1441409115977256966/pu/img/Byo9wSh3lSw85bgU.jpg")</f>
        <v>https://pbs.twimg.com/ext_tw_video_thumb/1441409115977256966/pu/img/Byo9wSh3lSw85bgU.jpg</v>
      </c>
      <c r="V1022" s="85" t="str">
        <f>HYPERLINK("https://pbs.twimg.com/ext_tw_video_thumb/1441409115977256966/pu/img/Byo9wSh3lSw85bgU.jpg")</f>
        <v>https://pbs.twimg.com/ext_tw_video_thumb/1441409115977256966/pu/img/Byo9wSh3lSw85bgU.jpg</v>
      </c>
      <c r="W1022" s="83">
        <v>44463.603217592594</v>
      </c>
      <c r="X1022" s="89">
        <v>44463</v>
      </c>
      <c r="Y1022" s="87" t="s">
        <v>2433</v>
      </c>
      <c r="Z1022" s="85" t="str">
        <f>HYPERLINK("https://twitter.com/ajussideul_exe/status/1441409243937005589")</f>
        <v>https://twitter.com/ajussideul_exe/status/1441409243937005589</v>
      </c>
      <c r="AA1022" s="81"/>
      <c r="AB1022" s="81"/>
      <c r="AC1022" s="87" t="s">
        <v>3361</v>
      </c>
      <c r="AD1022" s="81"/>
      <c r="AE1022" s="81" t="b">
        <v>0</v>
      </c>
      <c r="AF1022" s="81">
        <v>2</v>
      </c>
      <c r="AG1022" s="87" t="s">
        <v>3875</v>
      </c>
      <c r="AH1022" s="81" t="b">
        <v>0</v>
      </c>
      <c r="AI1022" s="81" t="s">
        <v>4092</v>
      </c>
      <c r="AJ1022" s="81"/>
      <c r="AK1022" s="87" t="s">
        <v>3875</v>
      </c>
      <c r="AL1022" s="81" t="b">
        <v>0</v>
      </c>
      <c r="AM1022" s="81">
        <v>0</v>
      </c>
      <c r="AN1022" s="87" t="s">
        <v>3875</v>
      </c>
      <c r="AO1022" s="87" t="s">
        <v>4109</v>
      </c>
      <c r="AP1022" s="81" t="b">
        <v>0</v>
      </c>
      <c r="AQ1022" s="87" t="s">
        <v>3361</v>
      </c>
      <c r="AR1022" s="81" t="s">
        <v>179</v>
      </c>
      <c r="AS1022" s="81">
        <v>0</v>
      </c>
      <c r="AT1022" s="81">
        <v>0</v>
      </c>
      <c r="AU1022" s="81"/>
      <c r="AV1022" s="81"/>
      <c r="AW1022" s="81"/>
      <c r="AX1022" s="81"/>
      <c r="AY1022" s="81"/>
      <c r="AZ1022" s="81"/>
      <c r="BA1022" s="81"/>
      <c r="BB1022" s="81"/>
    </row>
    <row r="1023" spans="1:54" x14ac:dyDescent="0.35">
      <c r="A1023" s="66" t="s">
        <v>815</v>
      </c>
      <c r="B1023" s="66" t="s">
        <v>1150</v>
      </c>
      <c r="C1023" s="67"/>
      <c r="D1023" s="68"/>
      <c r="E1023" s="69"/>
      <c r="F1023" s="70"/>
      <c r="G1023" s="67"/>
      <c r="H1023" s="71"/>
      <c r="I1023" s="72"/>
      <c r="J1023" s="72"/>
      <c r="K1023" s="36"/>
      <c r="L1023" s="79"/>
      <c r="M1023" s="79"/>
      <c r="N1023" s="74"/>
      <c r="O1023" s="81" t="s">
        <v>1208</v>
      </c>
      <c r="P1023" s="83">
        <v>44463.670115740744</v>
      </c>
      <c r="Q1023" s="81" t="s">
        <v>1508</v>
      </c>
      <c r="R1023" s="81"/>
      <c r="S1023" s="81"/>
      <c r="T1023" s="81"/>
      <c r="U1023" s="81"/>
      <c r="V1023" s="85" t="str">
        <f>HYPERLINK("https://pbs.twimg.com/profile_images/1397741769761067009/VvSLnQy-_normal.jpg")</f>
        <v>https://pbs.twimg.com/profile_images/1397741769761067009/VvSLnQy-_normal.jpg</v>
      </c>
      <c r="W1023" s="83">
        <v>44463.670115740744</v>
      </c>
      <c r="X1023" s="89">
        <v>44463</v>
      </c>
      <c r="Y1023" s="87" t="s">
        <v>2434</v>
      </c>
      <c r="Z1023" s="85" t="str">
        <f>HYPERLINK("https://twitter.com/ayramyoui/status/1441433488897363972")</f>
        <v>https://twitter.com/ayramyoui/status/1441433488897363972</v>
      </c>
      <c r="AA1023" s="81"/>
      <c r="AB1023" s="81"/>
      <c r="AC1023" s="87" t="s">
        <v>3362</v>
      </c>
      <c r="AD1023" s="87" t="s">
        <v>3799</v>
      </c>
      <c r="AE1023" s="81" t="b">
        <v>0</v>
      </c>
      <c r="AF1023" s="81">
        <v>1</v>
      </c>
      <c r="AG1023" s="87" t="s">
        <v>4016</v>
      </c>
      <c r="AH1023" s="81" t="b">
        <v>0</v>
      </c>
      <c r="AI1023" s="81" t="s">
        <v>4092</v>
      </c>
      <c r="AJ1023" s="81"/>
      <c r="AK1023" s="87" t="s">
        <v>3875</v>
      </c>
      <c r="AL1023" s="81" t="b">
        <v>0</v>
      </c>
      <c r="AM1023" s="81">
        <v>0</v>
      </c>
      <c r="AN1023" s="87" t="s">
        <v>3875</v>
      </c>
      <c r="AO1023" s="87" t="s">
        <v>4109</v>
      </c>
      <c r="AP1023" s="81" t="b">
        <v>0</v>
      </c>
      <c r="AQ1023" s="87" t="s">
        <v>3799</v>
      </c>
      <c r="AR1023" s="81" t="s">
        <v>179</v>
      </c>
      <c r="AS1023" s="81">
        <v>0</v>
      </c>
      <c r="AT1023" s="81">
        <v>0</v>
      </c>
      <c r="AU1023" s="81"/>
      <c r="AV1023" s="81"/>
      <c r="AW1023" s="81"/>
      <c r="AX1023" s="81"/>
      <c r="AY1023" s="81"/>
      <c r="AZ1023" s="81"/>
      <c r="BA1023" s="81"/>
      <c r="BB1023" s="81"/>
    </row>
    <row r="1024" spans="1:54" x14ac:dyDescent="0.35">
      <c r="A1024" s="66" t="s">
        <v>816</v>
      </c>
      <c r="B1024" s="66" t="s">
        <v>1151</v>
      </c>
      <c r="C1024" s="67"/>
      <c r="D1024" s="68"/>
      <c r="E1024" s="69"/>
      <c r="F1024" s="70"/>
      <c r="G1024" s="67"/>
      <c r="H1024" s="71"/>
      <c r="I1024" s="72"/>
      <c r="J1024" s="72"/>
      <c r="K1024" s="36"/>
      <c r="L1024" s="79"/>
      <c r="M1024" s="79"/>
      <c r="N1024" s="74"/>
      <c r="O1024" s="81" t="s">
        <v>1206</v>
      </c>
      <c r="P1024" s="83">
        <v>44463.730428240742</v>
      </c>
      <c r="Q1024" s="81" t="s">
        <v>1509</v>
      </c>
      <c r="R1024" s="81"/>
      <c r="S1024" s="81"/>
      <c r="T1024" s="81"/>
      <c r="U1024" s="81"/>
      <c r="V1024" s="85" t="str">
        <f>HYPERLINK("https://pbs.twimg.com/profile_images/1417894126788308993/hd3CLPPl_normal.jpg")</f>
        <v>https://pbs.twimg.com/profile_images/1417894126788308993/hd3CLPPl_normal.jpg</v>
      </c>
      <c r="W1024" s="83">
        <v>44463.730428240742</v>
      </c>
      <c r="X1024" s="89">
        <v>44463</v>
      </c>
      <c r="Y1024" s="87" t="s">
        <v>2435</v>
      </c>
      <c r="Z1024" s="85" t="str">
        <f>HYPERLINK("https://twitter.com/mantulbarang/status/1441455343687528448")</f>
        <v>https://twitter.com/mantulbarang/status/1441455343687528448</v>
      </c>
      <c r="AA1024" s="81"/>
      <c r="AB1024" s="81"/>
      <c r="AC1024" s="87" t="s">
        <v>3363</v>
      </c>
      <c r="AD1024" s="87" t="s">
        <v>3800</v>
      </c>
      <c r="AE1024" s="81" t="b">
        <v>0</v>
      </c>
      <c r="AF1024" s="81">
        <v>0</v>
      </c>
      <c r="AG1024" s="87" t="s">
        <v>4017</v>
      </c>
      <c r="AH1024" s="81" t="b">
        <v>0</v>
      </c>
      <c r="AI1024" s="81" t="s">
        <v>4092</v>
      </c>
      <c r="AJ1024" s="81"/>
      <c r="AK1024" s="87" t="s">
        <v>3875</v>
      </c>
      <c r="AL1024" s="81" t="b">
        <v>0</v>
      </c>
      <c r="AM1024" s="81">
        <v>0</v>
      </c>
      <c r="AN1024" s="87" t="s">
        <v>3875</v>
      </c>
      <c r="AO1024" s="87" t="s">
        <v>4109</v>
      </c>
      <c r="AP1024" s="81" t="b">
        <v>0</v>
      </c>
      <c r="AQ1024" s="87" t="s">
        <v>3800</v>
      </c>
      <c r="AR1024" s="81" t="s">
        <v>179</v>
      </c>
      <c r="AS1024" s="81">
        <v>0</v>
      </c>
      <c r="AT1024" s="81">
        <v>0</v>
      </c>
      <c r="AU1024" s="81"/>
      <c r="AV1024" s="81"/>
      <c r="AW1024" s="81"/>
      <c r="AX1024" s="81"/>
      <c r="AY1024" s="81"/>
      <c r="AZ1024" s="81"/>
      <c r="BA1024" s="81"/>
      <c r="BB1024" s="81"/>
    </row>
    <row r="1025" spans="1:54" x14ac:dyDescent="0.35">
      <c r="A1025" s="66" t="s">
        <v>816</v>
      </c>
      <c r="B1025" s="66" t="s">
        <v>1152</v>
      </c>
      <c r="C1025" s="67"/>
      <c r="D1025" s="68"/>
      <c r="E1025" s="69"/>
      <c r="F1025" s="70"/>
      <c r="G1025" s="67"/>
      <c r="H1025" s="71"/>
      <c r="I1025" s="72"/>
      <c r="J1025" s="72"/>
      <c r="K1025" s="36"/>
      <c r="L1025" s="79"/>
      <c r="M1025" s="79"/>
      <c r="N1025" s="74"/>
      <c r="O1025" s="81" t="s">
        <v>1208</v>
      </c>
      <c r="P1025" s="83">
        <v>44463.730428240742</v>
      </c>
      <c r="Q1025" s="81" t="s">
        <v>1509</v>
      </c>
      <c r="R1025" s="81"/>
      <c r="S1025" s="81"/>
      <c r="T1025" s="81"/>
      <c r="U1025" s="81"/>
      <c r="V1025" s="85" t="str">
        <f>HYPERLINK("https://pbs.twimg.com/profile_images/1417894126788308993/hd3CLPPl_normal.jpg")</f>
        <v>https://pbs.twimg.com/profile_images/1417894126788308993/hd3CLPPl_normal.jpg</v>
      </c>
      <c r="W1025" s="83">
        <v>44463.730428240742</v>
      </c>
      <c r="X1025" s="89">
        <v>44463</v>
      </c>
      <c r="Y1025" s="87" t="s">
        <v>2435</v>
      </c>
      <c r="Z1025" s="85" t="str">
        <f>HYPERLINK("https://twitter.com/mantulbarang/status/1441455343687528448")</f>
        <v>https://twitter.com/mantulbarang/status/1441455343687528448</v>
      </c>
      <c r="AA1025" s="81"/>
      <c r="AB1025" s="81"/>
      <c r="AC1025" s="87" t="s">
        <v>3363</v>
      </c>
      <c r="AD1025" s="87" t="s">
        <v>3800</v>
      </c>
      <c r="AE1025" s="81" t="b">
        <v>0</v>
      </c>
      <c r="AF1025" s="81">
        <v>0</v>
      </c>
      <c r="AG1025" s="87" t="s">
        <v>4017</v>
      </c>
      <c r="AH1025" s="81" t="b">
        <v>0</v>
      </c>
      <c r="AI1025" s="81" t="s">
        <v>4092</v>
      </c>
      <c r="AJ1025" s="81"/>
      <c r="AK1025" s="87" t="s">
        <v>3875</v>
      </c>
      <c r="AL1025" s="81" t="b">
        <v>0</v>
      </c>
      <c r="AM1025" s="81">
        <v>0</v>
      </c>
      <c r="AN1025" s="87" t="s">
        <v>3875</v>
      </c>
      <c r="AO1025" s="87" t="s">
        <v>4109</v>
      </c>
      <c r="AP1025" s="81" t="b">
        <v>0</v>
      </c>
      <c r="AQ1025" s="87" t="s">
        <v>3800</v>
      </c>
      <c r="AR1025" s="81" t="s">
        <v>179</v>
      </c>
      <c r="AS1025" s="81">
        <v>0</v>
      </c>
      <c r="AT1025" s="81">
        <v>0</v>
      </c>
      <c r="AU1025" s="81"/>
      <c r="AV1025" s="81"/>
      <c r="AW1025" s="81"/>
      <c r="AX1025" s="81"/>
      <c r="AY1025" s="81"/>
      <c r="AZ1025" s="81"/>
      <c r="BA1025" s="81"/>
      <c r="BB1025" s="81"/>
    </row>
    <row r="1026" spans="1:54" x14ac:dyDescent="0.35">
      <c r="A1026" s="66" t="s">
        <v>817</v>
      </c>
      <c r="B1026" s="66" t="s">
        <v>1153</v>
      </c>
      <c r="C1026" s="67"/>
      <c r="D1026" s="68"/>
      <c r="E1026" s="69"/>
      <c r="F1026" s="70"/>
      <c r="G1026" s="67"/>
      <c r="H1026" s="71"/>
      <c r="I1026" s="72"/>
      <c r="J1026" s="72"/>
      <c r="K1026" s="36"/>
      <c r="L1026" s="79"/>
      <c r="M1026" s="79"/>
      <c r="N1026" s="74"/>
      <c r="O1026" s="81" t="s">
        <v>1208</v>
      </c>
      <c r="P1026" s="83">
        <v>44463.781145833331</v>
      </c>
      <c r="Q1026" s="81" t="s">
        <v>1510</v>
      </c>
      <c r="R1026" s="81"/>
      <c r="S1026" s="81"/>
      <c r="T1026" s="81"/>
      <c r="U1026" s="81"/>
      <c r="V1026" s="85" t="str">
        <f>HYPERLINK("https://pbs.twimg.com/profile_images/1902946648/250150_215895385097436_100000309270949_695913_8217835_n_normal.jpg")</f>
        <v>https://pbs.twimg.com/profile_images/1902946648/250150_215895385097436_100000309270949_695913_8217835_n_normal.jpg</v>
      </c>
      <c r="W1026" s="83">
        <v>44463.781145833331</v>
      </c>
      <c r="X1026" s="89">
        <v>44463</v>
      </c>
      <c r="Y1026" s="87" t="s">
        <v>2436</v>
      </c>
      <c r="Z1026" s="85" t="str">
        <f>HYPERLINK("https://twitter.com/yutas_yosa/status/1441473723417067527")</f>
        <v>https://twitter.com/yutas_yosa/status/1441473723417067527</v>
      </c>
      <c r="AA1026" s="81"/>
      <c r="AB1026" s="81"/>
      <c r="AC1026" s="87" t="s">
        <v>3364</v>
      </c>
      <c r="AD1026" s="87" t="s">
        <v>3801</v>
      </c>
      <c r="AE1026" s="81" t="b">
        <v>0</v>
      </c>
      <c r="AF1026" s="81">
        <v>0</v>
      </c>
      <c r="AG1026" s="87" t="s">
        <v>4018</v>
      </c>
      <c r="AH1026" s="81" t="b">
        <v>0</v>
      </c>
      <c r="AI1026" s="81" t="s">
        <v>4092</v>
      </c>
      <c r="AJ1026" s="81"/>
      <c r="AK1026" s="87" t="s">
        <v>3875</v>
      </c>
      <c r="AL1026" s="81" t="b">
        <v>0</v>
      </c>
      <c r="AM1026" s="81">
        <v>0</v>
      </c>
      <c r="AN1026" s="87" t="s">
        <v>3875</v>
      </c>
      <c r="AO1026" s="87" t="s">
        <v>4109</v>
      </c>
      <c r="AP1026" s="81" t="b">
        <v>0</v>
      </c>
      <c r="AQ1026" s="87" t="s">
        <v>3801</v>
      </c>
      <c r="AR1026" s="81" t="s">
        <v>179</v>
      </c>
      <c r="AS1026" s="81">
        <v>0</v>
      </c>
      <c r="AT1026" s="81">
        <v>0</v>
      </c>
      <c r="AU1026" s="81"/>
      <c r="AV1026" s="81"/>
      <c r="AW1026" s="81"/>
      <c r="AX1026" s="81"/>
      <c r="AY1026" s="81"/>
      <c r="AZ1026" s="81"/>
      <c r="BA1026" s="81"/>
      <c r="BB1026" s="81"/>
    </row>
    <row r="1027" spans="1:54" x14ac:dyDescent="0.35">
      <c r="A1027" s="66" t="s">
        <v>818</v>
      </c>
      <c r="B1027" s="66" t="s">
        <v>981</v>
      </c>
      <c r="C1027" s="67"/>
      <c r="D1027" s="68"/>
      <c r="E1027" s="69"/>
      <c r="F1027" s="70"/>
      <c r="G1027" s="67"/>
      <c r="H1027" s="71"/>
      <c r="I1027" s="72"/>
      <c r="J1027" s="72"/>
      <c r="K1027" s="36"/>
      <c r="L1027" s="79"/>
      <c r="M1027" s="79"/>
      <c r="N1027" s="74"/>
      <c r="O1027" s="81" t="s">
        <v>1205</v>
      </c>
      <c r="P1027" s="83">
        <v>44463.982731481483</v>
      </c>
      <c r="Q1027" s="81" t="s">
        <v>1511</v>
      </c>
      <c r="R1027" s="81"/>
      <c r="S1027" s="81"/>
      <c r="T1027" s="87" t="s">
        <v>1761</v>
      </c>
      <c r="U1027" s="85" t="str">
        <f>HYPERLINK("https://pbs.twimg.com/media/FAFli1WVcAUQZZc.jpg")</f>
        <v>https://pbs.twimg.com/media/FAFli1WVcAUQZZc.jpg</v>
      </c>
      <c r="V1027" s="85" t="str">
        <f>HYPERLINK("https://pbs.twimg.com/media/FAFli1WVcAUQZZc.jpg")</f>
        <v>https://pbs.twimg.com/media/FAFli1WVcAUQZZc.jpg</v>
      </c>
      <c r="W1027" s="83">
        <v>44463.982731481483</v>
      </c>
      <c r="X1027" s="89">
        <v>44463</v>
      </c>
      <c r="Y1027" s="87" t="s">
        <v>2437</v>
      </c>
      <c r="Z1027" s="85" t="str">
        <f>HYPERLINK("https://twitter.com/broari6/status/1441546777002328071")</f>
        <v>https://twitter.com/broari6/status/1441546777002328071</v>
      </c>
      <c r="AA1027" s="81"/>
      <c r="AB1027" s="81"/>
      <c r="AC1027" s="87" t="s">
        <v>3365</v>
      </c>
      <c r="AD1027" s="81"/>
      <c r="AE1027" s="81" t="b">
        <v>0</v>
      </c>
      <c r="AF1027" s="81">
        <v>0</v>
      </c>
      <c r="AG1027" s="87" t="s">
        <v>3875</v>
      </c>
      <c r="AH1027" s="81" t="b">
        <v>0</v>
      </c>
      <c r="AI1027" s="81" t="s">
        <v>4092</v>
      </c>
      <c r="AJ1027" s="81"/>
      <c r="AK1027" s="87" t="s">
        <v>3875</v>
      </c>
      <c r="AL1027" s="81" t="b">
        <v>0</v>
      </c>
      <c r="AM1027" s="81">
        <v>3</v>
      </c>
      <c r="AN1027" s="87" t="s">
        <v>3624</v>
      </c>
      <c r="AO1027" s="87" t="s">
        <v>4109</v>
      </c>
      <c r="AP1027" s="81" t="b">
        <v>0</v>
      </c>
      <c r="AQ1027" s="87" t="s">
        <v>3624</v>
      </c>
      <c r="AR1027" s="81" t="s">
        <v>179</v>
      </c>
      <c r="AS1027" s="81">
        <v>0</v>
      </c>
      <c r="AT1027" s="81">
        <v>0</v>
      </c>
      <c r="AU1027" s="81"/>
      <c r="AV1027" s="81"/>
      <c r="AW1027" s="81"/>
      <c r="AX1027" s="81"/>
      <c r="AY1027" s="81"/>
      <c r="AZ1027" s="81"/>
      <c r="BA1027" s="81"/>
      <c r="BB1027" s="81"/>
    </row>
    <row r="1028" spans="1:54" x14ac:dyDescent="0.35">
      <c r="A1028" s="66" t="s">
        <v>819</v>
      </c>
      <c r="B1028" s="66" t="s">
        <v>1154</v>
      </c>
      <c r="C1028" s="67"/>
      <c r="D1028" s="68"/>
      <c r="E1028" s="69"/>
      <c r="F1028" s="70"/>
      <c r="G1028" s="67"/>
      <c r="H1028" s="71"/>
      <c r="I1028" s="72"/>
      <c r="J1028" s="72"/>
      <c r="K1028" s="36"/>
      <c r="L1028" s="79"/>
      <c r="M1028" s="79"/>
      <c r="N1028" s="74"/>
      <c r="O1028" s="81" t="s">
        <v>1208</v>
      </c>
      <c r="P1028" s="83">
        <v>44463.998182870368</v>
      </c>
      <c r="Q1028" s="81" t="s">
        <v>1512</v>
      </c>
      <c r="R1028" s="81"/>
      <c r="S1028" s="81"/>
      <c r="T1028" s="81"/>
      <c r="U1028" s="81"/>
      <c r="V1028" s="85" t="str">
        <f>HYPERLINK("https://pbs.twimg.com/profile_images/1419634100210520070/5dUXLCxW_normal.jpg")</f>
        <v>https://pbs.twimg.com/profile_images/1419634100210520070/5dUXLCxW_normal.jpg</v>
      </c>
      <c r="W1028" s="83">
        <v>44463.998182870368</v>
      </c>
      <c r="X1028" s="89">
        <v>44463</v>
      </c>
      <c r="Y1028" s="87" t="s">
        <v>2438</v>
      </c>
      <c r="Z1028" s="85" t="str">
        <f>HYPERLINK("https://twitter.com/gandrick50/status/1441552375018242048")</f>
        <v>https://twitter.com/gandrick50/status/1441552375018242048</v>
      </c>
      <c r="AA1028" s="81"/>
      <c r="AB1028" s="81"/>
      <c r="AC1028" s="87" t="s">
        <v>3366</v>
      </c>
      <c r="AD1028" s="87" t="s">
        <v>3802</v>
      </c>
      <c r="AE1028" s="81" t="b">
        <v>0</v>
      </c>
      <c r="AF1028" s="81">
        <v>1</v>
      </c>
      <c r="AG1028" s="87" t="s">
        <v>4019</v>
      </c>
      <c r="AH1028" s="81" t="b">
        <v>0</v>
      </c>
      <c r="AI1028" s="81" t="s">
        <v>4092</v>
      </c>
      <c r="AJ1028" s="81"/>
      <c r="AK1028" s="87" t="s">
        <v>3875</v>
      </c>
      <c r="AL1028" s="81" t="b">
        <v>0</v>
      </c>
      <c r="AM1028" s="81">
        <v>0</v>
      </c>
      <c r="AN1028" s="87" t="s">
        <v>3875</v>
      </c>
      <c r="AO1028" s="87" t="s">
        <v>4111</v>
      </c>
      <c r="AP1028" s="81" t="b">
        <v>0</v>
      </c>
      <c r="AQ1028" s="87" t="s">
        <v>3802</v>
      </c>
      <c r="AR1028" s="81" t="s">
        <v>179</v>
      </c>
      <c r="AS1028" s="81">
        <v>0</v>
      </c>
      <c r="AT1028" s="81">
        <v>0</v>
      </c>
      <c r="AU1028" s="81"/>
      <c r="AV1028" s="81"/>
      <c r="AW1028" s="81"/>
      <c r="AX1028" s="81"/>
      <c r="AY1028" s="81"/>
      <c r="AZ1028" s="81"/>
      <c r="BA1028" s="81"/>
      <c r="BB1028" s="81"/>
    </row>
    <row r="1029" spans="1:54" x14ac:dyDescent="0.35">
      <c r="A1029" s="66" t="s">
        <v>820</v>
      </c>
      <c r="B1029" s="66" t="s">
        <v>1155</v>
      </c>
      <c r="C1029" s="67"/>
      <c r="D1029" s="68"/>
      <c r="E1029" s="69"/>
      <c r="F1029" s="70"/>
      <c r="G1029" s="67"/>
      <c r="H1029" s="71"/>
      <c r="I1029" s="72"/>
      <c r="J1029" s="72"/>
      <c r="K1029" s="36"/>
      <c r="L1029" s="79"/>
      <c r="M1029" s="79"/>
      <c r="N1029" s="74"/>
      <c r="O1029" s="81" t="s">
        <v>1208</v>
      </c>
      <c r="P1029" s="83">
        <v>44464.003483796296</v>
      </c>
      <c r="Q1029" s="81" t="s">
        <v>1513</v>
      </c>
      <c r="R1029" s="81"/>
      <c r="S1029" s="81"/>
      <c r="T1029" s="81"/>
      <c r="U1029" s="81"/>
      <c r="V1029" s="85" t="str">
        <f>HYPERLINK("https://pbs.twimg.com/profile_images/1432840244726951936/Y12WqPCe_normal.jpg")</f>
        <v>https://pbs.twimg.com/profile_images/1432840244726951936/Y12WqPCe_normal.jpg</v>
      </c>
      <c r="W1029" s="83">
        <v>44464.003483796296</v>
      </c>
      <c r="X1029" s="89">
        <v>44464</v>
      </c>
      <c r="Y1029" s="87" t="s">
        <v>2439</v>
      </c>
      <c r="Z1029" s="85" t="str">
        <f>HYPERLINK("https://twitter.com/mopoek/status/1441554297527816195")</f>
        <v>https://twitter.com/mopoek/status/1441554297527816195</v>
      </c>
      <c r="AA1029" s="81"/>
      <c r="AB1029" s="81"/>
      <c r="AC1029" s="87" t="s">
        <v>3367</v>
      </c>
      <c r="AD1029" s="81"/>
      <c r="AE1029" s="81" t="b">
        <v>0</v>
      </c>
      <c r="AF1029" s="81">
        <v>1</v>
      </c>
      <c r="AG1029" s="87" t="s">
        <v>4020</v>
      </c>
      <c r="AH1029" s="81" t="b">
        <v>0</v>
      </c>
      <c r="AI1029" s="81" t="s">
        <v>4092</v>
      </c>
      <c r="AJ1029" s="81"/>
      <c r="AK1029" s="87" t="s">
        <v>3875</v>
      </c>
      <c r="AL1029" s="81" t="b">
        <v>0</v>
      </c>
      <c r="AM1029" s="81">
        <v>0</v>
      </c>
      <c r="AN1029" s="87" t="s">
        <v>3875</v>
      </c>
      <c r="AO1029" s="87" t="s">
        <v>4109</v>
      </c>
      <c r="AP1029" s="81" t="b">
        <v>0</v>
      </c>
      <c r="AQ1029" s="87" t="s">
        <v>3367</v>
      </c>
      <c r="AR1029" s="81" t="s">
        <v>179</v>
      </c>
      <c r="AS1029" s="81">
        <v>0</v>
      </c>
      <c r="AT1029" s="81">
        <v>0</v>
      </c>
      <c r="AU1029" s="81"/>
      <c r="AV1029" s="81"/>
      <c r="AW1029" s="81"/>
      <c r="AX1029" s="81"/>
      <c r="AY1029" s="81"/>
      <c r="AZ1029" s="81"/>
      <c r="BA1029" s="81"/>
      <c r="BB1029" s="81"/>
    </row>
    <row r="1030" spans="1:54" x14ac:dyDescent="0.35">
      <c r="A1030" s="66" t="s">
        <v>821</v>
      </c>
      <c r="B1030" s="66" t="s">
        <v>821</v>
      </c>
      <c r="C1030" s="67"/>
      <c r="D1030" s="68"/>
      <c r="E1030" s="69"/>
      <c r="F1030" s="70"/>
      <c r="G1030" s="67"/>
      <c r="H1030" s="71"/>
      <c r="I1030" s="72"/>
      <c r="J1030" s="72"/>
      <c r="K1030" s="36"/>
      <c r="L1030" s="79"/>
      <c r="M1030" s="79"/>
      <c r="N1030" s="74"/>
      <c r="O1030" s="81" t="s">
        <v>179</v>
      </c>
      <c r="P1030" s="83">
        <v>44463.309062499997</v>
      </c>
      <c r="Q1030" s="81" t="s">
        <v>1514</v>
      </c>
      <c r="R1030" s="81"/>
      <c r="S1030" s="81"/>
      <c r="T1030" s="81"/>
      <c r="U1030" s="81"/>
      <c r="V1030" s="85" t="str">
        <f>HYPERLINK("https://pbs.twimg.com/profile_images/1437349290502868993/P4pKdIpI_normal.jpg")</f>
        <v>https://pbs.twimg.com/profile_images/1437349290502868993/P4pKdIpI_normal.jpg</v>
      </c>
      <c r="W1030" s="83">
        <v>44463.309062499997</v>
      </c>
      <c r="X1030" s="89">
        <v>44463</v>
      </c>
      <c r="Y1030" s="87" t="s">
        <v>2440</v>
      </c>
      <c r="Z1030" s="85" t="str">
        <f>HYPERLINK("https://twitter.com/dagangkr/status/1441302644941754374")</f>
        <v>https://twitter.com/dagangkr/status/1441302644941754374</v>
      </c>
      <c r="AA1030" s="81"/>
      <c r="AB1030" s="81"/>
      <c r="AC1030" s="87" t="s">
        <v>3368</v>
      </c>
      <c r="AD1030" s="81"/>
      <c r="AE1030" s="81" t="b">
        <v>0</v>
      </c>
      <c r="AF1030" s="81">
        <v>0</v>
      </c>
      <c r="AG1030" s="87" t="s">
        <v>3875</v>
      </c>
      <c r="AH1030" s="81" t="b">
        <v>0</v>
      </c>
      <c r="AI1030" s="81" t="s">
        <v>4092</v>
      </c>
      <c r="AJ1030" s="81"/>
      <c r="AK1030" s="87" t="s">
        <v>3875</v>
      </c>
      <c r="AL1030" s="81" t="b">
        <v>0</v>
      </c>
      <c r="AM1030" s="81">
        <v>0</v>
      </c>
      <c r="AN1030" s="87" t="s">
        <v>3875</v>
      </c>
      <c r="AO1030" s="87" t="s">
        <v>4130</v>
      </c>
      <c r="AP1030" s="81" t="b">
        <v>0</v>
      </c>
      <c r="AQ1030" s="87" t="s">
        <v>3368</v>
      </c>
      <c r="AR1030" s="81" t="s">
        <v>179</v>
      </c>
      <c r="AS1030" s="81">
        <v>0</v>
      </c>
      <c r="AT1030" s="81">
        <v>0</v>
      </c>
      <c r="AU1030" s="81"/>
      <c r="AV1030" s="81"/>
      <c r="AW1030" s="81"/>
      <c r="AX1030" s="81"/>
      <c r="AY1030" s="81"/>
      <c r="AZ1030" s="81"/>
      <c r="BA1030" s="81"/>
      <c r="BB1030" s="81"/>
    </row>
    <row r="1031" spans="1:54" x14ac:dyDescent="0.35">
      <c r="A1031" s="66" t="s">
        <v>822</v>
      </c>
      <c r="B1031" s="66" t="s">
        <v>821</v>
      </c>
      <c r="C1031" s="67"/>
      <c r="D1031" s="68"/>
      <c r="E1031" s="69"/>
      <c r="F1031" s="70"/>
      <c r="G1031" s="67"/>
      <c r="H1031" s="71"/>
      <c r="I1031" s="72"/>
      <c r="J1031" s="72"/>
      <c r="K1031" s="36"/>
      <c r="L1031" s="79"/>
      <c r="M1031" s="79"/>
      <c r="N1031" s="74"/>
      <c r="O1031" s="81" t="s">
        <v>1208</v>
      </c>
      <c r="P1031" s="83">
        <v>44464.012141203704</v>
      </c>
      <c r="Q1031" s="81" t="s">
        <v>1515</v>
      </c>
      <c r="R1031" s="81"/>
      <c r="S1031" s="81"/>
      <c r="T1031" s="81"/>
      <c r="U1031" s="81"/>
      <c r="V1031" s="85" t="str">
        <f>HYPERLINK("https://pbs.twimg.com/profile_images/1440190947699036162/_2NmAles_normal.jpg")</f>
        <v>https://pbs.twimg.com/profile_images/1440190947699036162/_2NmAles_normal.jpg</v>
      </c>
      <c r="W1031" s="83">
        <v>44464.012141203704</v>
      </c>
      <c r="X1031" s="89">
        <v>44464</v>
      </c>
      <c r="Y1031" s="87" t="s">
        <v>2441</v>
      </c>
      <c r="Z1031" s="85" t="str">
        <f>HYPERLINK("https://twitter.com/bubblegumroyals/status/1441557433420107778")</f>
        <v>https://twitter.com/bubblegumroyals/status/1441557433420107778</v>
      </c>
      <c r="AA1031" s="81"/>
      <c r="AB1031" s="81"/>
      <c r="AC1031" s="87" t="s">
        <v>3369</v>
      </c>
      <c r="AD1031" s="87" t="s">
        <v>3803</v>
      </c>
      <c r="AE1031" s="81" t="b">
        <v>0</v>
      </c>
      <c r="AF1031" s="81">
        <v>0</v>
      </c>
      <c r="AG1031" s="87" t="s">
        <v>4021</v>
      </c>
      <c r="AH1031" s="81" t="b">
        <v>0</v>
      </c>
      <c r="AI1031" s="81" t="s">
        <v>4092</v>
      </c>
      <c r="AJ1031" s="81"/>
      <c r="AK1031" s="87" t="s">
        <v>3875</v>
      </c>
      <c r="AL1031" s="81" t="b">
        <v>0</v>
      </c>
      <c r="AM1031" s="81">
        <v>0</v>
      </c>
      <c r="AN1031" s="87" t="s">
        <v>3875</v>
      </c>
      <c r="AO1031" s="87" t="s">
        <v>4109</v>
      </c>
      <c r="AP1031" s="81" t="b">
        <v>0</v>
      </c>
      <c r="AQ1031" s="87" t="s">
        <v>3803</v>
      </c>
      <c r="AR1031" s="81" t="s">
        <v>179</v>
      </c>
      <c r="AS1031" s="81">
        <v>0</v>
      </c>
      <c r="AT1031" s="81">
        <v>0</v>
      </c>
      <c r="AU1031" s="81"/>
      <c r="AV1031" s="81"/>
      <c r="AW1031" s="81"/>
      <c r="AX1031" s="81"/>
      <c r="AY1031" s="81"/>
      <c r="AZ1031" s="81"/>
      <c r="BA1031" s="81"/>
      <c r="BB1031" s="81"/>
    </row>
    <row r="1032" spans="1:54" x14ac:dyDescent="0.35">
      <c r="A1032" s="66" t="s">
        <v>823</v>
      </c>
      <c r="B1032" s="66" t="s">
        <v>1032</v>
      </c>
      <c r="C1032" s="67"/>
      <c r="D1032" s="68"/>
      <c r="E1032" s="69"/>
      <c r="F1032" s="70"/>
      <c r="G1032" s="67"/>
      <c r="H1032" s="71"/>
      <c r="I1032" s="72"/>
      <c r="J1032" s="72"/>
      <c r="K1032" s="36"/>
      <c r="L1032" s="79"/>
      <c r="M1032" s="79"/>
      <c r="N1032" s="74"/>
      <c r="O1032" s="81" t="s">
        <v>1208</v>
      </c>
      <c r="P1032" s="83">
        <v>44464.107291666667</v>
      </c>
      <c r="Q1032" s="81" t="s">
        <v>1516</v>
      </c>
      <c r="R1032" s="81"/>
      <c r="S1032" s="81"/>
      <c r="T1032" s="81"/>
      <c r="U1032" s="85" t="str">
        <f>HYPERLINK("https://pbs.twimg.com/media/FAGQMuSVUAI6fxq.jpg")</f>
        <v>https://pbs.twimg.com/media/FAGQMuSVUAI6fxq.jpg</v>
      </c>
      <c r="V1032" s="85" t="str">
        <f>HYPERLINK("https://pbs.twimg.com/media/FAGQMuSVUAI6fxq.jpg")</f>
        <v>https://pbs.twimg.com/media/FAGQMuSVUAI6fxq.jpg</v>
      </c>
      <c r="W1032" s="83">
        <v>44464.107291666667</v>
      </c>
      <c r="X1032" s="89">
        <v>44464</v>
      </c>
      <c r="Y1032" s="87" t="s">
        <v>2442</v>
      </c>
      <c r="Z1032" s="85" t="str">
        <f>HYPERLINK("https://twitter.com/chocosve/status/1441591913367236611")</f>
        <v>https://twitter.com/chocosve/status/1441591913367236611</v>
      </c>
      <c r="AA1032" s="81"/>
      <c r="AB1032" s="81"/>
      <c r="AC1032" s="87" t="s">
        <v>3370</v>
      </c>
      <c r="AD1032" s="87" t="s">
        <v>3804</v>
      </c>
      <c r="AE1032" s="81" t="b">
        <v>0</v>
      </c>
      <c r="AF1032" s="81">
        <v>0</v>
      </c>
      <c r="AG1032" s="87" t="s">
        <v>3912</v>
      </c>
      <c r="AH1032" s="81" t="b">
        <v>0</v>
      </c>
      <c r="AI1032" s="81" t="s">
        <v>4092</v>
      </c>
      <c r="AJ1032" s="81"/>
      <c r="AK1032" s="87" t="s">
        <v>3875</v>
      </c>
      <c r="AL1032" s="81" t="b">
        <v>0</v>
      </c>
      <c r="AM1032" s="81">
        <v>0</v>
      </c>
      <c r="AN1032" s="87" t="s">
        <v>3875</v>
      </c>
      <c r="AO1032" s="87" t="s">
        <v>4109</v>
      </c>
      <c r="AP1032" s="81" t="b">
        <v>0</v>
      </c>
      <c r="AQ1032" s="87" t="s">
        <v>3804</v>
      </c>
      <c r="AR1032" s="81" t="s">
        <v>179</v>
      </c>
      <c r="AS1032" s="81">
        <v>0</v>
      </c>
      <c r="AT1032" s="81">
        <v>0</v>
      </c>
      <c r="AU1032" s="81"/>
      <c r="AV1032" s="81"/>
      <c r="AW1032" s="81"/>
      <c r="AX1032" s="81"/>
      <c r="AY1032" s="81"/>
      <c r="AZ1032" s="81"/>
      <c r="BA1032" s="81"/>
      <c r="BB1032" s="81"/>
    </row>
    <row r="1033" spans="1:54" x14ac:dyDescent="0.35">
      <c r="A1033" s="66" t="s">
        <v>824</v>
      </c>
      <c r="B1033" s="66" t="s">
        <v>824</v>
      </c>
      <c r="C1033" s="67"/>
      <c r="D1033" s="68"/>
      <c r="E1033" s="69"/>
      <c r="F1033" s="70"/>
      <c r="G1033" s="67"/>
      <c r="H1033" s="71"/>
      <c r="I1033" s="72"/>
      <c r="J1033" s="72"/>
      <c r="K1033" s="36"/>
      <c r="L1033" s="79"/>
      <c r="M1033" s="79"/>
      <c r="N1033" s="74"/>
      <c r="O1033" s="81" t="s">
        <v>179</v>
      </c>
      <c r="P1033" s="83">
        <v>44464.110196759262</v>
      </c>
      <c r="Q1033" s="81" t="s">
        <v>1517</v>
      </c>
      <c r="R1033" s="81"/>
      <c r="S1033" s="81"/>
      <c r="T1033" s="81"/>
      <c r="U1033" s="81"/>
      <c r="V1033" s="85" t="str">
        <f>HYPERLINK("https://pbs.twimg.com/profile_images/1440351707385323530/v2gIIMJu_normal.jpg")</f>
        <v>https://pbs.twimg.com/profile_images/1440351707385323530/v2gIIMJu_normal.jpg</v>
      </c>
      <c r="W1033" s="83">
        <v>44464.110196759262</v>
      </c>
      <c r="X1033" s="89">
        <v>44464</v>
      </c>
      <c r="Y1033" s="87" t="s">
        <v>2443</v>
      </c>
      <c r="Z1033" s="85" t="str">
        <f>HYPERLINK("https://twitter.com/eisiou/status/1441592967240699913")</f>
        <v>https://twitter.com/eisiou/status/1441592967240699913</v>
      </c>
      <c r="AA1033" s="81"/>
      <c r="AB1033" s="81"/>
      <c r="AC1033" s="87" t="s">
        <v>3371</v>
      </c>
      <c r="AD1033" s="81"/>
      <c r="AE1033" s="81" t="b">
        <v>0</v>
      </c>
      <c r="AF1033" s="81">
        <v>0</v>
      </c>
      <c r="AG1033" s="87" t="s">
        <v>3875</v>
      </c>
      <c r="AH1033" s="81" t="b">
        <v>0</v>
      </c>
      <c r="AI1033" s="81" t="s">
        <v>4092</v>
      </c>
      <c r="AJ1033" s="81"/>
      <c r="AK1033" s="87" t="s">
        <v>3875</v>
      </c>
      <c r="AL1033" s="81" t="b">
        <v>0</v>
      </c>
      <c r="AM1033" s="81">
        <v>0</v>
      </c>
      <c r="AN1033" s="87" t="s">
        <v>3875</v>
      </c>
      <c r="AO1033" s="87" t="s">
        <v>4111</v>
      </c>
      <c r="AP1033" s="81" t="b">
        <v>0</v>
      </c>
      <c r="AQ1033" s="87" t="s">
        <v>3371</v>
      </c>
      <c r="AR1033" s="81" t="s">
        <v>179</v>
      </c>
      <c r="AS1033" s="81">
        <v>0</v>
      </c>
      <c r="AT1033" s="81">
        <v>0</v>
      </c>
      <c r="AU1033" s="81"/>
      <c r="AV1033" s="81"/>
      <c r="AW1033" s="81"/>
      <c r="AX1033" s="81"/>
      <c r="AY1033" s="81"/>
      <c r="AZ1033" s="81"/>
      <c r="BA1033" s="81"/>
      <c r="BB1033" s="81"/>
    </row>
    <row r="1034" spans="1:54" x14ac:dyDescent="0.35">
      <c r="A1034" s="66" t="s">
        <v>825</v>
      </c>
      <c r="B1034" s="66" t="s">
        <v>1156</v>
      </c>
      <c r="C1034" s="67"/>
      <c r="D1034" s="68"/>
      <c r="E1034" s="69"/>
      <c r="F1034" s="70"/>
      <c r="G1034" s="67"/>
      <c r="H1034" s="71"/>
      <c r="I1034" s="72"/>
      <c r="J1034" s="72"/>
      <c r="K1034" s="36"/>
      <c r="L1034" s="79"/>
      <c r="M1034" s="79"/>
      <c r="N1034" s="74"/>
      <c r="O1034" s="81" t="s">
        <v>1208</v>
      </c>
      <c r="P1034" s="83">
        <v>44464.117083333331</v>
      </c>
      <c r="Q1034" s="81" t="s">
        <v>1518</v>
      </c>
      <c r="R1034" s="81"/>
      <c r="S1034" s="81"/>
      <c r="T1034" s="81"/>
      <c r="U1034" s="81"/>
      <c r="V1034" s="85" t="str">
        <f>HYPERLINK("https://pbs.twimg.com/profile_images/967375241633611776/Pmt3E-5e_normal.jpg")</f>
        <v>https://pbs.twimg.com/profile_images/967375241633611776/Pmt3E-5e_normal.jpg</v>
      </c>
      <c r="W1034" s="83">
        <v>44464.117083333331</v>
      </c>
      <c r="X1034" s="89">
        <v>44464</v>
      </c>
      <c r="Y1034" s="87" t="s">
        <v>2444</v>
      </c>
      <c r="Z1034" s="85" t="str">
        <f>HYPERLINK("https://twitter.com/mahdia_89/status/1441595461433913350")</f>
        <v>https://twitter.com/mahdia_89/status/1441595461433913350</v>
      </c>
      <c r="AA1034" s="81"/>
      <c r="AB1034" s="81"/>
      <c r="AC1034" s="87" t="s">
        <v>3372</v>
      </c>
      <c r="AD1034" s="87" t="s">
        <v>3805</v>
      </c>
      <c r="AE1034" s="81" t="b">
        <v>0</v>
      </c>
      <c r="AF1034" s="81">
        <v>0</v>
      </c>
      <c r="AG1034" s="87" t="s">
        <v>4022</v>
      </c>
      <c r="AH1034" s="81" t="b">
        <v>0</v>
      </c>
      <c r="AI1034" s="81" t="s">
        <v>4092</v>
      </c>
      <c r="AJ1034" s="81"/>
      <c r="AK1034" s="87" t="s">
        <v>3875</v>
      </c>
      <c r="AL1034" s="81" t="b">
        <v>0</v>
      </c>
      <c r="AM1034" s="81">
        <v>0</v>
      </c>
      <c r="AN1034" s="87" t="s">
        <v>3875</v>
      </c>
      <c r="AO1034" s="87" t="s">
        <v>4109</v>
      </c>
      <c r="AP1034" s="81" t="b">
        <v>0</v>
      </c>
      <c r="AQ1034" s="87" t="s">
        <v>3805</v>
      </c>
      <c r="AR1034" s="81" t="s">
        <v>179</v>
      </c>
      <c r="AS1034" s="81">
        <v>0</v>
      </c>
      <c r="AT1034" s="81">
        <v>0</v>
      </c>
      <c r="AU1034" s="81"/>
      <c r="AV1034" s="81"/>
      <c r="AW1034" s="81"/>
      <c r="AX1034" s="81"/>
      <c r="AY1034" s="81"/>
      <c r="AZ1034" s="81"/>
      <c r="BA1034" s="81"/>
      <c r="BB1034" s="81"/>
    </row>
    <row r="1035" spans="1:54" x14ac:dyDescent="0.35">
      <c r="A1035" s="66" t="s">
        <v>826</v>
      </c>
      <c r="B1035" s="66" t="s">
        <v>826</v>
      </c>
      <c r="C1035" s="67"/>
      <c r="D1035" s="68"/>
      <c r="E1035" s="69"/>
      <c r="F1035" s="70"/>
      <c r="G1035" s="67"/>
      <c r="H1035" s="71"/>
      <c r="I1035" s="72"/>
      <c r="J1035" s="72"/>
      <c r="K1035" s="36"/>
      <c r="L1035" s="79"/>
      <c r="M1035" s="79"/>
      <c r="N1035" s="74"/>
      <c r="O1035" s="81" t="s">
        <v>179</v>
      </c>
      <c r="P1035" s="83">
        <v>44464.131030092591</v>
      </c>
      <c r="Q1035" s="81" t="s">
        <v>1519</v>
      </c>
      <c r="R1035" s="81"/>
      <c r="S1035" s="81"/>
      <c r="T1035" s="87" t="s">
        <v>1776</v>
      </c>
      <c r="U1035" s="85" t="str">
        <f>HYPERLINK("https://pbs.twimg.com/media/FAGXaLEVcAcR34o.jpg")</f>
        <v>https://pbs.twimg.com/media/FAGXaLEVcAcR34o.jpg</v>
      </c>
      <c r="V1035" s="85" t="str">
        <f>HYPERLINK("https://pbs.twimg.com/media/FAGXaLEVcAcR34o.jpg")</f>
        <v>https://pbs.twimg.com/media/FAGXaLEVcAcR34o.jpg</v>
      </c>
      <c r="W1035" s="83">
        <v>44464.131030092591</v>
      </c>
      <c r="X1035" s="89">
        <v>44464</v>
      </c>
      <c r="Y1035" s="87" t="s">
        <v>2445</v>
      </c>
      <c r="Z1035" s="85" t="str">
        <f>HYPERLINK("https://twitter.com/datatempo/status/1441600515758968842")</f>
        <v>https://twitter.com/datatempo/status/1441600515758968842</v>
      </c>
      <c r="AA1035" s="81"/>
      <c r="AB1035" s="81"/>
      <c r="AC1035" s="87" t="s">
        <v>3373</v>
      </c>
      <c r="AD1035" s="81"/>
      <c r="AE1035" s="81" t="b">
        <v>0</v>
      </c>
      <c r="AF1035" s="81">
        <v>2</v>
      </c>
      <c r="AG1035" s="87" t="s">
        <v>3875</v>
      </c>
      <c r="AH1035" s="81" t="b">
        <v>0</v>
      </c>
      <c r="AI1035" s="81" t="s">
        <v>4092</v>
      </c>
      <c r="AJ1035" s="81"/>
      <c r="AK1035" s="87" t="s">
        <v>3875</v>
      </c>
      <c r="AL1035" s="81" t="b">
        <v>0</v>
      </c>
      <c r="AM1035" s="81">
        <v>0</v>
      </c>
      <c r="AN1035" s="87" t="s">
        <v>3875</v>
      </c>
      <c r="AO1035" s="87" t="s">
        <v>4111</v>
      </c>
      <c r="AP1035" s="81" t="b">
        <v>0</v>
      </c>
      <c r="AQ1035" s="87" t="s">
        <v>3373</v>
      </c>
      <c r="AR1035" s="81" t="s">
        <v>179</v>
      </c>
      <c r="AS1035" s="81">
        <v>0</v>
      </c>
      <c r="AT1035" s="81">
        <v>0</v>
      </c>
      <c r="AU1035" s="81"/>
      <c r="AV1035" s="81"/>
      <c r="AW1035" s="81"/>
      <c r="AX1035" s="81"/>
      <c r="AY1035" s="81"/>
      <c r="AZ1035" s="81"/>
      <c r="BA1035" s="81"/>
      <c r="BB1035" s="81"/>
    </row>
    <row r="1036" spans="1:54" x14ac:dyDescent="0.35">
      <c r="A1036" s="66" t="s">
        <v>826</v>
      </c>
      <c r="B1036" s="66" t="s">
        <v>826</v>
      </c>
      <c r="C1036" s="67"/>
      <c r="D1036" s="68"/>
      <c r="E1036" s="69"/>
      <c r="F1036" s="70"/>
      <c r="G1036" s="67"/>
      <c r="H1036" s="71"/>
      <c r="I1036" s="72"/>
      <c r="J1036" s="72"/>
      <c r="K1036" s="36"/>
      <c r="L1036" s="79"/>
      <c r="M1036" s="79"/>
      <c r="N1036" s="74"/>
      <c r="O1036" s="81" t="s">
        <v>179</v>
      </c>
      <c r="P1036" s="83">
        <v>44464.131041666667</v>
      </c>
      <c r="Q1036" s="81" t="s">
        <v>1520</v>
      </c>
      <c r="R1036" s="81"/>
      <c r="S1036" s="81"/>
      <c r="T1036" s="87" t="s">
        <v>1776</v>
      </c>
      <c r="U1036" s="81"/>
      <c r="V1036" s="85" t="str">
        <f>HYPERLINK("https://pbs.twimg.com/profile_images/1432542816224174083/E3p693d5_normal.jpg")</f>
        <v>https://pbs.twimg.com/profile_images/1432542816224174083/E3p693d5_normal.jpg</v>
      </c>
      <c r="W1036" s="83">
        <v>44464.131041666667</v>
      </c>
      <c r="X1036" s="89">
        <v>44464</v>
      </c>
      <c r="Y1036" s="87" t="s">
        <v>2446</v>
      </c>
      <c r="Z1036" s="85" t="str">
        <f>HYPERLINK("https://twitter.com/datatempo/status/1441600522738290693")</f>
        <v>https://twitter.com/datatempo/status/1441600522738290693</v>
      </c>
      <c r="AA1036" s="81"/>
      <c r="AB1036" s="81"/>
      <c r="AC1036" s="87" t="s">
        <v>3374</v>
      </c>
      <c r="AD1036" s="87" t="s">
        <v>3806</v>
      </c>
      <c r="AE1036" s="81" t="b">
        <v>0</v>
      </c>
      <c r="AF1036" s="81">
        <v>0</v>
      </c>
      <c r="AG1036" s="87" t="s">
        <v>4023</v>
      </c>
      <c r="AH1036" s="81" t="b">
        <v>0</v>
      </c>
      <c r="AI1036" s="81" t="s">
        <v>4092</v>
      </c>
      <c r="AJ1036" s="81"/>
      <c r="AK1036" s="87" t="s">
        <v>3875</v>
      </c>
      <c r="AL1036" s="81" t="b">
        <v>0</v>
      </c>
      <c r="AM1036" s="81">
        <v>0</v>
      </c>
      <c r="AN1036" s="87" t="s">
        <v>3875</v>
      </c>
      <c r="AO1036" s="87" t="s">
        <v>4111</v>
      </c>
      <c r="AP1036" s="81" t="b">
        <v>0</v>
      </c>
      <c r="AQ1036" s="87" t="s">
        <v>3806</v>
      </c>
      <c r="AR1036" s="81" t="s">
        <v>179</v>
      </c>
      <c r="AS1036" s="81">
        <v>0</v>
      </c>
      <c r="AT1036" s="81">
        <v>0</v>
      </c>
      <c r="AU1036" s="81"/>
      <c r="AV1036" s="81"/>
      <c r="AW1036" s="81"/>
      <c r="AX1036" s="81"/>
      <c r="AY1036" s="81"/>
      <c r="AZ1036" s="81"/>
      <c r="BA1036" s="81"/>
      <c r="BB1036" s="81"/>
    </row>
    <row r="1037" spans="1:54" x14ac:dyDescent="0.35">
      <c r="A1037" s="66" t="s">
        <v>827</v>
      </c>
      <c r="B1037" s="66" t="s">
        <v>1157</v>
      </c>
      <c r="C1037" s="67"/>
      <c r="D1037" s="68"/>
      <c r="E1037" s="69"/>
      <c r="F1037" s="70"/>
      <c r="G1037" s="67"/>
      <c r="H1037" s="71"/>
      <c r="I1037" s="72"/>
      <c r="J1037" s="72"/>
      <c r="K1037" s="36"/>
      <c r="L1037" s="79"/>
      <c r="M1037" s="79"/>
      <c r="N1037" s="74"/>
      <c r="O1037" s="81" t="s">
        <v>1206</v>
      </c>
      <c r="P1037" s="83">
        <v>44464.106365740743</v>
      </c>
      <c r="Q1037" s="81" t="s">
        <v>1521</v>
      </c>
      <c r="R1037" s="85" t="str">
        <f>HYPERLINK("https://twitter.com/NCT__Indonesia/status/1441384083620175874")</f>
        <v>https://twitter.com/NCT__Indonesia/status/1441384083620175874</v>
      </c>
      <c r="S1037" s="81" t="s">
        <v>1731</v>
      </c>
      <c r="T1037" s="81"/>
      <c r="U1037" s="81"/>
      <c r="V1037" s="85" t="str">
        <f>HYPERLINK("https://pbs.twimg.com/profile_images/1437078542324355074/ZwTjVIHo_normal.jpg")</f>
        <v>https://pbs.twimg.com/profile_images/1437078542324355074/ZwTjVIHo_normal.jpg</v>
      </c>
      <c r="W1037" s="83">
        <v>44464.106365740743</v>
      </c>
      <c r="X1037" s="89">
        <v>44464</v>
      </c>
      <c r="Y1037" s="87" t="s">
        <v>2447</v>
      </c>
      <c r="Z1037" s="85" t="str">
        <f>HYPERLINK("https://twitter.com/roobiatul/status/1441591577520984071")</f>
        <v>https://twitter.com/roobiatul/status/1441591577520984071</v>
      </c>
      <c r="AA1037" s="81"/>
      <c r="AB1037" s="81"/>
      <c r="AC1037" s="87" t="s">
        <v>3375</v>
      </c>
      <c r="AD1037" s="81"/>
      <c r="AE1037" s="81" t="b">
        <v>0</v>
      </c>
      <c r="AF1037" s="81">
        <v>0</v>
      </c>
      <c r="AG1037" s="87" t="s">
        <v>3875</v>
      </c>
      <c r="AH1037" s="81" t="b">
        <v>1</v>
      </c>
      <c r="AI1037" s="81" t="s">
        <v>4092</v>
      </c>
      <c r="AJ1037" s="81"/>
      <c r="AK1037" s="87" t="s">
        <v>4103</v>
      </c>
      <c r="AL1037" s="81" t="b">
        <v>0</v>
      </c>
      <c r="AM1037" s="81">
        <v>0</v>
      </c>
      <c r="AN1037" s="87" t="s">
        <v>3875</v>
      </c>
      <c r="AO1037" s="87" t="s">
        <v>4109</v>
      </c>
      <c r="AP1037" s="81" t="b">
        <v>0</v>
      </c>
      <c r="AQ1037" s="87" t="s">
        <v>3375</v>
      </c>
      <c r="AR1037" s="81" t="s">
        <v>179</v>
      </c>
      <c r="AS1037" s="81">
        <v>0</v>
      </c>
      <c r="AT1037" s="81">
        <v>0</v>
      </c>
      <c r="AU1037" s="81"/>
      <c r="AV1037" s="81"/>
      <c r="AW1037" s="81"/>
      <c r="AX1037" s="81"/>
      <c r="AY1037" s="81"/>
      <c r="AZ1037" s="81"/>
      <c r="BA1037" s="81"/>
      <c r="BB1037" s="81"/>
    </row>
    <row r="1038" spans="1:54" x14ac:dyDescent="0.35">
      <c r="A1038" s="66" t="s">
        <v>828</v>
      </c>
      <c r="B1038" s="66" t="s">
        <v>1157</v>
      </c>
      <c r="C1038" s="67"/>
      <c r="D1038" s="68"/>
      <c r="E1038" s="69"/>
      <c r="F1038" s="70"/>
      <c r="G1038" s="67"/>
      <c r="H1038" s="71"/>
      <c r="I1038" s="72"/>
      <c r="J1038" s="72"/>
      <c r="K1038" s="36"/>
      <c r="L1038" s="79"/>
      <c r="M1038" s="79"/>
      <c r="N1038" s="74"/>
      <c r="O1038" s="81" t="s">
        <v>1206</v>
      </c>
      <c r="P1038" s="83">
        <v>44464.166435185187</v>
      </c>
      <c r="Q1038" s="81" t="s">
        <v>1522</v>
      </c>
      <c r="R1038" s="81"/>
      <c r="S1038" s="81"/>
      <c r="T1038" s="81"/>
      <c r="U1038" s="81"/>
      <c r="V1038" s="85" t="str">
        <f>HYPERLINK("https://pbs.twimg.com/profile_images/1421979757911048193/gAbRgQHM_normal.jpg")</f>
        <v>https://pbs.twimg.com/profile_images/1421979757911048193/gAbRgQHM_normal.jpg</v>
      </c>
      <c r="W1038" s="83">
        <v>44464.166435185187</v>
      </c>
      <c r="X1038" s="89">
        <v>44464</v>
      </c>
      <c r="Y1038" s="87" t="s">
        <v>2448</v>
      </c>
      <c r="Z1038" s="85" t="str">
        <f>HYPERLINK("https://twitter.com/doiecemong/status/1441613349163134983")</f>
        <v>https://twitter.com/doiecemong/status/1441613349163134983</v>
      </c>
      <c r="AA1038" s="81"/>
      <c r="AB1038" s="81"/>
      <c r="AC1038" s="87" t="s">
        <v>3376</v>
      </c>
      <c r="AD1038" s="87" t="s">
        <v>3807</v>
      </c>
      <c r="AE1038" s="81" t="b">
        <v>0</v>
      </c>
      <c r="AF1038" s="81">
        <v>0</v>
      </c>
      <c r="AG1038" s="87" t="s">
        <v>4024</v>
      </c>
      <c r="AH1038" s="81" t="b">
        <v>0</v>
      </c>
      <c r="AI1038" s="81" t="s">
        <v>4092</v>
      </c>
      <c r="AJ1038" s="81"/>
      <c r="AK1038" s="87" t="s">
        <v>3875</v>
      </c>
      <c r="AL1038" s="81" t="b">
        <v>0</v>
      </c>
      <c r="AM1038" s="81">
        <v>0</v>
      </c>
      <c r="AN1038" s="87" t="s">
        <v>3875</v>
      </c>
      <c r="AO1038" s="87" t="s">
        <v>4110</v>
      </c>
      <c r="AP1038" s="81" t="b">
        <v>0</v>
      </c>
      <c r="AQ1038" s="87" t="s">
        <v>3807</v>
      </c>
      <c r="AR1038" s="81" t="s">
        <v>179</v>
      </c>
      <c r="AS1038" s="81">
        <v>0</v>
      </c>
      <c r="AT1038" s="81">
        <v>0</v>
      </c>
      <c r="AU1038" s="81"/>
      <c r="AV1038" s="81"/>
      <c r="AW1038" s="81"/>
      <c r="AX1038" s="81"/>
      <c r="AY1038" s="81"/>
      <c r="AZ1038" s="81"/>
      <c r="BA1038" s="81"/>
      <c r="BB1038" s="81"/>
    </row>
    <row r="1039" spans="1:54" x14ac:dyDescent="0.35">
      <c r="A1039" s="66" t="s">
        <v>827</v>
      </c>
      <c r="B1039" s="66" t="s">
        <v>828</v>
      </c>
      <c r="C1039" s="67"/>
      <c r="D1039" s="68"/>
      <c r="E1039" s="69"/>
      <c r="F1039" s="70"/>
      <c r="G1039" s="67"/>
      <c r="H1039" s="71"/>
      <c r="I1039" s="72"/>
      <c r="J1039" s="72"/>
      <c r="K1039" s="36"/>
      <c r="L1039" s="79"/>
      <c r="M1039" s="79"/>
      <c r="N1039" s="74"/>
      <c r="O1039" s="81" t="s">
        <v>1206</v>
      </c>
      <c r="P1039" s="83">
        <v>44464.106365740743</v>
      </c>
      <c r="Q1039" s="81" t="s">
        <v>1521</v>
      </c>
      <c r="R1039" s="85" t="str">
        <f>HYPERLINK("https://twitter.com/NCT__Indonesia/status/1441384083620175874")</f>
        <v>https://twitter.com/NCT__Indonesia/status/1441384083620175874</v>
      </c>
      <c r="S1039" s="81" t="s">
        <v>1731</v>
      </c>
      <c r="T1039" s="81"/>
      <c r="U1039" s="81"/>
      <c r="V1039" s="85" t="str">
        <f>HYPERLINK("https://pbs.twimg.com/profile_images/1437078542324355074/ZwTjVIHo_normal.jpg")</f>
        <v>https://pbs.twimg.com/profile_images/1437078542324355074/ZwTjVIHo_normal.jpg</v>
      </c>
      <c r="W1039" s="83">
        <v>44464.106365740743</v>
      </c>
      <c r="X1039" s="89">
        <v>44464</v>
      </c>
      <c r="Y1039" s="87" t="s">
        <v>2447</v>
      </c>
      <c r="Z1039" s="85" t="str">
        <f>HYPERLINK("https://twitter.com/roobiatul/status/1441591577520984071")</f>
        <v>https://twitter.com/roobiatul/status/1441591577520984071</v>
      </c>
      <c r="AA1039" s="81"/>
      <c r="AB1039" s="81"/>
      <c r="AC1039" s="87" t="s">
        <v>3375</v>
      </c>
      <c r="AD1039" s="81"/>
      <c r="AE1039" s="81" t="b">
        <v>0</v>
      </c>
      <c r="AF1039" s="81">
        <v>0</v>
      </c>
      <c r="AG1039" s="87" t="s">
        <v>3875</v>
      </c>
      <c r="AH1039" s="81" t="b">
        <v>1</v>
      </c>
      <c r="AI1039" s="81" t="s">
        <v>4092</v>
      </c>
      <c r="AJ1039" s="81"/>
      <c r="AK1039" s="87" t="s">
        <v>4103</v>
      </c>
      <c r="AL1039" s="81" t="b">
        <v>0</v>
      </c>
      <c r="AM1039" s="81">
        <v>0</v>
      </c>
      <c r="AN1039" s="87" t="s">
        <v>3875</v>
      </c>
      <c r="AO1039" s="87" t="s">
        <v>4109</v>
      </c>
      <c r="AP1039" s="81" t="b">
        <v>0</v>
      </c>
      <c r="AQ1039" s="87" t="s">
        <v>3375</v>
      </c>
      <c r="AR1039" s="81" t="s">
        <v>179</v>
      </c>
      <c r="AS1039" s="81">
        <v>0</v>
      </c>
      <c r="AT1039" s="81">
        <v>0</v>
      </c>
      <c r="AU1039" s="81"/>
      <c r="AV1039" s="81"/>
      <c r="AW1039" s="81"/>
      <c r="AX1039" s="81"/>
      <c r="AY1039" s="81"/>
      <c r="AZ1039" s="81"/>
      <c r="BA1039" s="81"/>
      <c r="BB1039" s="81"/>
    </row>
    <row r="1040" spans="1:54" x14ac:dyDescent="0.35">
      <c r="A1040" s="66" t="s">
        <v>828</v>
      </c>
      <c r="B1040" s="66" t="s">
        <v>827</v>
      </c>
      <c r="C1040" s="67"/>
      <c r="D1040" s="68"/>
      <c r="E1040" s="69"/>
      <c r="F1040" s="70"/>
      <c r="G1040" s="67"/>
      <c r="H1040" s="71"/>
      <c r="I1040" s="72"/>
      <c r="J1040" s="72"/>
      <c r="K1040" s="36"/>
      <c r="L1040" s="79"/>
      <c r="M1040" s="79"/>
      <c r="N1040" s="74"/>
      <c r="O1040" s="81" t="s">
        <v>1208</v>
      </c>
      <c r="P1040" s="83">
        <v>44464.166435185187</v>
      </c>
      <c r="Q1040" s="81" t="s">
        <v>1522</v>
      </c>
      <c r="R1040" s="81"/>
      <c r="S1040" s="81"/>
      <c r="T1040" s="81"/>
      <c r="U1040" s="81"/>
      <c r="V1040" s="85" t="str">
        <f>HYPERLINK("https://pbs.twimg.com/profile_images/1421979757911048193/gAbRgQHM_normal.jpg")</f>
        <v>https://pbs.twimg.com/profile_images/1421979757911048193/gAbRgQHM_normal.jpg</v>
      </c>
      <c r="W1040" s="83">
        <v>44464.166435185187</v>
      </c>
      <c r="X1040" s="89">
        <v>44464</v>
      </c>
      <c r="Y1040" s="87" t="s">
        <v>2448</v>
      </c>
      <c r="Z1040" s="85" t="str">
        <f>HYPERLINK("https://twitter.com/doiecemong/status/1441613349163134983")</f>
        <v>https://twitter.com/doiecemong/status/1441613349163134983</v>
      </c>
      <c r="AA1040" s="81"/>
      <c r="AB1040" s="81"/>
      <c r="AC1040" s="87" t="s">
        <v>3376</v>
      </c>
      <c r="AD1040" s="87" t="s">
        <v>3807</v>
      </c>
      <c r="AE1040" s="81" t="b">
        <v>0</v>
      </c>
      <c r="AF1040" s="81">
        <v>0</v>
      </c>
      <c r="AG1040" s="87" t="s">
        <v>4024</v>
      </c>
      <c r="AH1040" s="81" t="b">
        <v>0</v>
      </c>
      <c r="AI1040" s="81" t="s">
        <v>4092</v>
      </c>
      <c r="AJ1040" s="81"/>
      <c r="AK1040" s="87" t="s">
        <v>3875</v>
      </c>
      <c r="AL1040" s="81" t="b">
        <v>0</v>
      </c>
      <c r="AM1040" s="81">
        <v>0</v>
      </c>
      <c r="AN1040" s="87" t="s">
        <v>3875</v>
      </c>
      <c r="AO1040" s="87" t="s">
        <v>4110</v>
      </c>
      <c r="AP1040" s="81" t="b">
        <v>0</v>
      </c>
      <c r="AQ1040" s="87" t="s">
        <v>3807</v>
      </c>
      <c r="AR1040" s="81" t="s">
        <v>179</v>
      </c>
      <c r="AS1040" s="81">
        <v>0</v>
      </c>
      <c r="AT1040" s="81">
        <v>0</v>
      </c>
      <c r="AU1040" s="81"/>
      <c r="AV1040" s="81"/>
      <c r="AW1040" s="81"/>
      <c r="AX1040" s="81"/>
      <c r="AY1040" s="81"/>
      <c r="AZ1040" s="81"/>
      <c r="BA1040" s="81"/>
      <c r="BB1040" s="81"/>
    </row>
    <row r="1041" spans="1:54" x14ac:dyDescent="0.35">
      <c r="A1041" s="66" t="s">
        <v>829</v>
      </c>
      <c r="B1041" s="66" t="s">
        <v>829</v>
      </c>
      <c r="C1041" s="67"/>
      <c r="D1041" s="68"/>
      <c r="E1041" s="69"/>
      <c r="F1041" s="70"/>
      <c r="G1041" s="67"/>
      <c r="H1041" s="71"/>
      <c r="I1041" s="72"/>
      <c r="J1041" s="72"/>
      <c r="K1041" s="36"/>
      <c r="L1041" s="79"/>
      <c r="M1041" s="79"/>
      <c r="N1041" s="74"/>
      <c r="O1041" s="81" t="s">
        <v>179</v>
      </c>
      <c r="P1041" s="83">
        <v>44464.213761574072</v>
      </c>
      <c r="Q1041" s="81" t="s">
        <v>1523</v>
      </c>
      <c r="R1041" s="81"/>
      <c r="S1041" s="81"/>
      <c r="T1041" s="81"/>
      <c r="U1041" s="81"/>
      <c r="V1041" s="85" t="str">
        <f>HYPERLINK("https://pbs.twimg.com/profile_images/1429700692017438724/wPDQx9EQ_normal.jpg")</f>
        <v>https://pbs.twimg.com/profile_images/1429700692017438724/wPDQx9EQ_normal.jpg</v>
      </c>
      <c r="W1041" s="83">
        <v>44464.213761574072</v>
      </c>
      <c r="X1041" s="89">
        <v>44464</v>
      </c>
      <c r="Y1041" s="87" t="s">
        <v>2449</v>
      </c>
      <c r="Z1041" s="85" t="str">
        <f>HYPERLINK("https://twitter.com/cottoncollects/status/1441630499571568641")</f>
        <v>https://twitter.com/cottoncollects/status/1441630499571568641</v>
      </c>
      <c r="AA1041" s="81"/>
      <c r="AB1041" s="81"/>
      <c r="AC1041" s="87" t="s">
        <v>3377</v>
      </c>
      <c r="AD1041" s="87" t="s">
        <v>3808</v>
      </c>
      <c r="AE1041" s="81" t="b">
        <v>0</v>
      </c>
      <c r="AF1041" s="81">
        <v>0</v>
      </c>
      <c r="AG1041" s="87" t="s">
        <v>4025</v>
      </c>
      <c r="AH1041" s="81" t="b">
        <v>0</v>
      </c>
      <c r="AI1041" s="81" t="s">
        <v>4092</v>
      </c>
      <c r="AJ1041" s="81"/>
      <c r="AK1041" s="87" t="s">
        <v>3875</v>
      </c>
      <c r="AL1041" s="81" t="b">
        <v>0</v>
      </c>
      <c r="AM1041" s="81">
        <v>0</v>
      </c>
      <c r="AN1041" s="87" t="s">
        <v>3875</v>
      </c>
      <c r="AO1041" s="87" t="s">
        <v>4110</v>
      </c>
      <c r="AP1041" s="81" t="b">
        <v>0</v>
      </c>
      <c r="AQ1041" s="87" t="s">
        <v>3808</v>
      </c>
      <c r="AR1041" s="81" t="s">
        <v>179</v>
      </c>
      <c r="AS1041" s="81">
        <v>0</v>
      </c>
      <c r="AT1041" s="81">
        <v>0</v>
      </c>
      <c r="AU1041" s="81"/>
      <c r="AV1041" s="81"/>
      <c r="AW1041" s="81"/>
      <c r="AX1041" s="81"/>
      <c r="AY1041" s="81"/>
      <c r="AZ1041" s="81"/>
      <c r="BA1041" s="81"/>
      <c r="BB1041" s="81"/>
    </row>
    <row r="1042" spans="1:54" x14ac:dyDescent="0.35">
      <c r="A1042" s="66" t="s">
        <v>829</v>
      </c>
      <c r="B1042" s="66" t="s">
        <v>829</v>
      </c>
      <c r="C1042" s="67"/>
      <c r="D1042" s="68"/>
      <c r="E1042" s="69"/>
      <c r="F1042" s="70"/>
      <c r="G1042" s="67"/>
      <c r="H1042" s="71"/>
      <c r="I1042" s="72"/>
      <c r="J1042" s="72"/>
      <c r="K1042" s="36"/>
      <c r="L1042" s="79"/>
      <c r="M1042" s="79"/>
      <c r="N1042" s="74"/>
      <c r="O1042" s="81" t="s">
        <v>179</v>
      </c>
      <c r="P1042" s="83">
        <v>44464.213773148149</v>
      </c>
      <c r="Q1042" s="81" t="s">
        <v>1524</v>
      </c>
      <c r="R1042" s="81"/>
      <c r="S1042" s="81"/>
      <c r="T1042" s="81"/>
      <c r="U1042" s="81"/>
      <c r="V1042" s="85" t="str">
        <f>HYPERLINK("https://pbs.twimg.com/profile_images/1429700692017438724/wPDQx9EQ_normal.jpg")</f>
        <v>https://pbs.twimg.com/profile_images/1429700692017438724/wPDQx9EQ_normal.jpg</v>
      </c>
      <c r="W1042" s="83">
        <v>44464.213773148149</v>
      </c>
      <c r="X1042" s="89">
        <v>44464</v>
      </c>
      <c r="Y1042" s="87" t="s">
        <v>2450</v>
      </c>
      <c r="Z1042" s="85" t="str">
        <f>HYPERLINK("https://twitter.com/cottoncollects/status/1441630503237423107")</f>
        <v>https://twitter.com/cottoncollects/status/1441630503237423107</v>
      </c>
      <c r="AA1042" s="81"/>
      <c r="AB1042" s="81"/>
      <c r="AC1042" s="87" t="s">
        <v>3378</v>
      </c>
      <c r="AD1042" s="87" t="s">
        <v>3809</v>
      </c>
      <c r="AE1042" s="81" t="b">
        <v>0</v>
      </c>
      <c r="AF1042" s="81">
        <v>0</v>
      </c>
      <c r="AG1042" s="87" t="s">
        <v>4025</v>
      </c>
      <c r="AH1042" s="81" t="b">
        <v>0</v>
      </c>
      <c r="AI1042" s="81" t="s">
        <v>4092</v>
      </c>
      <c r="AJ1042" s="81"/>
      <c r="AK1042" s="87" t="s">
        <v>3875</v>
      </c>
      <c r="AL1042" s="81" t="b">
        <v>0</v>
      </c>
      <c r="AM1042" s="81">
        <v>0</v>
      </c>
      <c r="AN1042" s="87" t="s">
        <v>3875</v>
      </c>
      <c r="AO1042" s="87" t="s">
        <v>4110</v>
      </c>
      <c r="AP1042" s="81" t="b">
        <v>0</v>
      </c>
      <c r="AQ1042" s="87" t="s">
        <v>3809</v>
      </c>
      <c r="AR1042" s="81" t="s">
        <v>179</v>
      </c>
      <c r="AS1042" s="81">
        <v>0</v>
      </c>
      <c r="AT1042" s="81">
        <v>0</v>
      </c>
      <c r="AU1042" s="81"/>
      <c r="AV1042" s="81"/>
      <c r="AW1042" s="81"/>
      <c r="AX1042" s="81"/>
      <c r="AY1042" s="81"/>
      <c r="AZ1042" s="81"/>
      <c r="BA1042" s="81"/>
      <c r="BB1042" s="81"/>
    </row>
    <row r="1043" spans="1:54" x14ac:dyDescent="0.35">
      <c r="A1043" s="66" t="s">
        <v>830</v>
      </c>
      <c r="B1043" s="66" t="s">
        <v>830</v>
      </c>
      <c r="C1043" s="67"/>
      <c r="D1043" s="68"/>
      <c r="E1043" s="69"/>
      <c r="F1043" s="70"/>
      <c r="G1043" s="67"/>
      <c r="H1043" s="71"/>
      <c r="I1043" s="72"/>
      <c r="J1043" s="72"/>
      <c r="K1043" s="36"/>
      <c r="L1043" s="79"/>
      <c r="M1043" s="79"/>
      <c r="N1043" s="74"/>
      <c r="O1043" s="81" t="s">
        <v>179</v>
      </c>
      <c r="P1043" s="83">
        <v>44464.256979166668</v>
      </c>
      <c r="Q1043" s="81" t="s">
        <v>1525</v>
      </c>
      <c r="R1043" s="85" t="str">
        <f>HYPERLINK("https://radarbojonegoro.jawapos.com/read/2021/09/25/291921/launching-kantor-baru-jawa-pos-radar-lamongan")</f>
        <v>https://radarbojonegoro.jawapos.com/read/2021/09/25/291921/launching-kantor-baru-jawa-pos-radar-lamongan</v>
      </c>
      <c r="S1043" s="81" t="s">
        <v>1750</v>
      </c>
      <c r="T1043" s="81"/>
      <c r="U1043" s="81"/>
      <c r="V1043" s="85" t="str">
        <f>HYPERLINK("https://pbs.twimg.com/profile_images/1418495014095577095/a15Zncbb_normal.jpg")</f>
        <v>https://pbs.twimg.com/profile_images/1418495014095577095/a15Zncbb_normal.jpg</v>
      </c>
      <c r="W1043" s="83">
        <v>44464.256979166668</v>
      </c>
      <c r="X1043" s="89">
        <v>44464</v>
      </c>
      <c r="Y1043" s="87" t="s">
        <v>2451</v>
      </c>
      <c r="Z1043" s="85" t="str">
        <f>HYPERLINK("https://twitter.com/jawapos/status/1441646159487909897")</f>
        <v>https://twitter.com/jawapos/status/1441646159487909897</v>
      </c>
      <c r="AA1043" s="81"/>
      <c r="AB1043" s="81"/>
      <c r="AC1043" s="87" t="s">
        <v>3379</v>
      </c>
      <c r="AD1043" s="81"/>
      <c r="AE1043" s="81" t="b">
        <v>0</v>
      </c>
      <c r="AF1043" s="81">
        <v>1</v>
      </c>
      <c r="AG1043" s="87" t="s">
        <v>3875</v>
      </c>
      <c r="AH1043" s="81" t="b">
        <v>0</v>
      </c>
      <c r="AI1043" s="81" t="s">
        <v>4092</v>
      </c>
      <c r="AJ1043" s="81"/>
      <c r="AK1043" s="87" t="s">
        <v>3875</v>
      </c>
      <c r="AL1043" s="81" t="b">
        <v>0</v>
      </c>
      <c r="AM1043" s="81">
        <v>0</v>
      </c>
      <c r="AN1043" s="87" t="s">
        <v>3875</v>
      </c>
      <c r="AO1043" s="87" t="s">
        <v>4131</v>
      </c>
      <c r="AP1043" s="81" t="b">
        <v>0</v>
      </c>
      <c r="AQ1043" s="87" t="s">
        <v>3379</v>
      </c>
      <c r="AR1043" s="81" t="s">
        <v>179</v>
      </c>
      <c r="AS1043" s="81">
        <v>0</v>
      </c>
      <c r="AT1043" s="81">
        <v>0</v>
      </c>
      <c r="AU1043" s="81"/>
      <c r="AV1043" s="81"/>
      <c r="AW1043" s="81"/>
      <c r="AX1043" s="81"/>
      <c r="AY1043" s="81"/>
      <c r="AZ1043" s="81"/>
      <c r="BA1043" s="81"/>
      <c r="BB1043" s="81"/>
    </row>
    <row r="1044" spans="1:54" x14ac:dyDescent="0.35">
      <c r="A1044" s="66" t="s">
        <v>831</v>
      </c>
      <c r="B1044" s="66" t="s">
        <v>831</v>
      </c>
      <c r="C1044" s="67"/>
      <c r="D1044" s="68"/>
      <c r="E1044" s="69"/>
      <c r="F1044" s="70"/>
      <c r="G1044" s="67"/>
      <c r="H1044" s="71"/>
      <c r="I1044" s="72"/>
      <c r="J1044" s="72"/>
      <c r="K1044" s="36"/>
      <c r="L1044" s="79"/>
      <c r="M1044" s="79"/>
      <c r="N1044" s="74"/>
      <c r="O1044" s="81" t="s">
        <v>179</v>
      </c>
      <c r="P1044" s="83">
        <v>44464.425451388888</v>
      </c>
      <c r="Q1044" s="81" t="s">
        <v>1526</v>
      </c>
      <c r="R1044" s="81"/>
      <c r="S1044" s="81"/>
      <c r="T1044" s="81"/>
      <c r="U1044" s="85" t="str">
        <f>HYPERLINK("https://pbs.twimg.com/media/FAH5ESTVIAg4dcX.jpg")</f>
        <v>https://pbs.twimg.com/media/FAH5ESTVIAg4dcX.jpg</v>
      </c>
      <c r="V1044" s="85" t="str">
        <f>HYPERLINK("https://pbs.twimg.com/media/FAH5ESTVIAg4dcX.jpg")</f>
        <v>https://pbs.twimg.com/media/FAH5ESTVIAg4dcX.jpg</v>
      </c>
      <c r="W1044" s="83">
        <v>44464.425451388888</v>
      </c>
      <c r="X1044" s="89">
        <v>44464</v>
      </c>
      <c r="Y1044" s="87" t="s">
        <v>2452</v>
      </c>
      <c r="Z1044" s="85" t="str">
        <f>HYPERLINK("https://twitter.com/pmuaragembong/status/1441707213291094020")</f>
        <v>https://twitter.com/pmuaragembong/status/1441707213291094020</v>
      </c>
      <c r="AA1044" s="81"/>
      <c r="AB1044" s="81"/>
      <c r="AC1044" s="87" t="s">
        <v>3380</v>
      </c>
      <c r="AD1044" s="81"/>
      <c r="AE1044" s="81" t="b">
        <v>0</v>
      </c>
      <c r="AF1044" s="81">
        <v>0</v>
      </c>
      <c r="AG1044" s="87" t="s">
        <v>3875</v>
      </c>
      <c r="AH1044" s="81" t="b">
        <v>0</v>
      </c>
      <c r="AI1044" s="81" t="s">
        <v>4092</v>
      </c>
      <c r="AJ1044" s="81"/>
      <c r="AK1044" s="87" t="s">
        <v>3875</v>
      </c>
      <c r="AL1044" s="81" t="b">
        <v>0</v>
      </c>
      <c r="AM1044" s="81">
        <v>0</v>
      </c>
      <c r="AN1044" s="87" t="s">
        <v>3875</v>
      </c>
      <c r="AO1044" s="87" t="s">
        <v>4109</v>
      </c>
      <c r="AP1044" s="81" t="b">
        <v>0</v>
      </c>
      <c r="AQ1044" s="87" t="s">
        <v>3380</v>
      </c>
      <c r="AR1044" s="81" t="s">
        <v>179</v>
      </c>
      <c r="AS1044" s="81">
        <v>0</v>
      </c>
      <c r="AT1044" s="81">
        <v>0</v>
      </c>
      <c r="AU1044" s="81"/>
      <c r="AV1044" s="81"/>
      <c r="AW1044" s="81"/>
      <c r="AX1044" s="81"/>
      <c r="AY1044" s="81"/>
      <c r="AZ1044" s="81"/>
      <c r="BA1044" s="81"/>
      <c r="BB1044" s="81"/>
    </row>
    <row r="1045" spans="1:54" x14ac:dyDescent="0.35">
      <c r="A1045" s="66" t="s">
        <v>832</v>
      </c>
      <c r="B1045" s="66" t="s">
        <v>832</v>
      </c>
      <c r="C1045" s="67"/>
      <c r="D1045" s="68"/>
      <c r="E1045" s="69"/>
      <c r="F1045" s="70"/>
      <c r="G1045" s="67"/>
      <c r="H1045" s="71"/>
      <c r="I1045" s="72"/>
      <c r="J1045" s="72"/>
      <c r="K1045" s="36"/>
      <c r="L1045" s="79"/>
      <c r="M1045" s="79"/>
      <c r="N1045" s="74"/>
      <c r="O1045" s="81" t="s">
        <v>179</v>
      </c>
      <c r="P1045" s="83">
        <v>44461.422905092593</v>
      </c>
      <c r="Q1045" s="81" t="s">
        <v>1527</v>
      </c>
      <c r="R1045" s="81"/>
      <c r="S1045" s="81"/>
      <c r="T1045" s="81"/>
      <c r="U1045" s="85" t="str">
        <f>HYPERLINK("https://pbs.twimg.com/media/E_4bdT7VcAMwkFv.jpg")</f>
        <v>https://pbs.twimg.com/media/E_4bdT7VcAMwkFv.jpg</v>
      </c>
      <c r="V1045" s="85" t="str">
        <f>HYPERLINK("https://pbs.twimg.com/media/E_4bdT7VcAMwkFv.jpg")</f>
        <v>https://pbs.twimg.com/media/E_4bdT7VcAMwkFv.jpg</v>
      </c>
      <c r="W1045" s="83">
        <v>44461.422905092593</v>
      </c>
      <c r="X1045" s="89">
        <v>44461</v>
      </c>
      <c r="Y1045" s="87" t="s">
        <v>2453</v>
      </c>
      <c r="Z1045" s="85" t="str">
        <f>HYPERLINK("https://twitter.com/binanguncilacap/status/1440619123747086337")</f>
        <v>https://twitter.com/binanguncilacap/status/1440619123747086337</v>
      </c>
      <c r="AA1045" s="81"/>
      <c r="AB1045" s="81"/>
      <c r="AC1045" s="87" t="s">
        <v>3381</v>
      </c>
      <c r="AD1045" s="81"/>
      <c r="AE1045" s="81" t="b">
        <v>0</v>
      </c>
      <c r="AF1045" s="81">
        <v>0</v>
      </c>
      <c r="AG1045" s="87" t="s">
        <v>3875</v>
      </c>
      <c r="AH1045" s="81" t="b">
        <v>0</v>
      </c>
      <c r="AI1045" s="81" t="s">
        <v>4092</v>
      </c>
      <c r="AJ1045" s="81"/>
      <c r="AK1045" s="87" t="s">
        <v>3875</v>
      </c>
      <c r="AL1045" s="81" t="b">
        <v>0</v>
      </c>
      <c r="AM1045" s="81">
        <v>0</v>
      </c>
      <c r="AN1045" s="87" t="s">
        <v>3875</v>
      </c>
      <c r="AO1045" s="87" t="s">
        <v>4109</v>
      </c>
      <c r="AP1045" s="81" t="b">
        <v>0</v>
      </c>
      <c r="AQ1045" s="87" t="s">
        <v>3381</v>
      </c>
      <c r="AR1045" s="81" t="s">
        <v>179</v>
      </c>
      <c r="AS1045" s="81">
        <v>0</v>
      </c>
      <c r="AT1045" s="81">
        <v>0</v>
      </c>
      <c r="AU1045" s="81"/>
      <c r="AV1045" s="81"/>
      <c r="AW1045" s="81"/>
      <c r="AX1045" s="81"/>
      <c r="AY1045" s="81"/>
      <c r="AZ1045" s="81"/>
      <c r="BA1045" s="81"/>
      <c r="BB1045" s="81"/>
    </row>
    <row r="1046" spans="1:54" x14ac:dyDescent="0.35">
      <c r="A1046" s="66" t="s">
        <v>832</v>
      </c>
      <c r="B1046" s="66" t="s">
        <v>832</v>
      </c>
      <c r="C1046" s="67"/>
      <c r="D1046" s="68"/>
      <c r="E1046" s="69"/>
      <c r="F1046" s="70"/>
      <c r="G1046" s="67"/>
      <c r="H1046" s="71"/>
      <c r="I1046" s="72"/>
      <c r="J1046" s="72"/>
      <c r="K1046" s="36"/>
      <c r="L1046" s="79"/>
      <c r="M1046" s="79"/>
      <c r="N1046" s="74"/>
      <c r="O1046" s="81" t="s">
        <v>179</v>
      </c>
      <c r="P1046" s="83">
        <v>44464.426481481481</v>
      </c>
      <c r="Q1046" s="81" t="s">
        <v>1528</v>
      </c>
      <c r="R1046" s="81"/>
      <c r="S1046" s="81"/>
      <c r="T1046" s="81"/>
      <c r="U1046" s="85" t="str">
        <f>HYPERLINK("https://pbs.twimg.com/media/FAH5aLCUYAYBJUR.jpg")</f>
        <v>https://pbs.twimg.com/media/FAH5aLCUYAYBJUR.jpg</v>
      </c>
      <c r="V1046" s="85" t="str">
        <f>HYPERLINK("https://pbs.twimg.com/media/FAH5aLCUYAYBJUR.jpg")</f>
        <v>https://pbs.twimg.com/media/FAH5aLCUYAYBJUR.jpg</v>
      </c>
      <c r="W1046" s="83">
        <v>44464.426481481481</v>
      </c>
      <c r="X1046" s="89">
        <v>44464</v>
      </c>
      <c r="Y1046" s="87" t="s">
        <v>2454</v>
      </c>
      <c r="Z1046" s="85" t="str">
        <f>HYPERLINK("https://twitter.com/binanguncilacap/status/1441707586349264896")</f>
        <v>https://twitter.com/binanguncilacap/status/1441707586349264896</v>
      </c>
      <c r="AA1046" s="81"/>
      <c r="AB1046" s="81"/>
      <c r="AC1046" s="87" t="s">
        <v>3382</v>
      </c>
      <c r="AD1046" s="81"/>
      <c r="AE1046" s="81" t="b">
        <v>0</v>
      </c>
      <c r="AF1046" s="81">
        <v>0</v>
      </c>
      <c r="AG1046" s="87" t="s">
        <v>3875</v>
      </c>
      <c r="AH1046" s="81" t="b">
        <v>0</v>
      </c>
      <c r="AI1046" s="81" t="s">
        <v>4092</v>
      </c>
      <c r="AJ1046" s="81"/>
      <c r="AK1046" s="87" t="s">
        <v>3875</v>
      </c>
      <c r="AL1046" s="81" t="b">
        <v>0</v>
      </c>
      <c r="AM1046" s="81">
        <v>0</v>
      </c>
      <c r="AN1046" s="87" t="s">
        <v>3875</v>
      </c>
      <c r="AO1046" s="87" t="s">
        <v>4109</v>
      </c>
      <c r="AP1046" s="81" t="b">
        <v>0</v>
      </c>
      <c r="AQ1046" s="87" t="s">
        <v>3382</v>
      </c>
      <c r="AR1046" s="81" t="s">
        <v>179</v>
      </c>
      <c r="AS1046" s="81">
        <v>0</v>
      </c>
      <c r="AT1046" s="81">
        <v>0</v>
      </c>
      <c r="AU1046" s="81"/>
      <c r="AV1046" s="81"/>
      <c r="AW1046" s="81"/>
      <c r="AX1046" s="81"/>
      <c r="AY1046" s="81"/>
      <c r="AZ1046" s="81"/>
      <c r="BA1046" s="81"/>
      <c r="BB1046" s="81"/>
    </row>
    <row r="1047" spans="1:54" x14ac:dyDescent="0.35">
      <c r="A1047" s="66" t="s">
        <v>833</v>
      </c>
      <c r="B1047" s="66" t="s">
        <v>833</v>
      </c>
      <c r="C1047" s="67"/>
      <c r="D1047" s="68"/>
      <c r="E1047" s="69"/>
      <c r="F1047" s="70"/>
      <c r="G1047" s="67"/>
      <c r="H1047" s="71"/>
      <c r="I1047" s="72"/>
      <c r="J1047" s="72"/>
      <c r="K1047" s="36"/>
      <c r="L1047" s="79"/>
      <c r="M1047" s="79"/>
      <c r="N1047" s="74"/>
      <c r="O1047" s="81" t="s">
        <v>179</v>
      </c>
      <c r="P1047" s="83">
        <v>44458.088194444441</v>
      </c>
      <c r="Q1047" s="81" t="s">
        <v>1213</v>
      </c>
      <c r="R1047" s="81"/>
      <c r="S1047" s="81"/>
      <c r="T1047" s="81"/>
      <c r="U1047" s="85" t="str">
        <f>HYPERLINK("https://pbs.twimg.com/media/E_nQX3xVUAIsOZY.jpg")</f>
        <v>https://pbs.twimg.com/media/E_nQX3xVUAIsOZY.jpg</v>
      </c>
      <c r="V1047" s="85" t="str">
        <f>HYPERLINK("https://pbs.twimg.com/media/E_nQX3xVUAIsOZY.jpg")</f>
        <v>https://pbs.twimg.com/media/E_nQX3xVUAIsOZY.jpg</v>
      </c>
      <c r="W1047" s="83">
        <v>44458.088194444441</v>
      </c>
      <c r="X1047" s="89">
        <v>44458</v>
      </c>
      <c r="Y1047" s="87" t="s">
        <v>2455</v>
      </c>
      <c r="Z1047" s="85" t="str">
        <f>HYPERLINK("https://twitter.com/sentraloker/status/1439410665920159748")</f>
        <v>https://twitter.com/sentraloker/status/1439410665920159748</v>
      </c>
      <c r="AA1047" s="81"/>
      <c r="AB1047" s="81"/>
      <c r="AC1047" s="87" t="s">
        <v>3383</v>
      </c>
      <c r="AD1047" s="81"/>
      <c r="AE1047" s="81" t="b">
        <v>0</v>
      </c>
      <c r="AF1047" s="81">
        <v>1</v>
      </c>
      <c r="AG1047" s="87" t="s">
        <v>3875</v>
      </c>
      <c r="AH1047" s="81" t="b">
        <v>0</v>
      </c>
      <c r="AI1047" s="81" t="s">
        <v>4092</v>
      </c>
      <c r="AJ1047" s="81"/>
      <c r="AK1047" s="87" t="s">
        <v>3875</v>
      </c>
      <c r="AL1047" s="81" t="b">
        <v>0</v>
      </c>
      <c r="AM1047" s="81">
        <v>1</v>
      </c>
      <c r="AN1047" s="87" t="s">
        <v>3875</v>
      </c>
      <c r="AO1047" s="87" t="s">
        <v>4132</v>
      </c>
      <c r="AP1047" s="81" t="b">
        <v>0</v>
      </c>
      <c r="AQ1047" s="87" t="s">
        <v>3383</v>
      </c>
      <c r="AR1047" s="81" t="s">
        <v>179</v>
      </c>
      <c r="AS1047" s="81">
        <v>0</v>
      </c>
      <c r="AT1047" s="81">
        <v>0</v>
      </c>
      <c r="AU1047" s="81"/>
      <c r="AV1047" s="81"/>
      <c r="AW1047" s="81"/>
      <c r="AX1047" s="81"/>
      <c r="AY1047" s="81"/>
      <c r="AZ1047" s="81"/>
      <c r="BA1047" s="81"/>
      <c r="BB1047" s="81"/>
    </row>
    <row r="1048" spans="1:54" x14ac:dyDescent="0.35">
      <c r="A1048" s="66" t="s">
        <v>833</v>
      </c>
      <c r="B1048" s="66" t="s">
        <v>833</v>
      </c>
      <c r="C1048" s="67"/>
      <c r="D1048" s="68"/>
      <c r="E1048" s="69"/>
      <c r="F1048" s="70"/>
      <c r="G1048" s="67"/>
      <c r="H1048" s="71"/>
      <c r="I1048" s="72"/>
      <c r="J1048" s="72"/>
      <c r="K1048" s="36"/>
      <c r="L1048" s="79"/>
      <c r="M1048" s="79"/>
      <c r="N1048" s="74"/>
      <c r="O1048" s="81" t="s">
        <v>179</v>
      </c>
      <c r="P1048" s="83">
        <v>44461.148819444446</v>
      </c>
      <c r="Q1048" s="81" t="s">
        <v>1529</v>
      </c>
      <c r="R1048" s="81"/>
      <c r="S1048" s="81"/>
      <c r="T1048" s="81"/>
      <c r="U1048" s="85" t="str">
        <f>HYPERLINK("https://pbs.twimg.com/media/E_3BH_6VIAMbPro.jpg")</f>
        <v>https://pbs.twimg.com/media/E_3BH_6VIAMbPro.jpg</v>
      </c>
      <c r="V1048" s="85" t="str">
        <f>HYPERLINK("https://pbs.twimg.com/media/E_3BH_6VIAMbPro.jpg")</f>
        <v>https://pbs.twimg.com/media/E_3BH_6VIAMbPro.jpg</v>
      </c>
      <c r="W1048" s="83">
        <v>44461.148819444446</v>
      </c>
      <c r="X1048" s="89">
        <v>44461</v>
      </c>
      <c r="Y1048" s="87" t="s">
        <v>2456</v>
      </c>
      <c r="Z1048" s="85" t="str">
        <f>HYPERLINK("https://twitter.com/sentraloker/status/1440519800166383620")</f>
        <v>https://twitter.com/sentraloker/status/1440519800166383620</v>
      </c>
      <c r="AA1048" s="81"/>
      <c r="AB1048" s="81"/>
      <c r="AC1048" s="87" t="s">
        <v>3384</v>
      </c>
      <c r="AD1048" s="81"/>
      <c r="AE1048" s="81" t="b">
        <v>0</v>
      </c>
      <c r="AF1048" s="81">
        <v>2</v>
      </c>
      <c r="AG1048" s="87" t="s">
        <v>3875</v>
      </c>
      <c r="AH1048" s="81" t="b">
        <v>0</v>
      </c>
      <c r="AI1048" s="81" t="s">
        <v>4092</v>
      </c>
      <c r="AJ1048" s="81"/>
      <c r="AK1048" s="87" t="s">
        <v>3875</v>
      </c>
      <c r="AL1048" s="81" t="b">
        <v>0</v>
      </c>
      <c r="AM1048" s="81">
        <v>0</v>
      </c>
      <c r="AN1048" s="87" t="s">
        <v>3875</v>
      </c>
      <c r="AO1048" s="87" t="s">
        <v>4132</v>
      </c>
      <c r="AP1048" s="81" t="b">
        <v>0</v>
      </c>
      <c r="AQ1048" s="87" t="s">
        <v>3384</v>
      </c>
      <c r="AR1048" s="81" t="s">
        <v>179</v>
      </c>
      <c r="AS1048" s="81">
        <v>0</v>
      </c>
      <c r="AT1048" s="81">
        <v>0</v>
      </c>
      <c r="AU1048" s="81"/>
      <c r="AV1048" s="81"/>
      <c r="AW1048" s="81"/>
      <c r="AX1048" s="81"/>
      <c r="AY1048" s="81"/>
      <c r="AZ1048" s="81"/>
      <c r="BA1048" s="81"/>
      <c r="BB1048" s="81"/>
    </row>
    <row r="1049" spans="1:54" x14ac:dyDescent="0.35">
      <c r="A1049" s="66" t="s">
        <v>833</v>
      </c>
      <c r="B1049" s="66" t="s">
        <v>833</v>
      </c>
      <c r="C1049" s="67"/>
      <c r="D1049" s="68"/>
      <c r="E1049" s="69"/>
      <c r="F1049" s="70"/>
      <c r="G1049" s="67"/>
      <c r="H1049" s="71"/>
      <c r="I1049" s="72"/>
      <c r="J1049" s="72"/>
      <c r="K1049" s="36"/>
      <c r="L1049" s="79"/>
      <c r="M1049" s="79"/>
      <c r="N1049" s="74"/>
      <c r="O1049" s="81" t="s">
        <v>179</v>
      </c>
      <c r="P1049" s="83">
        <v>44464.43546296296</v>
      </c>
      <c r="Q1049" s="81" t="s">
        <v>1530</v>
      </c>
      <c r="R1049" s="81"/>
      <c r="S1049" s="81"/>
      <c r="T1049" s="81"/>
      <c r="U1049" s="85" t="str">
        <f>HYPERLINK("https://pbs.twimg.com/media/FAH8XiNVgAAHno9.jpg")</f>
        <v>https://pbs.twimg.com/media/FAH8XiNVgAAHno9.jpg</v>
      </c>
      <c r="V1049" s="85" t="str">
        <f>HYPERLINK("https://pbs.twimg.com/media/FAH8XiNVgAAHno9.jpg")</f>
        <v>https://pbs.twimg.com/media/FAH8XiNVgAAHno9.jpg</v>
      </c>
      <c r="W1049" s="83">
        <v>44464.43546296296</v>
      </c>
      <c r="X1049" s="89">
        <v>44464</v>
      </c>
      <c r="Y1049" s="87" t="s">
        <v>2457</v>
      </c>
      <c r="Z1049" s="85" t="str">
        <f>HYPERLINK("https://twitter.com/sentraloker/status/1441710838188896256")</f>
        <v>https://twitter.com/sentraloker/status/1441710838188896256</v>
      </c>
      <c r="AA1049" s="81"/>
      <c r="AB1049" s="81"/>
      <c r="AC1049" s="87" t="s">
        <v>3385</v>
      </c>
      <c r="AD1049" s="81"/>
      <c r="AE1049" s="81" t="b">
        <v>0</v>
      </c>
      <c r="AF1049" s="81">
        <v>2</v>
      </c>
      <c r="AG1049" s="87" t="s">
        <v>3875</v>
      </c>
      <c r="AH1049" s="81" t="b">
        <v>0</v>
      </c>
      <c r="AI1049" s="81" t="s">
        <v>4092</v>
      </c>
      <c r="AJ1049" s="81"/>
      <c r="AK1049" s="87" t="s">
        <v>3875</v>
      </c>
      <c r="AL1049" s="81" t="b">
        <v>0</v>
      </c>
      <c r="AM1049" s="81">
        <v>0</v>
      </c>
      <c r="AN1049" s="87" t="s">
        <v>3875</v>
      </c>
      <c r="AO1049" s="87" t="s">
        <v>4132</v>
      </c>
      <c r="AP1049" s="81" t="b">
        <v>0</v>
      </c>
      <c r="AQ1049" s="87" t="s">
        <v>3385</v>
      </c>
      <c r="AR1049" s="81" t="s">
        <v>179</v>
      </c>
      <c r="AS1049" s="81">
        <v>0</v>
      </c>
      <c r="AT1049" s="81">
        <v>0</v>
      </c>
      <c r="AU1049" s="81"/>
      <c r="AV1049" s="81"/>
      <c r="AW1049" s="81"/>
      <c r="AX1049" s="81"/>
      <c r="AY1049" s="81"/>
      <c r="AZ1049" s="81"/>
      <c r="BA1049" s="81"/>
      <c r="BB1049" s="81"/>
    </row>
    <row r="1050" spans="1:54" x14ac:dyDescent="0.35">
      <c r="A1050" s="66" t="s">
        <v>834</v>
      </c>
      <c r="B1050" s="66" t="s">
        <v>834</v>
      </c>
      <c r="C1050" s="67"/>
      <c r="D1050" s="68"/>
      <c r="E1050" s="69"/>
      <c r="F1050" s="70"/>
      <c r="G1050" s="67"/>
      <c r="H1050" s="71"/>
      <c r="I1050" s="72"/>
      <c r="J1050" s="72"/>
      <c r="K1050" s="36"/>
      <c r="L1050" s="79"/>
      <c r="M1050" s="79"/>
      <c r="N1050" s="74"/>
      <c r="O1050" s="81" t="s">
        <v>179</v>
      </c>
      <c r="P1050" s="83">
        <v>44464.459745370368</v>
      </c>
      <c r="Q1050" s="81" t="s">
        <v>1531</v>
      </c>
      <c r="R1050" s="81"/>
      <c r="S1050" s="81"/>
      <c r="T1050" s="81"/>
      <c r="U1050" s="81"/>
      <c r="V1050" s="85" t="str">
        <f>HYPERLINK("https://pbs.twimg.com/profile_images/1430005190657134593/2QoSHLu7_normal.jpg")</f>
        <v>https://pbs.twimg.com/profile_images/1430005190657134593/2QoSHLu7_normal.jpg</v>
      </c>
      <c r="W1050" s="83">
        <v>44464.459745370368</v>
      </c>
      <c r="X1050" s="89">
        <v>44464</v>
      </c>
      <c r="Y1050" s="87" t="s">
        <v>2458</v>
      </c>
      <c r="Z1050" s="85" t="str">
        <f>HYPERLINK("https://twitter.com/jenoogotjam/status/1441719637930962946")</f>
        <v>https://twitter.com/jenoogotjam/status/1441719637930962946</v>
      </c>
      <c r="AA1050" s="81"/>
      <c r="AB1050" s="81"/>
      <c r="AC1050" s="87" t="s">
        <v>3386</v>
      </c>
      <c r="AD1050" s="81"/>
      <c r="AE1050" s="81" t="b">
        <v>0</v>
      </c>
      <c r="AF1050" s="81">
        <v>0</v>
      </c>
      <c r="AG1050" s="87" t="s">
        <v>3875</v>
      </c>
      <c r="AH1050" s="81" t="b">
        <v>0</v>
      </c>
      <c r="AI1050" s="81" t="s">
        <v>4092</v>
      </c>
      <c r="AJ1050" s="81"/>
      <c r="AK1050" s="87" t="s">
        <v>3875</v>
      </c>
      <c r="AL1050" s="81" t="b">
        <v>0</v>
      </c>
      <c r="AM1050" s="81">
        <v>0</v>
      </c>
      <c r="AN1050" s="87" t="s">
        <v>3875</v>
      </c>
      <c r="AO1050" s="87" t="s">
        <v>4110</v>
      </c>
      <c r="AP1050" s="81" t="b">
        <v>0</v>
      </c>
      <c r="AQ1050" s="87" t="s">
        <v>3386</v>
      </c>
      <c r="AR1050" s="81" t="s">
        <v>179</v>
      </c>
      <c r="AS1050" s="81">
        <v>0</v>
      </c>
      <c r="AT1050" s="81">
        <v>0</v>
      </c>
      <c r="AU1050" s="81"/>
      <c r="AV1050" s="81"/>
      <c r="AW1050" s="81"/>
      <c r="AX1050" s="81"/>
      <c r="AY1050" s="81"/>
      <c r="AZ1050" s="81"/>
      <c r="BA1050" s="81"/>
      <c r="BB1050" s="81"/>
    </row>
    <row r="1051" spans="1:54" x14ac:dyDescent="0.35">
      <c r="A1051" s="66" t="s">
        <v>835</v>
      </c>
      <c r="B1051" s="66" t="s">
        <v>835</v>
      </c>
      <c r="C1051" s="67"/>
      <c r="D1051" s="68"/>
      <c r="E1051" s="69"/>
      <c r="F1051" s="70"/>
      <c r="G1051" s="67"/>
      <c r="H1051" s="71"/>
      <c r="I1051" s="72"/>
      <c r="J1051" s="72"/>
      <c r="K1051" s="36"/>
      <c r="L1051" s="79"/>
      <c r="M1051" s="79"/>
      <c r="N1051" s="74"/>
      <c r="O1051" s="81" t="s">
        <v>179</v>
      </c>
      <c r="P1051" s="83">
        <v>44464.467499999999</v>
      </c>
      <c r="Q1051" s="81" t="s">
        <v>1532</v>
      </c>
      <c r="R1051" s="81"/>
      <c r="S1051" s="81"/>
      <c r="T1051" s="81"/>
      <c r="U1051" s="81"/>
      <c r="V1051" s="85" t="str">
        <f>HYPERLINK("https://pbs.twimg.com/profile_images/1372813231622737924/Lvbqtvh0_normal.jpg")</f>
        <v>https://pbs.twimg.com/profile_images/1372813231622737924/Lvbqtvh0_normal.jpg</v>
      </c>
      <c r="W1051" s="83">
        <v>44464.467499999999</v>
      </c>
      <c r="X1051" s="89">
        <v>44464</v>
      </c>
      <c r="Y1051" s="87" t="s">
        <v>2459</v>
      </c>
      <c r="Z1051" s="85" t="str">
        <f>HYPERLINK("https://twitter.com/kedirifess/status/1441722449901469703")</f>
        <v>https://twitter.com/kedirifess/status/1441722449901469703</v>
      </c>
      <c r="AA1051" s="81"/>
      <c r="AB1051" s="81"/>
      <c r="AC1051" s="87" t="s">
        <v>3387</v>
      </c>
      <c r="AD1051" s="81"/>
      <c r="AE1051" s="81" t="b">
        <v>0</v>
      </c>
      <c r="AF1051" s="81">
        <v>2</v>
      </c>
      <c r="AG1051" s="87" t="s">
        <v>3875</v>
      </c>
      <c r="AH1051" s="81" t="b">
        <v>0</v>
      </c>
      <c r="AI1051" s="81" t="s">
        <v>4092</v>
      </c>
      <c r="AJ1051" s="81"/>
      <c r="AK1051" s="87" t="s">
        <v>3875</v>
      </c>
      <c r="AL1051" s="81" t="b">
        <v>0</v>
      </c>
      <c r="AM1051" s="81">
        <v>0</v>
      </c>
      <c r="AN1051" s="87" t="s">
        <v>3875</v>
      </c>
      <c r="AO1051" s="87" t="s">
        <v>4133</v>
      </c>
      <c r="AP1051" s="81" t="b">
        <v>0</v>
      </c>
      <c r="AQ1051" s="87" t="s">
        <v>3387</v>
      </c>
      <c r="AR1051" s="81" t="s">
        <v>179</v>
      </c>
      <c r="AS1051" s="81">
        <v>0</v>
      </c>
      <c r="AT1051" s="81">
        <v>0</v>
      </c>
      <c r="AU1051" s="81"/>
      <c r="AV1051" s="81"/>
      <c r="AW1051" s="81"/>
      <c r="AX1051" s="81"/>
      <c r="AY1051" s="81"/>
      <c r="AZ1051" s="81"/>
      <c r="BA1051" s="81"/>
      <c r="BB1051" s="81"/>
    </row>
    <row r="1052" spans="1:54" x14ac:dyDescent="0.35">
      <c r="A1052" s="66" t="s">
        <v>836</v>
      </c>
      <c r="B1052" s="66" t="s">
        <v>836</v>
      </c>
      <c r="C1052" s="67"/>
      <c r="D1052" s="68"/>
      <c r="E1052" s="69"/>
      <c r="F1052" s="70"/>
      <c r="G1052" s="67"/>
      <c r="H1052" s="71"/>
      <c r="I1052" s="72"/>
      <c r="J1052" s="72"/>
      <c r="K1052" s="36"/>
      <c r="L1052" s="79"/>
      <c r="M1052" s="79"/>
      <c r="N1052" s="74"/>
      <c r="O1052" s="81" t="s">
        <v>179</v>
      </c>
      <c r="P1052" s="83">
        <v>44464.468252314815</v>
      </c>
      <c r="Q1052" s="81" t="s">
        <v>1533</v>
      </c>
      <c r="R1052" s="81"/>
      <c r="S1052" s="81"/>
      <c r="T1052" s="81"/>
      <c r="U1052" s="81"/>
      <c r="V1052" s="85" t="str">
        <f>HYPERLINK("https://pbs.twimg.com/profile_images/1304029151473463296/fozOCTM1_normal.jpg")</f>
        <v>https://pbs.twimg.com/profile_images/1304029151473463296/fozOCTM1_normal.jpg</v>
      </c>
      <c r="W1052" s="83">
        <v>44464.468252314815</v>
      </c>
      <c r="X1052" s="89">
        <v>44464</v>
      </c>
      <c r="Y1052" s="87" t="s">
        <v>2460</v>
      </c>
      <c r="Z1052" s="85" t="str">
        <f>HYPERLINK("https://twitter.com/parefess/status/1441722723986665474")</f>
        <v>https://twitter.com/parefess/status/1441722723986665474</v>
      </c>
      <c r="AA1052" s="81"/>
      <c r="AB1052" s="81"/>
      <c r="AC1052" s="87" t="s">
        <v>3388</v>
      </c>
      <c r="AD1052" s="81"/>
      <c r="AE1052" s="81" t="b">
        <v>0</v>
      </c>
      <c r="AF1052" s="81">
        <v>0</v>
      </c>
      <c r="AG1052" s="87" t="s">
        <v>3875</v>
      </c>
      <c r="AH1052" s="81" t="b">
        <v>0</v>
      </c>
      <c r="AI1052" s="81" t="s">
        <v>4092</v>
      </c>
      <c r="AJ1052" s="81"/>
      <c r="AK1052" s="87" t="s">
        <v>3875</v>
      </c>
      <c r="AL1052" s="81" t="b">
        <v>0</v>
      </c>
      <c r="AM1052" s="81">
        <v>0</v>
      </c>
      <c r="AN1052" s="87" t="s">
        <v>3875</v>
      </c>
      <c r="AO1052" s="87" t="s">
        <v>4134</v>
      </c>
      <c r="AP1052" s="81" t="b">
        <v>0</v>
      </c>
      <c r="AQ1052" s="87" t="s">
        <v>3388</v>
      </c>
      <c r="AR1052" s="81" t="s">
        <v>179</v>
      </c>
      <c r="AS1052" s="81">
        <v>0</v>
      </c>
      <c r="AT1052" s="81">
        <v>0</v>
      </c>
      <c r="AU1052" s="81"/>
      <c r="AV1052" s="81"/>
      <c r="AW1052" s="81"/>
      <c r="AX1052" s="81"/>
      <c r="AY1052" s="81"/>
      <c r="AZ1052" s="81"/>
      <c r="BA1052" s="81"/>
      <c r="BB1052" s="81"/>
    </row>
    <row r="1053" spans="1:54" x14ac:dyDescent="0.35">
      <c r="A1053" s="66" t="s">
        <v>837</v>
      </c>
      <c r="B1053" s="66" t="s">
        <v>837</v>
      </c>
      <c r="C1053" s="67"/>
      <c r="D1053" s="68"/>
      <c r="E1053" s="69"/>
      <c r="F1053" s="70"/>
      <c r="G1053" s="67"/>
      <c r="H1053" s="71"/>
      <c r="I1053" s="72"/>
      <c r="J1053" s="72"/>
      <c r="K1053" s="36"/>
      <c r="L1053" s="79"/>
      <c r="M1053" s="79"/>
      <c r="N1053" s="74"/>
      <c r="O1053" s="81" t="s">
        <v>179</v>
      </c>
      <c r="P1053" s="83">
        <v>44463.30300925926</v>
      </c>
      <c r="Q1053" s="81" t="s">
        <v>1534</v>
      </c>
      <c r="R1053" s="81"/>
      <c r="S1053" s="81"/>
      <c r="T1053" s="81"/>
      <c r="U1053" s="85" t="str">
        <f>HYPERLINK("https://pbs.twimg.com/media/FACHHmTVEAYwafE.jpg")</f>
        <v>https://pbs.twimg.com/media/FACHHmTVEAYwafE.jpg</v>
      </c>
      <c r="V1053" s="85" t="str">
        <f>HYPERLINK("https://pbs.twimg.com/media/FACHHmTVEAYwafE.jpg")</f>
        <v>https://pbs.twimg.com/media/FACHHmTVEAYwafE.jpg</v>
      </c>
      <c r="W1053" s="83">
        <v>44463.30300925926</v>
      </c>
      <c r="X1053" s="89">
        <v>44463</v>
      </c>
      <c r="Y1053" s="87" t="s">
        <v>2461</v>
      </c>
      <c r="Z1053" s="85" t="str">
        <f>HYPERLINK("https://twitter.com/karantinamks/status/1441300452440612876")</f>
        <v>https://twitter.com/karantinamks/status/1441300452440612876</v>
      </c>
      <c r="AA1053" s="81"/>
      <c r="AB1053" s="81"/>
      <c r="AC1053" s="87" t="s">
        <v>3389</v>
      </c>
      <c r="AD1053" s="87" t="s">
        <v>3810</v>
      </c>
      <c r="AE1053" s="81" t="b">
        <v>0</v>
      </c>
      <c r="AF1053" s="81">
        <v>0</v>
      </c>
      <c r="AG1053" s="87" t="s">
        <v>4026</v>
      </c>
      <c r="AH1053" s="81" t="b">
        <v>0</v>
      </c>
      <c r="AI1053" s="81" t="s">
        <v>4092</v>
      </c>
      <c r="AJ1053" s="81"/>
      <c r="AK1053" s="87" t="s">
        <v>3875</v>
      </c>
      <c r="AL1053" s="81" t="b">
        <v>0</v>
      </c>
      <c r="AM1053" s="81">
        <v>0</v>
      </c>
      <c r="AN1053" s="87" t="s">
        <v>3875</v>
      </c>
      <c r="AO1053" s="87" t="s">
        <v>4110</v>
      </c>
      <c r="AP1053" s="81" t="b">
        <v>0</v>
      </c>
      <c r="AQ1053" s="87" t="s">
        <v>3810</v>
      </c>
      <c r="AR1053" s="81" t="s">
        <v>179</v>
      </c>
      <c r="AS1053" s="81">
        <v>0</v>
      </c>
      <c r="AT1053" s="81">
        <v>0</v>
      </c>
      <c r="AU1053" s="81"/>
      <c r="AV1053" s="81"/>
      <c r="AW1053" s="81"/>
      <c r="AX1053" s="81"/>
      <c r="AY1053" s="81"/>
      <c r="AZ1053" s="81"/>
      <c r="BA1053" s="81"/>
      <c r="BB1053" s="81"/>
    </row>
    <row r="1054" spans="1:54" x14ac:dyDescent="0.35">
      <c r="A1054" s="66" t="s">
        <v>838</v>
      </c>
      <c r="B1054" s="66" t="s">
        <v>837</v>
      </c>
      <c r="C1054" s="67"/>
      <c r="D1054" s="68"/>
      <c r="E1054" s="69"/>
      <c r="F1054" s="70"/>
      <c r="G1054" s="67"/>
      <c r="H1054" s="71"/>
      <c r="I1054" s="72"/>
      <c r="J1054" s="72"/>
      <c r="K1054" s="36"/>
      <c r="L1054" s="79"/>
      <c r="M1054" s="79"/>
      <c r="N1054" s="74"/>
      <c r="O1054" s="81" t="s">
        <v>1206</v>
      </c>
      <c r="P1054" s="83">
        <v>44464.530624999999</v>
      </c>
      <c r="Q1054" s="81" t="s">
        <v>1535</v>
      </c>
      <c r="R1054" s="81"/>
      <c r="S1054" s="81"/>
      <c r="T1054" s="81"/>
      <c r="U1054" s="85" t="str">
        <f>HYPERLINK("https://pbs.twimg.com/media/FAIbu68VcAcCMeG.jpg")</f>
        <v>https://pbs.twimg.com/media/FAIbu68VcAcCMeG.jpg</v>
      </c>
      <c r="V1054" s="85" t="str">
        <f>HYPERLINK("https://pbs.twimg.com/media/FAIbu68VcAcCMeG.jpg")</f>
        <v>https://pbs.twimg.com/media/FAIbu68VcAcCMeG.jpg</v>
      </c>
      <c r="W1054" s="83">
        <v>44464.530624999999</v>
      </c>
      <c r="X1054" s="89">
        <v>44464</v>
      </c>
      <c r="Y1054" s="87" t="s">
        <v>2462</v>
      </c>
      <c r="Z1054" s="85" t="str">
        <f>HYPERLINK("https://twitter.com/barantan_ri/status/1441745326109446158")</f>
        <v>https://twitter.com/barantan_ri/status/1441745326109446158</v>
      </c>
      <c r="AA1054" s="81"/>
      <c r="AB1054" s="81"/>
      <c r="AC1054" s="87" t="s">
        <v>3390</v>
      </c>
      <c r="AD1054" s="87" t="s">
        <v>3811</v>
      </c>
      <c r="AE1054" s="81" t="b">
        <v>0</v>
      </c>
      <c r="AF1054" s="81">
        <v>0</v>
      </c>
      <c r="AG1054" s="87" t="s">
        <v>4027</v>
      </c>
      <c r="AH1054" s="81" t="b">
        <v>0</v>
      </c>
      <c r="AI1054" s="81" t="s">
        <v>4092</v>
      </c>
      <c r="AJ1054" s="81"/>
      <c r="AK1054" s="87" t="s">
        <v>3875</v>
      </c>
      <c r="AL1054" s="81" t="b">
        <v>0</v>
      </c>
      <c r="AM1054" s="81">
        <v>0</v>
      </c>
      <c r="AN1054" s="87" t="s">
        <v>3875</v>
      </c>
      <c r="AO1054" s="87" t="s">
        <v>4109</v>
      </c>
      <c r="AP1054" s="81" t="b">
        <v>0</v>
      </c>
      <c r="AQ1054" s="87" t="s">
        <v>3811</v>
      </c>
      <c r="AR1054" s="81" t="s">
        <v>179</v>
      </c>
      <c r="AS1054" s="81">
        <v>0</v>
      </c>
      <c r="AT1054" s="81">
        <v>0</v>
      </c>
      <c r="AU1054" s="81"/>
      <c r="AV1054" s="81"/>
      <c r="AW1054" s="81"/>
      <c r="AX1054" s="81"/>
      <c r="AY1054" s="81"/>
      <c r="AZ1054" s="81"/>
      <c r="BA1054" s="81"/>
      <c r="BB1054" s="81"/>
    </row>
    <row r="1055" spans="1:54" x14ac:dyDescent="0.35">
      <c r="A1055" s="66" t="s">
        <v>839</v>
      </c>
      <c r="B1055" s="66" t="s">
        <v>839</v>
      </c>
      <c r="C1055" s="67"/>
      <c r="D1055" s="68"/>
      <c r="E1055" s="69"/>
      <c r="F1055" s="70"/>
      <c r="G1055" s="67"/>
      <c r="H1055" s="71"/>
      <c r="I1055" s="72"/>
      <c r="J1055" s="72"/>
      <c r="K1055" s="36"/>
      <c r="L1055" s="79"/>
      <c r="M1055" s="79"/>
      <c r="N1055" s="74"/>
      <c r="O1055" s="81" t="s">
        <v>179</v>
      </c>
      <c r="P1055" s="83">
        <v>44464.560740740744</v>
      </c>
      <c r="Q1055" s="81" t="s">
        <v>1536</v>
      </c>
      <c r="R1055" s="81"/>
      <c r="S1055" s="81"/>
      <c r="T1055" s="81"/>
      <c r="U1055" s="81"/>
      <c r="V1055" s="85" t="str">
        <f>HYPERLINK("https://pbs.twimg.com/profile_images/1442523637811081216/1Cld2Ab0_normal.jpg")</f>
        <v>https://pbs.twimg.com/profile_images/1442523637811081216/1Cld2Ab0_normal.jpg</v>
      </c>
      <c r="W1055" s="83">
        <v>44464.560740740744</v>
      </c>
      <c r="X1055" s="89">
        <v>44464</v>
      </c>
      <c r="Y1055" s="87" t="s">
        <v>2463</v>
      </c>
      <c r="Z1055" s="85" t="str">
        <f>HYPERLINK("https://twitter.com/cepetwaras/status/1441756239348715526")</f>
        <v>https://twitter.com/cepetwaras/status/1441756239348715526</v>
      </c>
      <c r="AA1055" s="81"/>
      <c r="AB1055" s="81"/>
      <c r="AC1055" s="87" t="s">
        <v>3391</v>
      </c>
      <c r="AD1055" s="81"/>
      <c r="AE1055" s="81" t="b">
        <v>0</v>
      </c>
      <c r="AF1055" s="81">
        <v>0</v>
      </c>
      <c r="AG1055" s="87" t="s">
        <v>3875</v>
      </c>
      <c r="AH1055" s="81" t="b">
        <v>0</v>
      </c>
      <c r="AI1055" s="81" t="s">
        <v>4092</v>
      </c>
      <c r="AJ1055" s="81"/>
      <c r="AK1055" s="87" t="s">
        <v>3875</v>
      </c>
      <c r="AL1055" s="81" t="b">
        <v>0</v>
      </c>
      <c r="AM1055" s="81">
        <v>0</v>
      </c>
      <c r="AN1055" s="87" t="s">
        <v>3875</v>
      </c>
      <c r="AO1055" s="87" t="s">
        <v>4130</v>
      </c>
      <c r="AP1055" s="81" t="b">
        <v>0</v>
      </c>
      <c r="AQ1055" s="87" t="s">
        <v>3391</v>
      </c>
      <c r="AR1055" s="81" t="s">
        <v>179</v>
      </c>
      <c r="AS1055" s="81">
        <v>0</v>
      </c>
      <c r="AT1055" s="81">
        <v>0</v>
      </c>
      <c r="AU1055" s="81"/>
      <c r="AV1055" s="81"/>
      <c r="AW1055" s="81"/>
      <c r="AX1055" s="81"/>
      <c r="AY1055" s="81"/>
      <c r="AZ1055" s="81"/>
      <c r="BA1055" s="81"/>
      <c r="BB1055" s="81"/>
    </row>
    <row r="1056" spans="1:54" x14ac:dyDescent="0.35">
      <c r="A1056" s="66" t="s">
        <v>840</v>
      </c>
      <c r="B1056" s="66" t="s">
        <v>840</v>
      </c>
      <c r="C1056" s="67"/>
      <c r="D1056" s="68"/>
      <c r="E1056" s="69"/>
      <c r="F1056" s="70"/>
      <c r="G1056" s="67"/>
      <c r="H1056" s="71"/>
      <c r="I1056" s="72"/>
      <c r="J1056" s="72"/>
      <c r="K1056" s="36"/>
      <c r="L1056" s="79"/>
      <c r="M1056" s="79"/>
      <c r="N1056" s="74"/>
      <c r="O1056" s="81" t="s">
        <v>179</v>
      </c>
      <c r="P1056" s="83">
        <v>44464.560856481483</v>
      </c>
      <c r="Q1056" s="81" t="s">
        <v>1537</v>
      </c>
      <c r="R1056" s="81"/>
      <c r="S1056" s="81"/>
      <c r="T1056" s="81"/>
      <c r="U1056" s="81"/>
      <c r="V1056" s="85" t="str">
        <f>HYPERLINK("https://pbs.twimg.com/profile_images/1435819093844578304/9gZfMHFg_normal.jpg")</f>
        <v>https://pbs.twimg.com/profile_images/1435819093844578304/9gZfMHFg_normal.jpg</v>
      </c>
      <c r="W1056" s="83">
        <v>44464.560856481483</v>
      </c>
      <c r="X1056" s="89">
        <v>44464</v>
      </c>
      <c r="Y1056" s="87" t="s">
        <v>2464</v>
      </c>
      <c r="Z1056" s="85" t="str">
        <f>HYPERLINK("https://twitter.com/_bananaorange/status/1441756282587729926")</f>
        <v>https://twitter.com/_bananaorange/status/1441756282587729926</v>
      </c>
      <c r="AA1056" s="81"/>
      <c r="AB1056" s="81"/>
      <c r="AC1056" s="87" t="s">
        <v>3392</v>
      </c>
      <c r="AD1056" s="81"/>
      <c r="AE1056" s="81" t="b">
        <v>0</v>
      </c>
      <c r="AF1056" s="81">
        <v>0</v>
      </c>
      <c r="AG1056" s="87" t="s">
        <v>3875</v>
      </c>
      <c r="AH1056" s="81" t="b">
        <v>0</v>
      </c>
      <c r="AI1056" s="81" t="s">
        <v>4092</v>
      </c>
      <c r="AJ1056" s="81"/>
      <c r="AK1056" s="87" t="s">
        <v>3875</v>
      </c>
      <c r="AL1056" s="81" t="b">
        <v>0</v>
      </c>
      <c r="AM1056" s="81">
        <v>0</v>
      </c>
      <c r="AN1056" s="87" t="s">
        <v>3875</v>
      </c>
      <c r="AO1056" s="87" t="s">
        <v>4109</v>
      </c>
      <c r="AP1056" s="81" t="b">
        <v>0</v>
      </c>
      <c r="AQ1056" s="87" t="s">
        <v>3392</v>
      </c>
      <c r="AR1056" s="81" t="s">
        <v>179</v>
      </c>
      <c r="AS1056" s="81">
        <v>0</v>
      </c>
      <c r="AT1056" s="81">
        <v>0</v>
      </c>
      <c r="AU1056" s="81"/>
      <c r="AV1056" s="81"/>
      <c r="AW1056" s="81"/>
      <c r="AX1056" s="81"/>
      <c r="AY1056" s="81"/>
      <c r="AZ1056" s="81"/>
      <c r="BA1056" s="81"/>
      <c r="BB1056" s="81"/>
    </row>
    <row r="1057" spans="1:54" x14ac:dyDescent="0.35">
      <c r="A1057" s="66" t="s">
        <v>841</v>
      </c>
      <c r="B1057" s="66" t="s">
        <v>1144</v>
      </c>
      <c r="C1057" s="67"/>
      <c r="D1057" s="68"/>
      <c r="E1057" s="69"/>
      <c r="F1057" s="70"/>
      <c r="G1057" s="67"/>
      <c r="H1057" s="71"/>
      <c r="I1057" s="72"/>
      <c r="J1057" s="72"/>
      <c r="K1057" s="36"/>
      <c r="L1057" s="79"/>
      <c r="M1057" s="79"/>
      <c r="N1057" s="74"/>
      <c r="O1057" s="81" t="s">
        <v>1206</v>
      </c>
      <c r="P1057" s="83">
        <v>44464.575266203705</v>
      </c>
      <c r="Q1057" s="81" t="s">
        <v>1538</v>
      </c>
      <c r="R1057" s="81"/>
      <c r="S1057" s="81"/>
      <c r="T1057" s="81"/>
      <c r="U1057" s="81"/>
      <c r="V1057" s="85" t="str">
        <f>HYPERLINK("https://pbs.twimg.com/profile_images/1434407100382277633/Dw-hAIrj_normal.jpg")</f>
        <v>https://pbs.twimg.com/profile_images/1434407100382277633/Dw-hAIrj_normal.jpg</v>
      </c>
      <c r="W1057" s="83">
        <v>44464.575266203705</v>
      </c>
      <c r="X1057" s="89">
        <v>44464</v>
      </c>
      <c r="Y1057" s="87" t="s">
        <v>2465</v>
      </c>
      <c r="Z1057" s="85" t="str">
        <f>HYPERLINK("https://twitter.com/kochengcoklat/status/1441761500486520837")</f>
        <v>https://twitter.com/kochengcoklat/status/1441761500486520837</v>
      </c>
      <c r="AA1057" s="81"/>
      <c r="AB1057" s="81"/>
      <c r="AC1057" s="87" t="s">
        <v>3393</v>
      </c>
      <c r="AD1057" s="87" t="s">
        <v>3812</v>
      </c>
      <c r="AE1057" s="81" t="b">
        <v>0</v>
      </c>
      <c r="AF1057" s="81">
        <v>4</v>
      </c>
      <c r="AG1057" s="87" t="s">
        <v>4028</v>
      </c>
      <c r="AH1057" s="81" t="b">
        <v>0</v>
      </c>
      <c r="AI1057" s="81" t="s">
        <v>4092</v>
      </c>
      <c r="AJ1057" s="81"/>
      <c r="AK1057" s="87" t="s">
        <v>3875</v>
      </c>
      <c r="AL1057" s="81" t="b">
        <v>0</v>
      </c>
      <c r="AM1057" s="81">
        <v>0</v>
      </c>
      <c r="AN1057" s="87" t="s">
        <v>3875</v>
      </c>
      <c r="AO1057" s="87" t="s">
        <v>4111</v>
      </c>
      <c r="AP1057" s="81" t="b">
        <v>0</v>
      </c>
      <c r="AQ1057" s="87" t="s">
        <v>3812</v>
      </c>
      <c r="AR1057" s="81" t="s">
        <v>179</v>
      </c>
      <c r="AS1057" s="81">
        <v>0</v>
      </c>
      <c r="AT1057" s="81">
        <v>0</v>
      </c>
      <c r="AU1057" s="81"/>
      <c r="AV1057" s="81"/>
      <c r="AW1057" s="81"/>
      <c r="AX1057" s="81"/>
      <c r="AY1057" s="81"/>
      <c r="AZ1057" s="81"/>
      <c r="BA1057" s="81"/>
      <c r="BB1057" s="81"/>
    </row>
    <row r="1058" spans="1:54" x14ac:dyDescent="0.35">
      <c r="A1058" s="66" t="s">
        <v>841</v>
      </c>
      <c r="B1058" s="66" t="s">
        <v>1158</v>
      </c>
      <c r="C1058" s="67"/>
      <c r="D1058" s="68"/>
      <c r="E1058" s="69"/>
      <c r="F1058" s="70"/>
      <c r="G1058" s="67"/>
      <c r="H1058" s="71"/>
      <c r="I1058" s="72"/>
      <c r="J1058" s="72"/>
      <c r="K1058" s="36"/>
      <c r="L1058" s="79"/>
      <c r="M1058" s="79"/>
      <c r="N1058" s="74"/>
      <c r="O1058" s="81" t="s">
        <v>1208</v>
      </c>
      <c r="P1058" s="83">
        <v>44464.575266203705</v>
      </c>
      <c r="Q1058" s="81" t="s">
        <v>1538</v>
      </c>
      <c r="R1058" s="81"/>
      <c r="S1058" s="81"/>
      <c r="T1058" s="81"/>
      <c r="U1058" s="81"/>
      <c r="V1058" s="85" t="str">
        <f>HYPERLINK("https://pbs.twimg.com/profile_images/1434407100382277633/Dw-hAIrj_normal.jpg")</f>
        <v>https://pbs.twimg.com/profile_images/1434407100382277633/Dw-hAIrj_normal.jpg</v>
      </c>
      <c r="W1058" s="83">
        <v>44464.575266203705</v>
      </c>
      <c r="X1058" s="89">
        <v>44464</v>
      </c>
      <c r="Y1058" s="87" t="s">
        <v>2465</v>
      </c>
      <c r="Z1058" s="85" t="str">
        <f>HYPERLINK("https://twitter.com/kochengcoklat/status/1441761500486520837")</f>
        <v>https://twitter.com/kochengcoklat/status/1441761500486520837</v>
      </c>
      <c r="AA1058" s="81"/>
      <c r="AB1058" s="81"/>
      <c r="AC1058" s="87" t="s">
        <v>3393</v>
      </c>
      <c r="AD1058" s="87" t="s">
        <v>3812</v>
      </c>
      <c r="AE1058" s="81" t="b">
        <v>0</v>
      </c>
      <c r="AF1058" s="81">
        <v>4</v>
      </c>
      <c r="AG1058" s="87" t="s">
        <v>4028</v>
      </c>
      <c r="AH1058" s="81" t="b">
        <v>0</v>
      </c>
      <c r="AI1058" s="81" t="s">
        <v>4092</v>
      </c>
      <c r="AJ1058" s="81"/>
      <c r="AK1058" s="87" t="s">
        <v>3875</v>
      </c>
      <c r="AL1058" s="81" t="b">
        <v>0</v>
      </c>
      <c r="AM1058" s="81">
        <v>0</v>
      </c>
      <c r="AN1058" s="87" t="s">
        <v>3875</v>
      </c>
      <c r="AO1058" s="87" t="s">
        <v>4111</v>
      </c>
      <c r="AP1058" s="81" t="b">
        <v>0</v>
      </c>
      <c r="AQ1058" s="87" t="s">
        <v>3812</v>
      </c>
      <c r="AR1058" s="81" t="s">
        <v>179</v>
      </c>
      <c r="AS1058" s="81">
        <v>0</v>
      </c>
      <c r="AT1058" s="81">
        <v>0</v>
      </c>
      <c r="AU1058" s="81"/>
      <c r="AV1058" s="81"/>
      <c r="AW1058" s="81"/>
      <c r="AX1058" s="81"/>
      <c r="AY1058" s="81"/>
      <c r="AZ1058" s="81"/>
      <c r="BA1058" s="81"/>
      <c r="BB1058" s="81"/>
    </row>
    <row r="1059" spans="1:54" x14ac:dyDescent="0.35">
      <c r="A1059" s="66" t="s">
        <v>842</v>
      </c>
      <c r="B1059" s="66" t="s">
        <v>1159</v>
      </c>
      <c r="C1059" s="67"/>
      <c r="D1059" s="68"/>
      <c r="E1059" s="69"/>
      <c r="F1059" s="70"/>
      <c r="G1059" s="67"/>
      <c r="H1059" s="71"/>
      <c r="I1059" s="72"/>
      <c r="J1059" s="72"/>
      <c r="K1059" s="36"/>
      <c r="L1059" s="79"/>
      <c r="M1059" s="79"/>
      <c r="N1059" s="74"/>
      <c r="O1059" s="81" t="s">
        <v>1208</v>
      </c>
      <c r="P1059" s="83">
        <v>44464.613518518519</v>
      </c>
      <c r="Q1059" s="81" t="s">
        <v>1539</v>
      </c>
      <c r="R1059" s="81"/>
      <c r="S1059" s="81"/>
      <c r="T1059" s="81"/>
      <c r="U1059" s="85" t="str">
        <f>HYPERLINK("https://pbs.twimg.com/media/FAI3DWvVcAIXTCa.jpg")</f>
        <v>https://pbs.twimg.com/media/FAI3DWvVcAIXTCa.jpg</v>
      </c>
      <c r="V1059" s="85" t="str">
        <f>HYPERLINK("https://pbs.twimg.com/media/FAI3DWvVcAIXTCa.jpg")</f>
        <v>https://pbs.twimg.com/media/FAI3DWvVcAIXTCa.jpg</v>
      </c>
      <c r="W1059" s="83">
        <v>44464.613518518519</v>
      </c>
      <c r="X1059" s="89">
        <v>44464</v>
      </c>
      <c r="Y1059" s="87" t="s">
        <v>2466</v>
      </c>
      <c r="Z1059" s="85" t="str">
        <f>HYPERLINK("https://twitter.com/p3psodent/status/1441775365853089795")</f>
        <v>https://twitter.com/p3psodent/status/1441775365853089795</v>
      </c>
      <c r="AA1059" s="81"/>
      <c r="AB1059" s="81"/>
      <c r="AC1059" s="87" t="s">
        <v>3394</v>
      </c>
      <c r="AD1059" s="87" t="s">
        <v>3813</v>
      </c>
      <c r="AE1059" s="81" t="b">
        <v>0</v>
      </c>
      <c r="AF1059" s="81">
        <v>0</v>
      </c>
      <c r="AG1059" s="87" t="s">
        <v>4029</v>
      </c>
      <c r="AH1059" s="81" t="b">
        <v>0</v>
      </c>
      <c r="AI1059" s="81" t="s">
        <v>4092</v>
      </c>
      <c r="AJ1059" s="81"/>
      <c r="AK1059" s="87" t="s">
        <v>3875</v>
      </c>
      <c r="AL1059" s="81" t="b">
        <v>0</v>
      </c>
      <c r="AM1059" s="81">
        <v>0</v>
      </c>
      <c r="AN1059" s="87" t="s">
        <v>3875</v>
      </c>
      <c r="AO1059" s="87" t="s">
        <v>4109</v>
      </c>
      <c r="AP1059" s="81" t="b">
        <v>0</v>
      </c>
      <c r="AQ1059" s="87" t="s">
        <v>3813</v>
      </c>
      <c r="AR1059" s="81" t="s">
        <v>179</v>
      </c>
      <c r="AS1059" s="81">
        <v>0</v>
      </c>
      <c r="AT1059" s="81">
        <v>0</v>
      </c>
      <c r="AU1059" s="81"/>
      <c r="AV1059" s="81"/>
      <c r="AW1059" s="81"/>
      <c r="AX1059" s="81"/>
      <c r="AY1059" s="81"/>
      <c r="AZ1059" s="81"/>
      <c r="BA1059" s="81"/>
      <c r="BB1059" s="81"/>
    </row>
    <row r="1060" spans="1:54" x14ac:dyDescent="0.35">
      <c r="A1060" s="66" t="s">
        <v>843</v>
      </c>
      <c r="B1060" s="66" t="s">
        <v>843</v>
      </c>
      <c r="C1060" s="67"/>
      <c r="D1060" s="68"/>
      <c r="E1060" s="69"/>
      <c r="F1060" s="70"/>
      <c r="G1060" s="67"/>
      <c r="H1060" s="71"/>
      <c r="I1060" s="72"/>
      <c r="J1060" s="72"/>
      <c r="K1060" s="36"/>
      <c r="L1060" s="79"/>
      <c r="M1060" s="79"/>
      <c r="N1060" s="74"/>
      <c r="O1060" s="81" t="s">
        <v>179</v>
      </c>
      <c r="P1060" s="83">
        <v>44461.502175925925</v>
      </c>
      <c r="Q1060" s="81" t="s">
        <v>1540</v>
      </c>
      <c r="R1060" s="81"/>
      <c r="S1060" s="81"/>
      <c r="T1060" s="81"/>
      <c r="U1060" s="81"/>
      <c r="V1060" s="85" t="str">
        <f>HYPERLINK("https://pbs.twimg.com/profile_images/1313877887615791105/5xjs-4Kj_normal.jpg")</f>
        <v>https://pbs.twimg.com/profile_images/1313877887615791105/5xjs-4Kj_normal.jpg</v>
      </c>
      <c r="W1060" s="83">
        <v>44461.502175925925</v>
      </c>
      <c r="X1060" s="89">
        <v>44461</v>
      </c>
      <c r="Y1060" s="87" t="s">
        <v>2467</v>
      </c>
      <c r="Z1060" s="85" t="str">
        <f>HYPERLINK("https://twitter.com/smgmenfess2/status/1440647851554443274")</f>
        <v>https://twitter.com/smgmenfess2/status/1440647851554443274</v>
      </c>
      <c r="AA1060" s="81"/>
      <c r="AB1060" s="81"/>
      <c r="AC1060" s="87" t="s">
        <v>3395</v>
      </c>
      <c r="AD1060" s="81"/>
      <c r="AE1060" s="81" t="b">
        <v>0</v>
      </c>
      <c r="AF1060" s="81">
        <v>1</v>
      </c>
      <c r="AG1060" s="87" t="s">
        <v>3875</v>
      </c>
      <c r="AH1060" s="81" t="b">
        <v>0</v>
      </c>
      <c r="AI1060" s="81" t="s">
        <v>4092</v>
      </c>
      <c r="AJ1060" s="81"/>
      <c r="AK1060" s="87" t="s">
        <v>3875</v>
      </c>
      <c r="AL1060" s="81" t="b">
        <v>0</v>
      </c>
      <c r="AM1060" s="81">
        <v>0</v>
      </c>
      <c r="AN1060" s="87" t="s">
        <v>3875</v>
      </c>
      <c r="AO1060" s="87" t="s">
        <v>4135</v>
      </c>
      <c r="AP1060" s="81" t="b">
        <v>0</v>
      </c>
      <c r="AQ1060" s="87" t="s">
        <v>3395</v>
      </c>
      <c r="AR1060" s="81" t="s">
        <v>179</v>
      </c>
      <c r="AS1060" s="81">
        <v>0</v>
      </c>
      <c r="AT1060" s="81">
        <v>0</v>
      </c>
      <c r="AU1060" s="81"/>
      <c r="AV1060" s="81"/>
      <c r="AW1060" s="81"/>
      <c r="AX1060" s="81"/>
      <c r="AY1060" s="81"/>
      <c r="AZ1060" s="81"/>
      <c r="BA1060" s="81"/>
      <c r="BB1060" s="81"/>
    </row>
    <row r="1061" spans="1:54" x14ac:dyDescent="0.35">
      <c r="A1061" s="66" t="s">
        <v>844</v>
      </c>
      <c r="B1061" s="66" t="s">
        <v>843</v>
      </c>
      <c r="C1061" s="67"/>
      <c r="D1061" s="68"/>
      <c r="E1061" s="69"/>
      <c r="F1061" s="70"/>
      <c r="G1061" s="67"/>
      <c r="H1061" s="71"/>
      <c r="I1061" s="72"/>
      <c r="J1061" s="72"/>
      <c r="K1061" s="36"/>
      <c r="L1061" s="79"/>
      <c r="M1061" s="79"/>
      <c r="N1061" s="74"/>
      <c r="O1061" s="81" t="s">
        <v>1208</v>
      </c>
      <c r="P1061" s="83">
        <v>44464.622129629628</v>
      </c>
      <c r="Q1061" s="81" t="s">
        <v>1541</v>
      </c>
      <c r="R1061" s="81"/>
      <c r="S1061" s="81"/>
      <c r="T1061" s="81"/>
      <c r="U1061" s="81"/>
      <c r="V1061" s="85" t="str">
        <f>HYPERLINK("https://pbs.twimg.com/profile_images/1441023602065743877/mE99I6eF_normal.jpg")</f>
        <v>https://pbs.twimg.com/profile_images/1441023602065743877/mE99I6eF_normal.jpg</v>
      </c>
      <c r="W1061" s="83">
        <v>44464.622129629628</v>
      </c>
      <c r="X1061" s="89">
        <v>44464</v>
      </c>
      <c r="Y1061" s="87" t="s">
        <v>2468</v>
      </c>
      <c r="Z1061" s="85" t="str">
        <f>HYPERLINK("https://twitter.com/dianaafff/status/1441778486675329034")</f>
        <v>https://twitter.com/dianaafff/status/1441778486675329034</v>
      </c>
      <c r="AA1061" s="81"/>
      <c r="AB1061" s="81"/>
      <c r="AC1061" s="87" t="s">
        <v>3396</v>
      </c>
      <c r="AD1061" s="87" t="s">
        <v>3814</v>
      </c>
      <c r="AE1061" s="81" t="b">
        <v>0</v>
      </c>
      <c r="AF1061" s="81">
        <v>0</v>
      </c>
      <c r="AG1061" s="87" t="s">
        <v>4030</v>
      </c>
      <c r="AH1061" s="81" t="b">
        <v>0</v>
      </c>
      <c r="AI1061" s="81" t="s">
        <v>4092</v>
      </c>
      <c r="AJ1061" s="81"/>
      <c r="AK1061" s="87" t="s">
        <v>3875</v>
      </c>
      <c r="AL1061" s="81" t="b">
        <v>0</v>
      </c>
      <c r="AM1061" s="81">
        <v>0</v>
      </c>
      <c r="AN1061" s="87" t="s">
        <v>3875</v>
      </c>
      <c r="AO1061" s="87" t="s">
        <v>4109</v>
      </c>
      <c r="AP1061" s="81" t="b">
        <v>0</v>
      </c>
      <c r="AQ1061" s="87" t="s">
        <v>3814</v>
      </c>
      <c r="AR1061" s="81" t="s">
        <v>179</v>
      </c>
      <c r="AS1061" s="81">
        <v>0</v>
      </c>
      <c r="AT1061" s="81">
        <v>0</v>
      </c>
      <c r="AU1061" s="81"/>
      <c r="AV1061" s="81"/>
      <c r="AW1061" s="81"/>
      <c r="AX1061" s="81"/>
      <c r="AY1061" s="81"/>
      <c r="AZ1061" s="81"/>
      <c r="BA1061" s="81"/>
      <c r="BB1061" s="81"/>
    </row>
    <row r="1062" spans="1:54" x14ac:dyDescent="0.35">
      <c r="A1062" s="66" t="s">
        <v>845</v>
      </c>
      <c r="B1062" s="66" t="s">
        <v>1062</v>
      </c>
      <c r="C1062" s="67"/>
      <c r="D1062" s="68"/>
      <c r="E1062" s="69"/>
      <c r="F1062" s="70"/>
      <c r="G1062" s="67"/>
      <c r="H1062" s="71"/>
      <c r="I1062" s="72"/>
      <c r="J1062" s="72"/>
      <c r="K1062" s="36"/>
      <c r="L1062" s="79"/>
      <c r="M1062" s="79"/>
      <c r="N1062" s="74"/>
      <c r="O1062" s="81" t="s">
        <v>1208</v>
      </c>
      <c r="P1062" s="83">
        <v>44464.933993055558</v>
      </c>
      <c r="Q1062" s="81" t="s">
        <v>1542</v>
      </c>
      <c r="R1062" s="81"/>
      <c r="S1062" s="81"/>
      <c r="T1062" s="81"/>
      <c r="U1062" s="81"/>
      <c r="V1062" s="85" t="str">
        <f>HYPERLINK("https://pbs.twimg.com/profile_images/1424300824725901318/Ohdm31gQ_normal.jpg")</f>
        <v>https://pbs.twimg.com/profile_images/1424300824725901318/Ohdm31gQ_normal.jpg</v>
      </c>
      <c r="W1062" s="83">
        <v>44464.933993055558</v>
      </c>
      <c r="X1062" s="89">
        <v>44464</v>
      </c>
      <c r="Y1062" s="87" t="s">
        <v>2469</v>
      </c>
      <c r="Z1062" s="85" t="str">
        <f>HYPERLINK("https://twitter.com/rvnff/status/1441891502209200130")</f>
        <v>https://twitter.com/rvnff/status/1441891502209200130</v>
      </c>
      <c r="AA1062" s="81"/>
      <c r="AB1062" s="81"/>
      <c r="AC1062" s="87" t="s">
        <v>3397</v>
      </c>
      <c r="AD1062" s="87" t="s">
        <v>3815</v>
      </c>
      <c r="AE1062" s="81" t="b">
        <v>0</v>
      </c>
      <c r="AF1062" s="81">
        <v>0</v>
      </c>
      <c r="AG1062" s="87" t="s">
        <v>3936</v>
      </c>
      <c r="AH1062" s="81" t="b">
        <v>0</v>
      </c>
      <c r="AI1062" s="81" t="s">
        <v>4092</v>
      </c>
      <c r="AJ1062" s="81"/>
      <c r="AK1062" s="87" t="s">
        <v>3875</v>
      </c>
      <c r="AL1062" s="81" t="b">
        <v>0</v>
      </c>
      <c r="AM1062" s="81">
        <v>0</v>
      </c>
      <c r="AN1062" s="87" t="s">
        <v>3875</v>
      </c>
      <c r="AO1062" s="87" t="s">
        <v>4109</v>
      </c>
      <c r="AP1062" s="81" t="b">
        <v>0</v>
      </c>
      <c r="AQ1062" s="87" t="s">
        <v>3815</v>
      </c>
      <c r="AR1062" s="81" t="s">
        <v>179</v>
      </c>
      <c r="AS1062" s="81">
        <v>0</v>
      </c>
      <c r="AT1062" s="81">
        <v>0</v>
      </c>
      <c r="AU1062" s="81"/>
      <c r="AV1062" s="81"/>
      <c r="AW1062" s="81"/>
      <c r="AX1062" s="81"/>
      <c r="AY1062" s="81"/>
      <c r="AZ1062" s="81"/>
      <c r="BA1062" s="81"/>
      <c r="BB1062" s="81"/>
    </row>
    <row r="1063" spans="1:54" x14ac:dyDescent="0.35">
      <c r="A1063" s="66" t="s">
        <v>846</v>
      </c>
      <c r="B1063" s="66" t="s">
        <v>846</v>
      </c>
      <c r="C1063" s="67"/>
      <c r="D1063" s="68"/>
      <c r="E1063" s="69"/>
      <c r="F1063" s="70"/>
      <c r="G1063" s="67"/>
      <c r="H1063" s="71"/>
      <c r="I1063" s="72"/>
      <c r="J1063" s="72"/>
      <c r="K1063" s="36"/>
      <c r="L1063" s="79"/>
      <c r="M1063" s="79"/>
      <c r="N1063" s="74"/>
      <c r="O1063" s="81" t="s">
        <v>179</v>
      </c>
      <c r="P1063" s="83">
        <v>44462.682627314818</v>
      </c>
      <c r="Q1063" s="81" t="s">
        <v>1543</v>
      </c>
      <c r="R1063" s="85" t="str">
        <f>HYPERLINK("https://www.instagram.com/p/CUK7LzIJowu/?utm_medium=twitter")</f>
        <v>https://www.instagram.com/p/CUK7LzIJowu/?utm_medium=twitter</v>
      </c>
      <c r="S1063" s="81" t="s">
        <v>1736</v>
      </c>
      <c r="T1063" s="87" t="s">
        <v>1777</v>
      </c>
      <c r="U1063" s="81"/>
      <c r="V1063" s="85" t="str">
        <f>HYPERLINK("https://pbs.twimg.com/profile_images/1261493285673070593/RnSm0orX_normal.jpg")</f>
        <v>https://pbs.twimg.com/profile_images/1261493285673070593/RnSm0orX_normal.jpg</v>
      </c>
      <c r="W1063" s="83">
        <v>44462.682627314818</v>
      </c>
      <c r="X1063" s="89">
        <v>44462</v>
      </c>
      <c r="Y1063" s="87" t="s">
        <v>2470</v>
      </c>
      <c r="Z1063" s="85" t="str">
        <f>HYPERLINK("https://twitter.com/polsekadipala2/status/1441075632960675844")</f>
        <v>https://twitter.com/polsekadipala2/status/1441075632960675844</v>
      </c>
      <c r="AA1063" s="81"/>
      <c r="AB1063" s="81"/>
      <c r="AC1063" s="87" t="s">
        <v>3398</v>
      </c>
      <c r="AD1063" s="81"/>
      <c r="AE1063" s="81" t="b">
        <v>0</v>
      </c>
      <c r="AF1063" s="81">
        <v>0</v>
      </c>
      <c r="AG1063" s="87" t="s">
        <v>3875</v>
      </c>
      <c r="AH1063" s="81" t="b">
        <v>0</v>
      </c>
      <c r="AI1063" s="81" t="s">
        <v>4092</v>
      </c>
      <c r="AJ1063" s="81"/>
      <c r="AK1063" s="87" t="s">
        <v>3875</v>
      </c>
      <c r="AL1063" s="81" t="b">
        <v>0</v>
      </c>
      <c r="AM1063" s="81">
        <v>0</v>
      </c>
      <c r="AN1063" s="87" t="s">
        <v>3875</v>
      </c>
      <c r="AO1063" s="87" t="s">
        <v>4117</v>
      </c>
      <c r="AP1063" s="81" t="b">
        <v>0</v>
      </c>
      <c r="AQ1063" s="87" t="s">
        <v>3398</v>
      </c>
      <c r="AR1063" s="81" t="s">
        <v>179</v>
      </c>
      <c r="AS1063" s="81">
        <v>0</v>
      </c>
      <c r="AT1063" s="81">
        <v>0</v>
      </c>
      <c r="AU1063" s="81"/>
      <c r="AV1063" s="81"/>
      <c r="AW1063" s="81"/>
      <c r="AX1063" s="81"/>
      <c r="AY1063" s="81"/>
      <c r="AZ1063" s="81"/>
      <c r="BA1063" s="81"/>
      <c r="BB1063" s="81"/>
    </row>
    <row r="1064" spans="1:54" x14ac:dyDescent="0.35">
      <c r="A1064" s="66" t="s">
        <v>846</v>
      </c>
      <c r="B1064" s="66" t="s">
        <v>846</v>
      </c>
      <c r="C1064" s="67"/>
      <c r="D1064" s="68"/>
      <c r="E1064" s="69"/>
      <c r="F1064" s="70"/>
      <c r="G1064" s="67"/>
      <c r="H1064" s="71"/>
      <c r="I1064" s="72"/>
      <c r="J1064" s="72"/>
      <c r="K1064" s="36"/>
      <c r="L1064" s="79"/>
      <c r="M1064" s="79"/>
      <c r="N1064" s="74"/>
      <c r="O1064" s="81" t="s">
        <v>179</v>
      </c>
      <c r="P1064" s="83">
        <v>44464.98269675926</v>
      </c>
      <c r="Q1064" s="81" t="s">
        <v>1544</v>
      </c>
      <c r="R1064" s="85" t="str">
        <f>HYPERLINK("https://www.instagram.com/p/CUQ2OcsBjJs/?utm_medium=twitter")</f>
        <v>https://www.instagram.com/p/CUQ2OcsBjJs/?utm_medium=twitter</v>
      </c>
      <c r="S1064" s="81" t="s">
        <v>1736</v>
      </c>
      <c r="T1064" s="87" t="s">
        <v>1777</v>
      </c>
      <c r="U1064" s="81"/>
      <c r="V1064" s="85" t="str">
        <f>HYPERLINK("https://pbs.twimg.com/profile_images/1261493285673070593/RnSm0orX_normal.jpg")</f>
        <v>https://pbs.twimg.com/profile_images/1261493285673070593/RnSm0orX_normal.jpg</v>
      </c>
      <c r="W1064" s="83">
        <v>44464.98269675926</v>
      </c>
      <c r="X1064" s="89">
        <v>44464</v>
      </c>
      <c r="Y1064" s="87" t="s">
        <v>2471</v>
      </c>
      <c r="Z1064" s="85" t="str">
        <f>HYPERLINK("https://twitter.com/polsekadipala2/status/1441909148745039873")</f>
        <v>https://twitter.com/polsekadipala2/status/1441909148745039873</v>
      </c>
      <c r="AA1064" s="81"/>
      <c r="AB1064" s="81"/>
      <c r="AC1064" s="87" t="s">
        <v>3399</v>
      </c>
      <c r="AD1064" s="81"/>
      <c r="AE1064" s="81" t="b">
        <v>0</v>
      </c>
      <c r="AF1064" s="81">
        <v>0</v>
      </c>
      <c r="AG1064" s="87" t="s">
        <v>3875</v>
      </c>
      <c r="AH1064" s="81" t="b">
        <v>0</v>
      </c>
      <c r="AI1064" s="81" t="s">
        <v>4092</v>
      </c>
      <c r="AJ1064" s="81"/>
      <c r="AK1064" s="87" t="s">
        <v>3875</v>
      </c>
      <c r="AL1064" s="81" t="b">
        <v>0</v>
      </c>
      <c r="AM1064" s="81">
        <v>0</v>
      </c>
      <c r="AN1064" s="87" t="s">
        <v>3875</v>
      </c>
      <c r="AO1064" s="87" t="s">
        <v>4117</v>
      </c>
      <c r="AP1064" s="81" t="b">
        <v>0</v>
      </c>
      <c r="AQ1064" s="87" t="s">
        <v>3399</v>
      </c>
      <c r="AR1064" s="81" t="s">
        <v>179</v>
      </c>
      <c r="AS1064" s="81">
        <v>0</v>
      </c>
      <c r="AT1064" s="81">
        <v>0</v>
      </c>
      <c r="AU1064" s="81"/>
      <c r="AV1064" s="81"/>
      <c r="AW1064" s="81"/>
      <c r="AX1064" s="81"/>
      <c r="AY1064" s="81"/>
      <c r="AZ1064" s="81"/>
      <c r="BA1064" s="81"/>
      <c r="BB1064" s="81"/>
    </row>
    <row r="1065" spans="1:54" x14ac:dyDescent="0.35">
      <c r="A1065" s="66" t="s">
        <v>847</v>
      </c>
      <c r="B1065" s="66" t="s">
        <v>1160</v>
      </c>
      <c r="C1065" s="67"/>
      <c r="D1065" s="68"/>
      <c r="E1065" s="69"/>
      <c r="F1065" s="70"/>
      <c r="G1065" s="67"/>
      <c r="H1065" s="71"/>
      <c r="I1065" s="72"/>
      <c r="J1065" s="72"/>
      <c r="K1065" s="36"/>
      <c r="L1065" s="79"/>
      <c r="M1065" s="79"/>
      <c r="N1065" s="74"/>
      <c r="O1065" s="81" t="s">
        <v>1206</v>
      </c>
      <c r="P1065" s="83">
        <v>44465.032500000001</v>
      </c>
      <c r="Q1065" s="81" t="s">
        <v>1545</v>
      </c>
      <c r="R1065" s="81"/>
      <c r="S1065" s="81"/>
      <c r="T1065" s="81"/>
      <c r="U1065" s="85" t="str">
        <f>HYPERLINK("https://pbs.twimg.com/media/FALBJP_VgAcx1Gk.jpg")</f>
        <v>https://pbs.twimg.com/media/FALBJP_VgAcx1Gk.jpg</v>
      </c>
      <c r="V1065" s="85" t="str">
        <f>HYPERLINK("https://pbs.twimg.com/media/FALBJP_VgAcx1Gk.jpg")</f>
        <v>https://pbs.twimg.com/media/FALBJP_VgAcx1Gk.jpg</v>
      </c>
      <c r="W1065" s="83">
        <v>44465.032500000001</v>
      </c>
      <c r="X1065" s="89">
        <v>44465</v>
      </c>
      <c r="Y1065" s="87" t="s">
        <v>2472</v>
      </c>
      <c r="Z1065" s="85" t="str">
        <f>HYPERLINK("https://twitter.com/wa_one1904/status/1441927197791379459")</f>
        <v>https://twitter.com/wa_one1904/status/1441927197791379459</v>
      </c>
      <c r="AA1065" s="81"/>
      <c r="AB1065" s="81"/>
      <c r="AC1065" s="87" t="s">
        <v>3400</v>
      </c>
      <c r="AD1065" s="87" t="s">
        <v>3816</v>
      </c>
      <c r="AE1065" s="81" t="b">
        <v>0</v>
      </c>
      <c r="AF1065" s="81">
        <v>1</v>
      </c>
      <c r="AG1065" s="87" t="s">
        <v>4031</v>
      </c>
      <c r="AH1065" s="81" t="b">
        <v>0</v>
      </c>
      <c r="AI1065" s="81" t="s">
        <v>4092</v>
      </c>
      <c r="AJ1065" s="81"/>
      <c r="AK1065" s="87" t="s">
        <v>3875</v>
      </c>
      <c r="AL1065" s="81" t="b">
        <v>0</v>
      </c>
      <c r="AM1065" s="81">
        <v>1</v>
      </c>
      <c r="AN1065" s="87" t="s">
        <v>3875</v>
      </c>
      <c r="AO1065" s="87" t="s">
        <v>4109</v>
      </c>
      <c r="AP1065" s="81" t="b">
        <v>0</v>
      </c>
      <c r="AQ1065" s="87" t="s">
        <v>3816</v>
      </c>
      <c r="AR1065" s="81" t="s">
        <v>179</v>
      </c>
      <c r="AS1065" s="81">
        <v>0</v>
      </c>
      <c r="AT1065" s="81">
        <v>0</v>
      </c>
      <c r="AU1065" s="81"/>
      <c r="AV1065" s="81"/>
      <c r="AW1065" s="81"/>
      <c r="AX1065" s="81"/>
      <c r="AY1065" s="81"/>
      <c r="AZ1065" s="81"/>
      <c r="BA1065" s="81"/>
      <c r="BB1065" s="81"/>
    </row>
    <row r="1066" spans="1:54" x14ac:dyDescent="0.35">
      <c r="A1066" s="66" t="s">
        <v>847</v>
      </c>
      <c r="B1066" s="66" t="s">
        <v>1161</v>
      </c>
      <c r="C1066" s="67"/>
      <c r="D1066" s="68"/>
      <c r="E1066" s="69"/>
      <c r="F1066" s="70"/>
      <c r="G1066" s="67"/>
      <c r="H1066" s="71"/>
      <c r="I1066" s="72"/>
      <c r="J1066" s="72"/>
      <c r="K1066" s="36"/>
      <c r="L1066" s="79"/>
      <c r="M1066" s="79"/>
      <c r="N1066" s="74"/>
      <c r="O1066" s="81" t="s">
        <v>1208</v>
      </c>
      <c r="P1066" s="83">
        <v>44465.032500000001</v>
      </c>
      <c r="Q1066" s="81" t="s">
        <v>1545</v>
      </c>
      <c r="R1066" s="81"/>
      <c r="S1066" s="81"/>
      <c r="T1066" s="81"/>
      <c r="U1066" s="85" t="str">
        <f>HYPERLINK("https://pbs.twimg.com/media/FALBJP_VgAcx1Gk.jpg")</f>
        <v>https://pbs.twimg.com/media/FALBJP_VgAcx1Gk.jpg</v>
      </c>
      <c r="V1066" s="85" t="str">
        <f>HYPERLINK("https://pbs.twimg.com/media/FALBJP_VgAcx1Gk.jpg")</f>
        <v>https://pbs.twimg.com/media/FALBJP_VgAcx1Gk.jpg</v>
      </c>
      <c r="W1066" s="83">
        <v>44465.032500000001</v>
      </c>
      <c r="X1066" s="89">
        <v>44465</v>
      </c>
      <c r="Y1066" s="87" t="s">
        <v>2472</v>
      </c>
      <c r="Z1066" s="85" t="str">
        <f>HYPERLINK("https://twitter.com/wa_one1904/status/1441927197791379459")</f>
        <v>https://twitter.com/wa_one1904/status/1441927197791379459</v>
      </c>
      <c r="AA1066" s="81"/>
      <c r="AB1066" s="81"/>
      <c r="AC1066" s="87" t="s">
        <v>3400</v>
      </c>
      <c r="AD1066" s="87" t="s">
        <v>3816</v>
      </c>
      <c r="AE1066" s="81" t="b">
        <v>0</v>
      </c>
      <c r="AF1066" s="81">
        <v>1</v>
      </c>
      <c r="AG1066" s="87" t="s">
        <v>4031</v>
      </c>
      <c r="AH1066" s="81" t="b">
        <v>0</v>
      </c>
      <c r="AI1066" s="81" t="s">
        <v>4092</v>
      </c>
      <c r="AJ1066" s="81"/>
      <c r="AK1066" s="87" t="s">
        <v>3875</v>
      </c>
      <c r="AL1066" s="81" t="b">
        <v>0</v>
      </c>
      <c r="AM1066" s="81">
        <v>1</v>
      </c>
      <c r="AN1066" s="87" t="s">
        <v>3875</v>
      </c>
      <c r="AO1066" s="87" t="s">
        <v>4109</v>
      </c>
      <c r="AP1066" s="81" t="b">
        <v>0</v>
      </c>
      <c r="AQ1066" s="87" t="s">
        <v>3816</v>
      </c>
      <c r="AR1066" s="81" t="s">
        <v>179</v>
      </c>
      <c r="AS1066" s="81">
        <v>0</v>
      </c>
      <c r="AT1066" s="81">
        <v>0</v>
      </c>
      <c r="AU1066" s="81"/>
      <c r="AV1066" s="81"/>
      <c r="AW1066" s="81"/>
      <c r="AX1066" s="81"/>
      <c r="AY1066" s="81"/>
      <c r="AZ1066" s="81"/>
      <c r="BA1066" s="81"/>
      <c r="BB1066" s="81"/>
    </row>
    <row r="1067" spans="1:54" x14ac:dyDescent="0.35">
      <c r="A1067" s="66" t="s">
        <v>848</v>
      </c>
      <c r="B1067" s="66" t="s">
        <v>1162</v>
      </c>
      <c r="C1067" s="67"/>
      <c r="D1067" s="68"/>
      <c r="E1067" s="69"/>
      <c r="F1067" s="70"/>
      <c r="G1067" s="67"/>
      <c r="H1067" s="71"/>
      <c r="I1067" s="72"/>
      <c r="J1067" s="72"/>
      <c r="K1067" s="36"/>
      <c r="L1067" s="79"/>
      <c r="M1067" s="79"/>
      <c r="N1067" s="74"/>
      <c r="O1067" s="81" t="s">
        <v>1208</v>
      </c>
      <c r="P1067" s="83">
        <v>44465.065104166664</v>
      </c>
      <c r="Q1067" s="81" t="s">
        <v>1546</v>
      </c>
      <c r="R1067" s="81"/>
      <c r="S1067" s="81"/>
      <c r="T1067" s="81"/>
      <c r="U1067" s="81"/>
      <c r="V1067" s="85" t="str">
        <f>HYPERLINK("https://pbs.twimg.com/profile_images/1437360003480915969/uqfWblXy_normal.jpg")</f>
        <v>https://pbs.twimg.com/profile_images/1437360003480915969/uqfWblXy_normal.jpg</v>
      </c>
      <c r="W1067" s="83">
        <v>44465.065104166664</v>
      </c>
      <c r="X1067" s="89">
        <v>44465</v>
      </c>
      <c r="Y1067" s="87" t="s">
        <v>2473</v>
      </c>
      <c r="Z1067" s="85" t="str">
        <f>HYPERLINK("https://twitter.com/perindubangtan/status/1441939013800062977")</f>
        <v>https://twitter.com/perindubangtan/status/1441939013800062977</v>
      </c>
      <c r="AA1067" s="81"/>
      <c r="AB1067" s="81"/>
      <c r="AC1067" s="87" t="s">
        <v>3401</v>
      </c>
      <c r="AD1067" s="87" t="s">
        <v>3817</v>
      </c>
      <c r="AE1067" s="81" t="b">
        <v>0</v>
      </c>
      <c r="AF1067" s="81">
        <v>0</v>
      </c>
      <c r="AG1067" s="87" t="s">
        <v>4032</v>
      </c>
      <c r="AH1067" s="81" t="b">
        <v>0</v>
      </c>
      <c r="AI1067" s="81" t="s">
        <v>4092</v>
      </c>
      <c r="AJ1067" s="81"/>
      <c r="AK1067" s="87" t="s">
        <v>3875</v>
      </c>
      <c r="AL1067" s="81" t="b">
        <v>0</v>
      </c>
      <c r="AM1067" s="81">
        <v>0</v>
      </c>
      <c r="AN1067" s="87" t="s">
        <v>3875</v>
      </c>
      <c r="AO1067" s="87" t="s">
        <v>4109</v>
      </c>
      <c r="AP1067" s="81" t="b">
        <v>0</v>
      </c>
      <c r="AQ1067" s="87" t="s">
        <v>3817</v>
      </c>
      <c r="AR1067" s="81" t="s">
        <v>179</v>
      </c>
      <c r="AS1067" s="81">
        <v>0</v>
      </c>
      <c r="AT1067" s="81">
        <v>0</v>
      </c>
      <c r="AU1067" s="81"/>
      <c r="AV1067" s="81"/>
      <c r="AW1067" s="81"/>
      <c r="AX1067" s="81"/>
      <c r="AY1067" s="81"/>
      <c r="AZ1067" s="81"/>
      <c r="BA1067" s="81"/>
      <c r="BB1067" s="81"/>
    </row>
    <row r="1068" spans="1:54" x14ac:dyDescent="0.35">
      <c r="A1068" s="66" t="s">
        <v>849</v>
      </c>
      <c r="B1068" s="66" t="s">
        <v>849</v>
      </c>
      <c r="C1068" s="67"/>
      <c r="D1068" s="68"/>
      <c r="E1068" s="69"/>
      <c r="F1068" s="70"/>
      <c r="G1068" s="67"/>
      <c r="H1068" s="71"/>
      <c r="I1068" s="72"/>
      <c r="J1068" s="72"/>
      <c r="K1068" s="36"/>
      <c r="L1068" s="79"/>
      <c r="M1068" s="79"/>
      <c r="N1068" s="74"/>
      <c r="O1068" s="81" t="s">
        <v>179</v>
      </c>
      <c r="P1068" s="83">
        <v>44465.152222222219</v>
      </c>
      <c r="Q1068" s="81" t="s">
        <v>1547</v>
      </c>
      <c r="R1068" s="81"/>
      <c r="S1068" s="81"/>
      <c r="T1068" s="81"/>
      <c r="U1068" s="85" t="str">
        <f>HYPERLINK("https://pbs.twimg.com/media/FALoht_UYAIzKzK.jpg")</f>
        <v>https://pbs.twimg.com/media/FALoht_UYAIzKzK.jpg</v>
      </c>
      <c r="V1068" s="85" t="str">
        <f>HYPERLINK("https://pbs.twimg.com/media/FALoht_UYAIzKzK.jpg")</f>
        <v>https://pbs.twimg.com/media/FALoht_UYAIzKzK.jpg</v>
      </c>
      <c r="W1068" s="83">
        <v>44465.152222222219</v>
      </c>
      <c r="X1068" s="89">
        <v>44465</v>
      </c>
      <c r="Y1068" s="87" t="s">
        <v>2474</v>
      </c>
      <c r="Z1068" s="85" t="str">
        <f>HYPERLINK("https://twitter.com/polrestatanger1/status/1441970585655918597")</f>
        <v>https://twitter.com/polrestatanger1/status/1441970585655918597</v>
      </c>
      <c r="AA1068" s="81"/>
      <c r="AB1068" s="81"/>
      <c r="AC1068" s="87" t="s">
        <v>3402</v>
      </c>
      <c r="AD1068" s="81"/>
      <c r="AE1068" s="81" t="b">
        <v>0</v>
      </c>
      <c r="AF1068" s="81">
        <v>1</v>
      </c>
      <c r="AG1068" s="87" t="s">
        <v>3875</v>
      </c>
      <c r="AH1068" s="81" t="b">
        <v>0</v>
      </c>
      <c r="AI1068" s="81" t="s">
        <v>4092</v>
      </c>
      <c r="AJ1068" s="81"/>
      <c r="AK1068" s="87" t="s">
        <v>3875</v>
      </c>
      <c r="AL1068" s="81" t="b">
        <v>0</v>
      </c>
      <c r="AM1068" s="81">
        <v>0</v>
      </c>
      <c r="AN1068" s="87" t="s">
        <v>3875</v>
      </c>
      <c r="AO1068" s="87" t="s">
        <v>4111</v>
      </c>
      <c r="AP1068" s="81" t="b">
        <v>0</v>
      </c>
      <c r="AQ1068" s="87" t="s">
        <v>3402</v>
      </c>
      <c r="AR1068" s="81" t="s">
        <v>179</v>
      </c>
      <c r="AS1068" s="81">
        <v>0</v>
      </c>
      <c r="AT1068" s="81">
        <v>0</v>
      </c>
      <c r="AU1068" s="81"/>
      <c r="AV1068" s="81"/>
      <c r="AW1068" s="81"/>
      <c r="AX1068" s="81"/>
      <c r="AY1068" s="81"/>
      <c r="AZ1068" s="81"/>
      <c r="BA1068" s="81"/>
      <c r="BB1068" s="81"/>
    </row>
    <row r="1069" spans="1:54" x14ac:dyDescent="0.35">
      <c r="A1069" s="66" t="s">
        <v>850</v>
      </c>
      <c r="B1069" s="66" t="s">
        <v>1163</v>
      </c>
      <c r="C1069" s="67"/>
      <c r="D1069" s="68"/>
      <c r="E1069" s="69"/>
      <c r="F1069" s="70"/>
      <c r="G1069" s="67"/>
      <c r="H1069" s="71"/>
      <c r="I1069" s="72"/>
      <c r="J1069" s="72"/>
      <c r="K1069" s="36"/>
      <c r="L1069" s="79"/>
      <c r="M1069" s="79"/>
      <c r="N1069" s="74"/>
      <c r="O1069" s="81" t="s">
        <v>1208</v>
      </c>
      <c r="P1069" s="83">
        <v>44465.152361111112</v>
      </c>
      <c r="Q1069" s="81" t="s">
        <v>1548</v>
      </c>
      <c r="R1069" s="81"/>
      <c r="S1069" s="81"/>
      <c r="T1069" s="81"/>
      <c r="U1069" s="81"/>
      <c r="V1069" s="85" t="str">
        <f>HYPERLINK("https://pbs.twimg.com/profile_images/1413119048150224900/wwS1-s4W_normal.jpg")</f>
        <v>https://pbs.twimg.com/profile_images/1413119048150224900/wwS1-s4W_normal.jpg</v>
      </c>
      <c r="W1069" s="83">
        <v>44465.152361111112</v>
      </c>
      <c r="X1069" s="89">
        <v>44465</v>
      </c>
      <c r="Y1069" s="87" t="s">
        <v>2475</v>
      </c>
      <c r="Z1069" s="85" t="str">
        <f>HYPERLINK("https://twitter.com/ajijavajava/status/1441970634175574026")</f>
        <v>https://twitter.com/ajijavajava/status/1441970634175574026</v>
      </c>
      <c r="AA1069" s="81"/>
      <c r="AB1069" s="81"/>
      <c r="AC1069" s="87" t="s">
        <v>3403</v>
      </c>
      <c r="AD1069" s="87" t="s">
        <v>3818</v>
      </c>
      <c r="AE1069" s="81" t="b">
        <v>0</v>
      </c>
      <c r="AF1069" s="81">
        <v>0</v>
      </c>
      <c r="AG1069" s="87" t="s">
        <v>4033</v>
      </c>
      <c r="AH1069" s="81" t="b">
        <v>0</v>
      </c>
      <c r="AI1069" s="81" t="s">
        <v>4092</v>
      </c>
      <c r="AJ1069" s="81"/>
      <c r="AK1069" s="87" t="s">
        <v>3875</v>
      </c>
      <c r="AL1069" s="81" t="b">
        <v>0</v>
      </c>
      <c r="AM1069" s="81">
        <v>0</v>
      </c>
      <c r="AN1069" s="87" t="s">
        <v>3875</v>
      </c>
      <c r="AO1069" s="87" t="s">
        <v>4109</v>
      </c>
      <c r="AP1069" s="81" t="b">
        <v>0</v>
      </c>
      <c r="AQ1069" s="87" t="s">
        <v>3818</v>
      </c>
      <c r="AR1069" s="81" t="s">
        <v>179</v>
      </c>
      <c r="AS1069" s="81">
        <v>0</v>
      </c>
      <c r="AT1069" s="81">
        <v>0</v>
      </c>
      <c r="AU1069" s="81"/>
      <c r="AV1069" s="81"/>
      <c r="AW1069" s="81"/>
      <c r="AX1069" s="81"/>
      <c r="AY1069" s="81"/>
      <c r="AZ1069" s="81"/>
      <c r="BA1069" s="81"/>
      <c r="BB1069" s="81"/>
    </row>
    <row r="1070" spans="1:54" x14ac:dyDescent="0.35">
      <c r="A1070" s="66" t="s">
        <v>851</v>
      </c>
      <c r="B1070" s="66" t="s">
        <v>1163</v>
      </c>
      <c r="C1070" s="67"/>
      <c r="D1070" s="68"/>
      <c r="E1070" s="69"/>
      <c r="F1070" s="70"/>
      <c r="G1070" s="67"/>
      <c r="H1070" s="71"/>
      <c r="I1070" s="72"/>
      <c r="J1070" s="72"/>
      <c r="K1070" s="36"/>
      <c r="L1070" s="79"/>
      <c r="M1070" s="79"/>
      <c r="N1070" s="74"/>
      <c r="O1070" s="81" t="s">
        <v>1208</v>
      </c>
      <c r="P1070" s="83">
        <v>44465.15253472222</v>
      </c>
      <c r="Q1070" s="81" t="s">
        <v>1548</v>
      </c>
      <c r="R1070" s="81"/>
      <c r="S1070" s="81"/>
      <c r="T1070" s="81"/>
      <c r="U1070" s="81"/>
      <c r="V1070" s="85" t="str">
        <f>HYPERLINK("https://pbs.twimg.com/profile_images/1441045084649115649/haul4HxQ_normal.jpg")</f>
        <v>https://pbs.twimg.com/profile_images/1441045084649115649/haul4HxQ_normal.jpg</v>
      </c>
      <c r="W1070" s="83">
        <v>44465.15253472222</v>
      </c>
      <c r="X1070" s="89">
        <v>44465</v>
      </c>
      <c r="Y1070" s="87" t="s">
        <v>2476</v>
      </c>
      <c r="Z1070" s="85" t="str">
        <f>HYPERLINK("https://twitter.com/kbigwinsoon/status/1441970696561651722")</f>
        <v>https://twitter.com/kbigwinsoon/status/1441970696561651722</v>
      </c>
      <c r="AA1070" s="81"/>
      <c r="AB1070" s="81"/>
      <c r="AC1070" s="87" t="s">
        <v>3404</v>
      </c>
      <c r="AD1070" s="87" t="s">
        <v>3818</v>
      </c>
      <c r="AE1070" s="81" t="b">
        <v>0</v>
      </c>
      <c r="AF1070" s="81">
        <v>0</v>
      </c>
      <c r="AG1070" s="87" t="s">
        <v>4033</v>
      </c>
      <c r="AH1070" s="81" t="b">
        <v>0</v>
      </c>
      <c r="AI1070" s="81" t="s">
        <v>4092</v>
      </c>
      <c r="AJ1070" s="81"/>
      <c r="AK1070" s="87" t="s">
        <v>3875</v>
      </c>
      <c r="AL1070" s="81" t="b">
        <v>0</v>
      </c>
      <c r="AM1070" s="81">
        <v>0</v>
      </c>
      <c r="AN1070" s="87" t="s">
        <v>3875</v>
      </c>
      <c r="AO1070" s="87" t="s">
        <v>4109</v>
      </c>
      <c r="AP1070" s="81" t="b">
        <v>0</v>
      </c>
      <c r="AQ1070" s="87" t="s">
        <v>3818</v>
      </c>
      <c r="AR1070" s="81" t="s">
        <v>179</v>
      </c>
      <c r="AS1070" s="81">
        <v>0</v>
      </c>
      <c r="AT1070" s="81">
        <v>0</v>
      </c>
      <c r="AU1070" s="81"/>
      <c r="AV1070" s="81"/>
      <c r="AW1070" s="81"/>
      <c r="AX1070" s="81"/>
      <c r="AY1070" s="81"/>
      <c r="AZ1070" s="81"/>
      <c r="BA1070" s="81"/>
      <c r="BB1070" s="81"/>
    </row>
    <row r="1071" spans="1:54" x14ac:dyDescent="0.35">
      <c r="A1071" s="66" t="s">
        <v>852</v>
      </c>
      <c r="B1071" s="66" t="s">
        <v>1164</v>
      </c>
      <c r="C1071" s="67"/>
      <c r="D1071" s="68"/>
      <c r="E1071" s="69"/>
      <c r="F1071" s="70"/>
      <c r="G1071" s="67"/>
      <c r="H1071" s="71"/>
      <c r="I1071" s="72"/>
      <c r="J1071" s="72"/>
      <c r="K1071" s="36"/>
      <c r="L1071" s="79"/>
      <c r="M1071" s="79"/>
      <c r="N1071" s="74"/>
      <c r="O1071" s="81" t="s">
        <v>1208</v>
      </c>
      <c r="P1071" s="83">
        <v>44465.175347222219</v>
      </c>
      <c r="Q1071" s="81" t="s">
        <v>1549</v>
      </c>
      <c r="R1071" s="81"/>
      <c r="S1071" s="81"/>
      <c r="T1071" s="81"/>
      <c r="U1071" s="81"/>
      <c r="V1071" s="85" t="str">
        <f>HYPERLINK("https://pbs.twimg.com/profile_images/598186148385533952/zTTNB8vx_normal.jpg")</f>
        <v>https://pbs.twimg.com/profile_images/598186148385533952/zTTNB8vx_normal.jpg</v>
      </c>
      <c r="W1071" s="83">
        <v>44465.175347222219</v>
      </c>
      <c r="X1071" s="89">
        <v>44465</v>
      </c>
      <c r="Y1071" s="87" t="s">
        <v>2477</v>
      </c>
      <c r="Z1071" s="85" t="str">
        <f>HYPERLINK("https://twitter.com/zumeww/status/1441978966206677004")</f>
        <v>https://twitter.com/zumeww/status/1441978966206677004</v>
      </c>
      <c r="AA1071" s="81"/>
      <c r="AB1071" s="81"/>
      <c r="AC1071" s="87" t="s">
        <v>3405</v>
      </c>
      <c r="AD1071" s="81"/>
      <c r="AE1071" s="81" t="b">
        <v>0</v>
      </c>
      <c r="AF1071" s="81">
        <v>0</v>
      </c>
      <c r="AG1071" s="87" t="s">
        <v>4034</v>
      </c>
      <c r="AH1071" s="81" t="b">
        <v>0</v>
      </c>
      <c r="AI1071" s="81" t="s">
        <v>4092</v>
      </c>
      <c r="AJ1071" s="81"/>
      <c r="AK1071" s="87" t="s">
        <v>3875</v>
      </c>
      <c r="AL1071" s="81" t="b">
        <v>0</v>
      </c>
      <c r="AM1071" s="81">
        <v>0</v>
      </c>
      <c r="AN1071" s="87" t="s">
        <v>3875</v>
      </c>
      <c r="AO1071" s="87" t="s">
        <v>4110</v>
      </c>
      <c r="AP1071" s="81" t="b">
        <v>0</v>
      </c>
      <c r="AQ1071" s="87" t="s">
        <v>3405</v>
      </c>
      <c r="AR1071" s="81" t="s">
        <v>179</v>
      </c>
      <c r="AS1071" s="81">
        <v>0</v>
      </c>
      <c r="AT1071" s="81">
        <v>0</v>
      </c>
      <c r="AU1071" s="81"/>
      <c r="AV1071" s="81"/>
      <c r="AW1071" s="81"/>
      <c r="AX1071" s="81"/>
      <c r="AY1071" s="81"/>
      <c r="AZ1071" s="81"/>
      <c r="BA1071" s="81"/>
      <c r="BB1071" s="81"/>
    </row>
    <row r="1072" spans="1:54" x14ac:dyDescent="0.35">
      <c r="A1072" s="66" t="s">
        <v>853</v>
      </c>
      <c r="B1072" s="66" t="s">
        <v>853</v>
      </c>
      <c r="C1072" s="67"/>
      <c r="D1072" s="68"/>
      <c r="E1072" s="69"/>
      <c r="F1072" s="70"/>
      <c r="G1072" s="67"/>
      <c r="H1072" s="71"/>
      <c r="I1072" s="72"/>
      <c r="J1072" s="72"/>
      <c r="K1072" s="36"/>
      <c r="L1072" s="79"/>
      <c r="M1072" s="79"/>
      <c r="N1072" s="74"/>
      <c r="O1072" s="81" t="s">
        <v>179</v>
      </c>
      <c r="P1072" s="83">
        <v>44458.164895833332</v>
      </c>
      <c r="Q1072" s="81" t="s">
        <v>1550</v>
      </c>
      <c r="R1072" s="81"/>
      <c r="S1072" s="81"/>
      <c r="T1072" s="81"/>
      <c r="U1072" s="85" t="str">
        <f>HYPERLINK("https://pbs.twimg.com/media/E_npoxuUcAIoTui.jpg")</f>
        <v>https://pbs.twimg.com/media/E_npoxuUcAIoTui.jpg</v>
      </c>
      <c r="V1072" s="85" t="str">
        <f>HYPERLINK("https://pbs.twimg.com/media/E_npoxuUcAIoTui.jpg")</f>
        <v>https://pbs.twimg.com/media/E_npoxuUcAIoTui.jpg</v>
      </c>
      <c r="W1072" s="83">
        <v>44458.164895833332</v>
      </c>
      <c r="X1072" s="89">
        <v>44458</v>
      </c>
      <c r="Y1072" s="87" t="s">
        <v>2478</v>
      </c>
      <c r="Z1072" s="85" t="str">
        <f>HYPERLINK("https://twitter.com/polsekkdrkota2/status/1439438463447678981")</f>
        <v>https://twitter.com/polsekkdrkota2/status/1439438463447678981</v>
      </c>
      <c r="AA1072" s="81"/>
      <c r="AB1072" s="81"/>
      <c r="AC1072" s="87" t="s">
        <v>3406</v>
      </c>
      <c r="AD1072" s="81"/>
      <c r="AE1072" s="81" t="b">
        <v>0</v>
      </c>
      <c r="AF1072" s="81">
        <v>0</v>
      </c>
      <c r="AG1072" s="87" t="s">
        <v>3875</v>
      </c>
      <c r="AH1072" s="81" t="b">
        <v>0</v>
      </c>
      <c r="AI1072" s="81" t="s">
        <v>4092</v>
      </c>
      <c r="AJ1072" s="81"/>
      <c r="AK1072" s="87" t="s">
        <v>3875</v>
      </c>
      <c r="AL1072" s="81" t="b">
        <v>0</v>
      </c>
      <c r="AM1072" s="81">
        <v>0</v>
      </c>
      <c r="AN1072" s="87" t="s">
        <v>3875</v>
      </c>
      <c r="AO1072" s="87" t="s">
        <v>4109</v>
      </c>
      <c r="AP1072" s="81" t="b">
        <v>0</v>
      </c>
      <c r="AQ1072" s="87" t="s">
        <v>3406</v>
      </c>
      <c r="AR1072" s="81" t="s">
        <v>179</v>
      </c>
      <c r="AS1072" s="81">
        <v>0</v>
      </c>
      <c r="AT1072" s="81">
        <v>0</v>
      </c>
      <c r="AU1072" s="81"/>
      <c r="AV1072" s="81"/>
      <c r="AW1072" s="81"/>
      <c r="AX1072" s="81"/>
      <c r="AY1072" s="81"/>
      <c r="AZ1072" s="81"/>
      <c r="BA1072" s="81"/>
      <c r="BB1072" s="81"/>
    </row>
    <row r="1073" spans="1:54" x14ac:dyDescent="0.35">
      <c r="A1073" s="66" t="s">
        <v>853</v>
      </c>
      <c r="B1073" s="66" t="s">
        <v>853</v>
      </c>
      <c r="C1073" s="67"/>
      <c r="D1073" s="68"/>
      <c r="E1073" s="69"/>
      <c r="F1073" s="70"/>
      <c r="G1073" s="67"/>
      <c r="H1073" s="71"/>
      <c r="I1073" s="72"/>
      <c r="J1073" s="72"/>
      <c r="K1073" s="36"/>
      <c r="L1073" s="79"/>
      <c r="M1073" s="79"/>
      <c r="N1073" s="74"/>
      <c r="O1073" s="81" t="s">
        <v>179</v>
      </c>
      <c r="P1073" s="83">
        <v>44465.257604166669</v>
      </c>
      <c r="Q1073" s="81" t="s">
        <v>1551</v>
      </c>
      <c r="R1073" s="81"/>
      <c r="S1073" s="81"/>
      <c r="T1073" s="81"/>
      <c r="U1073" s="85" t="str">
        <f>HYPERLINK("https://pbs.twimg.com/media/FAMLVSUVkAU7Eux.jpg")</f>
        <v>https://pbs.twimg.com/media/FAMLVSUVkAU7Eux.jpg</v>
      </c>
      <c r="V1073" s="85" t="str">
        <f>HYPERLINK("https://pbs.twimg.com/media/FAMLVSUVkAU7Eux.jpg")</f>
        <v>https://pbs.twimg.com/media/FAMLVSUVkAU7Eux.jpg</v>
      </c>
      <c r="W1073" s="83">
        <v>44465.257604166669</v>
      </c>
      <c r="X1073" s="89">
        <v>44465</v>
      </c>
      <c r="Y1073" s="87" t="s">
        <v>2479</v>
      </c>
      <c r="Z1073" s="85" t="str">
        <f>HYPERLINK("https://twitter.com/polsekkdrkota2/status/1442008773975896071")</f>
        <v>https://twitter.com/polsekkdrkota2/status/1442008773975896071</v>
      </c>
      <c r="AA1073" s="81"/>
      <c r="AB1073" s="81"/>
      <c r="AC1073" s="87" t="s">
        <v>3407</v>
      </c>
      <c r="AD1073" s="81"/>
      <c r="AE1073" s="81" t="b">
        <v>0</v>
      </c>
      <c r="AF1073" s="81">
        <v>0</v>
      </c>
      <c r="AG1073" s="87" t="s">
        <v>3875</v>
      </c>
      <c r="AH1073" s="81" t="b">
        <v>0</v>
      </c>
      <c r="AI1073" s="81" t="s">
        <v>4092</v>
      </c>
      <c r="AJ1073" s="81"/>
      <c r="AK1073" s="87" t="s">
        <v>3875</v>
      </c>
      <c r="AL1073" s="81" t="b">
        <v>0</v>
      </c>
      <c r="AM1073" s="81">
        <v>0</v>
      </c>
      <c r="AN1073" s="87" t="s">
        <v>3875</v>
      </c>
      <c r="AO1073" s="87" t="s">
        <v>4109</v>
      </c>
      <c r="AP1073" s="81" t="b">
        <v>0</v>
      </c>
      <c r="AQ1073" s="87" t="s">
        <v>3407</v>
      </c>
      <c r="AR1073" s="81" t="s">
        <v>179</v>
      </c>
      <c r="AS1073" s="81">
        <v>0</v>
      </c>
      <c r="AT1073" s="81">
        <v>0</v>
      </c>
      <c r="AU1073" s="81"/>
      <c r="AV1073" s="81"/>
      <c r="AW1073" s="81"/>
      <c r="AX1073" s="81"/>
      <c r="AY1073" s="81"/>
      <c r="AZ1073" s="81"/>
      <c r="BA1073" s="81"/>
      <c r="BB1073" s="81"/>
    </row>
    <row r="1074" spans="1:54" x14ac:dyDescent="0.35">
      <c r="A1074" s="66" t="s">
        <v>854</v>
      </c>
      <c r="B1074" s="66" t="s">
        <v>854</v>
      </c>
      <c r="C1074" s="67"/>
      <c r="D1074" s="68"/>
      <c r="E1074" s="69"/>
      <c r="F1074" s="70"/>
      <c r="G1074" s="67"/>
      <c r="H1074" s="71"/>
      <c r="I1074" s="72"/>
      <c r="J1074" s="72"/>
      <c r="K1074" s="36"/>
      <c r="L1074" s="79"/>
      <c r="M1074" s="79"/>
      <c r="N1074" s="74"/>
      <c r="O1074" s="81" t="s">
        <v>179</v>
      </c>
      <c r="P1074" s="83">
        <v>44465.26326388889</v>
      </c>
      <c r="Q1074" s="81" t="s">
        <v>1552</v>
      </c>
      <c r="R1074" s="85" t="str">
        <f>HYPERLINK("https://kumparan.com/bumi-papua/brimob-dari-riau-bantu-pengamanan-pon-xx-papua-di-timika-1wbULmnv8bf?utm_medium=post&amp;utm_source=Twitter&amp;utm_campaign=int")</f>
        <v>https://kumparan.com/bumi-papua/brimob-dari-riau-bantu-pengamanan-pon-xx-papua-di-timika-1wbULmnv8bf?utm_medium=post&amp;utm_source=Twitter&amp;utm_campaign=int</v>
      </c>
      <c r="S1074" s="81" t="s">
        <v>1751</v>
      </c>
      <c r="T1074" s="87" t="s">
        <v>1778</v>
      </c>
      <c r="U1074" s="81"/>
      <c r="V1074" s="85" t="str">
        <f>HYPERLINK("https://pbs.twimg.com/profile_images/1437274793108144130/sRASqYfE_normal.jpg")</f>
        <v>https://pbs.twimg.com/profile_images/1437274793108144130/sRASqYfE_normal.jpg</v>
      </c>
      <c r="W1074" s="83">
        <v>44465.26326388889</v>
      </c>
      <c r="X1074" s="89">
        <v>44465</v>
      </c>
      <c r="Y1074" s="87" t="s">
        <v>2480</v>
      </c>
      <c r="Z1074" s="85" t="str">
        <f>HYPERLINK("https://twitter.com/kumparan/status/1442010824059482112")</f>
        <v>https://twitter.com/kumparan/status/1442010824059482112</v>
      </c>
      <c r="AA1074" s="81"/>
      <c r="AB1074" s="81"/>
      <c r="AC1074" s="87" t="s">
        <v>3408</v>
      </c>
      <c r="AD1074" s="81"/>
      <c r="AE1074" s="81" t="b">
        <v>0</v>
      </c>
      <c r="AF1074" s="81">
        <v>0</v>
      </c>
      <c r="AG1074" s="87" t="s">
        <v>3875</v>
      </c>
      <c r="AH1074" s="81" t="b">
        <v>0</v>
      </c>
      <c r="AI1074" s="81" t="s">
        <v>4092</v>
      </c>
      <c r="AJ1074" s="81"/>
      <c r="AK1074" s="87" t="s">
        <v>3875</v>
      </c>
      <c r="AL1074" s="81" t="b">
        <v>0</v>
      </c>
      <c r="AM1074" s="81">
        <v>0</v>
      </c>
      <c r="AN1074" s="87" t="s">
        <v>3875</v>
      </c>
      <c r="AO1074" s="87" t="s">
        <v>4113</v>
      </c>
      <c r="AP1074" s="81" t="b">
        <v>0</v>
      </c>
      <c r="AQ1074" s="87" t="s">
        <v>3408</v>
      </c>
      <c r="AR1074" s="81" t="s">
        <v>179</v>
      </c>
      <c r="AS1074" s="81">
        <v>0</v>
      </c>
      <c r="AT1074" s="81">
        <v>0</v>
      </c>
      <c r="AU1074" s="81"/>
      <c r="AV1074" s="81"/>
      <c r="AW1074" s="81"/>
      <c r="AX1074" s="81"/>
      <c r="AY1074" s="81"/>
      <c r="AZ1074" s="81"/>
      <c r="BA1074" s="81"/>
      <c r="BB1074" s="81"/>
    </row>
    <row r="1075" spans="1:54" x14ac:dyDescent="0.35">
      <c r="A1075" s="66" t="s">
        <v>855</v>
      </c>
      <c r="B1075" s="66" t="s">
        <v>855</v>
      </c>
      <c r="C1075" s="67"/>
      <c r="D1075" s="68"/>
      <c r="E1075" s="69"/>
      <c r="F1075" s="70"/>
      <c r="G1075" s="67"/>
      <c r="H1075" s="71"/>
      <c r="I1075" s="72"/>
      <c r="J1075" s="72"/>
      <c r="K1075" s="36"/>
      <c r="L1075" s="79"/>
      <c r="M1075" s="79"/>
      <c r="N1075" s="74"/>
      <c r="O1075" s="81" t="s">
        <v>179</v>
      </c>
      <c r="P1075" s="83">
        <v>44465.278171296297</v>
      </c>
      <c r="Q1075" s="81" t="s">
        <v>1553</v>
      </c>
      <c r="R1075" s="81"/>
      <c r="S1075" s="81"/>
      <c r="T1075" s="81"/>
      <c r="U1075" s="81"/>
      <c r="V1075" s="85" t="str">
        <f>HYPERLINK("https://pbs.twimg.com/profile_images/1413839142992027654/u9SCOSZj_normal.jpg")</f>
        <v>https://pbs.twimg.com/profile_images/1413839142992027654/u9SCOSZj_normal.jpg</v>
      </c>
      <c r="W1075" s="83">
        <v>44465.278171296297</v>
      </c>
      <c r="X1075" s="89">
        <v>44465</v>
      </c>
      <c r="Y1075" s="87" t="s">
        <v>2481</v>
      </c>
      <c r="Z1075" s="85" t="str">
        <f>HYPERLINK("https://twitter.com/913verse/status/1442016228566978560")</f>
        <v>https://twitter.com/913verse/status/1442016228566978560</v>
      </c>
      <c r="AA1075" s="81"/>
      <c r="AB1075" s="81"/>
      <c r="AC1075" s="87" t="s">
        <v>3409</v>
      </c>
      <c r="AD1075" s="81"/>
      <c r="AE1075" s="81" t="b">
        <v>0</v>
      </c>
      <c r="AF1075" s="81">
        <v>0</v>
      </c>
      <c r="AG1075" s="87" t="s">
        <v>3875</v>
      </c>
      <c r="AH1075" s="81" t="b">
        <v>0</v>
      </c>
      <c r="AI1075" s="81" t="s">
        <v>4092</v>
      </c>
      <c r="AJ1075" s="81"/>
      <c r="AK1075" s="87" t="s">
        <v>3875</v>
      </c>
      <c r="AL1075" s="81" t="b">
        <v>0</v>
      </c>
      <c r="AM1075" s="81">
        <v>0</v>
      </c>
      <c r="AN1075" s="87" t="s">
        <v>3875</v>
      </c>
      <c r="AO1075" s="87" t="s">
        <v>4110</v>
      </c>
      <c r="AP1075" s="81" t="b">
        <v>0</v>
      </c>
      <c r="AQ1075" s="87" t="s">
        <v>3409</v>
      </c>
      <c r="AR1075" s="81" t="s">
        <v>179</v>
      </c>
      <c r="AS1075" s="81">
        <v>0</v>
      </c>
      <c r="AT1075" s="81">
        <v>0</v>
      </c>
      <c r="AU1075" s="81"/>
      <c r="AV1075" s="81"/>
      <c r="AW1075" s="81"/>
      <c r="AX1075" s="81"/>
      <c r="AY1075" s="81"/>
      <c r="AZ1075" s="81"/>
      <c r="BA1075" s="81"/>
      <c r="BB1075" s="81"/>
    </row>
    <row r="1076" spans="1:54" x14ac:dyDescent="0.35">
      <c r="A1076" s="66" t="s">
        <v>856</v>
      </c>
      <c r="B1076" s="66" t="s">
        <v>856</v>
      </c>
      <c r="C1076" s="67"/>
      <c r="D1076" s="68"/>
      <c r="E1076" s="69"/>
      <c r="F1076" s="70"/>
      <c r="G1076" s="67"/>
      <c r="H1076" s="71"/>
      <c r="I1076" s="72"/>
      <c r="J1076" s="72"/>
      <c r="K1076" s="36"/>
      <c r="L1076" s="79"/>
      <c r="M1076" s="79"/>
      <c r="N1076" s="74"/>
      <c r="O1076" s="81" t="s">
        <v>179</v>
      </c>
      <c r="P1076" s="83">
        <v>44465.384282407409</v>
      </c>
      <c r="Q1076" s="81" t="s">
        <v>1554</v>
      </c>
      <c r="R1076" s="81"/>
      <c r="S1076" s="81"/>
      <c r="T1076" s="81"/>
      <c r="U1076" s="85" t="str">
        <f>HYPERLINK("https://pbs.twimg.com/ext_tw_video_thumb/1442054629093642240/pu/img/CmD0z-5sb2b659yA.jpg")</f>
        <v>https://pbs.twimg.com/ext_tw_video_thumb/1442054629093642240/pu/img/CmD0z-5sb2b659yA.jpg</v>
      </c>
      <c r="V1076" s="85" t="str">
        <f>HYPERLINK("https://pbs.twimg.com/ext_tw_video_thumb/1442054629093642240/pu/img/CmD0z-5sb2b659yA.jpg")</f>
        <v>https://pbs.twimg.com/ext_tw_video_thumb/1442054629093642240/pu/img/CmD0z-5sb2b659yA.jpg</v>
      </c>
      <c r="W1076" s="83">
        <v>44465.384282407409</v>
      </c>
      <c r="X1076" s="89">
        <v>44465</v>
      </c>
      <c r="Y1076" s="87" t="s">
        <v>2482</v>
      </c>
      <c r="Z1076" s="85" t="str">
        <f>HYPERLINK("https://twitter.com/jegermeyeer/status/1442054678187950082")</f>
        <v>https://twitter.com/jegermeyeer/status/1442054678187950082</v>
      </c>
      <c r="AA1076" s="81"/>
      <c r="AB1076" s="81"/>
      <c r="AC1076" s="87" t="s">
        <v>3410</v>
      </c>
      <c r="AD1076" s="81"/>
      <c r="AE1076" s="81" t="b">
        <v>0</v>
      </c>
      <c r="AF1076" s="81">
        <v>0</v>
      </c>
      <c r="AG1076" s="87" t="s">
        <v>3875</v>
      </c>
      <c r="AH1076" s="81" t="b">
        <v>0</v>
      </c>
      <c r="AI1076" s="81" t="s">
        <v>4092</v>
      </c>
      <c r="AJ1076" s="81"/>
      <c r="AK1076" s="87" t="s">
        <v>3875</v>
      </c>
      <c r="AL1076" s="81" t="b">
        <v>0</v>
      </c>
      <c r="AM1076" s="81">
        <v>0</v>
      </c>
      <c r="AN1076" s="87" t="s">
        <v>3875</v>
      </c>
      <c r="AO1076" s="87" t="s">
        <v>4109</v>
      </c>
      <c r="AP1076" s="81" t="b">
        <v>0</v>
      </c>
      <c r="AQ1076" s="87" t="s">
        <v>3410</v>
      </c>
      <c r="AR1076" s="81" t="s">
        <v>179</v>
      </c>
      <c r="AS1076" s="81">
        <v>0</v>
      </c>
      <c r="AT1076" s="81">
        <v>0</v>
      </c>
      <c r="AU1076" s="81"/>
      <c r="AV1076" s="81"/>
      <c r="AW1076" s="81"/>
      <c r="AX1076" s="81"/>
      <c r="AY1076" s="81"/>
      <c r="AZ1076" s="81"/>
      <c r="BA1076" s="81"/>
      <c r="BB1076" s="81"/>
    </row>
    <row r="1077" spans="1:54" x14ac:dyDescent="0.35">
      <c r="A1077" s="66" t="s">
        <v>857</v>
      </c>
      <c r="B1077" s="66" t="s">
        <v>1165</v>
      </c>
      <c r="C1077" s="67"/>
      <c r="D1077" s="68"/>
      <c r="E1077" s="69"/>
      <c r="F1077" s="70"/>
      <c r="G1077" s="67"/>
      <c r="H1077" s="71"/>
      <c r="I1077" s="72"/>
      <c r="J1077" s="72"/>
      <c r="K1077" s="36"/>
      <c r="L1077" s="79"/>
      <c r="M1077" s="79"/>
      <c r="N1077" s="74"/>
      <c r="O1077" s="81" t="s">
        <v>1208</v>
      </c>
      <c r="P1077" s="83">
        <v>44465.390034722222</v>
      </c>
      <c r="Q1077" s="81" t="s">
        <v>1555</v>
      </c>
      <c r="R1077" s="81"/>
      <c r="S1077" s="81"/>
      <c r="T1077" s="81"/>
      <c r="U1077" s="81"/>
      <c r="V1077" s="85" t="str">
        <f>HYPERLINK("https://pbs.twimg.com/profile_images/1393399224872488962/2F8pddUZ_normal.jpg")</f>
        <v>https://pbs.twimg.com/profile_images/1393399224872488962/2F8pddUZ_normal.jpg</v>
      </c>
      <c r="W1077" s="83">
        <v>44465.390034722222</v>
      </c>
      <c r="X1077" s="89">
        <v>44465</v>
      </c>
      <c r="Y1077" s="87" t="s">
        <v>2483</v>
      </c>
      <c r="Z1077" s="85" t="str">
        <f>HYPERLINK("https://twitter.com/adiadaadi/status/1442056763033849856")</f>
        <v>https://twitter.com/adiadaadi/status/1442056763033849856</v>
      </c>
      <c r="AA1077" s="81"/>
      <c r="AB1077" s="81"/>
      <c r="AC1077" s="87" t="s">
        <v>3411</v>
      </c>
      <c r="AD1077" s="87" t="s">
        <v>3819</v>
      </c>
      <c r="AE1077" s="81" t="b">
        <v>0</v>
      </c>
      <c r="AF1077" s="81">
        <v>0</v>
      </c>
      <c r="AG1077" s="87" t="s">
        <v>4035</v>
      </c>
      <c r="AH1077" s="81" t="b">
        <v>0</v>
      </c>
      <c r="AI1077" s="81" t="s">
        <v>4092</v>
      </c>
      <c r="AJ1077" s="81"/>
      <c r="AK1077" s="87" t="s">
        <v>3875</v>
      </c>
      <c r="AL1077" s="81" t="b">
        <v>0</v>
      </c>
      <c r="AM1077" s="81">
        <v>0</v>
      </c>
      <c r="AN1077" s="87" t="s">
        <v>3875</v>
      </c>
      <c r="AO1077" s="87" t="s">
        <v>4110</v>
      </c>
      <c r="AP1077" s="81" t="b">
        <v>0</v>
      </c>
      <c r="AQ1077" s="87" t="s">
        <v>3819</v>
      </c>
      <c r="AR1077" s="81" t="s">
        <v>179</v>
      </c>
      <c r="AS1077" s="81">
        <v>0</v>
      </c>
      <c r="AT1077" s="81">
        <v>0</v>
      </c>
      <c r="AU1077" s="81"/>
      <c r="AV1077" s="81"/>
      <c r="AW1077" s="81"/>
      <c r="AX1077" s="81"/>
      <c r="AY1077" s="81"/>
      <c r="AZ1077" s="81"/>
      <c r="BA1077" s="81"/>
      <c r="BB1077" s="81"/>
    </row>
    <row r="1078" spans="1:54" x14ac:dyDescent="0.35">
      <c r="A1078" s="66" t="s">
        <v>857</v>
      </c>
      <c r="B1078" s="66" t="s">
        <v>1165</v>
      </c>
      <c r="C1078" s="67"/>
      <c r="D1078" s="68"/>
      <c r="E1078" s="69"/>
      <c r="F1078" s="70"/>
      <c r="G1078" s="67"/>
      <c r="H1078" s="71"/>
      <c r="I1078" s="72"/>
      <c r="J1078" s="72"/>
      <c r="K1078" s="36"/>
      <c r="L1078" s="79"/>
      <c r="M1078" s="79"/>
      <c r="N1078" s="74"/>
      <c r="O1078" s="81" t="s">
        <v>1208</v>
      </c>
      <c r="P1078" s="83">
        <v>44465.420810185184</v>
      </c>
      <c r="Q1078" s="81" t="s">
        <v>1556</v>
      </c>
      <c r="R1078" s="81"/>
      <c r="S1078" s="81"/>
      <c r="T1078" s="81"/>
      <c r="U1078" s="81"/>
      <c r="V1078" s="85" t="str">
        <f>HYPERLINK("https://pbs.twimg.com/profile_images/1393399224872488962/2F8pddUZ_normal.jpg")</f>
        <v>https://pbs.twimg.com/profile_images/1393399224872488962/2F8pddUZ_normal.jpg</v>
      </c>
      <c r="W1078" s="83">
        <v>44465.420810185184</v>
      </c>
      <c r="X1078" s="89">
        <v>44465</v>
      </c>
      <c r="Y1078" s="87" t="s">
        <v>2484</v>
      </c>
      <c r="Z1078" s="85" t="str">
        <f>HYPERLINK("https://twitter.com/adiadaadi/status/1442067919442087936")</f>
        <v>https://twitter.com/adiadaadi/status/1442067919442087936</v>
      </c>
      <c r="AA1078" s="81"/>
      <c r="AB1078" s="81"/>
      <c r="AC1078" s="87" t="s">
        <v>3412</v>
      </c>
      <c r="AD1078" s="87" t="s">
        <v>3820</v>
      </c>
      <c r="AE1078" s="81" t="b">
        <v>0</v>
      </c>
      <c r="AF1078" s="81">
        <v>0</v>
      </c>
      <c r="AG1078" s="87" t="s">
        <v>4035</v>
      </c>
      <c r="AH1078" s="81" t="b">
        <v>0</v>
      </c>
      <c r="AI1078" s="81" t="s">
        <v>4092</v>
      </c>
      <c r="AJ1078" s="81"/>
      <c r="AK1078" s="87" t="s">
        <v>3875</v>
      </c>
      <c r="AL1078" s="81" t="b">
        <v>0</v>
      </c>
      <c r="AM1078" s="81">
        <v>0</v>
      </c>
      <c r="AN1078" s="87" t="s">
        <v>3875</v>
      </c>
      <c r="AO1078" s="87" t="s">
        <v>4110</v>
      </c>
      <c r="AP1078" s="81" t="b">
        <v>0</v>
      </c>
      <c r="AQ1078" s="87" t="s">
        <v>3820</v>
      </c>
      <c r="AR1078" s="81" t="s">
        <v>179</v>
      </c>
      <c r="AS1078" s="81">
        <v>0</v>
      </c>
      <c r="AT1078" s="81">
        <v>0</v>
      </c>
      <c r="AU1078" s="81"/>
      <c r="AV1078" s="81"/>
      <c r="AW1078" s="81"/>
      <c r="AX1078" s="81"/>
      <c r="AY1078" s="81"/>
      <c r="AZ1078" s="81"/>
      <c r="BA1078" s="81"/>
      <c r="BB1078" s="81"/>
    </row>
    <row r="1079" spans="1:54" x14ac:dyDescent="0.35">
      <c r="A1079" s="66" t="s">
        <v>858</v>
      </c>
      <c r="B1079" s="66" t="s">
        <v>1166</v>
      </c>
      <c r="C1079" s="67"/>
      <c r="D1079" s="68"/>
      <c r="E1079" s="69"/>
      <c r="F1079" s="70"/>
      <c r="G1079" s="67"/>
      <c r="H1079" s="71"/>
      <c r="I1079" s="72"/>
      <c r="J1079" s="72"/>
      <c r="K1079" s="36"/>
      <c r="L1079" s="79"/>
      <c r="M1079" s="79"/>
      <c r="N1079" s="74"/>
      <c r="O1079" s="81" t="s">
        <v>1208</v>
      </c>
      <c r="P1079" s="83">
        <v>44465.480486111112</v>
      </c>
      <c r="Q1079" s="81" t="s">
        <v>1557</v>
      </c>
      <c r="R1079" s="81"/>
      <c r="S1079" s="81"/>
      <c r="T1079" s="81"/>
      <c r="U1079" s="81"/>
      <c r="V1079" s="85" t="str">
        <f>HYPERLINK("https://pbs.twimg.com/profile_images/1442384732113702914/BK2qR2NT_normal.jpg")</f>
        <v>https://pbs.twimg.com/profile_images/1442384732113702914/BK2qR2NT_normal.jpg</v>
      </c>
      <c r="W1079" s="83">
        <v>44465.480486111112</v>
      </c>
      <c r="X1079" s="89">
        <v>44465</v>
      </c>
      <c r="Y1079" s="87" t="s">
        <v>2485</v>
      </c>
      <c r="Z1079" s="85" t="str">
        <f>HYPERLINK("https://twitter.com/minbunaa/status/1442089543641939975")</f>
        <v>https://twitter.com/minbunaa/status/1442089543641939975</v>
      </c>
      <c r="AA1079" s="81"/>
      <c r="AB1079" s="81"/>
      <c r="AC1079" s="87" t="s">
        <v>3413</v>
      </c>
      <c r="AD1079" s="87" t="s">
        <v>3821</v>
      </c>
      <c r="AE1079" s="81" t="b">
        <v>0</v>
      </c>
      <c r="AF1079" s="81">
        <v>0</v>
      </c>
      <c r="AG1079" s="87" t="s">
        <v>4036</v>
      </c>
      <c r="AH1079" s="81" t="b">
        <v>0</v>
      </c>
      <c r="AI1079" s="81" t="s">
        <v>4092</v>
      </c>
      <c r="AJ1079" s="81"/>
      <c r="AK1079" s="87" t="s">
        <v>3875</v>
      </c>
      <c r="AL1079" s="81" t="b">
        <v>0</v>
      </c>
      <c r="AM1079" s="81">
        <v>0</v>
      </c>
      <c r="AN1079" s="87" t="s">
        <v>3875</v>
      </c>
      <c r="AO1079" s="87" t="s">
        <v>4109</v>
      </c>
      <c r="AP1079" s="81" t="b">
        <v>0</v>
      </c>
      <c r="AQ1079" s="87" t="s">
        <v>3821</v>
      </c>
      <c r="AR1079" s="81" t="s">
        <v>179</v>
      </c>
      <c r="AS1079" s="81">
        <v>0</v>
      </c>
      <c r="AT1079" s="81">
        <v>0</v>
      </c>
      <c r="AU1079" s="81"/>
      <c r="AV1079" s="81"/>
      <c r="AW1079" s="81"/>
      <c r="AX1079" s="81"/>
      <c r="AY1079" s="81"/>
      <c r="AZ1079" s="81"/>
      <c r="BA1079" s="81"/>
      <c r="BB1079" s="81"/>
    </row>
    <row r="1080" spans="1:54" x14ac:dyDescent="0.35">
      <c r="A1080" s="66" t="s">
        <v>859</v>
      </c>
      <c r="B1080" s="66" t="s">
        <v>1167</v>
      </c>
      <c r="C1080" s="67"/>
      <c r="D1080" s="68"/>
      <c r="E1080" s="69"/>
      <c r="F1080" s="70"/>
      <c r="G1080" s="67"/>
      <c r="H1080" s="71"/>
      <c r="I1080" s="72"/>
      <c r="J1080" s="72"/>
      <c r="K1080" s="36"/>
      <c r="L1080" s="79"/>
      <c r="M1080" s="79"/>
      <c r="N1080" s="74"/>
      <c r="O1080" s="81" t="s">
        <v>1208</v>
      </c>
      <c r="P1080" s="83">
        <v>44465.495393518519</v>
      </c>
      <c r="Q1080" s="81" t="s">
        <v>1558</v>
      </c>
      <c r="R1080" s="81"/>
      <c r="S1080" s="81"/>
      <c r="T1080" s="81"/>
      <c r="U1080" s="81"/>
      <c r="V1080" s="85" t="str">
        <f>HYPERLINK("https://pbs.twimg.com/profile_images/1439620827658420227/VPaovEhk_normal.jpg")</f>
        <v>https://pbs.twimg.com/profile_images/1439620827658420227/VPaovEhk_normal.jpg</v>
      </c>
      <c r="W1080" s="83">
        <v>44465.495393518519</v>
      </c>
      <c r="X1080" s="89">
        <v>44465</v>
      </c>
      <c r="Y1080" s="87" t="s">
        <v>2486</v>
      </c>
      <c r="Z1080" s="85" t="str">
        <f>HYPERLINK("https://twitter.com/skyprisoner1/status/1442094947285438473")</f>
        <v>https://twitter.com/skyprisoner1/status/1442094947285438473</v>
      </c>
      <c r="AA1080" s="81"/>
      <c r="AB1080" s="81"/>
      <c r="AC1080" s="87" t="s">
        <v>3414</v>
      </c>
      <c r="AD1080" s="87" t="s">
        <v>3822</v>
      </c>
      <c r="AE1080" s="81" t="b">
        <v>0</v>
      </c>
      <c r="AF1080" s="81">
        <v>0</v>
      </c>
      <c r="AG1080" s="87" t="s">
        <v>4037</v>
      </c>
      <c r="AH1080" s="81" t="b">
        <v>0</v>
      </c>
      <c r="AI1080" s="81" t="s">
        <v>4092</v>
      </c>
      <c r="AJ1080" s="81"/>
      <c r="AK1080" s="87" t="s">
        <v>3875</v>
      </c>
      <c r="AL1080" s="81" t="b">
        <v>0</v>
      </c>
      <c r="AM1080" s="81">
        <v>0</v>
      </c>
      <c r="AN1080" s="87" t="s">
        <v>3875</v>
      </c>
      <c r="AO1080" s="87" t="s">
        <v>4111</v>
      </c>
      <c r="AP1080" s="81" t="b">
        <v>0</v>
      </c>
      <c r="AQ1080" s="87" t="s">
        <v>3822</v>
      </c>
      <c r="AR1080" s="81" t="s">
        <v>179</v>
      </c>
      <c r="AS1080" s="81">
        <v>0</v>
      </c>
      <c r="AT1080" s="81">
        <v>0</v>
      </c>
      <c r="AU1080" s="81"/>
      <c r="AV1080" s="81"/>
      <c r="AW1080" s="81"/>
      <c r="AX1080" s="81"/>
      <c r="AY1080" s="81"/>
      <c r="AZ1080" s="81"/>
      <c r="BA1080" s="81"/>
      <c r="BB1080" s="81"/>
    </row>
    <row r="1081" spans="1:54" x14ac:dyDescent="0.35">
      <c r="A1081" s="66" t="s">
        <v>860</v>
      </c>
      <c r="B1081" s="66" t="s">
        <v>1168</v>
      </c>
      <c r="C1081" s="67"/>
      <c r="D1081" s="68"/>
      <c r="E1081" s="69"/>
      <c r="F1081" s="70"/>
      <c r="G1081" s="67"/>
      <c r="H1081" s="71"/>
      <c r="I1081" s="72"/>
      <c r="J1081" s="72"/>
      <c r="K1081" s="36"/>
      <c r="L1081" s="79"/>
      <c r="M1081" s="79"/>
      <c r="N1081" s="74"/>
      <c r="O1081" s="81" t="s">
        <v>1208</v>
      </c>
      <c r="P1081" s="83">
        <v>44465.496122685188</v>
      </c>
      <c r="Q1081" s="81" t="s">
        <v>1559</v>
      </c>
      <c r="R1081" s="85" t="str">
        <f>HYPERLINK("https://twitter.com/yericmkim/status/1442094239584690181")</f>
        <v>https://twitter.com/yericmkim/status/1442094239584690181</v>
      </c>
      <c r="S1081" s="81" t="s">
        <v>1731</v>
      </c>
      <c r="T1081" s="81"/>
      <c r="U1081" s="81"/>
      <c r="V1081" s="85" t="str">
        <f>HYPERLINK("https://pbs.twimg.com/profile_images/1439805048905613315/k5UpKUAk_normal.jpg")</f>
        <v>https://pbs.twimg.com/profile_images/1439805048905613315/k5UpKUAk_normal.jpg</v>
      </c>
      <c r="W1081" s="83">
        <v>44465.496122685188</v>
      </c>
      <c r="X1081" s="89">
        <v>44465</v>
      </c>
      <c r="Y1081" s="87" t="s">
        <v>2487</v>
      </c>
      <c r="Z1081" s="85" t="str">
        <f>HYPERLINK("https://twitter.com/stationxca/status/1442095208728907780")</f>
        <v>https://twitter.com/stationxca/status/1442095208728907780</v>
      </c>
      <c r="AA1081" s="81"/>
      <c r="AB1081" s="81"/>
      <c r="AC1081" s="87" t="s">
        <v>3415</v>
      </c>
      <c r="AD1081" s="81"/>
      <c r="AE1081" s="81" t="b">
        <v>0</v>
      </c>
      <c r="AF1081" s="81">
        <v>0</v>
      </c>
      <c r="AG1081" s="87" t="s">
        <v>4038</v>
      </c>
      <c r="AH1081" s="81" t="b">
        <v>1</v>
      </c>
      <c r="AI1081" s="81" t="s">
        <v>4092</v>
      </c>
      <c r="AJ1081" s="81"/>
      <c r="AK1081" s="87" t="s">
        <v>4104</v>
      </c>
      <c r="AL1081" s="81" t="b">
        <v>0</v>
      </c>
      <c r="AM1081" s="81">
        <v>0</v>
      </c>
      <c r="AN1081" s="87" t="s">
        <v>3875</v>
      </c>
      <c r="AO1081" s="87" t="s">
        <v>4110</v>
      </c>
      <c r="AP1081" s="81" t="b">
        <v>0</v>
      </c>
      <c r="AQ1081" s="87" t="s">
        <v>3415</v>
      </c>
      <c r="AR1081" s="81" t="s">
        <v>179</v>
      </c>
      <c r="AS1081" s="81">
        <v>0</v>
      </c>
      <c r="AT1081" s="81">
        <v>0</v>
      </c>
      <c r="AU1081" s="81"/>
      <c r="AV1081" s="81"/>
      <c r="AW1081" s="81"/>
      <c r="AX1081" s="81"/>
      <c r="AY1081" s="81"/>
      <c r="AZ1081" s="81"/>
      <c r="BA1081" s="81"/>
      <c r="BB1081" s="81"/>
    </row>
    <row r="1082" spans="1:54" x14ac:dyDescent="0.35">
      <c r="A1082" s="66" t="s">
        <v>861</v>
      </c>
      <c r="B1082" s="66" t="s">
        <v>861</v>
      </c>
      <c r="C1082" s="67"/>
      <c r="D1082" s="68"/>
      <c r="E1082" s="69"/>
      <c r="F1082" s="70"/>
      <c r="G1082" s="67"/>
      <c r="H1082" s="71"/>
      <c r="I1082" s="72"/>
      <c r="J1082" s="72"/>
      <c r="K1082" s="36"/>
      <c r="L1082" s="79"/>
      <c r="M1082" s="79"/>
      <c r="N1082" s="74"/>
      <c r="O1082" s="81" t="s">
        <v>179</v>
      </c>
      <c r="P1082" s="83">
        <v>44458.132928240739</v>
      </c>
      <c r="Q1082" s="81" t="s">
        <v>1560</v>
      </c>
      <c r="R1082" s="81"/>
      <c r="S1082" s="81"/>
      <c r="T1082" s="81"/>
      <c r="U1082" s="81"/>
      <c r="V1082" s="85" t="str">
        <f>HYPERLINK("https://pbs.twimg.com/profile_images/1337591503812640769/JpNE89I-_normal.jpg")</f>
        <v>https://pbs.twimg.com/profile_images/1337591503812640769/JpNE89I-_normal.jpg</v>
      </c>
      <c r="W1082" s="83">
        <v>44458.132928240739</v>
      </c>
      <c r="X1082" s="89">
        <v>44458</v>
      </c>
      <c r="Y1082" s="87" t="s">
        <v>2488</v>
      </c>
      <c r="Z1082" s="85" t="str">
        <f>HYPERLINK("https://twitter.com/ermaamalia/status/1439426876955521025")</f>
        <v>https://twitter.com/ermaamalia/status/1439426876955521025</v>
      </c>
      <c r="AA1082" s="81"/>
      <c r="AB1082" s="81"/>
      <c r="AC1082" s="87" t="s">
        <v>3416</v>
      </c>
      <c r="AD1082" s="81"/>
      <c r="AE1082" s="81" t="b">
        <v>0</v>
      </c>
      <c r="AF1082" s="81">
        <v>0</v>
      </c>
      <c r="AG1082" s="87" t="s">
        <v>3875</v>
      </c>
      <c r="AH1082" s="81" t="b">
        <v>0</v>
      </c>
      <c r="AI1082" s="81" t="s">
        <v>4092</v>
      </c>
      <c r="AJ1082" s="81"/>
      <c r="AK1082" s="87" t="s">
        <v>3875</v>
      </c>
      <c r="AL1082" s="81" t="b">
        <v>0</v>
      </c>
      <c r="AM1082" s="81">
        <v>0</v>
      </c>
      <c r="AN1082" s="87" t="s">
        <v>3875</v>
      </c>
      <c r="AO1082" s="87" t="s">
        <v>4109</v>
      </c>
      <c r="AP1082" s="81" t="b">
        <v>0</v>
      </c>
      <c r="AQ1082" s="87" t="s">
        <v>3416</v>
      </c>
      <c r="AR1082" s="81" t="s">
        <v>179</v>
      </c>
      <c r="AS1082" s="81">
        <v>0</v>
      </c>
      <c r="AT1082" s="81">
        <v>0</v>
      </c>
      <c r="AU1082" s="81"/>
      <c r="AV1082" s="81"/>
      <c r="AW1082" s="81"/>
      <c r="AX1082" s="81"/>
      <c r="AY1082" s="81"/>
      <c r="AZ1082" s="81"/>
      <c r="BA1082" s="81"/>
      <c r="BB1082" s="81"/>
    </row>
    <row r="1083" spans="1:54" x14ac:dyDescent="0.35">
      <c r="A1083" s="66" t="s">
        <v>861</v>
      </c>
      <c r="B1083" s="66" t="s">
        <v>861</v>
      </c>
      <c r="C1083" s="67"/>
      <c r="D1083" s="68"/>
      <c r="E1083" s="69"/>
      <c r="F1083" s="70"/>
      <c r="G1083" s="67"/>
      <c r="H1083" s="71"/>
      <c r="I1083" s="72"/>
      <c r="J1083" s="72"/>
      <c r="K1083" s="36"/>
      <c r="L1083" s="79"/>
      <c r="M1083" s="79"/>
      <c r="N1083" s="74"/>
      <c r="O1083" s="81" t="s">
        <v>179</v>
      </c>
      <c r="P1083" s="83">
        <v>44458.14025462963</v>
      </c>
      <c r="Q1083" s="81" t="s">
        <v>1561</v>
      </c>
      <c r="R1083" s="81"/>
      <c r="S1083" s="81"/>
      <c r="T1083" s="81"/>
      <c r="U1083" s="81"/>
      <c r="V1083" s="85" t="str">
        <f>HYPERLINK("https://pbs.twimg.com/profile_images/1337591503812640769/JpNE89I-_normal.jpg")</f>
        <v>https://pbs.twimg.com/profile_images/1337591503812640769/JpNE89I-_normal.jpg</v>
      </c>
      <c r="W1083" s="83">
        <v>44458.14025462963</v>
      </c>
      <c r="X1083" s="89">
        <v>44458</v>
      </c>
      <c r="Y1083" s="87" t="s">
        <v>2489</v>
      </c>
      <c r="Z1083" s="85" t="str">
        <f>HYPERLINK("https://twitter.com/ermaamalia/status/1439429531010420743")</f>
        <v>https://twitter.com/ermaamalia/status/1439429531010420743</v>
      </c>
      <c r="AA1083" s="81"/>
      <c r="AB1083" s="81"/>
      <c r="AC1083" s="87" t="s">
        <v>3417</v>
      </c>
      <c r="AD1083" s="81"/>
      <c r="AE1083" s="81" t="b">
        <v>0</v>
      </c>
      <c r="AF1083" s="81">
        <v>0</v>
      </c>
      <c r="AG1083" s="87" t="s">
        <v>3875</v>
      </c>
      <c r="AH1083" s="81" t="b">
        <v>0</v>
      </c>
      <c r="AI1083" s="81" t="s">
        <v>4092</v>
      </c>
      <c r="AJ1083" s="81"/>
      <c r="AK1083" s="87" t="s">
        <v>3875</v>
      </c>
      <c r="AL1083" s="81" t="b">
        <v>0</v>
      </c>
      <c r="AM1083" s="81">
        <v>0</v>
      </c>
      <c r="AN1083" s="87" t="s">
        <v>3875</v>
      </c>
      <c r="AO1083" s="87" t="s">
        <v>4109</v>
      </c>
      <c r="AP1083" s="81" t="b">
        <v>0</v>
      </c>
      <c r="AQ1083" s="87" t="s">
        <v>3417</v>
      </c>
      <c r="AR1083" s="81" t="s">
        <v>179</v>
      </c>
      <c r="AS1083" s="81">
        <v>0</v>
      </c>
      <c r="AT1083" s="81">
        <v>0</v>
      </c>
      <c r="AU1083" s="81"/>
      <c r="AV1083" s="81"/>
      <c r="AW1083" s="81"/>
      <c r="AX1083" s="81"/>
      <c r="AY1083" s="81"/>
      <c r="AZ1083" s="81"/>
      <c r="BA1083" s="81"/>
      <c r="BB1083" s="81"/>
    </row>
    <row r="1084" spans="1:54" x14ac:dyDescent="0.35">
      <c r="A1084" s="66" t="s">
        <v>861</v>
      </c>
      <c r="B1084" s="66" t="s">
        <v>861</v>
      </c>
      <c r="C1084" s="67"/>
      <c r="D1084" s="68"/>
      <c r="E1084" s="69"/>
      <c r="F1084" s="70"/>
      <c r="G1084" s="67"/>
      <c r="H1084" s="71"/>
      <c r="I1084" s="72"/>
      <c r="J1084" s="72"/>
      <c r="K1084" s="36"/>
      <c r="L1084" s="79"/>
      <c r="M1084" s="79"/>
      <c r="N1084" s="74"/>
      <c r="O1084" s="81" t="s">
        <v>179</v>
      </c>
      <c r="P1084" s="83">
        <v>44465.522141203706</v>
      </c>
      <c r="Q1084" s="81" t="s">
        <v>1562</v>
      </c>
      <c r="R1084" s="81"/>
      <c r="S1084" s="81"/>
      <c r="T1084" s="81"/>
      <c r="U1084" s="81"/>
      <c r="V1084" s="85" t="str">
        <f>HYPERLINK("https://pbs.twimg.com/profile_images/1337591503812640769/JpNE89I-_normal.jpg")</f>
        <v>https://pbs.twimg.com/profile_images/1337591503812640769/JpNE89I-_normal.jpg</v>
      </c>
      <c r="W1084" s="83">
        <v>44465.522141203706</v>
      </c>
      <c r="X1084" s="89">
        <v>44465</v>
      </c>
      <c r="Y1084" s="87" t="s">
        <v>2490</v>
      </c>
      <c r="Z1084" s="85" t="str">
        <f>HYPERLINK("https://twitter.com/ermaamalia/status/1442104640175173642")</f>
        <v>https://twitter.com/ermaamalia/status/1442104640175173642</v>
      </c>
      <c r="AA1084" s="81"/>
      <c r="AB1084" s="81"/>
      <c r="AC1084" s="87" t="s">
        <v>3418</v>
      </c>
      <c r="AD1084" s="81"/>
      <c r="AE1084" s="81" t="b">
        <v>0</v>
      </c>
      <c r="AF1084" s="81">
        <v>0</v>
      </c>
      <c r="AG1084" s="87" t="s">
        <v>3875</v>
      </c>
      <c r="AH1084" s="81" t="b">
        <v>0</v>
      </c>
      <c r="AI1084" s="81" t="s">
        <v>4092</v>
      </c>
      <c r="AJ1084" s="81"/>
      <c r="AK1084" s="87" t="s">
        <v>3875</v>
      </c>
      <c r="AL1084" s="81" t="b">
        <v>0</v>
      </c>
      <c r="AM1084" s="81">
        <v>0</v>
      </c>
      <c r="AN1084" s="87" t="s">
        <v>3875</v>
      </c>
      <c r="AO1084" s="87" t="s">
        <v>4109</v>
      </c>
      <c r="AP1084" s="81" t="b">
        <v>0</v>
      </c>
      <c r="AQ1084" s="87" t="s">
        <v>3418</v>
      </c>
      <c r="AR1084" s="81" t="s">
        <v>179</v>
      </c>
      <c r="AS1084" s="81">
        <v>0</v>
      </c>
      <c r="AT1084" s="81">
        <v>0</v>
      </c>
      <c r="AU1084" s="81"/>
      <c r="AV1084" s="81"/>
      <c r="AW1084" s="81"/>
      <c r="AX1084" s="81"/>
      <c r="AY1084" s="81"/>
      <c r="AZ1084" s="81"/>
      <c r="BA1084" s="81"/>
      <c r="BB1084" s="81"/>
    </row>
    <row r="1085" spans="1:54" x14ac:dyDescent="0.35">
      <c r="A1085" s="66" t="s">
        <v>862</v>
      </c>
      <c r="B1085" s="66" t="s">
        <v>1169</v>
      </c>
      <c r="C1085" s="67"/>
      <c r="D1085" s="68"/>
      <c r="E1085" s="69"/>
      <c r="F1085" s="70"/>
      <c r="G1085" s="67"/>
      <c r="H1085" s="71"/>
      <c r="I1085" s="72"/>
      <c r="J1085" s="72"/>
      <c r="K1085" s="36"/>
      <c r="L1085" s="79"/>
      <c r="M1085" s="79"/>
      <c r="N1085" s="74"/>
      <c r="O1085" s="81" t="s">
        <v>1208</v>
      </c>
      <c r="P1085" s="83">
        <v>44465.540868055556</v>
      </c>
      <c r="Q1085" s="81" t="s">
        <v>1563</v>
      </c>
      <c r="R1085" s="81"/>
      <c r="S1085" s="81"/>
      <c r="T1085" s="81"/>
      <c r="U1085" s="81"/>
      <c r="V1085" s="85" t="str">
        <f>HYPERLINK("https://pbs.twimg.com/profile_images/1415446454005473280/8YzjxGcB_normal.jpg")</f>
        <v>https://pbs.twimg.com/profile_images/1415446454005473280/8YzjxGcB_normal.jpg</v>
      </c>
      <c r="W1085" s="83">
        <v>44465.540868055556</v>
      </c>
      <c r="X1085" s="89">
        <v>44465</v>
      </c>
      <c r="Y1085" s="87" t="s">
        <v>2491</v>
      </c>
      <c r="Z1085" s="85" t="str">
        <f>HYPERLINK("https://twitter.com/daisycantikkk/status/1442111426852634626")</f>
        <v>https://twitter.com/daisycantikkk/status/1442111426852634626</v>
      </c>
      <c r="AA1085" s="81"/>
      <c r="AB1085" s="81"/>
      <c r="AC1085" s="87" t="s">
        <v>3419</v>
      </c>
      <c r="AD1085" s="87" t="s">
        <v>3823</v>
      </c>
      <c r="AE1085" s="81" t="b">
        <v>0</v>
      </c>
      <c r="AF1085" s="81">
        <v>0</v>
      </c>
      <c r="AG1085" s="87" t="s">
        <v>4039</v>
      </c>
      <c r="AH1085" s="81" t="b">
        <v>0</v>
      </c>
      <c r="AI1085" s="81" t="s">
        <v>4092</v>
      </c>
      <c r="AJ1085" s="81"/>
      <c r="AK1085" s="87" t="s">
        <v>3875</v>
      </c>
      <c r="AL1085" s="81" t="b">
        <v>0</v>
      </c>
      <c r="AM1085" s="81">
        <v>0</v>
      </c>
      <c r="AN1085" s="87" t="s">
        <v>3875</v>
      </c>
      <c r="AO1085" s="87" t="s">
        <v>4109</v>
      </c>
      <c r="AP1085" s="81" t="b">
        <v>0</v>
      </c>
      <c r="AQ1085" s="87" t="s">
        <v>3823</v>
      </c>
      <c r="AR1085" s="81" t="s">
        <v>179</v>
      </c>
      <c r="AS1085" s="81">
        <v>0</v>
      </c>
      <c r="AT1085" s="81">
        <v>0</v>
      </c>
      <c r="AU1085" s="81"/>
      <c r="AV1085" s="81"/>
      <c r="AW1085" s="81"/>
      <c r="AX1085" s="81"/>
      <c r="AY1085" s="81"/>
      <c r="AZ1085" s="81"/>
      <c r="BA1085" s="81"/>
      <c r="BB1085" s="81"/>
    </row>
    <row r="1086" spans="1:54" x14ac:dyDescent="0.35">
      <c r="A1086" s="66" t="s">
        <v>862</v>
      </c>
      <c r="B1086" s="66" t="s">
        <v>1070</v>
      </c>
      <c r="C1086" s="67"/>
      <c r="D1086" s="68"/>
      <c r="E1086" s="69"/>
      <c r="F1086" s="70"/>
      <c r="G1086" s="67"/>
      <c r="H1086" s="71"/>
      <c r="I1086" s="72"/>
      <c r="J1086" s="72"/>
      <c r="K1086" s="36"/>
      <c r="L1086" s="79"/>
      <c r="M1086" s="79"/>
      <c r="N1086" s="74"/>
      <c r="O1086" s="81" t="s">
        <v>1206</v>
      </c>
      <c r="P1086" s="83">
        <v>44465.540868055556</v>
      </c>
      <c r="Q1086" s="81" t="s">
        <v>1563</v>
      </c>
      <c r="R1086" s="81"/>
      <c r="S1086" s="81"/>
      <c r="T1086" s="81"/>
      <c r="U1086" s="81"/>
      <c r="V1086" s="85" t="str">
        <f>HYPERLINK("https://pbs.twimg.com/profile_images/1415446454005473280/8YzjxGcB_normal.jpg")</f>
        <v>https://pbs.twimg.com/profile_images/1415446454005473280/8YzjxGcB_normal.jpg</v>
      </c>
      <c r="W1086" s="83">
        <v>44465.540868055556</v>
      </c>
      <c r="X1086" s="89">
        <v>44465</v>
      </c>
      <c r="Y1086" s="87" t="s">
        <v>2491</v>
      </c>
      <c r="Z1086" s="85" t="str">
        <f>HYPERLINK("https://twitter.com/daisycantikkk/status/1442111426852634626")</f>
        <v>https://twitter.com/daisycantikkk/status/1442111426852634626</v>
      </c>
      <c r="AA1086" s="81"/>
      <c r="AB1086" s="81"/>
      <c r="AC1086" s="87" t="s">
        <v>3419</v>
      </c>
      <c r="AD1086" s="87" t="s">
        <v>3823</v>
      </c>
      <c r="AE1086" s="81" t="b">
        <v>0</v>
      </c>
      <c r="AF1086" s="81">
        <v>0</v>
      </c>
      <c r="AG1086" s="87" t="s">
        <v>4039</v>
      </c>
      <c r="AH1086" s="81" t="b">
        <v>0</v>
      </c>
      <c r="AI1086" s="81" t="s">
        <v>4092</v>
      </c>
      <c r="AJ1086" s="81"/>
      <c r="AK1086" s="87" t="s">
        <v>3875</v>
      </c>
      <c r="AL1086" s="81" t="b">
        <v>0</v>
      </c>
      <c r="AM1086" s="81">
        <v>0</v>
      </c>
      <c r="AN1086" s="87" t="s">
        <v>3875</v>
      </c>
      <c r="AO1086" s="87" t="s">
        <v>4109</v>
      </c>
      <c r="AP1086" s="81" t="b">
        <v>0</v>
      </c>
      <c r="AQ1086" s="87" t="s">
        <v>3823</v>
      </c>
      <c r="AR1086" s="81" t="s">
        <v>179</v>
      </c>
      <c r="AS1086" s="81">
        <v>0</v>
      </c>
      <c r="AT1086" s="81">
        <v>0</v>
      </c>
      <c r="AU1086" s="81"/>
      <c r="AV1086" s="81"/>
      <c r="AW1086" s="81"/>
      <c r="AX1086" s="81"/>
      <c r="AY1086" s="81"/>
      <c r="AZ1086" s="81"/>
      <c r="BA1086" s="81"/>
      <c r="BB1086" s="81"/>
    </row>
    <row r="1087" spans="1:54" x14ac:dyDescent="0.35">
      <c r="A1087" s="66" t="s">
        <v>863</v>
      </c>
      <c r="B1087" s="66" t="s">
        <v>863</v>
      </c>
      <c r="C1087" s="67"/>
      <c r="D1087" s="68"/>
      <c r="E1087" s="69"/>
      <c r="F1087" s="70"/>
      <c r="G1087" s="67"/>
      <c r="H1087" s="71"/>
      <c r="I1087" s="72"/>
      <c r="J1087" s="72"/>
      <c r="K1087" s="36"/>
      <c r="L1087" s="79"/>
      <c r="M1087" s="79"/>
      <c r="N1087" s="74"/>
      <c r="O1087" s="81" t="s">
        <v>179</v>
      </c>
      <c r="P1087" s="83">
        <v>44465.589282407411</v>
      </c>
      <c r="Q1087" s="81" t="s">
        <v>1564</v>
      </c>
      <c r="R1087" s="81"/>
      <c r="S1087" s="81"/>
      <c r="T1087" s="81"/>
      <c r="U1087" s="85" t="str">
        <f>HYPERLINK("https://pbs.twimg.com/media/FAN4pgQUYAQ75gF.jpg")</f>
        <v>https://pbs.twimg.com/media/FAN4pgQUYAQ75gF.jpg</v>
      </c>
      <c r="V1087" s="85" t="str">
        <f>HYPERLINK("https://pbs.twimg.com/media/FAN4pgQUYAQ75gF.jpg")</f>
        <v>https://pbs.twimg.com/media/FAN4pgQUYAQ75gF.jpg</v>
      </c>
      <c r="W1087" s="83">
        <v>44465.589282407411</v>
      </c>
      <c r="X1087" s="89">
        <v>44465</v>
      </c>
      <c r="Y1087" s="87" t="s">
        <v>2492</v>
      </c>
      <c r="Z1087" s="85" t="str">
        <f>HYPERLINK("https://twitter.com/putrisoesilo/status/1442128970997133312")</f>
        <v>https://twitter.com/putrisoesilo/status/1442128970997133312</v>
      </c>
      <c r="AA1087" s="81"/>
      <c r="AB1087" s="81"/>
      <c r="AC1087" s="87" t="s">
        <v>3420</v>
      </c>
      <c r="AD1087" s="81"/>
      <c r="AE1087" s="81" t="b">
        <v>0</v>
      </c>
      <c r="AF1087" s="81">
        <v>4</v>
      </c>
      <c r="AG1087" s="87" t="s">
        <v>3875</v>
      </c>
      <c r="AH1087" s="81" t="b">
        <v>0</v>
      </c>
      <c r="AI1087" s="81" t="s">
        <v>4092</v>
      </c>
      <c r="AJ1087" s="81"/>
      <c r="AK1087" s="87" t="s">
        <v>3875</v>
      </c>
      <c r="AL1087" s="81" t="b">
        <v>0</v>
      </c>
      <c r="AM1087" s="81">
        <v>0</v>
      </c>
      <c r="AN1087" s="87" t="s">
        <v>3875</v>
      </c>
      <c r="AO1087" s="87" t="s">
        <v>4110</v>
      </c>
      <c r="AP1087" s="81" t="b">
        <v>0</v>
      </c>
      <c r="AQ1087" s="87" t="s">
        <v>3420</v>
      </c>
      <c r="AR1087" s="81" t="s">
        <v>179</v>
      </c>
      <c r="AS1087" s="81">
        <v>0</v>
      </c>
      <c r="AT1087" s="81">
        <v>0</v>
      </c>
      <c r="AU1087" s="81"/>
      <c r="AV1087" s="81"/>
      <c r="AW1087" s="81"/>
      <c r="AX1087" s="81"/>
      <c r="AY1087" s="81"/>
      <c r="AZ1087" s="81"/>
      <c r="BA1087" s="81"/>
      <c r="BB1087" s="81"/>
    </row>
    <row r="1088" spans="1:54" x14ac:dyDescent="0.35">
      <c r="A1088" s="66" t="s">
        <v>864</v>
      </c>
      <c r="B1088" s="66" t="s">
        <v>865</v>
      </c>
      <c r="C1088" s="67"/>
      <c r="D1088" s="68"/>
      <c r="E1088" s="69"/>
      <c r="F1088" s="70"/>
      <c r="G1088" s="67"/>
      <c r="H1088" s="71"/>
      <c r="I1088" s="72"/>
      <c r="J1088" s="72"/>
      <c r="K1088" s="36"/>
      <c r="L1088" s="79"/>
      <c r="M1088" s="79"/>
      <c r="N1088" s="74"/>
      <c r="O1088" s="81" t="s">
        <v>1208</v>
      </c>
      <c r="P1088" s="83">
        <v>44465.573217592595</v>
      </c>
      <c r="Q1088" s="81" t="s">
        <v>1565</v>
      </c>
      <c r="R1088" s="81"/>
      <c r="S1088" s="81"/>
      <c r="T1088" s="81"/>
      <c r="U1088" s="81"/>
      <c r="V1088" s="85" t="str">
        <f>HYPERLINK("https://pbs.twimg.com/profile_images/1234886784170881027/1VGr6HZx_normal.jpg")</f>
        <v>https://pbs.twimg.com/profile_images/1234886784170881027/1VGr6HZx_normal.jpg</v>
      </c>
      <c r="W1088" s="83">
        <v>44465.573217592595</v>
      </c>
      <c r="X1088" s="89">
        <v>44465</v>
      </c>
      <c r="Y1088" s="87" t="s">
        <v>2493</v>
      </c>
      <c r="Z1088" s="85" t="str">
        <f>HYPERLINK("https://twitter.com/patipatigulipat/status/1442123147612811270")</f>
        <v>https://twitter.com/patipatigulipat/status/1442123147612811270</v>
      </c>
      <c r="AA1088" s="81"/>
      <c r="AB1088" s="81"/>
      <c r="AC1088" s="87" t="s">
        <v>3421</v>
      </c>
      <c r="AD1088" s="87" t="s">
        <v>3422</v>
      </c>
      <c r="AE1088" s="81" t="b">
        <v>0</v>
      </c>
      <c r="AF1088" s="81">
        <v>0</v>
      </c>
      <c r="AG1088" s="87" t="s">
        <v>4040</v>
      </c>
      <c r="AH1088" s="81" t="b">
        <v>0</v>
      </c>
      <c r="AI1088" s="81" t="s">
        <v>4092</v>
      </c>
      <c r="AJ1088" s="81"/>
      <c r="AK1088" s="87" t="s">
        <v>3875</v>
      </c>
      <c r="AL1088" s="81" t="b">
        <v>0</v>
      </c>
      <c r="AM1088" s="81">
        <v>0</v>
      </c>
      <c r="AN1088" s="87" t="s">
        <v>3875</v>
      </c>
      <c r="AO1088" s="87" t="s">
        <v>4110</v>
      </c>
      <c r="AP1088" s="81" t="b">
        <v>0</v>
      </c>
      <c r="AQ1088" s="87" t="s">
        <v>3422</v>
      </c>
      <c r="AR1088" s="81" t="s">
        <v>179</v>
      </c>
      <c r="AS1088" s="81">
        <v>0</v>
      </c>
      <c r="AT1088" s="81">
        <v>0</v>
      </c>
      <c r="AU1088" s="81"/>
      <c r="AV1088" s="81"/>
      <c r="AW1088" s="81"/>
      <c r="AX1088" s="81"/>
      <c r="AY1088" s="81"/>
      <c r="AZ1088" s="81"/>
      <c r="BA1088" s="81"/>
      <c r="BB1088" s="81"/>
    </row>
    <row r="1089" spans="1:54" x14ac:dyDescent="0.35">
      <c r="A1089" s="66" t="s">
        <v>865</v>
      </c>
      <c r="B1089" s="66" t="s">
        <v>864</v>
      </c>
      <c r="C1089" s="67"/>
      <c r="D1089" s="68"/>
      <c r="E1089" s="69"/>
      <c r="F1089" s="70"/>
      <c r="G1089" s="67"/>
      <c r="H1089" s="71"/>
      <c r="I1089" s="72"/>
      <c r="J1089" s="72"/>
      <c r="K1089" s="36"/>
      <c r="L1089" s="79"/>
      <c r="M1089" s="79"/>
      <c r="N1089" s="74"/>
      <c r="O1089" s="81" t="s">
        <v>1208</v>
      </c>
      <c r="P1089" s="83">
        <v>44465.499814814815</v>
      </c>
      <c r="Q1089" s="81" t="s">
        <v>1566</v>
      </c>
      <c r="R1089" s="81"/>
      <c r="S1089" s="81"/>
      <c r="T1089" s="81"/>
      <c r="U1089" s="81"/>
      <c r="V1089" s="85" t="str">
        <f>HYPERLINK("https://pbs.twimg.com/profile_images/1424006994474651661/okQY58r2_normal.jpg")</f>
        <v>https://pbs.twimg.com/profile_images/1424006994474651661/okQY58r2_normal.jpg</v>
      </c>
      <c r="W1089" s="83">
        <v>44465.499814814815</v>
      </c>
      <c r="X1089" s="89">
        <v>44465</v>
      </c>
      <c r="Y1089" s="87" t="s">
        <v>2494</v>
      </c>
      <c r="Z1089" s="85" t="str">
        <f>HYPERLINK("https://twitter.com/nindysm/status/1442096547357872134")</f>
        <v>https://twitter.com/nindysm/status/1442096547357872134</v>
      </c>
      <c r="AA1089" s="81"/>
      <c r="AB1089" s="81"/>
      <c r="AC1089" s="87" t="s">
        <v>3422</v>
      </c>
      <c r="AD1089" s="87" t="s">
        <v>3824</v>
      </c>
      <c r="AE1089" s="81" t="b">
        <v>0</v>
      </c>
      <c r="AF1089" s="81">
        <v>0</v>
      </c>
      <c r="AG1089" s="87" t="s">
        <v>4041</v>
      </c>
      <c r="AH1089" s="81" t="b">
        <v>0</v>
      </c>
      <c r="AI1089" s="81" t="s">
        <v>4092</v>
      </c>
      <c r="AJ1089" s="81"/>
      <c r="AK1089" s="87" t="s">
        <v>3875</v>
      </c>
      <c r="AL1089" s="81" t="b">
        <v>0</v>
      </c>
      <c r="AM1089" s="81">
        <v>0</v>
      </c>
      <c r="AN1089" s="87" t="s">
        <v>3875</v>
      </c>
      <c r="AO1089" s="87" t="s">
        <v>4110</v>
      </c>
      <c r="AP1089" s="81" t="b">
        <v>0</v>
      </c>
      <c r="AQ1089" s="87" t="s">
        <v>3824</v>
      </c>
      <c r="AR1089" s="81" t="s">
        <v>179</v>
      </c>
      <c r="AS1089" s="81">
        <v>0</v>
      </c>
      <c r="AT1089" s="81">
        <v>0</v>
      </c>
      <c r="AU1089" s="81"/>
      <c r="AV1089" s="81"/>
      <c r="AW1089" s="81"/>
      <c r="AX1089" s="81"/>
      <c r="AY1089" s="81"/>
      <c r="AZ1089" s="81"/>
      <c r="BA1089" s="81"/>
      <c r="BB1089" s="81"/>
    </row>
    <row r="1090" spans="1:54" x14ac:dyDescent="0.35">
      <c r="A1090" s="66" t="s">
        <v>865</v>
      </c>
      <c r="B1090" s="66" t="s">
        <v>864</v>
      </c>
      <c r="C1090" s="67"/>
      <c r="D1090" s="68"/>
      <c r="E1090" s="69"/>
      <c r="F1090" s="70"/>
      <c r="G1090" s="67"/>
      <c r="H1090" s="71"/>
      <c r="I1090" s="72"/>
      <c r="J1090" s="72"/>
      <c r="K1090" s="36"/>
      <c r="L1090" s="79"/>
      <c r="M1090" s="79"/>
      <c r="N1090" s="74"/>
      <c r="O1090" s="81" t="s">
        <v>1208</v>
      </c>
      <c r="P1090" s="83">
        <v>44465.59710648148</v>
      </c>
      <c r="Q1090" s="81" t="s">
        <v>1567</v>
      </c>
      <c r="R1090" s="81"/>
      <c r="S1090" s="81"/>
      <c r="T1090" s="81"/>
      <c r="U1090" s="81"/>
      <c r="V1090" s="85" t="str">
        <f>HYPERLINK("https://pbs.twimg.com/profile_images/1424006994474651661/okQY58r2_normal.jpg")</f>
        <v>https://pbs.twimg.com/profile_images/1424006994474651661/okQY58r2_normal.jpg</v>
      </c>
      <c r="W1090" s="83">
        <v>44465.59710648148</v>
      </c>
      <c r="X1090" s="89">
        <v>44465</v>
      </c>
      <c r="Y1090" s="87" t="s">
        <v>2495</v>
      </c>
      <c r="Z1090" s="85" t="str">
        <f>HYPERLINK("https://twitter.com/nindysm/status/1442131805230952456")</f>
        <v>https://twitter.com/nindysm/status/1442131805230952456</v>
      </c>
      <c r="AA1090" s="81"/>
      <c r="AB1090" s="81"/>
      <c r="AC1090" s="87" t="s">
        <v>3423</v>
      </c>
      <c r="AD1090" s="87" t="s">
        <v>3421</v>
      </c>
      <c r="AE1090" s="81" t="b">
        <v>0</v>
      </c>
      <c r="AF1090" s="81">
        <v>0</v>
      </c>
      <c r="AG1090" s="87" t="s">
        <v>4041</v>
      </c>
      <c r="AH1090" s="81" t="b">
        <v>0</v>
      </c>
      <c r="AI1090" s="81" t="s">
        <v>4092</v>
      </c>
      <c r="AJ1090" s="81"/>
      <c r="AK1090" s="87" t="s">
        <v>3875</v>
      </c>
      <c r="AL1090" s="81" t="b">
        <v>0</v>
      </c>
      <c r="AM1090" s="81">
        <v>0</v>
      </c>
      <c r="AN1090" s="87" t="s">
        <v>3875</v>
      </c>
      <c r="AO1090" s="87" t="s">
        <v>4110</v>
      </c>
      <c r="AP1090" s="81" t="b">
        <v>0</v>
      </c>
      <c r="AQ1090" s="87" t="s">
        <v>3421</v>
      </c>
      <c r="AR1090" s="81" t="s">
        <v>179</v>
      </c>
      <c r="AS1090" s="81">
        <v>0</v>
      </c>
      <c r="AT1090" s="81">
        <v>0</v>
      </c>
      <c r="AU1090" s="81"/>
      <c r="AV1090" s="81"/>
      <c r="AW1090" s="81"/>
      <c r="AX1090" s="81"/>
      <c r="AY1090" s="81"/>
      <c r="AZ1090" s="81"/>
      <c r="BA1090" s="81"/>
      <c r="BB1090" s="81"/>
    </row>
    <row r="1091" spans="1:54" x14ac:dyDescent="0.35">
      <c r="A1091" s="66" t="s">
        <v>866</v>
      </c>
      <c r="B1091" s="66" t="s">
        <v>1070</v>
      </c>
      <c r="C1091" s="67"/>
      <c r="D1091" s="68"/>
      <c r="E1091" s="69"/>
      <c r="F1091" s="70"/>
      <c r="G1091" s="67"/>
      <c r="H1091" s="71"/>
      <c r="I1091" s="72"/>
      <c r="J1091" s="72"/>
      <c r="K1091" s="36"/>
      <c r="L1091" s="79"/>
      <c r="M1091" s="79"/>
      <c r="N1091" s="74"/>
      <c r="O1091" s="81" t="s">
        <v>1208</v>
      </c>
      <c r="P1091" s="83">
        <v>44465.60728009259</v>
      </c>
      <c r="Q1091" s="81" t="s">
        <v>1568</v>
      </c>
      <c r="R1091" s="81"/>
      <c r="S1091" s="81"/>
      <c r="T1091" s="81"/>
      <c r="U1091" s="81"/>
      <c r="V1091" s="85" t="str">
        <f>HYPERLINK("https://pbs.twimg.com/profile_images/1442134018347003904/g9Z7ZSTV_normal.jpg")</f>
        <v>https://pbs.twimg.com/profile_images/1442134018347003904/g9Z7ZSTV_normal.jpg</v>
      </c>
      <c r="W1091" s="83">
        <v>44465.60728009259</v>
      </c>
      <c r="X1091" s="89">
        <v>44465</v>
      </c>
      <c r="Y1091" s="87" t="s">
        <v>2496</v>
      </c>
      <c r="Z1091" s="85" t="str">
        <f>HYPERLINK("https://twitter.com/almqst/status/1442135493886369797")</f>
        <v>https://twitter.com/almqst/status/1442135493886369797</v>
      </c>
      <c r="AA1091" s="81"/>
      <c r="AB1091" s="81"/>
      <c r="AC1091" s="87" t="s">
        <v>3424</v>
      </c>
      <c r="AD1091" s="87" t="s">
        <v>3825</v>
      </c>
      <c r="AE1091" s="81" t="b">
        <v>0</v>
      </c>
      <c r="AF1091" s="81">
        <v>0</v>
      </c>
      <c r="AG1091" s="87" t="s">
        <v>4042</v>
      </c>
      <c r="AH1091" s="81" t="b">
        <v>0</v>
      </c>
      <c r="AI1091" s="81" t="s">
        <v>4092</v>
      </c>
      <c r="AJ1091" s="81"/>
      <c r="AK1091" s="87" t="s">
        <v>3875</v>
      </c>
      <c r="AL1091" s="81" t="b">
        <v>0</v>
      </c>
      <c r="AM1091" s="81">
        <v>0</v>
      </c>
      <c r="AN1091" s="87" t="s">
        <v>3875</v>
      </c>
      <c r="AO1091" s="87" t="s">
        <v>4109</v>
      </c>
      <c r="AP1091" s="81" t="b">
        <v>0</v>
      </c>
      <c r="AQ1091" s="87" t="s">
        <v>3825</v>
      </c>
      <c r="AR1091" s="81" t="s">
        <v>179</v>
      </c>
      <c r="AS1091" s="81">
        <v>0</v>
      </c>
      <c r="AT1091" s="81">
        <v>0</v>
      </c>
      <c r="AU1091" s="81"/>
      <c r="AV1091" s="81"/>
      <c r="AW1091" s="81"/>
      <c r="AX1091" s="81"/>
      <c r="AY1091" s="81"/>
      <c r="AZ1091" s="81"/>
      <c r="BA1091" s="81"/>
      <c r="BB1091" s="81"/>
    </row>
    <row r="1092" spans="1:54" x14ac:dyDescent="0.35">
      <c r="A1092" s="66" t="s">
        <v>867</v>
      </c>
      <c r="B1092" s="66" t="s">
        <v>1170</v>
      </c>
      <c r="C1092" s="67"/>
      <c r="D1092" s="68"/>
      <c r="E1092" s="69"/>
      <c r="F1092" s="70"/>
      <c r="G1092" s="67"/>
      <c r="H1092" s="71"/>
      <c r="I1092" s="72"/>
      <c r="J1092" s="72"/>
      <c r="K1092" s="36"/>
      <c r="L1092" s="79"/>
      <c r="M1092" s="79"/>
      <c r="N1092" s="74"/>
      <c r="O1092" s="81" t="s">
        <v>1206</v>
      </c>
      <c r="P1092" s="83">
        <v>44465.624293981484</v>
      </c>
      <c r="Q1092" s="81" t="s">
        <v>1569</v>
      </c>
      <c r="R1092" s="81"/>
      <c r="S1092" s="81"/>
      <c r="T1092" s="81"/>
      <c r="U1092" s="81"/>
      <c r="V1092" s="85" t="str">
        <f>HYPERLINK("https://pbs.twimg.com/profile_images/1420548000745623556/olanVH2H_normal.jpg")</f>
        <v>https://pbs.twimg.com/profile_images/1420548000745623556/olanVH2H_normal.jpg</v>
      </c>
      <c r="W1092" s="83">
        <v>44465.624293981484</v>
      </c>
      <c r="X1092" s="89">
        <v>44465</v>
      </c>
      <c r="Y1092" s="87" t="s">
        <v>2497</v>
      </c>
      <c r="Z1092" s="85" t="str">
        <f>HYPERLINK("https://twitter.com/darthvader7007/status/1442141658305363971")</f>
        <v>https://twitter.com/darthvader7007/status/1442141658305363971</v>
      </c>
      <c r="AA1092" s="81"/>
      <c r="AB1092" s="81"/>
      <c r="AC1092" s="87" t="s">
        <v>3425</v>
      </c>
      <c r="AD1092" s="87" t="s">
        <v>3826</v>
      </c>
      <c r="AE1092" s="81" t="b">
        <v>0</v>
      </c>
      <c r="AF1092" s="81">
        <v>2</v>
      </c>
      <c r="AG1092" s="87" t="s">
        <v>4043</v>
      </c>
      <c r="AH1092" s="81" t="b">
        <v>0</v>
      </c>
      <c r="AI1092" s="81" t="s">
        <v>4092</v>
      </c>
      <c r="AJ1092" s="81"/>
      <c r="AK1092" s="87" t="s">
        <v>3875</v>
      </c>
      <c r="AL1092" s="81" t="b">
        <v>0</v>
      </c>
      <c r="AM1092" s="81">
        <v>0</v>
      </c>
      <c r="AN1092" s="87" t="s">
        <v>3875</v>
      </c>
      <c r="AO1092" s="87" t="s">
        <v>4109</v>
      </c>
      <c r="AP1092" s="81" t="b">
        <v>0</v>
      </c>
      <c r="AQ1092" s="87" t="s">
        <v>3826</v>
      </c>
      <c r="AR1092" s="81" t="s">
        <v>179</v>
      </c>
      <c r="AS1092" s="81">
        <v>0</v>
      </c>
      <c r="AT1092" s="81">
        <v>0</v>
      </c>
      <c r="AU1092" s="81"/>
      <c r="AV1092" s="81"/>
      <c r="AW1092" s="81"/>
      <c r="AX1092" s="81"/>
      <c r="AY1092" s="81"/>
      <c r="AZ1092" s="81"/>
      <c r="BA1092" s="81"/>
      <c r="BB1092" s="81"/>
    </row>
    <row r="1093" spans="1:54" x14ac:dyDescent="0.35">
      <c r="A1093" s="66" t="s">
        <v>867</v>
      </c>
      <c r="B1093" s="66" t="s">
        <v>1171</v>
      </c>
      <c r="C1093" s="67"/>
      <c r="D1093" s="68"/>
      <c r="E1093" s="69"/>
      <c r="F1093" s="70"/>
      <c r="G1093" s="67"/>
      <c r="H1093" s="71"/>
      <c r="I1093" s="72"/>
      <c r="J1093" s="72"/>
      <c r="K1093" s="36"/>
      <c r="L1093" s="79"/>
      <c r="M1093" s="79"/>
      <c r="N1093" s="74"/>
      <c r="O1093" s="81" t="s">
        <v>1206</v>
      </c>
      <c r="P1093" s="83">
        <v>44465.624293981484</v>
      </c>
      <c r="Q1093" s="81" t="s">
        <v>1569</v>
      </c>
      <c r="R1093" s="81"/>
      <c r="S1093" s="81"/>
      <c r="T1093" s="81"/>
      <c r="U1093" s="81"/>
      <c r="V1093" s="85" t="str">
        <f>HYPERLINK("https://pbs.twimg.com/profile_images/1420548000745623556/olanVH2H_normal.jpg")</f>
        <v>https://pbs.twimg.com/profile_images/1420548000745623556/olanVH2H_normal.jpg</v>
      </c>
      <c r="W1093" s="83">
        <v>44465.624293981484</v>
      </c>
      <c r="X1093" s="89">
        <v>44465</v>
      </c>
      <c r="Y1093" s="87" t="s">
        <v>2497</v>
      </c>
      <c r="Z1093" s="85" t="str">
        <f>HYPERLINK("https://twitter.com/darthvader7007/status/1442141658305363971")</f>
        <v>https://twitter.com/darthvader7007/status/1442141658305363971</v>
      </c>
      <c r="AA1093" s="81"/>
      <c r="AB1093" s="81"/>
      <c r="AC1093" s="87" t="s">
        <v>3425</v>
      </c>
      <c r="AD1093" s="87" t="s">
        <v>3826</v>
      </c>
      <c r="AE1093" s="81" t="b">
        <v>0</v>
      </c>
      <c r="AF1093" s="81">
        <v>2</v>
      </c>
      <c r="AG1093" s="87" t="s">
        <v>4043</v>
      </c>
      <c r="AH1093" s="81" t="b">
        <v>0</v>
      </c>
      <c r="AI1093" s="81" t="s">
        <v>4092</v>
      </c>
      <c r="AJ1093" s="81"/>
      <c r="AK1093" s="87" t="s">
        <v>3875</v>
      </c>
      <c r="AL1093" s="81" t="b">
        <v>0</v>
      </c>
      <c r="AM1093" s="81">
        <v>0</v>
      </c>
      <c r="AN1093" s="87" t="s">
        <v>3875</v>
      </c>
      <c r="AO1093" s="87" t="s">
        <v>4109</v>
      </c>
      <c r="AP1093" s="81" t="b">
        <v>0</v>
      </c>
      <c r="AQ1093" s="87" t="s">
        <v>3826</v>
      </c>
      <c r="AR1093" s="81" t="s">
        <v>179</v>
      </c>
      <c r="AS1093" s="81">
        <v>0</v>
      </c>
      <c r="AT1093" s="81">
        <v>0</v>
      </c>
      <c r="AU1093" s="81"/>
      <c r="AV1093" s="81"/>
      <c r="AW1093" s="81"/>
      <c r="AX1093" s="81"/>
      <c r="AY1093" s="81"/>
      <c r="AZ1093" s="81"/>
      <c r="BA1093" s="81"/>
      <c r="BB1093" s="81"/>
    </row>
    <row r="1094" spans="1:54" x14ac:dyDescent="0.35">
      <c r="A1094" s="66" t="s">
        <v>867</v>
      </c>
      <c r="B1094" s="66" t="s">
        <v>1172</v>
      </c>
      <c r="C1094" s="67"/>
      <c r="D1094" s="68"/>
      <c r="E1094" s="69"/>
      <c r="F1094" s="70"/>
      <c r="G1094" s="67"/>
      <c r="H1094" s="71"/>
      <c r="I1094" s="72"/>
      <c r="J1094" s="72"/>
      <c r="K1094" s="36"/>
      <c r="L1094" s="79"/>
      <c r="M1094" s="79"/>
      <c r="N1094" s="74"/>
      <c r="O1094" s="81" t="s">
        <v>1208</v>
      </c>
      <c r="P1094" s="83">
        <v>44465.624293981484</v>
      </c>
      <c r="Q1094" s="81" t="s">
        <v>1569</v>
      </c>
      <c r="R1094" s="81"/>
      <c r="S1094" s="81"/>
      <c r="T1094" s="81"/>
      <c r="U1094" s="81"/>
      <c r="V1094" s="85" t="str">
        <f>HYPERLINK("https://pbs.twimg.com/profile_images/1420548000745623556/olanVH2H_normal.jpg")</f>
        <v>https://pbs.twimg.com/profile_images/1420548000745623556/olanVH2H_normal.jpg</v>
      </c>
      <c r="W1094" s="83">
        <v>44465.624293981484</v>
      </c>
      <c r="X1094" s="89">
        <v>44465</v>
      </c>
      <c r="Y1094" s="87" t="s">
        <v>2497</v>
      </c>
      <c r="Z1094" s="85" t="str">
        <f>HYPERLINK("https://twitter.com/darthvader7007/status/1442141658305363971")</f>
        <v>https://twitter.com/darthvader7007/status/1442141658305363971</v>
      </c>
      <c r="AA1094" s="81"/>
      <c r="AB1094" s="81"/>
      <c r="AC1094" s="87" t="s">
        <v>3425</v>
      </c>
      <c r="AD1094" s="87" t="s">
        <v>3826</v>
      </c>
      <c r="AE1094" s="81" t="b">
        <v>0</v>
      </c>
      <c r="AF1094" s="81">
        <v>2</v>
      </c>
      <c r="AG1094" s="87" t="s">
        <v>4043</v>
      </c>
      <c r="AH1094" s="81" t="b">
        <v>0</v>
      </c>
      <c r="AI1094" s="81" t="s">
        <v>4092</v>
      </c>
      <c r="AJ1094" s="81"/>
      <c r="AK1094" s="87" t="s">
        <v>3875</v>
      </c>
      <c r="AL1094" s="81" t="b">
        <v>0</v>
      </c>
      <c r="AM1094" s="81">
        <v>0</v>
      </c>
      <c r="AN1094" s="87" t="s">
        <v>3875</v>
      </c>
      <c r="AO1094" s="87" t="s">
        <v>4109</v>
      </c>
      <c r="AP1094" s="81" t="b">
        <v>0</v>
      </c>
      <c r="AQ1094" s="87" t="s">
        <v>3826</v>
      </c>
      <c r="AR1094" s="81" t="s">
        <v>179</v>
      </c>
      <c r="AS1094" s="81">
        <v>0</v>
      </c>
      <c r="AT1094" s="81">
        <v>0</v>
      </c>
      <c r="AU1094" s="81"/>
      <c r="AV1094" s="81"/>
      <c r="AW1094" s="81"/>
      <c r="AX1094" s="81"/>
      <c r="AY1094" s="81"/>
      <c r="AZ1094" s="81"/>
      <c r="BA1094" s="81"/>
      <c r="BB1094" s="81"/>
    </row>
    <row r="1095" spans="1:54" x14ac:dyDescent="0.35">
      <c r="A1095" s="66" t="s">
        <v>868</v>
      </c>
      <c r="B1095" s="66" t="s">
        <v>868</v>
      </c>
      <c r="C1095" s="67"/>
      <c r="D1095" s="68"/>
      <c r="E1095" s="69"/>
      <c r="F1095" s="70"/>
      <c r="G1095" s="67"/>
      <c r="H1095" s="71"/>
      <c r="I1095" s="72"/>
      <c r="J1095" s="72"/>
      <c r="K1095" s="36"/>
      <c r="L1095" s="79"/>
      <c r="M1095" s="79"/>
      <c r="N1095" s="74"/>
      <c r="O1095" s="81" t="s">
        <v>179</v>
      </c>
      <c r="P1095" s="83">
        <v>44465.63113425926</v>
      </c>
      <c r="Q1095" s="81" t="s">
        <v>1570</v>
      </c>
      <c r="R1095" s="81"/>
      <c r="S1095" s="81"/>
      <c r="T1095" s="81"/>
      <c r="U1095" s="81"/>
      <c r="V1095" s="85" t="str">
        <f>HYPERLINK("https://pbs.twimg.com/profile_images/1442139283658137605/8X5oJDXw_normal.jpg")</f>
        <v>https://pbs.twimg.com/profile_images/1442139283658137605/8X5oJDXw_normal.jpg</v>
      </c>
      <c r="W1095" s="83">
        <v>44465.63113425926</v>
      </c>
      <c r="X1095" s="89">
        <v>44465</v>
      </c>
      <c r="Y1095" s="87" t="s">
        <v>2498</v>
      </c>
      <c r="Z1095" s="85" t="str">
        <f>HYPERLINK("https://twitter.com/mooncerries/status/1442144136153341958")</f>
        <v>https://twitter.com/mooncerries/status/1442144136153341958</v>
      </c>
      <c r="AA1095" s="81"/>
      <c r="AB1095" s="81"/>
      <c r="AC1095" s="87" t="s">
        <v>3426</v>
      </c>
      <c r="AD1095" s="81"/>
      <c r="AE1095" s="81" t="b">
        <v>0</v>
      </c>
      <c r="AF1095" s="81">
        <v>0</v>
      </c>
      <c r="AG1095" s="87" t="s">
        <v>3875</v>
      </c>
      <c r="AH1095" s="81" t="b">
        <v>0</v>
      </c>
      <c r="AI1095" s="81" t="s">
        <v>4092</v>
      </c>
      <c r="AJ1095" s="81"/>
      <c r="AK1095" s="87" t="s">
        <v>3875</v>
      </c>
      <c r="AL1095" s="81" t="b">
        <v>0</v>
      </c>
      <c r="AM1095" s="81">
        <v>0</v>
      </c>
      <c r="AN1095" s="87" t="s">
        <v>3875</v>
      </c>
      <c r="AO1095" s="87" t="s">
        <v>4109</v>
      </c>
      <c r="AP1095" s="81" t="b">
        <v>0</v>
      </c>
      <c r="AQ1095" s="87" t="s">
        <v>3426</v>
      </c>
      <c r="AR1095" s="81" t="s">
        <v>179</v>
      </c>
      <c r="AS1095" s="81">
        <v>0</v>
      </c>
      <c r="AT1095" s="81">
        <v>0</v>
      </c>
      <c r="AU1095" s="81"/>
      <c r="AV1095" s="81"/>
      <c r="AW1095" s="81"/>
      <c r="AX1095" s="81"/>
      <c r="AY1095" s="81"/>
      <c r="AZ1095" s="81"/>
      <c r="BA1095" s="81"/>
      <c r="BB1095" s="81"/>
    </row>
    <row r="1096" spans="1:54" x14ac:dyDescent="0.35">
      <c r="A1096" s="66" t="s">
        <v>869</v>
      </c>
      <c r="B1096" s="66" t="s">
        <v>1173</v>
      </c>
      <c r="C1096" s="67"/>
      <c r="D1096" s="68"/>
      <c r="E1096" s="69"/>
      <c r="F1096" s="70"/>
      <c r="G1096" s="67"/>
      <c r="H1096" s="71"/>
      <c r="I1096" s="72"/>
      <c r="J1096" s="72"/>
      <c r="K1096" s="36"/>
      <c r="L1096" s="79"/>
      <c r="M1096" s="79"/>
      <c r="N1096" s="74"/>
      <c r="O1096" s="81" t="s">
        <v>1208</v>
      </c>
      <c r="P1096" s="83">
        <v>44465.64806712963</v>
      </c>
      <c r="Q1096" s="81" t="s">
        <v>1571</v>
      </c>
      <c r="R1096" s="81"/>
      <c r="S1096" s="81"/>
      <c r="T1096" s="81"/>
      <c r="U1096" s="81"/>
      <c r="V1096" s="85" t="str">
        <f>HYPERLINK("https://pbs.twimg.com/profile_images/1427976134235287552/9M7aqoCb_normal.jpg")</f>
        <v>https://pbs.twimg.com/profile_images/1427976134235287552/9M7aqoCb_normal.jpg</v>
      </c>
      <c r="W1096" s="83">
        <v>44465.64806712963</v>
      </c>
      <c r="X1096" s="89">
        <v>44465</v>
      </c>
      <c r="Y1096" s="87" t="s">
        <v>2499</v>
      </c>
      <c r="Z1096" s="85" t="str">
        <f>HYPERLINK("https://twitter.com/dinbaww/status/1442150270520020997")</f>
        <v>https://twitter.com/dinbaww/status/1442150270520020997</v>
      </c>
      <c r="AA1096" s="81"/>
      <c r="AB1096" s="81"/>
      <c r="AC1096" s="87" t="s">
        <v>3427</v>
      </c>
      <c r="AD1096" s="87" t="s">
        <v>3827</v>
      </c>
      <c r="AE1096" s="81" t="b">
        <v>0</v>
      </c>
      <c r="AF1096" s="81">
        <v>0</v>
      </c>
      <c r="AG1096" s="87" t="s">
        <v>4044</v>
      </c>
      <c r="AH1096" s="81" t="b">
        <v>0</v>
      </c>
      <c r="AI1096" s="81" t="s">
        <v>4092</v>
      </c>
      <c r="AJ1096" s="81"/>
      <c r="AK1096" s="87" t="s">
        <v>3875</v>
      </c>
      <c r="AL1096" s="81" t="b">
        <v>0</v>
      </c>
      <c r="AM1096" s="81">
        <v>0</v>
      </c>
      <c r="AN1096" s="87" t="s">
        <v>3875</v>
      </c>
      <c r="AO1096" s="87" t="s">
        <v>4110</v>
      </c>
      <c r="AP1096" s="81" t="b">
        <v>0</v>
      </c>
      <c r="AQ1096" s="87" t="s">
        <v>3827</v>
      </c>
      <c r="AR1096" s="81" t="s">
        <v>179</v>
      </c>
      <c r="AS1096" s="81">
        <v>0</v>
      </c>
      <c r="AT1096" s="81">
        <v>0</v>
      </c>
      <c r="AU1096" s="81"/>
      <c r="AV1096" s="81"/>
      <c r="AW1096" s="81"/>
      <c r="AX1096" s="81"/>
      <c r="AY1096" s="81"/>
      <c r="AZ1096" s="81"/>
      <c r="BA1096" s="81"/>
      <c r="BB1096" s="81"/>
    </row>
    <row r="1097" spans="1:54" x14ac:dyDescent="0.35">
      <c r="A1097" s="66" t="s">
        <v>870</v>
      </c>
      <c r="B1097" s="66" t="s">
        <v>1045</v>
      </c>
      <c r="C1097" s="67"/>
      <c r="D1097" s="68"/>
      <c r="E1097" s="69"/>
      <c r="F1097" s="70"/>
      <c r="G1097" s="67"/>
      <c r="H1097" s="71"/>
      <c r="I1097" s="72"/>
      <c r="J1097" s="72"/>
      <c r="K1097" s="36"/>
      <c r="L1097" s="79"/>
      <c r="M1097" s="79"/>
      <c r="N1097" s="74"/>
      <c r="O1097" s="81" t="s">
        <v>1208</v>
      </c>
      <c r="P1097" s="83">
        <v>44465.66847222222</v>
      </c>
      <c r="Q1097" s="81" t="s">
        <v>1572</v>
      </c>
      <c r="R1097" s="81"/>
      <c r="S1097" s="81"/>
      <c r="T1097" s="81"/>
      <c r="U1097" s="81"/>
      <c r="V1097" s="85" t="str">
        <f>HYPERLINK("https://pbs.twimg.com/profile_images/1381664112225087489/IxSezCCa_normal.jpg")</f>
        <v>https://pbs.twimg.com/profile_images/1381664112225087489/IxSezCCa_normal.jpg</v>
      </c>
      <c r="W1097" s="83">
        <v>44465.66847222222</v>
      </c>
      <c r="X1097" s="89">
        <v>44465</v>
      </c>
      <c r="Y1097" s="87" t="s">
        <v>2500</v>
      </c>
      <c r="Z1097" s="85" t="str">
        <f>HYPERLINK("https://twitter.com/hazzelnutcoklat/status/1442157667569397763")</f>
        <v>https://twitter.com/hazzelnutcoklat/status/1442157667569397763</v>
      </c>
      <c r="AA1097" s="81"/>
      <c r="AB1097" s="81"/>
      <c r="AC1097" s="87" t="s">
        <v>3428</v>
      </c>
      <c r="AD1097" s="87" t="s">
        <v>3828</v>
      </c>
      <c r="AE1097" s="81" t="b">
        <v>0</v>
      </c>
      <c r="AF1097" s="81">
        <v>0</v>
      </c>
      <c r="AG1097" s="87" t="s">
        <v>4045</v>
      </c>
      <c r="AH1097" s="81" t="b">
        <v>0</v>
      </c>
      <c r="AI1097" s="81" t="s">
        <v>4095</v>
      </c>
      <c r="AJ1097" s="81"/>
      <c r="AK1097" s="87" t="s">
        <v>3875</v>
      </c>
      <c r="AL1097" s="81" t="b">
        <v>0</v>
      </c>
      <c r="AM1097" s="81">
        <v>0</v>
      </c>
      <c r="AN1097" s="87" t="s">
        <v>3875</v>
      </c>
      <c r="AO1097" s="87" t="s">
        <v>4109</v>
      </c>
      <c r="AP1097" s="81" t="b">
        <v>0</v>
      </c>
      <c r="AQ1097" s="87" t="s">
        <v>3828</v>
      </c>
      <c r="AR1097" s="81" t="s">
        <v>179</v>
      </c>
      <c r="AS1097" s="81">
        <v>0</v>
      </c>
      <c r="AT1097" s="81">
        <v>0</v>
      </c>
      <c r="AU1097" s="81"/>
      <c r="AV1097" s="81"/>
      <c r="AW1097" s="81"/>
      <c r="AX1097" s="81"/>
      <c r="AY1097" s="81"/>
      <c r="AZ1097" s="81"/>
      <c r="BA1097" s="81"/>
      <c r="BB1097" s="81"/>
    </row>
    <row r="1098" spans="1:54" x14ac:dyDescent="0.35">
      <c r="A1098" s="66" t="s">
        <v>871</v>
      </c>
      <c r="B1098" s="66" t="s">
        <v>871</v>
      </c>
      <c r="C1098" s="67"/>
      <c r="D1098" s="68"/>
      <c r="E1098" s="69"/>
      <c r="F1098" s="70"/>
      <c r="G1098" s="67"/>
      <c r="H1098" s="71"/>
      <c r="I1098" s="72"/>
      <c r="J1098" s="72"/>
      <c r="K1098" s="36"/>
      <c r="L1098" s="79"/>
      <c r="M1098" s="79"/>
      <c r="N1098" s="74"/>
      <c r="O1098" s="81" t="s">
        <v>179</v>
      </c>
      <c r="P1098" s="83">
        <v>44465.669398148151</v>
      </c>
      <c r="Q1098" s="81" t="s">
        <v>1573</v>
      </c>
      <c r="R1098" s="85" t="str">
        <f>HYPERLINK("https://twitter.com/VICE_ID/status/1442157130581102596")</f>
        <v>https://twitter.com/VICE_ID/status/1442157130581102596</v>
      </c>
      <c r="S1098" s="81" t="s">
        <v>1731</v>
      </c>
      <c r="T1098" s="81"/>
      <c r="U1098" s="81"/>
      <c r="V1098" s="85" t="str">
        <f>HYPERLINK("https://pbs.twimg.com/profile_images/1235915960877322241/PhWe6COT_normal.jpg")</f>
        <v>https://pbs.twimg.com/profile_images/1235915960877322241/PhWe6COT_normal.jpg</v>
      </c>
      <c r="W1098" s="83">
        <v>44465.669398148151</v>
      </c>
      <c r="X1098" s="89">
        <v>44465</v>
      </c>
      <c r="Y1098" s="87" t="s">
        <v>2501</v>
      </c>
      <c r="Z1098" s="85" t="str">
        <f>HYPERLINK("https://twitter.com/robertoromario6/status/1442158004078477324")</f>
        <v>https://twitter.com/robertoromario6/status/1442158004078477324</v>
      </c>
      <c r="AA1098" s="81"/>
      <c r="AB1098" s="81"/>
      <c r="AC1098" s="87" t="s">
        <v>3429</v>
      </c>
      <c r="AD1098" s="81"/>
      <c r="AE1098" s="81" t="b">
        <v>0</v>
      </c>
      <c r="AF1098" s="81">
        <v>0</v>
      </c>
      <c r="AG1098" s="87" t="s">
        <v>3875</v>
      </c>
      <c r="AH1098" s="81" t="b">
        <v>1</v>
      </c>
      <c r="AI1098" s="81" t="s">
        <v>4092</v>
      </c>
      <c r="AJ1098" s="81"/>
      <c r="AK1098" s="87" t="s">
        <v>4105</v>
      </c>
      <c r="AL1098" s="81" t="b">
        <v>0</v>
      </c>
      <c r="AM1098" s="81">
        <v>0</v>
      </c>
      <c r="AN1098" s="87" t="s">
        <v>3875</v>
      </c>
      <c r="AO1098" s="87" t="s">
        <v>4111</v>
      </c>
      <c r="AP1098" s="81" t="b">
        <v>0</v>
      </c>
      <c r="AQ1098" s="87" t="s">
        <v>3429</v>
      </c>
      <c r="AR1098" s="81" t="s">
        <v>179</v>
      </c>
      <c r="AS1098" s="81">
        <v>0</v>
      </c>
      <c r="AT1098" s="81">
        <v>0</v>
      </c>
      <c r="AU1098" s="81"/>
      <c r="AV1098" s="81"/>
      <c r="AW1098" s="81"/>
      <c r="AX1098" s="81"/>
      <c r="AY1098" s="81"/>
      <c r="AZ1098" s="81"/>
      <c r="BA1098" s="81"/>
      <c r="BB1098" s="81"/>
    </row>
    <row r="1099" spans="1:54" x14ac:dyDescent="0.35">
      <c r="A1099" s="66" t="s">
        <v>872</v>
      </c>
      <c r="B1099" s="66" t="s">
        <v>872</v>
      </c>
      <c r="C1099" s="67"/>
      <c r="D1099" s="68"/>
      <c r="E1099" s="69"/>
      <c r="F1099" s="70"/>
      <c r="G1099" s="67"/>
      <c r="H1099" s="71"/>
      <c r="I1099" s="72"/>
      <c r="J1099" s="72"/>
      <c r="K1099" s="36"/>
      <c r="L1099" s="79"/>
      <c r="M1099" s="79"/>
      <c r="N1099" s="74"/>
      <c r="O1099" s="81" t="s">
        <v>179</v>
      </c>
      <c r="P1099" s="83">
        <v>44465.721215277779</v>
      </c>
      <c r="Q1099" s="81" t="s">
        <v>1574</v>
      </c>
      <c r="R1099" s="85" t="str">
        <f>HYPERLINK("https://twitter.com/Sakirrss/status/1442148580232335360")</f>
        <v>https://twitter.com/Sakirrss/status/1442148580232335360</v>
      </c>
      <c r="S1099" s="81" t="s">
        <v>1731</v>
      </c>
      <c r="T1099" s="81"/>
      <c r="U1099" s="81"/>
      <c r="V1099" s="85" t="str">
        <f>HYPERLINK("https://pbs.twimg.com/profile_images/1425058864274165764/zEvvmeeX_normal.jpg")</f>
        <v>https://pbs.twimg.com/profile_images/1425058864274165764/zEvvmeeX_normal.jpg</v>
      </c>
      <c r="W1099" s="83">
        <v>44465.721215277779</v>
      </c>
      <c r="X1099" s="89">
        <v>44465</v>
      </c>
      <c r="Y1099" s="87" t="s">
        <v>2502</v>
      </c>
      <c r="Z1099" s="85" t="str">
        <f>HYPERLINK("https://twitter.com/daqwatulhaq/status/1442176779498627072")</f>
        <v>https://twitter.com/daqwatulhaq/status/1442176779498627072</v>
      </c>
      <c r="AA1099" s="81"/>
      <c r="AB1099" s="81"/>
      <c r="AC1099" s="87" t="s">
        <v>3430</v>
      </c>
      <c r="AD1099" s="81"/>
      <c r="AE1099" s="81" t="b">
        <v>0</v>
      </c>
      <c r="AF1099" s="81">
        <v>3</v>
      </c>
      <c r="AG1099" s="87" t="s">
        <v>3875</v>
      </c>
      <c r="AH1099" s="81" t="b">
        <v>1</v>
      </c>
      <c r="AI1099" s="81" t="s">
        <v>4092</v>
      </c>
      <c r="AJ1099" s="81"/>
      <c r="AK1099" s="87" t="s">
        <v>4106</v>
      </c>
      <c r="AL1099" s="81" t="b">
        <v>0</v>
      </c>
      <c r="AM1099" s="81">
        <v>0</v>
      </c>
      <c r="AN1099" s="87" t="s">
        <v>3875</v>
      </c>
      <c r="AO1099" s="87" t="s">
        <v>4111</v>
      </c>
      <c r="AP1099" s="81" t="b">
        <v>0</v>
      </c>
      <c r="AQ1099" s="87" t="s">
        <v>3430</v>
      </c>
      <c r="AR1099" s="81" t="s">
        <v>179</v>
      </c>
      <c r="AS1099" s="81">
        <v>0</v>
      </c>
      <c r="AT1099" s="81">
        <v>0</v>
      </c>
      <c r="AU1099" s="81"/>
      <c r="AV1099" s="81"/>
      <c r="AW1099" s="81"/>
      <c r="AX1099" s="81"/>
      <c r="AY1099" s="81"/>
      <c r="AZ1099" s="81"/>
      <c r="BA1099" s="81"/>
      <c r="BB1099" s="81"/>
    </row>
    <row r="1100" spans="1:54" x14ac:dyDescent="0.35">
      <c r="A1100" s="66" t="s">
        <v>873</v>
      </c>
      <c r="B1100" s="66" t="s">
        <v>873</v>
      </c>
      <c r="C1100" s="67"/>
      <c r="D1100" s="68"/>
      <c r="E1100" s="69"/>
      <c r="F1100" s="70"/>
      <c r="G1100" s="67"/>
      <c r="H1100" s="71"/>
      <c r="I1100" s="72"/>
      <c r="J1100" s="72"/>
      <c r="K1100" s="36"/>
      <c r="L1100" s="79"/>
      <c r="M1100" s="79"/>
      <c r="N1100" s="74"/>
      <c r="O1100" s="81" t="s">
        <v>179</v>
      </c>
      <c r="P1100" s="83">
        <v>44465.882777777777</v>
      </c>
      <c r="Q1100" s="81" t="s">
        <v>1575</v>
      </c>
      <c r="R1100" s="81"/>
      <c r="S1100" s="81"/>
      <c r="T1100" s="81"/>
      <c r="U1100" s="81"/>
      <c r="V1100" s="85" t="str">
        <f>HYPERLINK("https://pbs.twimg.com/profile_images/1441783997416153092/MtCQbFJc_normal.jpg")</f>
        <v>https://pbs.twimg.com/profile_images/1441783997416153092/MtCQbFJc_normal.jpg</v>
      </c>
      <c r="W1100" s="83">
        <v>44465.882777777777</v>
      </c>
      <c r="X1100" s="89">
        <v>44465</v>
      </c>
      <c r="Y1100" s="87" t="s">
        <v>2503</v>
      </c>
      <c r="Z1100" s="85" t="str">
        <f>HYPERLINK("https://twitter.com/nexrtar/status/1442235327909822465")</f>
        <v>https://twitter.com/nexrtar/status/1442235327909822465</v>
      </c>
      <c r="AA1100" s="81"/>
      <c r="AB1100" s="81"/>
      <c r="AC1100" s="87" t="s">
        <v>3431</v>
      </c>
      <c r="AD1100" s="81"/>
      <c r="AE1100" s="81" t="b">
        <v>0</v>
      </c>
      <c r="AF1100" s="81">
        <v>0</v>
      </c>
      <c r="AG1100" s="87" t="s">
        <v>3875</v>
      </c>
      <c r="AH1100" s="81" t="b">
        <v>0</v>
      </c>
      <c r="AI1100" s="81" t="s">
        <v>4092</v>
      </c>
      <c r="AJ1100" s="81"/>
      <c r="AK1100" s="87" t="s">
        <v>3875</v>
      </c>
      <c r="AL1100" s="81" t="b">
        <v>0</v>
      </c>
      <c r="AM1100" s="81">
        <v>0</v>
      </c>
      <c r="AN1100" s="87" t="s">
        <v>3875</v>
      </c>
      <c r="AO1100" s="87" t="s">
        <v>4109</v>
      </c>
      <c r="AP1100" s="81" t="b">
        <v>0</v>
      </c>
      <c r="AQ1100" s="87" t="s">
        <v>3431</v>
      </c>
      <c r="AR1100" s="81" t="s">
        <v>179</v>
      </c>
      <c r="AS1100" s="81">
        <v>0</v>
      </c>
      <c r="AT1100" s="81">
        <v>0</v>
      </c>
      <c r="AU1100" s="81"/>
      <c r="AV1100" s="81"/>
      <c r="AW1100" s="81"/>
      <c r="AX1100" s="81"/>
      <c r="AY1100" s="81"/>
      <c r="AZ1100" s="81"/>
      <c r="BA1100" s="81"/>
      <c r="BB1100" s="81"/>
    </row>
    <row r="1101" spans="1:54" x14ac:dyDescent="0.35">
      <c r="A1101" s="66" t="s">
        <v>874</v>
      </c>
      <c r="B1101" s="66" t="s">
        <v>981</v>
      </c>
      <c r="C1101" s="67"/>
      <c r="D1101" s="68"/>
      <c r="E1101" s="69"/>
      <c r="F1101" s="70"/>
      <c r="G1101" s="67"/>
      <c r="H1101" s="71"/>
      <c r="I1101" s="72"/>
      <c r="J1101" s="72"/>
      <c r="K1101" s="36"/>
      <c r="L1101" s="79"/>
      <c r="M1101" s="79"/>
      <c r="N1101" s="74"/>
      <c r="O1101" s="81" t="s">
        <v>1205</v>
      </c>
      <c r="P1101" s="83">
        <v>44465.956064814818</v>
      </c>
      <c r="Q1101" s="81" t="s">
        <v>1576</v>
      </c>
      <c r="R1101" s="81"/>
      <c r="S1101" s="81"/>
      <c r="T1101" s="87" t="s">
        <v>1761</v>
      </c>
      <c r="U1101" s="85" t="str">
        <f>HYPERLINK("https://pbs.twimg.com/media/FAPwTs6VcAE_0ZE.jpg")</f>
        <v>https://pbs.twimg.com/media/FAPwTs6VcAE_0ZE.jpg</v>
      </c>
      <c r="V1101" s="85" t="str">
        <f>HYPERLINK("https://pbs.twimg.com/media/FAPwTs6VcAE_0ZE.jpg")</f>
        <v>https://pbs.twimg.com/media/FAPwTs6VcAE_0ZE.jpg</v>
      </c>
      <c r="W1101" s="83">
        <v>44465.956064814818</v>
      </c>
      <c r="X1101" s="89">
        <v>44465</v>
      </c>
      <c r="Y1101" s="87" t="s">
        <v>2504</v>
      </c>
      <c r="Z1101" s="85" t="str">
        <f>HYPERLINK("https://twitter.com/dinie_ys/status/1442261887698173953")</f>
        <v>https://twitter.com/dinie_ys/status/1442261887698173953</v>
      </c>
      <c r="AA1101" s="81"/>
      <c r="AB1101" s="81"/>
      <c r="AC1101" s="87" t="s">
        <v>3432</v>
      </c>
      <c r="AD1101" s="81"/>
      <c r="AE1101" s="81" t="b">
        <v>0</v>
      </c>
      <c r="AF1101" s="81">
        <v>0</v>
      </c>
      <c r="AG1101" s="87" t="s">
        <v>3875</v>
      </c>
      <c r="AH1101" s="81" t="b">
        <v>0</v>
      </c>
      <c r="AI1101" s="81" t="s">
        <v>4092</v>
      </c>
      <c r="AJ1101" s="81"/>
      <c r="AK1101" s="87" t="s">
        <v>3875</v>
      </c>
      <c r="AL1101" s="81" t="b">
        <v>0</v>
      </c>
      <c r="AM1101" s="81">
        <v>2</v>
      </c>
      <c r="AN1101" s="87" t="s">
        <v>3625</v>
      </c>
      <c r="AO1101" s="87" t="s">
        <v>4109</v>
      </c>
      <c r="AP1101" s="81" t="b">
        <v>0</v>
      </c>
      <c r="AQ1101" s="87" t="s">
        <v>3625</v>
      </c>
      <c r="AR1101" s="81" t="s">
        <v>179</v>
      </c>
      <c r="AS1101" s="81">
        <v>0</v>
      </c>
      <c r="AT1101" s="81">
        <v>0</v>
      </c>
      <c r="AU1101" s="81"/>
      <c r="AV1101" s="81"/>
      <c r="AW1101" s="81"/>
      <c r="AX1101" s="81"/>
      <c r="AY1101" s="81"/>
      <c r="AZ1101" s="81"/>
      <c r="BA1101" s="81"/>
      <c r="BB1101" s="81"/>
    </row>
    <row r="1102" spans="1:54" x14ac:dyDescent="0.35">
      <c r="A1102" s="66" t="s">
        <v>875</v>
      </c>
      <c r="B1102" s="66" t="s">
        <v>875</v>
      </c>
      <c r="C1102" s="67"/>
      <c r="D1102" s="68"/>
      <c r="E1102" s="69"/>
      <c r="F1102" s="70"/>
      <c r="G1102" s="67"/>
      <c r="H1102" s="71"/>
      <c r="I1102" s="72"/>
      <c r="J1102" s="72"/>
      <c r="K1102" s="36"/>
      <c r="L1102" s="79"/>
      <c r="M1102" s="79"/>
      <c r="N1102" s="74"/>
      <c r="O1102" s="81" t="s">
        <v>179</v>
      </c>
      <c r="P1102" s="83">
        <v>44466.006215277775</v>
      </c>
      <c r="Q1102" s="81" t="s">
        <v>1577</v>
      </c>
      <c r="R1102" s="85" t="str">
        <f>HYPERLINK("https://twitter.com/daramudaaa/status/1442279669017944065")</f>
        <v>https://twitter.com/daramudaaa/status/1442279669017944065</v>
      </c>
      <c r="S1102" s="81" t="s">
        <v>1731</v>
      </c>
      <c r="T1102" s="81"/>
      <c r="U1102" s="85" t="str">
        <f>HYPERLINK("https://pbs.twimg.com/media/FAQCEDMVIAgyzig.jpg")</f>
        <v>https://pbs.twimg.com/media/FAQCEDMVIAgyzig.jpg</v>
      </c>
      <c r="V1102" s="85" t="str">
        <f>HYPERLINK("https://pbs.twimg.com/media/FAQCEDMVIAgyzig.jpg")</f>
        <v>https://pbs.twimg.com/media/FAQCEDMVIAgyzig.jpg</v>
      </c>
      <c r="W1102" s="83">
        <v>44466.006215277775</v>
      </c>
      <c r="X1102" s="89">
        <v>44466</v>
      </c>
      <c r="Y1102" s="87" t="s">
        <v>2505</v>
      </c>
      <c r="Z1102" s="85" t="str">
        <f>HYPERLINK("https://twitter.com/daramudaaa/status/1442280063228006403")</f>
        <v>https://twitter.com/daramudaaa/status/1442280063228006403</v>
      </c>
      <c r="AA1102" s="81"/>
      <c r="AB1102" s="81"/>
      <c r="AC1102" s="87" t="s">
        <v>3433</v>
      </c>
      <c r="AD1102" s="81"/>
      <c r="AE1102" s="81" t="b">
        <v>0</v>
      </c>
      <c r="AF1102" s="81">
        <v>0</v>
      </c>
      <c r="AG1102" s="87" t="s">
        <v>3875</v>
      </c>
      <c r="AH1102" s="81" t="b">
        <v>1</v>
      </c>
      <c r="AI1102" s="81" t="s">
        <v>4092</v>
      </c>
      <c r="AJ1102" s="81"/>
      <c r="AK1102" s="87" t="s">
        <v>4107</v>
      </c>
      <c r="AL1102" s="81" t="b">
        <v>0</v>
      </c>
      <c r="AM1102" s="81">
        <v>0</v>
      </c>
      <c r="AN1102" s="87" t="s">
        <v>3875</v>
      </c>
      <c r="AO1102" s="87" t="s">
        <v>4109</v>
      </c>
      <c r="AP1102" s="81" t="b">
        <v>0</v>
      </c>
      <c r="AQ1102" s="87" t="s">
        <v>3433</v>
      </c>
      <c r="AR1102" s="81" t="s">
        <v>179</v>
      </c>
      <c r="AS1102" s="81">
        <v>0</v>
      </c>
      <c r="AT1102" s="81">
        <v>0</v>
      </c>
      <c r="AU1102" s="81"/>
      <c r="AV1102" s="81"/>
      <c r="AW1102" s="81"/>
      <c r="AX1102" s="81"/>
      <c r="AY1102" s="81"/>
      <c r="AZ1102" s="81"/>
      <c r="BA1102" s="81"/>
      <c r="BB1102" s="81"/>
    </row>
    <row r="1103" spans="1:54" x14ac:dyDescent="0.35">
      <c r="A1103" s="66" t="s">
        <v>876</v>
      </c>
      <c r="B1103" s="66" t="s">
        <v>876</v>
      </c>
      <c r="C1103" s="67"/>
      <c r="D1103" s="68"/>
      <c r="E1103" s="69"/>
      <c r="F1103" s="70"/>
      <c r="G1103" s="67"/>
      <c r="H1103" s="71"/>
      <c r="I1103" s="72"/>
      <c r="J1103" s="72"/>
      <c r="K1103" s="36"/>
      <c r="L1103" s="79"/>
      <c r="M1103" s="79"/>
      <c r="N1103" s="74"/>
      <c r="O1103" s="81" t="s">
        <v>179</v>
      </c>
      <c r="P1103" s="83">
        <v>44466.010451388887</v>
      </c>
      <c r="Q1103" s="81" t="s">
        <v>1578</v>
      </c>
      <c r="R1103" s="81"/>
      <c r="S1103" s="81"/>
      <c r="T1103" s="81"/>
      <c r="U1103" s="81"/>
      <c r="V1103" s="85" t="str">
        <f>HYPERLINK("https://pbs.twimg.com/profile_images/1411602188539809792/IWKO8Hyb_normal.jpg")</f>
        <v>https://pbs.twimg.com/profile_images/1411602188539809792/IWKO8Hyb_normal.jpg</v>
      </c>
      <c r="W1103" s="83">
        <v>44466.010451388887</v>
      </c>
      <c r="X1103" s="89">
        <v>44466</v>
      </c>
      <c r="Y1103" s="87" t="s">
        <v>2506</v>
      </c>
      <c r="Z1103" s="85" t="str">
        <f>HYPERLINK("https://twitter.com/komprosdimedjo/status/1442281596032192514")</f>
        <v>https://twitter.com/komprosdimedjo/status/1442281596032192514</v>
      </c>
      <c r="AA1103" s="81"/>
      <c r="AB1103" s="81"/>
      <c r="AC1103" s="87" t="s">
        <v>3434</v>
      </c>
      <c r="AD1103" s="81"/>
      <c r="AE1103" s="81" t="b">
        <v>0</v>
      </c>
      <c r="AF1103" s="81">
        <v>0</v>
      </c>
      <c r="AG1103" s="87" t="s">
        <v>3875</v>
      </c>
      <c r="AH1103" s="81" t="b">
        <v>0</v>
      </c>
      <c r="AI1103" s="81" t="s">
        <v>4092</v>
      </c>
      <c r="AJ1103" s="81"/>
      <c r="AK1103" s="87" t="s">
        <v>3875</v>
      </c>
      <c r="AL1103" s="81" t="b">
        <v>0</v>
      </c>
      <c r="AM1103" s="81">
        <v>0</v>
      </c>
      <c r="AN1103" s="87" t="s">
        <v>3875</v>
      </c>
      <c r="AO1103" s="87" t="s">
        <v>4111</v>
      </c>
      <c r="AP1103" s="81" t="b">
        <v>0</v>
      </c>
      <c r="AQ1103" s="87" t="s">
        <v>3434</v>
      </c>
      <c r="AR1103" s="81" t="s">
        <v>179</v>
      </c>
      <c r="AS1103" s="81">
        <v>0</v>
      </c>
      <c r="AT1103" s="81">
        <v>0</v>
      </c>
      <c r="AU1103" s="81"/>
      <c r="AV1103" s="81"/>
      <c r="AW1103" s="81"/>
      <c r="AX1103" s="81"/>
      <c r="AY1103" s="81"/>
      <c r="AZ1103" s="81"/>
      <c r="BA1103" s="81"/>
      <c r="BB1103" s="81"/>
    </row>
    <row r="1104" spans="1:54" x14ac:dyDescent="0.35">
      <c r="A1104" s="66" t="s">
        <v>877</v>
      </c>
      <c r="B1104" s="66" t="s">
        <v>981</v>
      </c>
      <c r="C1104" s="67"/>
      <c r="D1104" s="68"/>
      <c r="E1104" s="69"/>
      <c r="F1104" s="70"/>
      <c r="G1104" s="67"/>
      <c r="H1104" s="71"/>
      <c r="I1104" s="72"/>
      <c r="J1104" s="72"/>
      <c r="K1104" s="36"/>
      <c r="L1104" s="79"/>
      <c r="M1104" s="79"/>
      <c r="N1104" s="74"/>
      <c r="O1104" s="81" t="s">
        <v>1205</v>
      </c>
      <c r="P1104" s="83">
        <v>44460.986493055556</v>
      </c>
      <c r="Q1104" s="81" t="s">
        <v>1370</v>
      </c>
      <c r="R1104" s="81"/>
      <c r="S1104" s="81"/>
      <c r="T1104" s="87" t="s">
        <v>1761</v>
      </c>
      <c r="U1104" s="85" t="str">
        <f>HYPERLINK("https://pbs.twimg.com/media/E_2F2szVgAAqDwo.jpg")</f>
        <v>https://pbs.twimg.com/media/E_2F2szVgAAqDwo.jpg</v>
      </c>
      <c r="V1104" s="85" t="str">
        <f>HYPERLINK("https://pbs.twimg.com/media/E_2F2szVgAAqDwo.jpg")</f>
        <v>https://pbs.twimg.com/media/E_2F2szVgAAqDwo.jpg</v>
      </c>
      <c r="W1104" s="83">
        <v>44460.986493055556</v>
      </c>
      <c r="X1104" s="89">
        <v>44460</v>
      </c>
      <c r="Y1104" s="87" t="s">
        <v>2507</v>
      </c>
      <c r="Z1104" s="85" t="str">
        <f>HYPERLINK("https://twitter.com/bensradio1062fm/status/1440460975837122565")</f>
        <v>https://twitter.com/bensradio1062fm/status/1440460975837122565</v>
      </c>
      <c r="AA1104" s="81"/>
      <c r="AB1104" s="81"/>
      <c r="AC1104" s="87" t="s">
        <v>3435</v>
      </c>
      <c r="AD1104" s="81"/>
      <c r="AE1104" s="81" t="b">
        <v>0</v>
      </c>
      <c r="AF1104" s="81">
        <v>0</v>
      </c>
      <c r="AG1104" s="87" t="s">
        <v>3875</v>
      </c>
      <c r="AH1104" s="81" t="b">
        <v>0</v>
      </c>
      <c r="AI1104" s="81" t="s">
        <v>4092</v>
      </c>
      <c r="AJ1104" s="81"/>
      <c r="AK1104" s="87" t="s">
        <v>3875</v>
      </c>
      <c r="AL1104" s="81" t="b">
        <v>0</v>
      </c>
      <c r="AM1104" s="81">
        <v>3</v>
      </c>
      <c r="AN1104" s="87" t="s">
        <v>3621</v>
      </c>
      <c r="AO1104" s="87" t="s">
        <v>4111</v>
      </c>
      <c r="AP1104" s="81" t="b">
        <v>0</v>
      </c>
      <c r="AQ1104" s="87" t="s">
        <v>3621</v>
      </c>
      <c r="AR1104" s="81" t="s">
        <v>179</v>
      </c>
      <c r="AS1104" s="81">
        <v>0</v>
      </c>
      <c r="AT1104" s="81">
        <v>0</v>
      </c>
      <c r="AU1104" s="81"/>
      <c r="AV1104" s="81"/>
      <c r="AW1104" s="81"/>
      <c r="AX1104" s="81"/>
      <c r="AY1104" s="81"/>
      <c r="AZ1104" s="81"/>
      <c r="BA1104" s="81"/>
      <c r="BB1104" s="81"/>
    </row>
    <row r="1105" spans="1:54" x14ac:dyDescent="0.35">
      <c r="A1105" s="66" t="s">
        <v>877</v>
      </c>
      <c r="B1105" s="66" t="s">
        <v>981</v>
      </c>
      <c r="C1105" s="67"/>
      <c r="D1105" s="68"/>
      <c r="E1105" s="69"/>
      <c r="F1105" s="70"/>
      <c r="G1105" s="67"/>
      <c r="H1105" s="71"/>
      <c r="I1105" s="72"/>
      <c r="J1105" s="72"/>
      <c r="K1105" s="36"/>
      <c r="L1105" s="79"/>
      <c r="M1105" s="79"/>
      <c r="N1105" s="74"/>
      <c r="O1105" s="81" t="s">
        <v>1205</v>
      </c>
      <c r="P1105" s="83">
        <v>44466.030451388891</v>
      </c>
      <c r="Q1105" s="81" t="s">
        <v>1576</v>
      </c>
      <c r="R1105" s="81"/>
      <c r="S1105" s="81"/>
      <c r="T1105" s="87" t="s">
        <v>1761</v>
      </c>
      <c r="U1105" s="85" t="str">
        <f>HYPERLINK("https://pbs.twimg.com/media/FAPwTs6VcAE_0ZE.jpg")</f>
        <v>https://pbs.twimg.com/media/FAPwTs6VcAE_0ZE.jpg</v>
      </c>
      <c r="V1105" s="85" t="str">
        <f>HYPERLINK("https://pbs.twimg.com/media/FAPwTs6VcAE_0ZE.jpg")</f>
        <v>https://pbs.twimg.com/media/FAPwTs6VcAE_0ZE.jpg</v>
      </c>
      <c r="W1105" s="83">
        <v>44466.030451388891</v>
      </c>
      <c r="X1105" s="89">
        <v>44466</v>
      </c>
      <c r="Y1105" s="87" t="s">
        <v>2508</v>
      </c>
      <c r="Z1105" s="85" t="str">
        <f>HYPERLINK("https://twitter.com/bensradio1062fm/status/1442288844456431622")</f>
        <v>https://twitter.com/bensradio1062fm/status/1442288844456431622</v>
      </c>
      <c r="AA1105" s="81"/>
      <c r="AB1105" s="81"/>
      <c r="AC1105" s="87" t="s">
        <v>3436</v>
      </c>
      <c r="AD1105" s="81"/>
      <c r="AE1105" s="81" t="b">
        <v>0</v>
      </c>
      <c r="AF1105" s="81">
        <v>0</v>
      </c>
      <c r="AG1105" s="87" t="s">
        <v>3875</v>
      </c>
      <c r="AH1105" s="81" t="b">
        <v>0</v>
      </c>
      <c r="AI1105" s="81" t="s">
        <v>4092</v>
      </c>
      <c r="AJ1105" s="81"/>
      <c r="AK1105" s="87" t="s">
        <v>3875</v>
      </c>
      <c r="AL1105" s="81" t="b">
        <v>0</v>
      </c>
      <c r="AM1105" s="81">
        <v>2</v>
      </c>
      <c r="AN1105" s="87" t="s">
        <v>3625</v>
      </c>
      <c r="AO1105" s="87" t="s">
        <v>4109</v>
      </c>
      <c r="AP1105" s="81" t="b">
        <v>0</v>
      </c>
      <c r="AQ1105" s="87" t="s">
        <v>3625</v>
      </c>
      <c r="AR1105" s="81" t="s">
        <v>179</v>
      </c>
      <c r="AS1105" s="81">
        <v>0</v>
      </c>
      <c r="AT1105" s="81">
        <v>0</v>
      </c>
      <c r="AU1105" s="81"/>
      <c r="AV1105" s="81"/>
      <c r="AW1105" s="81"/>
      <c r="AX1105" s="81"/>
      <c r="AY1105" s="81"/>
      <c r="AZ1105" s="81"/>
      <c r="BA1105" s="81"/>
      <c r="BB1105" s="81"/>
    </row>
    <row r="1106" spans="1:54" x14ac:dyDescent="0.35">
      <c r="A1106" s="66" t="s">
        <v>878</v>
      </c>
      <c r="B1106" s="66" t="s">
        <v>878</v>
      </c>
      <c r="C1106" s="67"/>
      <c r="D1106" s="68"/>
      <c r="E1106" s="69"/>
      <c r="F1106" s="70"/>
      <c r="G1106" s="67"/>
      <c r="H1106" s="71"/>
      <c r="I1106" s="72"/>
      <c r="J1106" s="72"/>
      <c r="K1106" s="36"/>
      <c r="L1106" s="79"/>
      <c r="M1106" s="79"/>
      <c r="N1106" s="74"/>
      <c r="O1106" s="81" t="s">
        <v>179</v>
      </c>
      <c r="P1106" s="83">
        <v>44466.01766203704</v>
      </c>
      <c r="Q1106" s="81" t="s">
        <v>1579</v>
      </c>
      <c r="R1106" s="81"/>
      <c r="S1106" s="81"/>
      <c r="T1106" s="81"/>
      <c r="U1106" s="81"/>
      <c r="V1106" s="85" t="str">
        <f>HYPERLINK("https://pbs.twimg.com/profile_images/1335085537137360896/2BEt9c0D_normal.jpg")</f>
        <v>https://pbs.twimg.com/profile_images/1335085537137360896/2BEt9c0D_normal.jpg</v>
      </c>
      <c r="W1106" s="83">
        <v>44466.01766203704</v>
      </c>
      <c r="X1106" s="89">
        <v>44466</v>
      </c>
      <c r="Y1106" s="87" t="s">
        <v>2509</v>
      </c>
      <c r="Z1106" s="85" t="str">
        <f>HYPERLINK("https://twitter.com/syahmoedra_ren/status/1442284207921717256")</f>
        <v>https://twitter.com/syahmoedra_ren/status/1442284207921717256</v>
      </c>
      <c r="AA1106" s="81"/>
      <c r="AB1106" s="81"/>
      <c r="AC1106" s="87" t="s">
        <v>3437</v>
      </c>
      <c r="AD1106" s="81"/>
      <c r="AE1106" s="81" t="b">
        <v>0</v>
      </c>
      <c r="AF1106" s="81">
        <v>7</v>
      </c>
      <c r="AG1106" s="87" t="s">
        <v>3875</v>
      </c>
      <c r="AH1106" s="81" t="b">
        <v>0</v>
      </c>
      <c r="AI1106" s="81" t="s">
        <v>4092</v>
      </c>
      <c r="AJ1106" s="81"/>
      <c r="AK1106" s="87" t="s">
        <v>3875</v>
      </c>
      <c r="AL1106" s="81" t="b">
        <v>0</v>
      </c>
      <c r="AM1106" s="81">
        <v>0</v>
      </c>
      <c r="AN1106" s="87" t="s">
        <v>3875</v>
      </c>
      <c r="AO1106" s="87" t="s">
        <v>4109</v>
      </c>
      <c r="AP1106" s="81" t="b">
        <v>0</v>
      </c>
      <c r="AQ1106" s="87" t="s">
        <v>3437</v>
      </c>
      <c r="AR1106" s="81" t="s">
        <v>179</v>
      </c>
      <c r="AS1106" s="81">
        <v>0</v>
      </c>
      <c r="AT1106" s="81">
        <v>0</v>
      </c>
      <c r="AU1106" s="81"/>
      <c r="AV1106" s="81"/>
      <c r="AW1106" s="81"/>
      <c r="AX1106" s="81"/>
      <c r="AY1106" s="81"/>
      <c r="AZ1106" s="81"/>
      <c r="BA1106" s="81"/>
      <c r="BB1106" s="81"/>
    </row>
    <row r="1107" spans="1:54" x14ac:dyDescent="0.35">
      <c r="A1107" s="66" t="s">
        <v>878</v>
      </c>
      <c r="B1107" s="66" t="s">
        <v>878</v>
      </c>
      <c r="C1107" s="67"/>
      <c r="D1107" s="68"/>
      <c r="E1107" s="69"/>
      <c r="F1107" s="70"/>
      <c r="G1107" s="67"/>
      <c r="H1107" s="71"/>
      <c r="I1107" s="72"/>
      <c r="J1107" s="72"/>
      <c r="K1107" s="36"/>
      <c r="L1107" s="79"/>
      <c r="M1107" s="79"/>
      <c r="N1107" s="74"/>
      <c r="O1107" s="81" t="s">
        <v>179</v>
      </c>
      <c r="P1107" s="83">
        <v>44466.055578703701</v>
      </c>
      <c r="Q1107" s="81" t="s">
        <v>1580</v>
      </c>
      <c r="R1107" s="81"/>
      <c r="S1107" s="81"/>
      <c r="T1107" s="81"/>
      <c r="U1107" s="81"/>
      <c r="V1107" s="85" t="str">
        <f>HYPERLINK("https://pbs.twimg.com/profile_images/1335085537137360896/2BEt9c0D_normal.jpg")</f>
        <v>https://pbs.twimg.com/profile_images/1335085537137360896/2BEt9c0D_normal.jpg</v>
      </c>
      <c r="W1107" s="83">
        <v>44466.055578703701</v>
      </c>
      <c r="X1107" s="89">
        <v>44466</v>
      </c>
      <c r="Y1107" s="87" t="s">
        <v>2510</v>
      </c>
      <c r="Z1107" s="85" t="str">
        <f>HYPERLINK("https://twitter.com/syahmoedra_ren/status/1442297948482641925")</f>
        <v>https://twitter.com/syahmoedra_ren/status/1442297948482641925</v>
      </c>
      <c r="AA1107" s="81"/>
      <c r="AB1107" s="81"/>
      <c r="AC1107" s="87" t="s">
        <v>3438</v>
      </c>
      <c r="AD1107" s="87" t="s">
        <v>3437</v>
      </c>
      <c r="AE1107" s="81" t="b">
        <v>0</v>
      </c>
      <c r="AF1107" s="81">
        <v>3</v>
      </c>
      <c r="AG1107" s="87" t="s">
        <v>4046</v>
      </c>
      <c r="AH1107" s="81" t="b">
        <v>0</v>
      </c>
      <c r="AI1107" s="81" t="s">
        <v>4092</v>
      </c>
      <c r="AJ1107" s="81"/>
      <c r="AK1107" s="87" t="s">
        <v>3875</v>
      </c>
      <c r="AL1107" s="81" t="b">
        <v>0</v>
      </c>
      <c r="AM1107" s="81">
        <v>0</v>
      </c>
      <c r="AN1107" s="87" t="s">
        <v>3875</v>
      </c>
      <c r="AO1107" s="87" t="s">
        <v>4109</v>
      </c>
      <c r="AP1107" s="81" t="b">
        <v>0</v>
      </c>
      <c r="AQ1107" s="87" t="s">
        <v>3437</v>
      </c>
      <c r="AR1107" s="81" t="s">
        <v>179</v>
      </c>
      <c r="AS1107" s="81">
        <v>0</v>
      </c>
      <c r="AT1107" s="81">
        <v>0</v>
      </c>
      <c r="AU1107" s="81"/>
      <c r="AV1107" s="81"/>
      <c r="AW1107" s="81"/>
      <c r="AX1107" s="81"/>
      <c r="AY1107" s="81"/>
      <c r="AZ1107" s="81"/>
      <c r="BA1107" s="81"/>
      <c r="BB1107" s="81"/>
    </row>
    <row r="1108" spans="1:54" x14ac:dyDescent="0.35">
      <c r="A1108" s="66" t="s">
        <v>879</v>
      </c>
      <c r="B1108" s="66" t="s">
        <v>879</v>
      </c>
      <c r="C1108" s="67"/>
      <c r="D1108" s="68"/>
      <c r="E1108" s="69"/>
      <c r="F1108" s="70"/>
      <c r="G1108" s="67"/>
      <c r="H1108" s="71"/>
      <c r="I1108" s="72"/>
      <c r="J1108" s="72"/>
      <c r="K1108" s="36"/>
      <c r="L1108" s="79"/>
      <c r="M1108" s="79"/>
      <c r="N1108" s="74"/>
      <c r="O1108" s="81" t="s">
        <v>179</v>
      </c>
      <c r="P1108" s="83">
        <v>44466.0465625</v>
      </c>
      <c r="Q1108" s="81" t="s">
        <v>1581</v>
      </c>
      <c r="R1108" s="81"/>
      <c r="S1108" s="81"/>
      <c r="T1108" s="87" t="s">
        <v>1779</v>
      </c>
      <c r="U1108" s="85" t="str">
        <f>HYPERLINK("https://pbs.twimg.com/media/FAQPXZIVQAEMFBc.jpg")</f>
        <v>https://pbs.twimg.com/media/FAQPXZIVQAEMFBc.jpg</v>
      </c>
      <c r="V1108" s="85" t="str">
        <f>HYPERLINK("https://pbs.twimg.com/media/FAQPXZIVQAEMFBc.jpg")</f>
        <v>https://pbs.twimg.com/media/FAQPXZIVQAEMFBc.jpg</v>
      </c>
      <c r="W1108" s="83">
        <v>44466.0465625</v>
      </c>
      <c r="X1108" s="89">
        <v>44466</v>
      </c>
      <c r="Y1108" s="87" t="s">
        <v>2511</v>
      </c>
      <c r="Z1108" s="85" t="str">
        <f>HYPERLINK("https://twitter.com/infomjkt/status/1442294682671726596")</f>
        <v>https://twitter.com/infomjkt/status/1442294682671726596</v>
      </c>
      <c r="AA1108" s="81"/>
      <c r="AB1108" s="81"/>
      <c r="AC1108" s="87" t="s">
        <v>3439</v>
      </c>
      <c r="AD1108" s="81"/>
      <c r="AE1108" s="81" t="b">
        <v>0</v>
      </c>
      <c r="AF1108" s="81">
        <v>2</v>
      </c>
      <c r="AG1108" s="87" t="s">
        <v>3875</v>
      </c>
      <c r="AH1108" s="81" t="b">
        <v>0</v>
      </c>
      <c r="AI1108" s="81" t="s">
        <v>4092</v>
      </c>
      <c r="AJ1108" s="81"/>
      <c r="AK1108" s="87" t="s">
        <v>3875</v>
      </c>
      <c r="AL1108" s="81" t="b">
        <v>0</v>
      </c>
      <c r="AM1108" s="81">
        <v>1</v>
      </c>
      <c r="AN1108" s="87" t="s">
        <v>3875</v>
      </c>
      <c r="AO1108" s="87" t="s">
        <v>4109</v>
      </c>
      <c r="AP1108" s="81" t="b">
        <v>0</v>
      </c>
      <c r="AQ1108" s="87" t="s">
        <v>3439</v>
      </c>
      <c r="AR1108" s="81" t="s">
        <v>179</v>
      </c>
      <c r="AS1108" s="81">
        <v>0</v>
      </c>
      <c r="AT1108" s="81">
        <v>0</v>
      </c>
      <c r="AU1108" s="81"/>
      <c r="AV1108" s="81"/>
      <c r="AW1108" s="81"/>
      <c r="AX1108" s="81"/>
      <c r="AY1108" s="81"/>
      <c r="AZ1108" s="81"/>
      <c r="BA1108" s="81"/>
      <c r="BB1108" s="81"/>
    </row>
    <row r="1109" spans="1:54" x14ac:dyDescent="0.35">
      <c r="A1109" s="66" t="s">
        <v>880</v>
      </c>
      <c r="B1109" s="66" t="s">
        <v>879</v>
      </c>
      <c r="C1109" s="67"/>
      <c r="D1109" s="68"/>
      <c r="E1109" s="69"/>
      <c r="F1109" s="70"/>
      <c r="G1109" s="67"/>
      <c r="H1109" s="71"/>
      <c r="I1109" s="72"/>
      <c r="J1109" s="72"/>
      <c r="K1109" s="36"/>
      <c r="L1109" s="79"/>
      <c r="M1109" s="79"/>
      <c r="N1109" s="74"/>
      <c r="O1109" s="81" t="s">
        <v>1205</v>
      </c>
      <c r="P1109" s="83">
        <v>44466.062696759262</v>
      </c>
      <c r="Q1109" s="81" t="s">
        <v>1581</v>
      </c>
      <c r="R1109" s="81"/>
      <c r="S1109" s="81"/>
      <c r="T1109" s="87" t="s">
        <v>1779</v>
      </c>
      <c r="U1109" s="85" t="str">
        <f>HYPERLINK("https://pbs.twimg.com/media/FAQPXZIVQAEMFBc.jpg")</f>
        <v>https://pbs.twimg.com/media/FAQPXZIVQAEMFBc.jpg</v>
      </c>
      <c r="V1109" s="85" t="str">
        <f>HYPERLINK("https://pbs.twimg.com/media/FAQPXZIVQAEMFBc.jpg")</f>
        <v>https://pbs.twimg.com/media/FAQPXZIVQAEMFBc.jpg</v>
      </c>
      <c r="W1109" s="83">
        <v>44466.062696759262</v>
      </c>
      <c r="X1109" s="89">
        <v>44466</v>
      </c>
      <c r="Y1109" s="87" t="s">
        <v>2512</v>
      </c>
      <c r="Z1109" s="85" t="str">
        <f>HYPERLINK("https://twitter.com/masdoddd/status/1442300530416521218")</f>
        <v>https://twitter.com/masdoddd/status/1442300530416521218</v>
      </c>
      <c r="AA1109" s="81"/>
      <c r="AB1109" s="81"/>
      <c r="AC1109" s="87" t="s">
        <v>3440</v>
      </c>
      <c r="AD1109" s="81"/>
      <c r="AE1109" s="81" t="b">
        <v>0</v>
      </c>
      <c r="AF1109" s="81">
        <v>0</v>
      </c>
      <c r="AG1109" s="87" t="s">
        <v>3875</v>
      </c>
      <c r="AH1109" s="81" t="b">
        <v>0</v>
      </c>
      <c r="AI1109" s="81" t="s">
        <v>4092</v>
      </c>
      <c r="AJ1109" s="81"/>
      <c r="AK1109" s="87" t="s">
        <v>3875</v>
      </c>
      <c r="AL1109" s="81" t="b">
        <v>0</v>
      </c>
      <c r="AM1109" s="81">
        <v>1</v>
      </c>
      <c r="AN1109" s="87" t="s">
        <v>3439</v>
      </c>
      <c r="AO1109" s="87" t="s">
        <v>4109</v>
      </c>
      <c r="AP1109" s="81" t="b">
        <v>0</v>
      </c>
      <c r="AQ1109" s="87" t="s">
        <v>3439</v>
      </c>
      <c r="AR1109" s="81" t="s">
        <v>179</v>
      </c>
      <c r="AS1109" s="81">
        <v>0</v>
      </c>
      <c r="AT1109" s="81">
        <v>0</v>
      </c>
      <c r="AU1109" s="81"/>
      <c r="AV1109" s="81"/>
      <c r="AW1109" s="81"/>
      <c r="AX1109" s="81"/>
      <c r="AY1109" s="81"/>
      <c r="AZ1109" s="81"/>
      <c r="BA1109" s="81"/>
      <c r="BB1109" s="81"/>
    </row>
    <row r="1110" spans="1:54" x14ac:dyDescent="0.35">
      <c r="A1110" s="66" t="s">
        <v>881</v>
      </c>
      <c r="B1110" s="66" t="s">
        <v>892</v>
      </c>
      <c r="C1110" s="67"/>
      <c r="D1110" s="68"/>
      <c r="E1110" s="69"/>
      <c r="F1110" s="70"/>
      <c r="G1110" s="67"/>
      <c r="H1110" s="71"/>
      <c r="I1110" s="72"/>
      <c r="J1110" s="72"/>
      <c r="K1110" s="36"/>
      <c r="L1110" s="79"/>
      <c r="M1110" s="79"/>
      <c r="N1110" s="74"/>
      <c r="O1110" s="81" t="s">
        <v>1205</v>
      </c>
      <c r="P1110" s="83">
        <v>44466.065243055556</v>
      </c>
      <c r="Q1110" s="81" t="s">
        <v>1582</v>
      </c>
      <c r="R1110" s="85" t="str">
        <f>HYPERLINK("https://m.antaranews.com/amp/berita/2415429/hari-bhakti-postel-diperingati-27-september-seperti-apa-sejarahnya")</f>
        <v>https://m.antaranews.com/amp/berita/2415429/hari-bhakti-postel-diperingati-27-september-seperti-apa-sejarahnya</v>
      </c>
      <c r="S1110" s="81" t="s">
        <v>1752</v>
      </c>
      <c r="T1110" s="81"/>
      <c r="U1110" s="81"/>
      <c r="V1110" s="85" t="str">
        <f>HYPERLINK("https://pbs.twimg.com/profile_images/1436425052904329218/400_-MXr_normal.jpg")</f>
        <v>https://pbs.twimg.com/profile_images/1436425052904329218/400_-MXr_normal.jpg</v>
      </c>
      <c r="W1110" s="83">
        <v>44466.065243055556</v>
      </c>
      <c r="X1110" s="89">
        <v>44466</v>
      </c>
      <c r="Y1110" s="87" t="s">
        <v>2513</v>
      </c>
      <c r="Z1110" s="85" t="str">
        <f>HYPERLINK("https://twitter.com/theo73plori/status/1442301450227384325")</f>
        <v>https://twitter.com/theo73plori/status/1442301450227384325</v>
      </c>
      <c r="AA1110" s="81"/>
      <c r="AB1110" s="81"/>
      <c r="AC1110" s="87" t="s">
        <v>3441</v>
      </c>
      <c r="AD1110" s="81"/>
      <c r="AE1110" s="81" t="b">
        <v>0</v>
      </c>
      <c r="AF1110" s="81">
        <v>0</v>
      </c>
      <c r="AG1110" s="87" t="s">
        <v>3875</v>
      </c>
      <c r="AH1110" s="81" t="b">
        <v>0</v>
      </c>
      <c r="AI1110" s="81" t="s">
        <v>4092</v>
      </c>
      <c r="AJ1110" s="81"/>
      <c r="AK1110" s="87" t="s">
        <v>3875</v>
      </c>
      <c r="AL1110" s="81" t="b">
        <v>0</v>
      </c>
      <c r="AM1110" s="81">
        <v>6</v>
      </c>
      <c r="AN1110" s="87" t="s">
        <v>3464</v>
      </c>
      <c r="AO1110" s="87" t="s">
        <v>4109</v>
      </c>
      <c r="AP1110" s="81" t="b">
        <v>0</v>
      </c>
      <c r="AQ1110" s="87" t="s">
        <v>3464</v>
      </c>
      <c r="AR1110" s="81" t="s">
        <v>179</v>
      </c>
      <c r="AS1110" s="81">
        <v>0</v>
      </c>
      <c r="AT1110" s="81">
        <v>0</v>
      </c>
      <c r="AU1110" s="81"/>
      <c r="AV1110" s="81"/>
      <c r="AW1110" s="81"/>
      <c r="AX1110" s="81"/>
      <c r="AY1110" s="81"/>
      <c r="AZ1110" s="81"/>
      <c r="BA1110" s="81"/>
      <c r="BB1110" s="81"/>
    </row>
    <row r="1111" spans="1:54" x14ac:dyDescent="0.35">
      <c r="A1111" s="66" t="s">
        <v>882</v>
      </c>
      <c r="B1111" s="66" t="s">
        <v>882</v>
      </c>
      <c r="C1111" s="67"/>
      <c r="D1111" s="68"/>
      <c r="E1111" s="69"/>
      <c r="F1111" s="70"/>
      <c r="G1111" s="67"/>
      <c r="H1111" s="71"/>
      <c r="I1111" s="72"/>
      <c r="J1111" s="72"/>
      <c r="K1111" s="36"/>
      <c r="L1111" s="79"/>
      <c r="M1111" s="79"/>
      <c r="N1111" s="74"/>
      <c r="O1111" s="81" t="s">
        <v>179</v>
      </c>
      <c r="P1111" s="83">
        <v>44466.067326388889</v>
      </c>
      <c r="Q1111" s="81" t="s">
        <v>1583</v>
      </c>
      <c r="R1111" s="81"/>
      <c r="S1111" s="81"/>
      <c r="T1111" s="81"/>
      <c r="U1111" s="81"/>
      <c r="V1111" s="85" t="str">
        <f>HYPERLINK("https://pbs.twimg.com/profile_images/1441019961745412098/yZ7CxA2n_normal.jpg")</f>
        <v>https://pbs.twimg.com/profile_images/1441019961745412098/yZ7CxA2n_normal.jpg</v>
      </c>
      <c r="W1111" s="83">
        <v>44466.067326388889</v>
      </c>
      <c r="X1111" s="89">
        <v>44466</v>
      </c>
      <c r="Y1111" s="87" t="s">
        <v>2514</v>
      </c>
      <c r="Z1111" s="85" t="str">
        <f>HYPERLINK("https://twitter.com/everwqnny/status/1442302207794180097")</f>
        <v>https://twitter.com/everwqnny/status/1442302207794180097</v>
      </c>
      <c r="AA1111" s="81"/>
      <c r="AB1111" s="81"/>
      <c r="AC1111" s="87" t="s">
        <v>3442</v>
      </c>
      <c r="AD1111" s="87" t="s">
        <v>3829</v>
      </c>
      <c r="AE1111" s="81" t="b">
        <v>0</v>
      </c>
      <c r="AF1111" s="81">
        <v>0</v>
      </c>
      <c r="AG1111" s="87" t="s">
        <v>4047</v>
      </c>
      <c r="AH1111" s="81" t="b">
        <v>0</v>
      </c>
      <c r="AI1111" s="81" t="s">
        <v>4092</v>
      </c>
      <c r="AJ1111" s="81"/>
      <c r="AK1111" s="87" t="s">
        <v>3875</v>
      </c>
      <c r="AL1111" s="81" t="b">
        <v>0</v>
      </c>
      <c r="AM1111" s="81">
        <v>0</v>
      </c>
      <c r="AN1111" s="87" t="s">
        <v>3875</v>
      </c>
      <c r="AO1111" s="87" t="s">
        <v>4109</v>
      </c>
      <c r="AP1111" s="81" t="b">
        <v>0</v>
      </c>
      <c r="AQ1111" s="87" t="s">
        <v>3829</v>
      </c>
      <c r="AR1111" s="81" t="s">
        <v>179</v>
      </c>
      <c r="AS1111" s="81">
        <v>0</v>
      </c>
      <c r="AT1111" s="81">
        <v>0</v>
      </c>
      <c r="AU1111" s="81"/>
      <c r="AV1111" s="81"/>
      <c r="AW1111" s="81"/>
      <c r="AX1111" s="81"/>
      <c r="AY1111" s="81"/>
      <c r="AZ1111" s="81"/>
      <c r="BA1111" s="81"/>
      <c r="BB1111" s="81"/>
    </row>
    <row r="1112" spans="1:54" x14ac:dyDescent="0.35">
      <c r="A1112" s="66" t="s">
        <v>883</v>
      </c>
      <c r="B1112" s="66" t="s">
        <v>883</v>
      </c>
      <c r="C1112" s="67"/>
      <c r="D1112" s="68"/>
      <c r="E1112" s="69"/>
      <c r="F1112" s="70"/>
      <c r="G1112" s="67"/>
      <c r="H1112" s="71"/>
      <c r="I1112" s="72"/>
      <c r="J1112" s="72"/>
      <c r="K1112" s="36"/>
      <c r="L1112" s="79"/>
      <c r="M1112" s="79"/>
      <c r="N1112" s="74"/>
      <c r="O1112" s="81" t="s">
        <v>179</v>
      </c>
      <c r="P1112" s="83">
        <v>44466.06863425926</v>
      </c>
      <c r="Q1112" s="81" t="s">
        <v>1584</v>
      </c>
      <c r="R1112" s="81"/>
      <c r="S1112" s="81"/>
      <c r="T1112" s="87" t="s">
        <v>1780</v>
      </c>
      <c r="U1112" s="85" t="str">
        <f>HYPERLINK("https://pbs.twimg.com/media/FAQWpWOVUAAWu0S.jpg")</f>
        <v>https://pbs.twimg.com/media/FAQWpWOVUAAWu0S.jpg</v>
      </c>
      <c r="V1112" s="85" t="str">
        <f>HYPERLINK("https://pbs.twimg.com/media/FAQWpWOVUAAWu0S.jpg")</f>
        <v>https://pbs.twimg.com/media/FAQWpWOVUAAWu0S.jpg</v>
      </c>
      <c r="W1112" s="83">
        <v>44466.06863425926</v>
      </c>
      <c r="X1112" s="89">
        <v>44466</v>
      </c>
      <c r="Y1112" s="87" t="s">
        <v>2515</v>
      </c>
      <c r="Z1112" s="85" t="str">
        <f>HYPERLINK("https://twitter.com/bawaslutator/status/1442302682635534336")</f>
        <v>https://twitter.com/bawaslutator/status/1442302682635534336</v>
      </c>
      <c r="AA1112" s="81"/>
      <c r="AB1112" s="81"/>
      <c r="AC1112" s="87" t="s">
        <v>3443</v>
      </c>
      <c r="AD1112" s="81"/>
      <c r="AE1112" s="81" t="b">
        <v>0</v>
      </c>
      <c r="AF1112" s="81">
        <v>0</v>
      </c>
      <c r="AG1112" s="87" t="s">
        <v>3875</v>
      </c>
      <c r="AH1112" s="81" t="b">
        <v>0</v>
      </c>
      <c r="AI1112" s="81" t="s">
        <v>4092</v>
      </c>
      <c r="AJ1112" s="81"/>
      <c r="AK1112" s="87" t="s">
        <v>3875</v>
      </c>
      <c r="AL1112" s="81" t="b">
        <v>0</v>
      </c>
      <c r="AM1112" s="81">
        <v>0</v>
      </c>
      <c r="AN1112" s="87" t="s">
        <v>3875</v>
      </c>
      <c r="AO1112" s="87" t="s">
        <v>4109</v>
      </c>
      <c r="AP1112" s="81" t="b">
        <v>0</v>
      </c>
      <c r="AQ1112" s="87" t="s">
        <v>3443</v>
      </c>
      <c r="AR1112" s="81" t="s">
        <v>179</v>
      </c>
      <c r="AS1112" s="81">
        <v>0</v>
      </c>
      <c r="AT1112" s="81">
        <v>0</v>
      </c>
      <c r="AU1112" s="81"/>
      <c r="AV1112" s="81"/>
      <c r="AW1112" s="81"/>
      <c r="AX1112" s="81"/>
      <c r="AY1112" s="81"/>
      <c r="AZ1112" s="81"/>
      <c r="BA1112" s="81"/>
      <c r="BB1112" s="81"/>
    </row>
    <row r="1113" spans="1:54" x14ac:dyDescent="0.35">
      <c r="A1113" s="66" t="s">
        <v>884</v>
      </c>
      <c r="B1113" s="66" t="s">
        <v>884</v>
      </c>
      <c r="C1113" s="67"/>
      <c r="D1113" s="68"/>
      <c r="E1113" s="69"/>
      <c r="F1113" s="70"/>
      <c r="G1113" s="67"/>
      <c r="H1113" s="71"/>
      <c r="I1113" s="72"/>
      <c r="J1113" s="72"/>
      <c r="K1113" s="36"/>
      <c r="L1113" s="79"/>
      <c r="M1113" s="79"/>
      <c r="N1113" s="74"/>
      <c r="O1113" s="81" t="s">
        <v>179</v>
      </c>
      <c r="P1113" s="83">
        <v>44460.661608796298</v>
      </c>
      <c r="Q1113" s="81" t="s">
        <v>1585</v>
      </c>
      <c r="R1113" s="85" t="str">
        <f>HYPERLINK("http://www.polresjembrananews.com/uncategorized/guna-mencegah-penyebaran-covid-19-personil-sat-polairud-polres-jembrana-pos-gilimanuk-laksanakan-bersih-bersih-kantor-17.html")</f>
        <v>http://www.polresjembrananews.com/uncategorized/guna-mencegah-penyebaran-covid-19-personil-sat-polairud-polres-jembrana-pos-gilimanuk-laksanakan-bersih-bersih-kantor-17.html</v>
      </c>
      <c r="S1113" s="81" t="s">
        <v>1753</v>
      </c>
      <c r="T1113" s="81"/>
      <c r="U1113" s="81"/>
      <c r="V1113" s="85" t="str">
        <f>HYPERLINK("https://pbs.twimg.com/profile_images/1278305394167738369/k2iblvbn_normal.jpg")</f>
        <v>https://pbs.twimg.com/profile_images/1278305394167738369/k2iblvbn_normal.jpg</v>
      </c>
      <c r="W1113" s="83">
        <v>44460.661608796298</v>
      </c>
      <c r="X1113" s="89">
        <v>44460</v>
      </c>
      <c r="Y1113" s="87" t="s">
        <v>2516</v>
      </c>
      <c r="Z1113" s="85" t="str">
        <f>HYPERLINK("https://twitter.com/polresjembrana/status/1440343241379905536")</f>
        <v>https://twitter.com/polresjembrana/status/1440343241379905536</v>
      </c>
      <c r="AA1113" s="81"/>
      <c r="AB1113" s="81"/>
      <c r="AC1113" s="87" t="s">
        <v>3444</v>
      </c>
      <c r="AD1113" s="81"/>
      <c r="AE1113" s="81" t="b">
        <v>0</v>
      </c>
      <c r="AF1113" s="81">
        <v>0</v>
      </c>
      <c r="AG1113" s="87" t="s">
        <v>3875</v>
      </c>
      <c r="AH1113" s="81" t="b">
        <v>0</v>
      </c>
      <c r="AI1113" s="81" t="s">
        <v>4092</v>
      </c>
      <c r="AJ1113" s="81"/>
      <c r="AK1113" s="87" t="s">
        <v>3875</v>
      </c>
      <c r="AL1113" s="81" t="b">
        <v>0</v>
      </c>
      <c r="AM1113" s="81">
        <v>0</v>
      </c>
      <c r="AN1113" s="87" t="s">
        <v>3875</v>
      </c>
      <c r="AO1113" s="87" t="s">
        <v>4120</v>
      </c>
      <c r="AP1113" s="81" t="b">
        <v>0</v>
      </c>
      <c r="AQ1113" s="87" t="s">
        <v>3444</v>
      </c>
      <c r="AR1113" s="81" t="s">
        <v>179</v>
      </c>
      <c r="AS1113" s="81">
        <v>0</v>
      </c>
      <c r="AT1113" s="81">
        <v>0</v>
      </c>
      <c r="AU1113" s="81"/>
      <c r="AV1113" s="81"/>
      <c r="AW1113" s="81"/>
      <c r="AX1113" s="81"/>
      <c r="AY1113" s="81"/>
      <c r="AZ1113" s="81"/>
      <c r="BA1113" s="81"/>
      <c r="BB1113" s="81"/>
    </row>
    <row r="1114" spans="1:54" x14ac:dyDescent="0.35">
      <c r="A1114" s="66" t="s">
        <v>884</v>
      </c>
      <c r="B1114" s="66" t="s">
        <v>884</v>
      </c>
      <c r="C1114" s="67"/>
      <c r="D1114" s="68"/>
      <c r="E1114" s="69"/>
      <c r="F1114" s="70"/>
      <c r="G1114" s="67"/>
      <c r="H1114" s="71"/>
      <c r="I1114" s="72"/>
      <c r="J1114" s="72"/>
      <c r="K1114" s="36"/>
      <c r="L1114" s="79"/>
      <c r="M1114" s="79"/>
      <c r="N1114" s="74"/>
      <c r="O1114" s="81" t="s">
        <v>179</v>
      </c>
      <c r="P1114" s="83">
        <v>44461.254490740743</v>
      </c>
      <c r="Q1114" s="81" t="s">
        <v>1586</v>
      </c>
      <c r="R1114" s="85" t="str">
        <f>HYPERLINK("http://www.polresjembrananews.com/uncategorized/agenda-rutin-bagi-personil-sat-polairud-polres-jembrana-pos-pengambengan-laksanakan-bersih-bersih-mako-kantor-antisipasi-serta-putus-mata-rantai-penyebaran-covid-19.html")</f>
        <v>http://www.polresjembrananews.com/uncategorized/agenda-rutin-bagi-personil-sat-polairud-polres-jembrana-pos-pengambengan-laksanakan-bersih-bersih-mako-kantor-antisipasi-serta-putus-mata-rantai-penyebaran-covid-19.html</v>
      </c>
      <c r="S1114" s="81" t="s">
        <v>1753</v>
      </c>
      <c r="T1114" s="81"/>
      <c r="U1114" s="81"/>
      <c r="V1114" s="85" t="str">
        <f>HYPERLINK("https://pbs.twimg.com/profile_images/1278305394167738369/k2iblvbn_normal.jpg")</f>
        <v>https://pbs.twimg.com/profile_images/1278305394167738369/k2iblvbn_normal.jpg</v>
      </c>
      <c r="W1114" s="83">
        <v>44461.254490740743</v>
      </c>
      <c r="X1114" s="89">
        <v>44461</v>
      </c>
      <c r="Y1114" s="87" t="s">
        <v>2517</v>
      </c>
      <c r="Z1114" s="85" t="str">
        <f>HYPERLINK("https://twitter.com/polresjembrana/status/1440558095810187266")</f>
        <v>https://twitter.com/polresjembrana/status/1440558095810187266</v>
      </c>
      <c r="AA1114" s="81"/>
      <c r="AB1114" s="81"/>
      <c r="AC1114" s="87" t="s">
        <v>3445</v>
      </c>
      <c r="AD1114" s="81"/>
      <c r="AE1114" s="81" t="b">
        <v>0</v>
      </c>
      <c r="AF1114" s="81">
        <v>0</v>
      </c>
      <c r="AG1114" s="87" t="s">
        <v>3875</v>
      </c>
      <c r="AH1114" s="81" t="b">
        <v>0</v>
      </c>
      <c r="AI1114" s="81" t="s">
        <v>4092</v>
      </c>
      <c r="AJ1114" s="81"/>
      <c r="AK1114" s="87" t="s">
        <v>3875</v>
      </c>
      <c r="AL1114" s="81" t="b">
        <v>0</v>
      </c>
      <c r="AM1114" s="81">
        <v>0</v>
      </c>
      <c r="AN1114" s="87" t="s">
        <v>3875</v>
      </c>
      <c r="AO1114" s="87" t="s">
        <v>4120</v>
      </c>
      <c r="AP1114" s="81" t="b">
        <v>0</v>
      </c>
      <c r="AQ1114" s="87" t="s">
        <v>3445</v>
      </c>
      <c r="AR1114" s="81" t="s">
        <v>179</v>
      </c>
      <c r="AS1114" s="81">
        <v>0</v>
      </c>
      <c r="AT1114" s="81">
        <v>0</v>
      </c>
      <c r="AU1114" s="81"/>
      <c r="AV1114" s="81"/>
      <c r="AW1114" s="81"/>
      <c r="AX1114" s="81"/>
      <c r="AY1114" s="81"/>
      <c r="AZ1114" s="81"/>
      <c r="BA1114" s="81"/>
      <c r="BB1114" s="81"/>
    </row>
    <row r="1115" spans="1:54" x14ac:dyDescent="0.35">
      <c r="A1115" s="66" t="s">
        <v>884</v>
      </c>
      <c r="B1115" s="66" t="s">
        <v>884</v>
      </c>
      <c r="C1115" s="67"/>
      <c r="D1115" s="68"/>
      <c r="E1115" s="69"/>
      <c r="F1115" s="70"/>
      <c r="G1115" s="67"/>
      <c r="H1115" s="71"/>
      <c r="I1115" s="72"/>
      <c r="J1115" s="72"/>
      <c r="K1115" s="36"/>
      <c r="L1115" s="79"/>
      <c r="M1115" s="79"/>
      <c r="N1115" s="74"/>
      <c r="O1115" s="81" t="s">
        <v>179</v>
      </c>
      <c r="P1115" s="83">
        <v>44462.266041666669</v>
      </c>
      <c r="Q1115" s="81" t="s">
        <v>1587</v>
      </c>
      <c r="R1115" s="85" t="str">
        <f>HYPERLINK("http://www.polresjembrananews.com/uncategorized/guna-mencegah-penyebaran-covid-19-personil-sat-polairud-polres-jembrana-pos-pengambengan-laksanakan-bersih-bersih-kantor-26.html")</f>
        <v>http://www.polresjembrananews.com/uncategorized/guna-mencegah-penyebaran-covid-19-personil-sat-polairud-polres-jembrana-pos-pengambengan-laksanakan-bersih-bersih-kantor-26.html</v>
      </c>
      <c r="S1115" s="81" t="s">
        <v>1753</v>
      </c>
      <c r="T1115" s="81"/>
      <c r="U1115" s="81"/>
      <c r="V1115" s="85" t="str">
        <f>HYPERLINK("https://pbs.twimg.com/profile_images/1278305394167738369/k2iblvbn_normal.jpg")</f>
        <v>https://pbs.twimg.com/profile_images/1278305394167738369/k2iblvbn_normal.jpg</v>
      </c>
      <c r="W1115" s="83">
        <v>44462.266041666669</v>
      </c>
      <c r="X1115" s="89">
        <v>44462</v>
      </c>
      <c r="Y1115" s="87" t="s">
        <v>2518</v>
      </c>
      <c r="Z1115" s="85" t="str">
        <f>HYPERLINK("https://twitter.com/polresjembrana/status/1440924667800395776")</f>
        <v>https://twitter.com/polresjembrana/status/1440924667800395776</v>
      </c>
      <c r="AA1115" s="81"/>
      <c r="AB1115" s="81"/>
      <c r="AC1115" s="87" t="s">
        <v>3446</v>
      </c>
      <c r="AD1115" s="81"/>
      <c r="AE1115" s="81" t="b">
        <v>0</v>
      </c>
      <c r="AF1115" s="81">
        <v>0</v>
      </c>
      <c r="AG1115" s="87" t="s">
        <v>3875</v>
      </c>
      <c r="AH1115" s="81" t="b">
        <v>0</v>
      </c>
      <c r="AI1115" s="81" t="s">
        <v>4092</v>
      </c>
      <c r="AJ1115" s="81"/>
      <c r="AK1115" s="87" t="s">
        <v>3875</v>
      </c>
      <c r="AL1115" s="81" t="b">
        <v>0</v>
      </c>
      <c r="AM1115" s="81">
        <v>0</v>
      </c>
      <c r="AN1115" s="87" t="s">
        <v>3875</v>
      </c>
      <c r="AO1115" s="87" t="s">
        <v>4120</v>
      </c>
      <c r="AP1115" s="81" t="b">
        <v>0</v>
      </c>
      <c r="AQ1115" s="87" t="s">
        <v>3446</v>
      </c>
      <c r="AR1115" s="81" t="s">
        <v>179</v>
      </c>
      <c r="AS1115" s="81">
        <v>0</v>
      </c>
      <c r="AT1115" s="81">
        <v>0</v>
      </c>
      <c r="AU1115" s="81"/>
      <c r="AV1115" s="81"/>
      <c r="AW1115" s="81"/>
      <c r="AX1115" s="81"/>
      <c r="AY1115" s="81"/>
      <c r="AZ1115" s="81"/>
      <c r="BA1115" s="81"/>
      <c r="BB1115" s="81"/>
    </row>
    <row r="1116" spans="1:54" x14ac:dyDescent="0.35">
      <c r="A1116" s="66" t="s">
        <v>884</v>
      </c>
      <c r="B1116" s="66" t="s">
        <v>884</v>
      </c>
      <c r="C1116" s="67"/>
      <c r="D1116" s="68"/>
      <c r="E1116" s="69"/>
      <c r="F1116" s="70"/>
      <c r="G1116" s="67"/>
      <c r="H1116" s="71"/>
      <c r="I1116" s="72"/>
      <c r="J1116" s="72"/>
      <c r="K1116" s="36"/>
      <c r="L1116" s="79"/>
      <c r="M1116" s="79"/>
      <c r="N1116" s="74"/>
      <c r="O1116" s="81" t="s">
        <v>179</v>
      </c>
      <c r="P1116" s="83">
        <v>44462.280601851853</v>
      </c>
      <c r="Q1116" s="81" t="s">
        <v>1588</v>
      </c>
      <c r="R1116" s="85" t="str">
        <f>HYPERLINK("http://www.polresjembrananews.com/uncategorized/agenda-rutin-setiap-pagi-bagi-sat-polairud-pos-gilimanuk-laksanakan-giat-bersih-bersih-seputaran-kantor-penjagaan-dengan-harapan-cegah-putus-penyebaran-virus-covid-19.html")</f>
        <v>http://www.polresjembrananews.com/uncategorized/agenda-rutin-setiap-pagi-bagi-sat-polairud-pos-gilimanuk-laksanakan-giat-bersih-bersih-seputaran-kantor-penjagaan-dengan-harapan-cegah-putus-penyebaran-virus-covid-19.html</v>
      </c>
      <c r="S1116" s="81" t="s">
        <v>1753</v>
      </c>
      <c r="T1116" s="81"/>
      <c r="U1116" s="81"/>
      <c r="V1116" s="85" t="str">
        <f>HYPERLINK("https://pbs.twimg.com/profile_images/1278305394167738369/k2iblvbn_normal.jpg")</f>
        <v>https://pbs.twimg.com/profile_images/1278305394167738369/k2iblvbn_normal.jpg</v>
      </c>
      <c r="W1116" s="83">
        <v>44462.280601851853</v>
      </c>
      <c r="X1116" s="89">
        <v>44462</v>
      </c>
      <c r="Y1116" s="87" t="s">
        <v>2519</v>
      </c>
      <c r="Z1116" s="85" t="str">
        <f>HYPERLINK("https://twitter.com/polresjembrana/status/1440929943857385474")</f>
        <v>https://twitter.com/polresjembrana/status/1440929943857385474</v>
      </c>
      <c r="AA1116" s="81"/>
      <c r="AB1116" s="81"/>
      <c r="AC1116" s="87" t="s">
        <v>3447</v>
      </c>
      <c r="AD1116" s="81"/>
      <c r="AE1116" s="81" t="b">
        <v>0</v>
      </c>
      <c r="AF1116" s="81">
        <v>0</v>
      </c>
      <c r="AG1116" s="87" t="s">
        <v>3875</v>
      </c>
      <c r="AH1116" s="81" t="b">
        <v>0</v>
      </c>
      <c r="AI1116" s="81" t="s">
        <v>4092</v>
      </c>
      <c r="AJ1116" s="81"/>
      <c r="AK1116" s="87" t="s">
        <v>3875</v>
      </c>
      <c r="AL1116" s="81" t="b">
        <v>0</v>
      </c>
      <c r="AM1116" s="81">
        <v>0</v>
      </c>
      <c r="AN1116" s="87" t="s">
        <v>3875</v>
      </c>
      <c r="AO1116" s="87" t="s">
        <v>4120</v>
      </c>
      <c r="AP1116" s="81" t="b">
        <v>0</v>
      </c>
      <c r="AQ1116" s="87" t="s">
        <v>3447</v>
      </c>
      <c r="AR1116" s="81" t="s">
        <v>179</v>
      </c>
      <c r="AS1116" s="81">
        <v>0</v>
      </c>
      <c r="AT1116" s="81">
        <v>0</v>
      </c>
      <c r="AU1116" s="81"/>
      <c r="AV1116" s="81"/>
      <c r="AW1116" s="81"/>
      <c r="AX1116" s="81"/>
      <c r="AY1116" s="81"/>
      <c r="AZ1116" s="81"/>
      <c r="BA1116" s="81"/>
      <c r="BB1116" s="81"/>
    </row>
    <row r="1117" spans="1:54" x14ac:dyDescent="0.35">
      <c r="A1117" s="66" t="s">
        <v>884</v>
      </c>
      <c r="B1117" s="66" t="s">
        <v>884</v>
      </c>
      <c r="C1117" s="67"/>
      <c r="D1117" s="68"/>
      <c r="E1117" s="69"/>
      <c r="F1117" s="70"/>
      <c r="G1117" s="67"/>
      <c r="H1117" s="71"/>
      <c r="I1117" s="72"/>
      <c r="J1117" s="72"/>
      <c r="K1117" s="36"/>
      <c r="L1117" s="79"/>
      <c r="M1117" s="79"/>
      <c r="N1117" s="74"/>
      <c r="O1117" s="81" t="s">
        <v>179</v>
      </c>
      <c r="P1117" s="83">
        <v>44463.19734953704</v>
      </c>
      <c r="Q1117" s="81" t="s">
        <v>1589</v>
      </c>
      <c r="R1117" s="85" t="str">
        <f>HYPERLINK("http://www.polresjembrananews.com/uncategorized/guna-mencegah-penyebaran-covid-19-personil-sat-polairud-polres-jembrana-pos-gilimanuk-laksanakan-bersih-bersih-kantor-18.html")</f>
        <v>http://www.polresjembrananews.com/uncategorized/guna-mencegah-penyebaran-covid-19-personil-sat-polairud-polres-jembrana-pos-gilimanuk-laksanakan-bersih-bersih-kantor-18.html</v>
      </c>
      <c r="S1117" s="81" t="s">
        <v>1753</v>
      </c>
      <c r="T1117" s="81"/>
      <c r="U1117" s="81"/>
      <c r="V1117" s="85" t="str">
        <f>HYPERLINK("https://pbs.twimg.com/profile_images/1278305394167738369/k2iblvbn_normal.jpg")</f>
        <v>https://pbs.twimg.com/profile_images/1278305394167738369/k2iblvbn_normal.jpg</v>
      </c>
      <c r="W1117" s="83">
        <v>44463.19734953704</v>
      </c>
      <c r="X1117" s="89">
        <v>44463</v>
      </c>
      <c r="Y1117" s="87" t="s">
        <v>2520</v>
      </c>
      <c r="Z1117" s="85" t="str">
        <f>HYPERLINK("https://twitter.com/polresjembrana/status/1441262164166119429")</f>
        <v>https://twitter.com/polresjembrana/status/1441262164166119429</v>
      </c>
      <c r="AA1117" s="81"/>
      <c r="AB1117" s="81"/>
      <c r="AC1117" s="87" t="s">
        <v>3448</v>
      </c>
      <c r="AD1117" s="81"/>
      <c r="AE1117" s="81" t="b">
        <v>0</v>
      </c>
      <c r="AF1117" s="81">
        <v>0</v>
      </c>
      <c r="AG1117" s="87" t="s">
        <v>3875</v>
      </c>
      <c r="AH1117" s="81" t="b">
        <v>0</v>
      </c>
      <c r="AI1117" s="81" t="s">
        <v>4092</v>
      </c>
      <c r="AJ1117" s="81"/>
      <c r="AK1117" s="87" t="s">
        <v>3875</v>
      </c>
      <c r="AL1117" s="81" t="b">
        <v>0</v>
      </c>
      <c r="AM1117" s="81">
        <v>0</v>
      </c>
      <c r="AN1117" s="87" t="s">
        <v>3875</v>
      </c>
      <c r="AO1117" s="87" t="s">
        <v>4120</v>
      </c>
      <c r="AP1117" s="81" t="b">
        <v>0</v>
      </c>
      <c r="AQ1117" s="87" t="s">
        <v>3448</v>
      </c>
      <c r="AR1117" s="81" t="s">
        <v>179</v>
      </c>
      <c r="AS1117" s="81">
        <v>0</v>
      </c>
      <c r="AT1117" s="81">
        <v>0</v>
      </c>
      <c r="AU1117" s="81"/>
      <c r="AV1117" s="81"/>
      <c r="AW1117" s="81"/>
      <c r="AX1117" s="81"/>
      <c r="AY1117" s="81"/>
      <c r="AZ1117" s="81"/>
      <c r="BA1117" s="81"/>
      <c r="BB1117" s="81"/>
    </row>
    <row r="1118" spans="1:54" x14ac:dyDescent="0.35">
      <c r="A1118" s="66" t="s">
        <v>884</v>
      </c>
      <c r="B1118" s="66" t="s">
        <v>884</v>
      </c>
      <c r="C1118" s="67"/>
      <c r="D1118" s="68"/>
      <c r="E1118" s="69"/>
      <c r="F1118" s="70"/>
      <c r="G1118" s="67"/>
      <c r="H1118" s="71"/>
      <c r="I1118" s="72"/>
      <c r="J1118" s="72"/>
      <c r="K1118" s="36"/>
      <c r="L1118" s="79"/>
      <c r="M1118" s="79"/>
      <c r="N1118" s="74"/>
      <c r="O1118" s="81" t="s">
        <v>179</v>
      </c>
      <c r="P1118" s="83">
        <v>44465.428043981483</v>
      </c>
      <c r="Q1118" s="81" t="s">
        <v>1590</v>
      </c>
      <c r="R1118" s="85" t="str">
        <f>HYPERLINK("https://www.polresjembrananews.com/uncategorized/guna-mencegah-penyebaran-covid-19-personil-sat-polairud-polres-jembrana-pos-pengambengan-laksanakan-bersih-bersih-kantor-27.html")</f>
        <v>https://www.polresjembrananews.com/uncategorized/guna-mencegah-penyebaran-covid-19-personil-sat-polairud-polres-jembrana-pos-pengambengan-laksanakan-bersih-bersih-kantor-27.html</v>
      </c>
      <c r="S1118" s="81" t="s">
        <v>1753</v>
      </c>
      <c r="T1118" s="81"/>
      <c r="U1118" s="81"/>
      <c r="V1118" s="85" t="str">
        <f>HYPERLINK("https://pbs.twimg.com/profile_images/1278305394167738369/k2iblvbn_normal.jpg")</f>
        <v>https://pbs.twimg.com/profile_images/1278305394167738369/k2iblvbn_normal.jpg</v>
      </c>
      <c r="W1118" s="83">
        <v>44465.428043981483</v>
      </c>
      <c r="X1118" s="89">
        <v>44465</v>
      </c>
      <c r="Y1118" s="87" t="s">
        <v>2521</v>
      </c>
      <c r="Z1118" s="85" t="str">
        <f>HYPERLINK("https://twitter.com/polresjembrana/status/1442070538122264580")</f>
        <v>https://twitter.com/polresjembrana/status/1442070538122264580</v>
      </c>
      <c r="AA1118" s="81"/>
      <c r="AB1118" s="81"/>
      <c r="AC1118" s="87" t="s">
        <v>3449</v>
      </c>
      <c r="AD1118" s="81"/>
      <c r="AE1118" s="81" t="b">
        <v>0</v>
      </c>
      <c r="AF1118" s="81">
        <v>0</v>
      </c>
      <c r="AG1118" s="87" t="s">
        <v>3875</v>
      </c>
      <c r="AH1118" s="81" t="b">
        <v>0</v>
      </c>
      <c r="AI1118" s="81" t="s">
        <v>4092</v>
      </c>
      <c r="AJ1118" s="81"/>
      <c r="AK1118" s="87" t="s">
        <v>3875</v>
      </c>
      <c r="AL1118" s="81" t="b">
        <v>0</v>
      </c>
      <c r="AM1118" s="81">
        <v>0</v>
      </c>
      <c r="AN1118" s="87" t="s">
        <v>3875</v>
      </c>
      <c r="AO1118" s="87" t="s">
        <v>4120</v>
      </c>
      <c r="AP1118" s="81" t="b">
        <v>0</v>
      </c>
      <c r="AQ1118" s="87" t="s">
        <v>3449</v>
      </c>
      <c r="AR1118" s="81" t="s">
        <v>179</v>
      </c>
      <c r="AS1118" s="81">
        <v>0</v>
      </c>
      <c r="AT1118" s="81">
        <v>0</v>
      </c>
      <c r="AU1118" s="81"/>
      <c r="AV1118" s="81"/>
      <c r="AW1118" s="81"/>
      <c r="AX1118" s="81"/>
      <c r="AY1118" s="81"/>
      <c r="AZ1118" s="81"/>
      <c r="BA1118" s="81"/>
      <c r="BB1118" s="81"/>
    </row>
    <row r="1119" spans="1:54" x14ac:dyDescent="0.35">
      <c r="A1119" s="66" t="s">
        <v>884</v>
      </c>
      <c r="B1119" s="66" t="s">
        <v>884</v>
      </c>
      <c r="C1119" s="67"/>
      <c r="D1119" s="68"/>
      <c r="E1119" s="69"/>
      <c r="F1119" s="70"/>
      <c r="G1119" s="67"/>
      <c r="H1119" s="71"/>
      <c r="I1119" s="72"/>
      <c r="J1119" s="72"/>
      <c r="K1119" s="36"/>
      <c r="L1119" s="79"/>
      <c r="M1119" s="79"/>
      <c r="N1119" s="74"/>
      <c r="O1119" s="81" t="s">
        <v>179</v>
      </c>
      <c r="P1119" s="83">
        <v>44465.431006944447</v>
      </c>
      <c r="Q1119" s="81" t="s">
        <v>1591</v>
      </c>
      <c r="R1119" s="85" t="str">
        <f>HYPERLINK("http://www.polresjembrananews.com/uncategorized/untuk-mencegah-penyebaran-covid-19sat-polairud-pos-gilimanuk-laksanakan-giat-bersih-bersih-seputaran-pos-penjagaan-kantor-2.html")</f>
        <v>http://www.polresjembrananews.com/uncategorized/untuk-mencegah-penyebaran-covid-19sat-polairud-pos-gilimanuk-laksanakan-giat-bersih-bersih-seputaran-pos-penjagaan-kantor-2.html</v>
      </c>
      <c r="S1119" s="81" t="s">
        <v>1753</v>
      </c>
      <c r="T1119" s="81"/>
      <c r="U1119" s="81"/>
      <c r="V1119" s="85" t="str">
        <f>HYPERLINK("https://pbs.twimg.com/profile_images/1278305394167738369/k2iblvbn_normal.jpg")</f>
        <v>https://pbs.twimg.com/profile_images/1278305394167738369/k2iblvbn_normal.jpg</v>
      </c>
      <c r="W1119" s="83">
        <v>44465.431006944447</v>
      </c>
      <c r="X1119" s="89">
        <v>44465</v>
      </c>
      <c r="Y1119" s="87" t="s">
        <v>2522</v>
      </c>
      <c r="Z1119" s="85" t="str">
        <f>HYPERLINK("https://twitter.com/polresjembrana/status/1442071614242369538")</f>
        <v>https://twitter.com/polresjembrana/status/1442071614242369538</v>
      </c>
      <c r="AA1119" s="81"/>
      <c r="AB1119" s="81"/>
      <c r="AC1119" s="87" t="s">
        <v>3450</v>
      </c>
      <c r="AD1119" s="81"/>
      <c r="AE1119" s="81" t="b">
        <v>0</v>
      </c>
      <c r="AF1119" s="81">
        <v>0</v>
      </c>
      <c r="AG1119" s="87" t="s">
        <v>3875</v>
      </c>
      <c r="AH1119" s="81" t="b">
        <v>0</v>
      </c>
      <c r="AI1119" s="81" t="s">
        <v>4092</v>
      </c>
      <c r="AJ1119" s="81"/>
      <c r="AK1119" s="87" t="s">
        <v>3875</v>
      </c>
      <c r="AL1119" s="81" t="b">
        <v>0</v>
      </c>
      <c r="AM1119" s="81">
        <v>0</v>
      </c>
      <c r="AN1119" s="87" t="s">
        <v>3875</v>
      </c>
      <c r="AO1119" s="87" t="s">
        <v>4120</v>
      </c>
      <c r="AP1119" s="81" t="b">
        <v>0</v>
      </c>
      <c r="AQ1119" s="87" t="s">
        <v>3450</v>
      </c>
      <c r="AR1119" s="81" t="s">
        <v>179</v>
      </c>
      <c r="AS1119" s="81">
        <v>0</v>
      </c>
      <c r="AT1119" s="81">
        <v>0</v>
      </c>
      <c r="AU1119" s="81"/>
      <c r="AV1119" s="81"/>
      <c r="AW1119" s="81"/>
      <c r="AX1119" s="81"/>
      <c r="AY1119" s="81"/>
      <c r="AZ1119" s="81"/>
      <c r="BA1119" s="81"/>
      <c r="BB1119" s="81"/>
    </row>
    <row r="1120" spans="1:54" x14ac:dyDescent="0.35">
      <c r="A1120" s="66" t="s">
        <v>884</v>
      </c>
      <c r="B1120" s="66" t="s">
        <v>884</v>
      </c>
      <c r="C1120" s="67"/>
      <c r="D1120" s="68"/>
      <c r="E1120" s="69"/>
      <c r="F1120" s="70"/>
      <c r="G1120" s="67"/>
      <c r="H1120" s="71"/>
      <c r="I1120" s="72"/>
      <c r="J1120" s="72"/>
      <c r="K1120" s="36"/>
      <c r="L1120" s="79"/>
      <c r="M1120" s="79"/>
      <c r="N1120" s="74"/>
      <c r="O1120" s="81" t="s">
        <v>179</v>
      </c>
      <c r="P1120" s="83">
        <v>44466.071979166663</v>
      </c>
      <c r="Q1120" s="81" t="s">
        <v>1592</v>
      </c>
      <c r="R1120" s="85" t="str">
        <f>HYPERLINK("http://www.polresjembrananews.com/uncategorized/guna-mencegah-penyebaran-covid-19-personil-sat-polairud-polres-jembrana-pos-gilimanuk-laksanakan-bersih-bersih-kantor-19.html")</f>
        <v>http://www.polresjembrananews.com/uncategorized/guna-mencegah-penyebaran-covid-19-personil-sat-polairud-polres-jembrana-pos-gilimanuk-laksanakan-bersih-bersih-kantor-19.html</v>
      </c>
      <c r="S1120" s="81" t="s">
        <v>1753</v>
      </c>
      <c r="T1120" s="81"/>
      <c r="U1120" s="81"/>
      <c r="V1120" s="85" t="str">
        <f>HYPERLINK("https://pbs.twimg.com/profile_images/1278305394167738369/k2iblvbn_normal.jpg")</f>
        <v>https://pbs.twimg.com/profile_images/1278305394167738369/k2iblvbn_normal.jpg</v>
      </c>
      <c r="W1120" s="83">
        <v>44466.071979166663</v>
      </c>
      <c r="X1120" s="89">
        <v>44466</v>
      </c>
      <c r="Y1120" s="87" t="s">
        <v>2523</v>
      </c>
      <c r="Z1120" s="85" t="str">
        <f>HYPERLINK("https://twitter.com/polresjembrana/status/1442303894554439681")</f>
        <v>https://twitter.com/polresjembrana/status/1442303894554439681</v>
      </c>
      <c r="AA1120" s="81"/>
      <c r="AB1120" s="81"/>
      <c r="AC1120" s="87" t="s">
        <v>3451</v>
      </c>
      <c r="AD1120" s="81"/>
      <c r="AE1120" s="81" t="b">
        <v>0</v>
      </c>
      <c r="AF1120" s="81">
        <v>0</v>
      </c>
      <c r="AG1120" s="87" t="s">
        <v>3875</v>
      </c>
      <c r="AH1120" s="81" t="b">
        <v>0</v>
      </c>
      <c r="AI1120" s="81" t="s">
        <v>4092</v>
      </c>
      <c r="AJ1120" s="81"/>
      <c r="AK1120" s="87" t="s">
        <v>3875</v>
      </c>
      <c r="AL1120" s="81" t="b">
        <v>0</v>
      </c>
      <c r="AM1120" s="81">
        <v>0</v>
      </c>
      <c r="AN1120" s="87" t="s">
        <v>3875</v>
      </c>
      <c r="AO1120" s="87" t="s">
        <v>4120</v>
      </c>
      <c r="AP1120" s="81" t="b">
        <v>0</v>
      </c>
      <c r="AQ1120" s="87" t="s">
        <v>3451</v>
      </c>
      <c r="AR1120" s="81" t="s">
        <v>179</v>
      </c>
      <c r="AS1120" s="81">
        <v>0</v>
      </c>
      <c r="AT1120" s="81">
        <v>0</v>
      </c>
      <c r="AU1120" s="81"/>
      <c r="AV1120" s="81"/>
      <c r="AW1120" s="81"/>
      <c r="AX1120" s="81"/>
      <c r="AY1120" s="81"/>
      <c r="AZ1120" s="81"/>
      <c r="BA1120" s="81"/>
      <c r="BB1120" s="81"/>
    </row>
    <row r="1121" spans="1:54" x14ac:dyDescent="0.35">
      <c r="A1121" s="66" t="s">
        <v>885</v>
      </c>
      <c r="B1121" s="66" t="s">
        <v>892</v>
      </c>
      <c r="C1121" s="67"/>
      <c r="D1121" s="68"/>
      <c r="E1121" s="69"/>
      <c r="F1121" s="70"/>
      <c r="G1121" s="67"/>
      <c r="H1121" s="71"/>
      <c r="I1121" s="72"/>
      <c r="J1121" s="72"/>
      <c r="K1121" s="36"/>
      <c r="L1121" s="79"/>
      <c r="M1121" s="79"/>
      <c r="N1121" s="74"/>
      <c r="O1121" s="81" t="s">
        <v>1205</v>
      </c>
      <c r="P1121" s="83">
        <v>44466.07408564815</v>
      </c>
      <c r="Q1121" s="81" t="s">
        <v>1582</v>
      </c>
      <c r="R1121" s="85" t="str">
        <f>HYPERLINK("https://m.antaranews.com/amp/berita/2415429/hari-bhakti-postel-diperingati-27-september-seperti-apa-sejarahnya")</f>
        <v>https://m.antaranews.com/amp/berita/2415429/hari-bhakti-postel-diperingati-27-september-seperti-apa-sejarahnya</v>
      </c>
      <c r="S1121" s="81" t="s">
        <v>1752</v>
      </c>
      <c r="T1121" s="81"/>
      <c r="U1121" s="81"/>
      <c r="V1121" s="85" t="str">
        <f>HYPERLINK("https://pbs.twimg.com/profile_images/1422139869170585602/EwRUYiHD_normal.jpg")</f>
        <v>https://pbs.twimg.com/profile_images/1422139869170585602/EwRUYiHD_normal.jpg</v>
      </c>
      <c r="W1121" s="83">
        <v>44466.07408564815</v>
      </c>
      <c r="X1121" s="89">
        <v>44466</v>
      </c>
      <c r="Y1121" s="87" t="s">
        <v>2524</v>
      </c>
      <c r="Z1121" s="85" t="str">
        <f>HYPERLINK("https://twitter.com/setiant_d/status/1442304658412736514")</f>
        <v>https://twitter.com/setiant_d/status/1442304658412736514</v>
      </c>
      <c r="AA1121" s="81"/>
      <c r="AB1121" s="81"/>
      <c r="AC1121" s="87" t="s">
        <v>3452</v>
      </c>
      <c r="AD1121" s="81"/>
      <c r="AE1121" s="81" t="b">
        <v>0</v>
      </c>
      <c r="AF1121" s="81">
        <v>0</v>
      </c>
      <c r="AG1121" s="87" t="s">
        <v>3875</v>
      </c>
      <c r="AH1121" s="81" t="b">
        <v>0</v>
      </c>
      <c r="AI1121" s="81" t="s">
        <v>4092</v>
      </c>
      <c r="AJ1121" s="81"/>
      <c r="AK1121" s="87" t="s">
        <v>3875</v>
      </c>
      <c r="AL1121" s="81" t="b">
        <v>0</v>
      </c>
      <c r="AM1121" s="81">
        <v>6</v>
      </c>
      <c r="AN1121" s="87" t="s">
        <v>3464</v>
      </c>
      <c r="AO1121" s="87" t="s">
        <v>4109</v>
      </c>
      <c r="AP1121" s="81" t="b">
        <v>0</v>
      </c>
      <c r="AQ1121" s="87" t="s">
        <v>3464</v>
      </c>
      <c r="AR1121" s="81" t="s">
        <v>179</v>
      </c>
      <c r="AS1121" s="81">
        <v>0</v>
      </c>
      <c r="AT1121" s="81">
        <v>0</v>
      </c>
      <c r="AU1121" s="81"/>
      <c r="AV1121" s="81"/>
      <c r="AW1121" s="81"/>
      <c r="AX1121" s="81"/>
      <c r="AY1121" s="81"/>
      <c r="AZ1121" s="81"/>
      <c r="BA1121" s="81"/>
      <c r="BB1121" s="81"/>
    </row>
    <row r="1122" spans="1:54" x14ac:dyDescent="0.35">
      <c r="A1122" s="66" t="s">
        <v>886</v>
      </c>
      <c r="B1122" s="66" t="s">
        <v>892</v>
      </c>
      <c r="C1122" s="67"/>
      <c r="D1122" s="68"/>
      <c r="E1122" s="69"/>
      <c r="F1122" s="70"/>
      <c r="G1122" s="67"/>
      <c r="H1122" s="71"/>
      <c r="I1122" s="72"/>
      <c r="J1122" s="72"/>
      <c r="K1122" s="36"/>
      <c r="L1122" s="79"/>
      <c r="M1122" s="79"/>
      <c r="N1122" s="74"/>
      <c r="O1122" s="81" t="s">
        <v>1205</v>
      </c>
      <c r="P1122" s="83">
        <v>44466.091643518521</v>
      </c>
      <c r="Q1122" s="81" t="s">
        <v>1582</v>
      </c>
      <c r="R1122" s="85" t="str">
        <f>HYPERLINK("https://m.antaranews.com/amp/berita/2415429/hari-bhakti-postel-diperingati-27-september-seperti-apa-sejarahnya")</f>
        <v>https://m.antaranews.com/amp/berita/2415429/hari-bhakti-postel-diperingati-27-september-seperti-apa-sejarahnya</v>
      </c>
      <c r="S1122" s="81" t="s">
        <v>1752</v>
      </c>
      <c r="T1122" s="81"/>
      <c r="U1122" s="81"/>
      <c r="V1122" s="85" t="str">
        <f>HYPERLINK("https://pbs.twimg.com/profile_images/1169981643790020608/UwWjbC2Z_normal.jpg")</f>
        <v>https://pbs.twimg.com/profile_images/1169981643790020608/UwWjbC2Z_normal.jpg</v>
      </c>
      <c r="W1122" s="83">
        <v>44466.091643518521</v>
      </c>
      <c r="X1122" s="89">
        <v>44466</v>
      </c>
      <c r="Y1122" s="87" t="s">
        <v>2525</v>
      </c>
      <c r="Z1122" s="85" t="str">
        <f>HYPERLINK("https://twitter.com/trisnadody/status/1442311017678049283")</f>
        <v>https://twitter.com/trisnadody/status/1442311017678049283</v>
      </c>
      <c r="AA1122" s="81"/>
      <c r="AB1122" s="81"/>
      <c r="AC1122" s="87" t="s">
        <v>3453</v>
      </c>
      <c r="AD1122" s="81"/>
      <c r="AE1122" s="81" t="b">
        <v>0</v>
      </c>
      <c r="AF1122" s="81">
        <v>0</v>
      </c>
      <c r="AG1122" s="87" t="s">
        <v>3875</v>
      </c>
      <c r="AH1122" s="81" t="b">
        <v>0</v>
      </c>
      <c r="AI1122" s="81" t="s">
        <v>4092</v>
      </c>
      <c r="AJ1122" s="81"/>
      <c r="AK1122" s="87" t="s">
        <v>3875</v>
      </c>
      <c r="AL1122" s="81" t="b">
        <v>0</v>
      </c>
      <c r="AM1122" s="81">
        <v>6</v>
      </c>
      <c r="AN1122" s="87" t="s">
        <v>3464</v>
      </c>
      <c r="AO1122" s="87" t="s">
        <v>4110</v>
      </c>
      <c r="AP1122" s="81" t="b">
        <v>0</v>
      </c>
      <c r="AQ1122" s="87" t="s">
        <v>3464</v>
      </c>
      <c r="AR1122" s="81" t="s">
        <v>179</v>
      </c>
      <c r="AS1122" s="81">
        <v>0</v>
      </c>
      <c r="AT1122" s="81">
        <v>0</v>
      </c>
      <c r="AU1122" s="81"/>
      <c r="AV1122" s="81"/>
      <c r="AW1122" s="81"/>
      <c r="AX1122" s="81"/>
      <c r="AY1122" s="81"/>
      <c r="AZ1122" s="81"/>
      <c r="BA1122" s="81"/>
      <c r="BB1122" s="81"/>
    </row>
    <row r="1123" spans="1:54" x14ac:dyDescent="0.35">
      <c r="A1123" s="66" t="s">
        <v>887</v>
      </c>
      <c r="B1123" s="66" t="s">
        <v>892</v>
      </c>
      <c r="C1123" s="67"/>
      <c r="D1123" s="68"/>
      <c r="E1123" s="69"/>
      <c r="F1123" s="70"/>
      <c r="G1123" s="67"/>
      <c r="H1123" s="71"/>
      <c r="I1123" s="72"/>
      <c r="J1123" s="72"/>
      <c r="K1123" s="36"/>
      <c r="L1123" s="79"/>
      <c r="M1123" s="79"/>
      <c r="N1123" s="74"/>
      <c r="O1123" s="81" t="s">
        <v>1205</v>
      </c>
      <c r="P1123" s="83">
        <v>44466.091898148145</v>
      </c>
      <c r="Q1123" s="81" t="s">
        <v>1582</v>
      </c>
      <c r="R1123" s="85" t="str">
        <f>HYPERLINK("https://m.antaranews.com/amp/berita/2415429/hari-bhakti-postel-diperingati-27-september-seperti-apa-sejarahnya")</f>
        <v>https://m.antaranews.com/amp/berita/2415429/hari-bhakti-postel-diperingati-27-september-seperti-apa-sejarahnya</v>
      </c>
      <c r="S1123" s="81" t="s">
        <v>1752</v>
      </c>
      <c r="T1123" s="81"/>
      <c r="U1123" s="81"/>
      <c r="V1123" s="85" t="str">
        <f>HYPERLINK("https://pbs.twimg.com/profile_images/1439085783349039107/cuyR-Bqx_normal.jpg")</f>
        <v>https://pbs.twimg.com/profile_images/1439085783349039107/cuyR-Bqx_normal.jpg</v>
      </c>
      <c r="W1123" s="83">
        <v>44466.091898148145</v>
      </c>
      <c r="X1123" s="89">
        <v>44466</v>
      </c>
      <c r="Y1123" s="87" t="s">
        <v>2526</v>
      </c>
      <c r="Z1123" s="85" t="str">
        <f>HYPERLINK("https://twitter.com/mkomeliya/status/1442311109734592513")</f>
        <v>https://twitter.com/mkomeliya/status/1442311109734592513</v>
      </c>
      <c r="AA1123" s="81"/>
      <c r="AB1123" s="81"/>
      <c r="AC1123" s="87" t="s">
        <v>3454</v>
      </c>
      <c r="AD1123" s="81"/>
      <c r="AE1123" s="81" t="b">
        <v>0</v>
      </c>
      <c r="AF1123" s="81">
        <v>0</v>
      </c>
      <c r="AG1123" s="87" t="s">
        <v>3875</v>
      </c>
      <c r="AH1123" s="81" t="b">
        <v>0</v>
      </c>
      <c r="AI1123" s="81" t="s">
        <v>4092</v>
      </c>
      <c r="AJ1123" s="81"/>
      <c r="AK1123" s="87" t="s">
        <v>3875</v>
      </c>
      <c r="AL1123" s="81" t="b">
        <v>0</v>
      </c>
      <c r="AM1123" s="81">
        <v>6</v>
      </c>
      <c r="AN1123" s="87" t="s">
        <v>3464</v>
      </c>
      <c r="AO1123" s="87" t="s">
        <v>4111</v>
      </c>
      <c r="AP1123" s="81" t="b">
        <v>0</v>
      </c>
      <c r="AQ1123" s="87" t="s">
        <v>3464</v>
      </c>
      <c r="AR1123" s="81" t="s">
        <v>179</v>
      </c>
      <c r="AS1123" s="81">
        <v>0</v>
      </c>
      <c r="AT1123" s="81">
        <v>0</v>
      </c>
      <c r="AU1123" s="81"/>
      <c r="AV1123" s="81"/>
      <c r="AW1123" s="81"/>
      <c r="AX1123" s="81"/>
      <c r="AY1123" s="81"/>
      <c r="AZ1123" s="81"/>
      <c r="BA1123" s="81"/>
      <c r="BB1123" s="81"/>
    </row>
    <row r="1124" spans="1:54" x14ac:dyDescent="0.35">
      <c r="A1124" s="66" t="s">
        <v>888</v>
      </c>
      <c r="B1124" s="66" t="s">
        <v>888</v>
      </c>
      <c r="C1124" s="67"/>
      <c r="D1124" s="68"/>
      <c r="E1124" s="69"/>
      <c r="F1124" s="70"/>
      <c r="G1124" s="67"/>
      <c r="H1124" s="71"/>
      <c r="I1124" s="72"/>
      <c r="J1124" s="72"/>
      <c r="K1124" s="36"/>
      <c r="L1124" s="79"/>
      <c r="M1124" s="79"/>
      <c r="N1124" s="74"/>
      <c r="O1124" s="81" t="s">
        <v>179</v>
      </c>
      <c r="P1124" s="83">
        <v>44466.111111111109</v>
      </c>
      <c r="Q1124" s="81" t="s">
        <v>1593</v>
      </c>
      <c r="R1124" s="81"/>
      <c r="S1124" s="81"/>
      <c r="T1124" s="81"/>
      <c r="U1124" s="81"/>
      <c r="V1124" s="85" t="str">
        <f>HYPERLINK("https://pbs.twimg.com/profile_images/1367266149524631553/ImCMaUMu_normal.jpg")</f>
        <v>https://pbs.twimg.com/profile_images/1367266149524631553/ImCMaUMu_normal.jpg</v>
      </c>
      <c r="W1124" s="83">
        <v>44466.111111111109</v>
      </c>
      <c r="X1124" s="89">
        <v>44466</v>
      </c>
      <c r="Y1124" s="87" t="s">
        <v>2527</v>
      </c>
      <c r="Z1124" s="85" t="str">
        <f>HYPERLINK("https://twitter.com/rumahkipkunsil/status/1442318075525623810")</f>
        <v>https://twitter.com/rumahkipkunsil/status/1442318075525623810</v>
      </c>
      <c r="AA1124" s="81"/>
      <c r="AB1124" s="81"/>
      <c r="AC1124" s="87" t="s">
        <v>3455</v>
      </c>
      <c r="AD1124" s="87" t="s">
        <v>3830</v>
      </c>
      <c r="AE1124" s="81" t="b">
        <v>0</v>
      </c>
      <c r="AF1124" s="81">
        <v>0</v>
      </c>
      <c r="AG1124" s="87" t="s">
        <v>4048</v>
      </c>
      <c r="AH1124" s="81" t="b">
        <v>0</v>
      </c>
      <c r="AI1124" s="81" t="s">
        <v>4092</v>
      </c>
      <c r="AJ1124" s="81"/>
      <c r="AK1124" s="87" t="s">
        <v>3875</v>
      </c>
      <c r="AL1124" s="81" t="b">
        <v>0</v>
      </c>
      <c r="AM1124" s="81">
        <v>0</v>
      </c>
      <c r="AN1124" s="87" t="s">
        <v>3875</v>
      </c>
      <c r="AO1124" s="87" t="s">
        <v>4109</v>
      </c>
      <c r="AP1124" s="81" t="b">
        <v>0</v>
      </c>
      <c r="AQ1124" s="87" t="s">
        <v>3830</v>
      </c>
      <c r="AR1124" s="81" t="s">
        <v>179</v>
      </c>
      <c r="AS1124" s="81">
        <v>0</v>
      </c>
      <c r="AT1124" s="81">
        <v>0</v>
      </c>
      <c r="AU1124" s="81"/>
      <c r="AV1124" s="81"/>
      <c r="AW1124" s="81"/>
      <c r="AX1124" s="81"/>
      <c r="AY1124" s="81"/>
      <c r="AZ1124" s="81"/>
      <c r="BA1124" s="81"/>
      <c r="BB1124" s="81"/>
    </row>
    <row r="1125" spans="1:54" x14ac:dyDescent="0.35">
      <c r="A1125" s="66" t="s">
        <v>889</v>
      </c>
      <c r="B1125" s="66" t="s">
        <v>889</v>
      </c>
      <c r="C1125" s="67"/>
      <c r="D1125" s="68"/>
      <c r="E1125" s="69"/>
      <c r="F1125" s="70"/>
      <c r="G1125" s="67"/>
      <c r="H1125" s="71"/>
      <c r="I1125" s="72"/>
      <c r="J1125" s="72"/>
      <c r="K1125" s="36"/>
      <c r="L1125" s="79"/>
      <c r="M1125" s="79"/>
      <c r="N1125" s="74"/>
      <c r="O1125" s="81" t="s">
        <v>179</v>
      </c>
      <c r="P1125" s="83">
        <v>44466.125208333331</v>
      </c>
      <c r="Q1125" s="81" t="s">
        <v>1593</v>
      </c>
      <c r="R1125" s="81"/>
      <c r="S1125" s="81"/>
      <c r="T1125" s="81"/>
      <c r="U1125" s="81"/>
      <c r="V1125" s="85" t="str">
        <f>HYPERLINK("https://pbs.twimg.com/profile_images/1321791301872803840/j7W_f3i3_normal.jpg")</f>
        <v>https://pbs.twimg.com/profile_images/1321791301872803840/j7W_f3i3_normal.jpg</v>
      </c>
      <c r="W1125" s="83">
        <v>44466.125208333331</v>
      </c>
      <c r="X1125" s="89">
        <v>44466</v>
      </c>
      <c r="Y1125" s="87" t="s">
        <v>2528</v>
      </c>
      <c r="Z1125" s="85" t="str">
        <f>HYPERLINK("https://twitter.com/himafifmipaunri/status/1442323182749290503")</f>
        <v>https://twitter.com/himafifmipaunri/status/1442323182749290503</v>
      </c>
      <c r="AA1125" s="81"/>
      <c r="AB1125" s="81"/>
      <c r="AC1125" s="87" t="s">
        <v>3456</v>
      </c>
      <c r="AD1125" s="87" t="s">
        <v>3831</v>
      </c>
      <c r="AE1125" s="81" t="b">
        <v>0</v>
      </c>
      <c r="AF1125" s="81">
        <v>0</v>
      </c>
      <c r="AG1125" s="87" t="s">
        <v>4049</v>
      </c>
      <c r="AH1125" s="81" t="b">
        <v>0</v>
      </c>
      <c r="AI1125" s="81" t="s">
        <v>4092</v>
      </c>
      <c r="AJ1125" s="81"/>
      <c r="AK1125" s="87" t="s">
        <v>3875</v>
      </c>
      <c r="AL1125" s="81" t="b">
        <v>0</v>
      </c>
      <c r="AM1125" s="81">
        <v>0</v>
      </c>
      <c r="AN1125" s="87" t="s">
        <v>3875</v>
      </c>
      <c r="AO1125" s="87" t="s">
        <v>4109</v>
      </c>
      <c r="AP1125" s="81" t="b">
        <v>0</v>
      </c>
      <c r="AQ1125" s="87" t="s">
        <v>3831</v>
      </c>
      <c r="AR1125" s="81" t="s">
        <v>179</v>
      </c>
      <c r="AS1125" s="81">
        <v>0</v>
      </c>
      <c r="AT1125" s="81">
        <v>0</v>
      </c>
      <c r="AU1125" s="81"/>
      <c r="AV1125" s="81"/>
      <c r="AW1125" s="81"/>
      <c r="AX1125" s="81"/>
      <c r="AY1125" s="81"/>
      <c r="AZ1125" s="81"/>
      <c r="BA1125" s="81"/>
      <c r="BB1125" s="81"/>
    </row>
    <row r="1126" spans="1:54" x14ac:dyDescent="0.35">
      <c r="A1126" s="66" t="s">
        <v>890</v>
      </c>
      <c r="B1126" s="66" t="s">
        <v>1174</v>
      </c>
      <c r="C1126" s="67"/>
      <c r="D1126" s="68"/>
      <c r="E1126" s="69"/>
      <c r="F1126" s="70"/>
      <c r="G1126" s="67"/>
      <c r="H1126" s="71"/>
      <c r="I1126" s="72"/>
      <c r="J1126" s="72"/>
      <c r="K1126" s="36"/>
      <c r="L1126" s="79"/>
      <c r="M1126" s="79"/>
      <c r="N1126" s="74"/>
      <c r="O1126" s="81" t="s">
        <v>1208</v>
      </c>
      <c r="P1126" s="83">
        <v>44466.126030092593</v>
      </c>
      <c r="Q1126" s="81" t="s">
        <v>1594</v>
      </c>
      <c r="R1126" s="81"/>
      <c r="S1126" s="81"/>
      <c r="T1126" s="81"/>
      <c r="U1126" s="81"/>
      <c r="V1126" s="85" t="str">
        <f>HYPERLINK("https://pbs.twimg.com/profile_images/1338497190105210880/E3PRa0ZT_normal.jpg")</f>
        <v>https://pbs.twimg.com/profile_images/1338497190105210880/E3PRa0ZT_normal.jpg</v>
      </c>
      <c r="W1126" s="83">
        <v>44466.126030092593</v>
      </c>
      <c r="X1126" s="89">
        <v>44466</v>
      </c>
      <c r="Y1126" s="87" t="s">
        <v>2529</v>
      </c>
      <c r="Z1126" s="85" t="str">
        <f>HYPERLINK("https://twitter.com/nandaceka/status/1442323481220173825")</f>
        <v>https://twitter.com/nandaceka/status/1442323481220173825</v>
      </c>
      <c r="AA1126" s="81"/>
      <c r="AB1126" s="81"/>
      <c r="AC1126" s="87" t="s">
        <v>3457</v>
      </c>
      <c r="AD1126" s="87" t="s">
        <v>3832</v>
      </c>
      <c r="AE1126" s="81" t="b">
        <v>0</v>
      </c>
      <c r="AF1126" s="81">
        <v>0</v>
      </c>
      <c r="AG1126" s="87" t="s">
        <v>4050</v>
      </c>
      <c r="AH1126" s="81" t="b">
        <v>0</v>
      </c>
      <c r="AI1126" s="81" t="s">
        <v>4092</v>
      </c>
      <c r="AJ1126" s="81"/>
      <c r="AK1126" s="87" t="s">
        <v>3875</v>
      </c>
      <c r="AL1126" s="81" t="b">
        <v>0</v>
      </c>
      <c r="AM1126" s="81">
        <v>0</v>
      </c>
      <c r="AN1126" s="87" t="s">
        <v>3875</v>
      </c>
      <c r="AO1126" s="87" t="s">
        <v>4109</v>
      </c>
      <c r="AP1126" s="81" t="b">
        <v>0</v>
      </c>
      <c r="AQ1126" s="87" t="s">
        <v>3832</v>
      </c>
      <c r="AR1126" s="81" t="s">
        <v>179</v>
      </c>
      <c r="AS1126" s="81">
        <v>0</v>
      </c>
      <c r="AT1126" s="81">
        <v>0</v>
      </c>
      <c r="AU1126" s="81"/>
      <c r="AV1126" s="81"/>
      <c r="AW1126" s="81"/>
      <c r="AX1126" s="81"/>
      <c r="AY1126" s="81"/>
      <c r="AZ1126" s="81"/>
      <c r="BA1126" s="81"/>
      <c r="BB1126" s="81"/>
    </row>
    <row r="1127" spans="1:54" x14ac:dyDescent="0.35">
      <c r="A1127" s="66" t="s">
        <v>891</v>
      </c>
      <c r="B1127" s="66" t="s">
        <v>891</v>
      </c>
      <c r="C1127" s="67"/>
      <c r="D1127" s="68"/>
      <c r="E1127" s="69"/>
      <c r="F1127" s="70"/>
      <c r="G1127" s="67"/>
      <c r="H1127" s="71"/>
      <c r="I1127" s="72"/>
      <c r="J1127" s="72"/>
      <c r="K1127" s="36"/>
      <c r="L1127" s="79"/>
      <c r="M1127" s="79"/>
      <c r="N1127" s="74"/>
      <c r="O1127" s="81" t="s">
        <v>179</v>
      </c>
      <c r="P1127" s="83">
        <v>44458.304745370369</v>
      </c>
      <c r="Q1127" s="81" t="s">
        <v>1595</v>
      </c>
      <c r="R1127" s="81" t="s">
        <v>1724</v>
      </c>
      <c r="S1127" s="81" t="s">
        <v>1754</v>
      </c>
      <c r="T1127" s="81"/>
      <c r="U1127" s="81"/>
      <c r="V1127" s="85" t="str">
        <f>HYPERLINK("https://pbs.twimg.com/profile_images/2418591123/images_normal.jpg")</f>
        <v>https://pbs.twimg.com/profile_images/2418591123/images_normal.jpg</v>
      </c>
      <c r="W1127" s="83">
        <v>44458.304745370369</v>
      </c>
      <c r="X1127" s="89">
        <v>44458</v>
      </c>
      <c r="Y1127" s="87" t="s">
        <v>2530</v>
      </c>
      <c r="Z1127" s="85" t="str">
        <f>HYPERLINK("https://twitter.com/lowongankerjalu/status/1439489143269040128")</f>
        <v>https://twitter.com/lowongankerjalu/status/1439489143269040128</v>
      </c>
      <c r="AA1127" s="81"/>
      <c r="AB1127" s="81"/>
      <c r="AC1127" s="87" t="s">
        <v>3458</v>
      </c>
      <c r="AD1127" s="81"/>
      <c r="AE1127" s="81" t="b">
        <v>0</v>
      </c>
      <c r="AF1127" s="81">
        <v>0</v>
      </c>
      <c r="AG1127" s="87" t="s">
        <v>3875</v>
      </c>
      <c r="AH1127" s="81" t="b">
        <v>0</v>
      </c>
      <c r="AI1127" s="81" t="s">
        <v>4092</v>
      </c>
      <c r="AJ1127" s="81"/>
      <c r="AK1127" s="87" t="s">
        <v>3875</v>
      </c>
      <c r="AL1127" s="81" t="b">
        <v>0</v>
      </c>
      <c r="AM1127" s="81">
        <v>0</v>
      </c>
      <c r="AN1127" s="87" t="s">
        <v>3875</v>
      </c>
      <c r="AO1127" s="87" t="s">
        <v>4136</v>
      </c>
      <c r="AP1127" s="81" t="b">
        <v>0</v>
      </c>
      <c r="AQ1127" s="87" t="s">
        <v>3458</v>
      </c>
      <c r="AR1127" s="81" t="s">
        <v>179</v>
      </c>
      <c r="AS1127" s="81">
        <v>0</v>
      </c>
      <c r="AT1127" s="81">
        <v>0</v>
      </c>
      <c r="AU1127" s="81"/>
      <c r="AV1127" s="81"/>
      <c r="AW1127" s="81"/>
      <c r="AX1127" s="81"/>
      <c r="AY1127" s="81"/>
      <c r="AZ1127" s="81"/>
      <c r="BA1127" s="81"/>
      <c r="BB1127" s="81"/>
    </row>
    <row r="1128" spans="1:54" x14ac:dyDescent="0.35">
      <c r="A1128" s="66" t="s">
        <v>891</v>
      </c>
      <c r="B1128" s="66" t="s">
        <v>891</v>
      </c>
      <c r="C1128" s="67"/>
      <c r="D1128" s="68"/>
      <c r="E1128" s="69"/>
      <c r="F1128" s="70"/>
      <c r="G1128" s="67"/>
      <c r="H1128" s="71"/>
      <c r="I1128" s="72"/>
      <c r="J1128" s="72"/>
      <c r="K1128" s="36"/>
      <c r="L1128" s="79"/>
      <c r="M1128" s="79"/>
      <c r="N1128" s="74"/>
      <c r="O1128" s="81" t="s">
        <v>179</v>
      </c>
      <c r="P1128" s="83">
        <v>44459.339502314811</v>
      </c>
      <c r="Q1128" s="81" t="s">
        <v>1596</v>
      </c>
      <c r="R1128" s="81" t="s">
        <v>1725</v>
      </c>
      <c r="S1128" s="81" t="s">
        <v>1754</v>
      </c>
      <c r="T1128" s="81"/>
      <c r="U1128" s="81"/>
      <c r="V1128" s="85" t="str">
        <f>HYPERLINK("https://pbs.twimg.com/profile_images/2418591123/images_normal.jpg")</f>
        <v>https://pbs.twimg.com/profile_images/2418591123/images_normal.jpg</v>
      </c>
      <c r="W1128" s="83">
        <v>44459.339502314811</v>
      </c>
      <c r="X1128" s="89">
        <v>44459</v>
      </c>
      <c r="Y1128" s="87" t="s">
        <v>2531</v>
      </c>
      <c r="Z1128" s="85" t="str">
        <f>HYPERLINK("https://twitter.com/lowongankerjalu/status/1439864123571929097")</f>
        <v>https://twitter.com/lowongankerjalu/status/1439864123571929097</v>
      </c>
      <c r="AA1128" s="81"/>
      <c r="AB1128" s="81"/>
      <c r="AC1128" s="87" t="s">
        <v>3459</v>
      </c>
      <c r="AD1128" s="81"/>
      <c r="AE1128" s="81" t="b">
        <v>0</v>
      </c>
      <c r="AF1128" s="81">
        <v>0</v>
      </c>
      <c r="AG1128" s="87" t="s">
        <v>3875</v>
      </c>
      <c r="AH1128" s="81" t="b">
        <v>0</v>
      </c>
      <c r="AI1128" s="81" t="s">
        <v>4092</v>
      </c>
      <c r="AJ1128" s="81"/>
      <c r="AK1128" s="87" t="s">
        <v>3875</v>
      </c>
      <c r="AL1128" s="81" t="b">
        <v>0</v>
      </c>
      <c r="AM1128" s="81">
        <v>0</v>
      </c>
      <c r="AN1128" s="87" t="s">
        <v>3875</v>
      </c>
      <c r="AO1128" s="87" t="s">
        <v>4136</v>
      </c>
      <c r="AP1128" s="81" t="b">
        <v>0</v>
      </c>
      <c r="AQ1128" s="87" t="s">
        <v>3459</v>
      </c>
      <c r="AR1128" s="81" t="s">
        <v>179</v>
      </c>
      <c r="AS1128" s="81">
        <v>0</v>
      </c>
      <c r="AT1128" s="81">
        <v>0</v>
      </c>
      <c r="AU1128" s="81"/>
      <c r="AV1128" s="81"/>
      <c r="AW1128" s="81"/>
      <c r="AX1128" s="81"/>
      <c r="AY1128" s="81"/>
      <c r="AZ1128" s="81"/>
      <c r="BA1128" s="81"/>
      <c r="BB1128" s="81"/>
    </row>
    <row r="1129" spans="1:54" x14ac:dyDescent="0.35">
      <c r="A1129" s="66" t="s">
        <v>891</v>
      </c>
      <c r="B1129" s="66" t="s">
        <v>891</v>
      </c>
      <c r="C1129" s="67"/>
      <c r="D1129" s="68"/>
      <c r="E1129" s="69"/>
      <c r="F1129" s="70"/>
      <c r="G1129" s="67"/>
      <c r="H1129" s="71"/>
      <c r="I1129" s="72"/>
      <c r="J1129" s="72"/>
      <c r="K1129" s="36"/>
      <c r="L1129" s="79"/>
      <c r="M1129" s="79"/>
      <c r="N1129" s="74"/>
      <c r="O1129" s="81" t="s">
        <v>179</v>
      </c>
      <c r="P1129" s="83">
        <v>44460.249212962961</v>
      </c>
      <c r="Q1129" s="81" t="s">
        <v>1597</v>
      </c>
      <c r="R1129" s="81" t="s">
        <v>1726</v>
      </c>
      <c r="S1129" s="81" t="s">
        <v>1754</v>
      </c>
      <c r="T1129" s="81"/>
      <c r="U1129" s="81"/>
      <c r="V1129" s="85" t="str">
        <f>HYPERLINK("https://pbs.twimg.com/profile_images/2418591123/images_normal.jpg")</f>
        <v>https://pbs.twimg.com/profile_images/2418591123/images_normal.jpg</v>
      </c>
      <c r="W1129" s="83">
        <v>44460.249212962961</v>
      </c>
      <c r="X1129" s="89">
        <v>44460</v>
      </c>
      <c r="Y1129" s="87" t="s">
        <v>2532</v>
      </c>
      <c r="Z1129" s="85" t="str">
        <f>HYPERLINK("https://twitter.com/lowongankerjalu/status/1440193793010008067")</f>
        <v>https://twitter.com/lowongankerjalu/status/1440193793010008067</v>
      </c>
      <c r="AA1129" s="81"/>
      <c r="AB1129" s="81"/>
      <c r="AC1129" s="87" t="s">
        <v>3460</v>
      </c>
      <c r="AD1129" s="81"/>
      <c r="AE1129" s="81" t="b">
        <v>0</v>
      </c>
      <c r="AF1129" s="81">
        <v>0</v>
      </c>
      <c r="AG1129" s="87" t="s">
        <v>3875</v>
      </c>
      <c r="AH1129" s="81" t="b">
        <v>0</v>
      </c>
      <c r="AI1129" s="81" t="s">
        <v>4092</v>
      </c>
      <c r="AJ1129" s="81"/>
      <c r="AK1129" s="87" t="s">
        <v>3875</v>
      </c>
      <c r="AL1129" s="81" t="b">
        <v>0</v>
      </c>
      <c r="AM1129" s="81">
        <v>0</v>
      </c>
      <c r="AN1129" s="87" t="s">
        <v>3875</v>
      </c>
      <c r="AO1129" s="87" t="s">
        <v>4136</v>
      </c>
      <c r="AP1129" s="81" t="b">
        <v>0</v>
      </c>
      <c r="AQ1129" s="87" t="s">
        <v>3460</v>
      </c>
      <c r="AR1129" s="81" t="s">
        <v>179</v>
      </c>
      <c r="AS1129" s="81">
        <v>0</v>
      </c>
      <c r="AT1129" s="81">
        <v>0</v>
      </c>
      <c r="AU1129" s="81"/>
      <c r="AV1129" s="81"/>
      <c r="AW1129" s="81"/>
      <c r="AX1129" s="81"/>
      <c r="AY1129" s="81"/>
      <c r="AZ1129" s="81"/>
      <c r="BA1129" s="81"/>
      <c r="BB1129" s="81"/>
    </row>
    <row r="1130" spans="1:54" x14ac:dyDescent="0.35">
      <c r="A1130" s="66" t="s">
        <v>891</v>
      </c>
      <c r="B1130" s="66" t="s">
        <v>891</v>
      </c>
      <c r="C1130" s="67"/>
      <c r="D1130" s="68"/>
      <c r="E1130" s="69"/>
      <c r="F1130" s="70"/>
      <c r="G1130" s="67"/>
      <c r="H1130" s="71"/>
      <c r="I1130" s="72"/>
      <c r="J1130" s="72"/>
      <c r="K1130" s="36"/>
      <c r="L1130" s="79"/>
      <c r="M1130" s="79"/>
      <c r="N1130" s="74"/>
      <c r="O1130" s="81" t="s">
        <v>179</v>
      </c>
      <c r="P1130" s="83">
        <v>44461.198298611111</v>
      </c>
      <c r="Q1130" s="81" t="s">
        <v>1598</v>
      </c>
      <c r="R1130" s="81" t="s">
        <v>1727</v>
      </c>
      <c r="S1130" s="81" t="s">
        <v>1754</v>
      </c>
      <c r="T1130" s="81"/>
      <c r="U1130" s="81"/>
      <c r="V1130" s="85" t="str">
        <f>HYPERLINK("https://pbs.twimg.com/profile_images/2418591123/images_normal.jpg")</f>
        <v>https://pbs.twimg.com/profile_images/2418591123/images_normal.jpg</v>
      </c>
      <c r="W1130" s="83">
        <v>44461.198298611111</v>
      </c>
      <c r="X1130" s="89">
        <v>44461</v>
      </c>
      <c r="Y1130" s="87" t="s">
        <v>2533</v>
      </c>
      <c r="Z1130" s="85" t="str">
        <f>HYPERLINK("https://twitter.com/lowongankerjalu/status/1440537729675059206")</f>
        <v>https://twitter.com/lowongankerjalu/status/1440537729675059206</v>
      </c>
      <c r="AA1130" s="81"/>
      <c r="AB1130" s="81"/>
      <c r="AC1130" s="87" t="s">
        <v>3461</v>
      </c>
      <c r="AD1130" s="81"/>
      <c r="AE1130" s="81" t="b">
        <v>0</v>
      </c>
      <c r="AF1130" s="81">
        <v>0</v>
      </c>
      <c r="AG1130" s="87" t="s">
        <v>3875</v>
      </c>
      <c r="AH1130" s="81" t="b">
        <v>0</v>
      </c>
      <c r="AI1130" s="81" t="s">
        <v>4092</v>
      </c>
      <c r="AJ1130" s="81"/>
      <c r="AK1130" s="87" t="s">
        <v>3875</v>
      </c>
      <c r="AL1130" s="81" t="b">
        <v>0</v>
      </c>
      <c r="AM1130" s="81">
        <v>0</v>
      </c>
      <c r="AN1130" s="87" t="s">
        <v>3875</v>
      </c>
      <c r="AO1130" s="87" t="s">
        <v>4136</v>
      </c>
      <c r="AP1130" s="81" t="b">
        <v>0</v>
      </c>
      <c r="AQ1130" s="87" t="s">
        <v>3461</v>
      </c>
      <c r="AR1130" s="81" t="s">
        <v>179</v>
      </c>
      <c r="AS1130" s="81">
        <v>0</v>
      </c>
      <c r="AT1130" s="81">
        <v>0</v>
      </c>
      <c r="AU1130" s="81"/>
      <c r="AV1130" s="81"/>
      <c r="AW1130" s="81"/>
      <c r="AX1130" s="81"/>
      <c r="AY1130" s="81"/>
      <c r="AZ1130" s="81"/>
      <c r="BA1130" s="81"/>
      <c r="BB1130" s="81"/>
    </row>
    <row r="1131" spans="1:54" x14ac:dyDescent="0.35">
      <c r="A1131" s="66" t="s">
        <v>891</v>
      </c>
      <c r="B1131" s="66" t="s">
        <v>891</v>
      </c>
      <c r="C1131" s="67"/>
      <c r="D1131" s="68"/>
      <c r="E1131" s="69"/>
      <c r="F1131" s="70"/>
      <c r="G1131" s="67"/>
      <c r="H1131" s="71"/>
      <c r="I1131" s="72"/>
      <c r="J1131" s="72"/>
      <c r="K1131" s="36"/>
      <c r="L1131" s="79"/>
      <c r="M1131" s="79"/>
      <c r="N1131" s="74"/>
      <c r="O1131" s="81" t="s">
        <v>179</v>
      </c>
      <c r="P1131" s="83">
        <v>44461.461145833331</v>
      </c>
      <c r="Q1131" s="81" t="s">
        <v>1599</v>
      </c>
      <c r="R1131" s="81" t="s">
        <v>1728</v>
      </c>
      <c r="S1131" s="81" t="s">
        <v>1754</v>
      </c>
      <c r="T1131" s="81"/>
      <c r="U1131" s="81"/>
      <c r="V1131" s="85" t="str">
        <f>HYPERLINK("https://pbs.twimg.com/profile_images/2418591123/images_normal.jpg")</f>
        <v>https://pbs.twimg.com/profile_images/2418591123/images_normal.jpg</v>
      </c>
      <c r="W1131" s="83">
        <v>44461.461145833331</v>
      </c>
      <c r="X1131" s="89">
        <v>44461</v>
      </c>
      <c r="Y1131" s="87" t="s">
        <v>2534</v>
      </c>
      <c r="Z1131" s="85" t="str">
        <f>HYPERLINK("https://twitter.com/lowongankerjalu/status/1440632981551345669")</f>
        <v>https://twitter.com/lowongankerjalu/status/1440632981551345669</v>
      </c>
      <c r="AA1131" s="81"/>
      <c r="AB1131" s="81"/>
      <c r="AC1131" s="87" t="s">
        <v>3462</v>
      </c>
      <c r="AD1131" s="81"/>
      <c r="AE1131" s="81" t="b">
        <v>0</v>
      </c>
      <c r="AF1131" s="81">
        <v>0</v>
      </c>
      <c r="AG1131" s="87" t="s">
        <v>3875</v>
      </c>
      <c r="AH1131" s="81" t="b">
        <v>0</v>
      </c>
      <c r="AI1131" s="81" t="s">
        <v>4092</v>
      </c>
      <c r="AJ1131" s="81"/>
      <c r="AK1131" s="87" t="s">
        <v>3875</v>
      </c>
      <c r="AL1131" s="81" t="b">
        <v>0</v>
      </c>
      <c r="AM1131" s="81">
        <v>0</v>
      </c>
      <c r="AN1131" s="87" t="s">
        <v>3875</v>
      </c>
      <c r="AO1131" s="87" t="s">
        <v>4136</v>
      </c>
      <c r="AP1131" s="81" t="b">
        <v>0</v>
      </c>
      <c r="AQ1131" s="87" t="s">
        <v>3462</v>
      </c>
      <c r="AR1131" s="81" t="s">
        <v>179</v>
      </c>
      <c r="AS1131" s="81">
        <v>0</v>
      </c>
      <c r="AT1131" s="81">
        <v>0</v>
      </c>
      <c r="AU1131" s="81"/>
      <c r="AV1131" s="81"/>
      <c r="AW1131" s="81"/>
      <c r="AX1131" s="81"/>
      <c r="AY1131" s="81"/>
      <c r="AZ1131" s="81"/>
      <c r="BA1131" s="81"/>
      <c r="BB1131" s="81"/>
    </row>
    <row r="1132" spans="1:54" x14ac:dyDescent="0.35">
      <c r="A1132" s="66" t="s">
        <v>891</v>
      </c>
      <c r="B1132" s="66" t="s">
        <v>891</v>
      </c>
      <c r="C1132" s="67"/>
      <c r="D1132" s="68"/>
      <c r="E1132" s="69"/>
      <c r="F1132" s="70"/>
      <c r="G1132" s="67"/>
      <c r="H1132" s="71"/>
      <c r="I1132" s="72"/>
      <c r="J1132" s="72"/>
      <c r="K1132" s="36"/>
      <c r="L1132" s="79"/>
      <c r="M1132" s="79"/>
      <c r="N1132" s="74"/>
      <c r="O1132" s="81" t="s">
        <v>179</v>
      </c>
      <c r="P1132" s="83">
        <v>44466.128692129627</v>
      </c>
      <c r="Q1132" s="81" t="s">
        <v>1600</v>
      </c>
      <c r="R1132" s="81" t="s">
        <v>1729</v>
      </c>
      <c r="S1132" s="81" t="s">
        <v>1754</v>
      </c>
      <c r="T1132" s="81"/>
      <c r="U1132" s="81"/>
      <c r="V1132" s="85" t="str">
        <f>HYPERLINK("https://pbs.twimg.com/profile_images/2418591123/images_normal.jpg")</f>
        <v>https://pbs.twimg.com/profile_images/2418591123/images_normal.jpg</v>
      </c>
      <c r="W1132" s="83">
        <v>44466.128692129627</v>
      </c>
      <c r="X1132" s="89">
        <v>44466</v>
      </c>
      <c r="Y1132" s="87" t="s">
        <v>2535</v>
      </c>
      <c r="Z1132" s="85" t="str">
        <f>HYPERLINK("https://twitter.com/lowongankerjalu/status/1442324443959894020")</f>
        <v>https://twitter.com/lowongankerjalu/status/1442324443959894020</v>
      </c>
      <c r="AA1132" s="81"/>
      <c r="AB1132" s="81"/>
      <c r="AC1132" s="87" t="s">
        <v>3463</v>
      </c>
      <c r="AD1132" s="81"/>
      <c r="AE1132" s="81" t="b">
        <v>0</v>
      </c>
      <c r="AF1132" s="81">
        <v>0</v>
      </c>
      <c r="AG1132" s="87" t="s">
        <v>3875</v>
      </c>
      <c r="AH1132" s="81" t="b">
        <v>0</v>
      </c>
      <c r="AI1132" s="81" t="s">
        <v>4092</v>
      </c>
      <c r="AJ1132" s="81"/>
      <c r="AK1132" s="87" t="s">
        <v>3875</v>
      </c>
      <c r="AL1132" s="81" t="b">
        <v>0</v>
      </c>
      <c r="AM1132" s="81">
        <v>0</v>
      </c>
      <c r="AN1132" s="87" t="s">
        <v>3875</v>
      </c>
      <c r="AO1132" s="87" t="s">
        <v>4136</v>
      </c>
      <c r="AP1132" s="81" t="b">
        <v>0</v>
      </c>
      <c r="AQ1132" s="87" t="s">
        <v>3463</v>
      </c>
      <c r="AR1132" s="81" t="s">
        <v>179</v>
      </c>
      <c r="AS1132" s="81">
        <v>0</v>
      </c>
      <c r="AT1132" s="81">
        <v>0</v>
      </c>
      <c r="AU1132" s="81"/>
      <c r="AV1132" s="81"/>
      <c r="AW1132" s="81"/>
      <c r="AX1132" s="81"/>
      <c r="AY1132" s="81"/>
      <c r="AZ1132" s="81"/>
      <c r="BA1132" s="81"/>
      <c r="BB1132" s="81"/>
    </row>
    <row r="1133" spans="1:54" x14ac:dyDescent="0.35">
      <c r="A1133" s="66" t="s">
        <v>892</v>
      </c>
      <c r="B1133" s="66" t="s">
        <v>892</v>
      </c>
      <c r="C1133" s="67"/>
      <c r="D1133" s="68"/>
      <c r="E1133" s="69"/>
      <c r="F1133" s="70"/>
      <c r="G1133" s="67"/>
      <c r="H1133" s="71"/>
      <c r="I1133" s="72"/>
      <c r="J1133" s="72"/>
      <c r="K1133" s="36"/>
      <c r="L1133" s="79"/>
      <c r="M1133" s="79"/>
      <c r="N1133" s="74"/>
      <c r="O1133" s="81" t="s">
        <v>179</v>
      </c>
      <c r="P1133" s="83">
        <v>44466.058761574073</v>
      </c>
      <c r="Q1133" s="81" t="s">
        <v>1582</v>
      </c>
      <c r="R1133" s="85" t="str">
        <f>HYPERLINK("https://m.antaranews.com/amp/berita/2415429/hari-bhakti-postel-diperingati-27-september-seperti-apa-sejarahnya")</f>
        <v>https://m.antaranews.com/amp/berita/2415429/hari-bhakti-postel-diperingati-27-september-seperti-apa-sejarahnya</v>
      </c>
      <c r="S1133" s="81" t="s">
        <v>1752</v>
      </c>
      <c r="T1133" s="81"/>
      <c r="U1133" s="81"/>
      <c r="V1133" s="85" t="str">
        <f>HYPERLINK("https://pbs.twimg.com/profile_images/1424578548698808323/UCZSFZkP_normal.jpg")</f>
        <v>https://pbs.twimg.com/profile_images/1424578548698808323/UCZSFZkP_normal.jpg</v>
      </c>
      <c r="W1133" s="83">
        <v>44466.058761574073</v>
      </c>
      <c r="X1133" s="89">
        <v>44466</v>
      </c>
      <c r="Y1133" s="87" t="s">
        <v>2536</v>
      </c>
      <c r="Z1133" s="85" t="str">
        <f>HYPERLINK("https://twitter.com/henrysubiakto/status/1442299105150050305")</f>
        <v>https://twitter.com/henrysubiakto/status/1442299105150050305</v>
      </c>
      <c r="AA1133" s="81"/>
      <c r="AB1133" s="81"/>
      <c r="AC1133" s="87" t="s">
        <v>3464</v>
      </c>
      <c r="AD1133" s="81"/>
      <c r="AE1133" s="81" t="b">
        <v>0</v>
      </c>
      <c r="AF1133" s="81">
        <v>26</v>
      </c>
      <c r="AG1133" s="87" t="s">
        <v>3875</v>
      </c>
      <c r="AH1133" s="81" t="b">
        <v>0</v>
      </c>
      <c r="AI1133" s="81" t="s">
        <v>4092</v>
      </c>
      <c r="AJ1133" s="81"/>
      <c r="AK1133" s="87" t="s">
        <v>3875</v>
      </c>
      <c r="AL1133" s="81" t="b">
        <v>0</v>
      </c>
      <c r="AM1133" s="81">
        <v>6</v>
      </c>
      <c r="AN1133" s="87" t="s">
        <v>3875</v>
      </c>
      <c r="AO1133" s="87" t="s">
        <v>4110</v>
      </c>
      <c r="AP1133" s="81" t="b">
        <v>0</v>
      </c>
      <c r="AQ1133" s="87" t="s">
        <v>3464</v>
      </c>
      <c r="AR1133" s="81" t="s">
        <v>179</v>
      </c>
      <c r="AS1133" s="81">
        <v>0</v>
      </c>
      <c r="AT1133" s="81">
        <v>0</v>
      </c>
      <c r="AU1133" s="81"/>
      <c r="AV1133" s="81"/>
      <c r="AW1133" s="81"/>
      <c r="AX1133" s="81"/>
      <c r="AY1133" s="81"/>
      <c r="AZ1133" s="81"/>
      <c r="BA1133" s="81"/>
      <c r="BB1133" s="81"/>
    </row>
    <row r="1134" spans="1:54" x14ac:dyDescent="0.35">
      <c r="A1134" s="66" t="s">
        <v>893</v>
      </c>
      <c r="B1134" s="66" t="s">
        <v>892</v>
      </c>
      <c r="C1134" s="67"/>
      <c r="D1134" s="68"/>
      <c r="E1134" s="69"/>
      <c r="F1134" s="70"/>
      <c r="G1134" s="67"/>
      <c r="H1134" s="71"/>
      <c r="I1134" s="72"/>
      <c r="J1134" s="72"/>
      <c r="K1134" s="36"/>
      <c r="L1134" s="79"/>
      <c r="M1134" s="79"/>
      <c r="N1134" s="74"/>
      <c r="O1134" s="81" t="s">
        <v>1205</v>
      </c>
      <c r="P1134" s="83">
        <v>44466.133634259262</v>
      </c>
      <c r="Q1134" s="81" t="s">
        <v>1582</v>
      </c>
      <c r="R1134" s="85" t="str">
        <f>HYPERLINK("https://m.antaranews.com/amp/berita/2415429/hari-bhakti-postel-diperingati-27-september-seperti-apa-sejarahnya")</f>
        <v>https://m.antaranews.com/amp/berita/2415429/hari-bhakti-postel-diperingati-27-september-seperti-apa-sejarahnya</v>
      </c>
      <c r="S1134" s="81" t="s">
        <v>1752</v>
      </c>
      <c r="T1134" s="81"/>
      <c r="U1134" s="81"/>
      <c r="V1134" s="85" t="str">
        <f>HYPERLINK("https://pbs.twimg.com/profile_images/855422053842788355/4H4Mpf66_normal.jpg")</f>
        <v>https://pbs.twimg.com/profile_images/855422053842788355/4H4Mpf66_normal.jpg</v>
      </c>
      <c r="W1134" s="83">
        <v>44466.133634259262</v>
      </c>
      <c r="X1134" s="89">
        <v>44466</v>
      </c>
      <c r="Y1134" s="87" t="s">
        <v>2537</v>
      </c>
      <c r="Z1134" s="85" t="str">
        <f>HYPERLINK("https://twitter.com/sonimsi07/status/1442326237666373636")</f>
        <v>https://twitter.com/sonimsi07/status/1442326237666373636</v>
      </c>
      <c r="AA1134" s="81"/>
      <c r="AB1134" s="81"/>
      <c r="AC1134" s="87" t="s">
        <v>3465</v>
      </c>
      <c r="AD1134" s="81"/>
      <c r="AE1134" s="81" t="b">
        <v>0</v>
      </c>
      <c r="AF1134" s="81">
        <v>0</v>
      </c>
      <c r="AG1134" s="87" t="s">
        <v>3875</v>
      </c>
      <c r="AH1134" s="81" t="b">
        <v>0</v>
      </c>
      <c r="AI1134" s="81" t="s">
        <v>4092</v>
      </c>
      <c r="AJ1134" s="81"/>
      <c r="AK1134" s="87" t="s">
        <v>3875</v>
      </c>
      <c r="AL1134" s="81" t="b">
        <v>0</v>
      </c>
      <c r="AM1134" s="81">
        <v>6</v>
      </c>
      <c r="AN1134" s="87" t="s">
        <v>3464</v>
      </c>
      <c r="AO1134" s="87" t="s">
        <v>4109</v>
      </c>
      <c r="AP1134" s="81" t="b">
        <v>0</v>
      </c>
      <c r="AQ1134" s="87" t="s">
        <v>3464</v>
      </c>
      <c r="AR1134" s="81" t="s">
        <v>179</v>
      </c>
      <c r="AS1134" s="81">
        <v>0</v>
      </c>
      <c r="AT1134" s="81">
        <v>0</v>
      </c>
      <c r="AU1134" s="81"/>
      <c r="AV1134" s="81"/>
      <c r="AW1134" s="81"/>
      <c r="AX1134" s="81"/>
      <c r="AY1134" s="81"/>
      <c r="AZ1134" s="81"/>
      <c r="BA1134" s="81"/>
      <c r="BB1134" s="81"/>
    </row>
    <row r="1135" spans="1:54" x14ac:dyDescent="0.35">
      <c r="A1135" s="66" t="s">
        <v>893</v>
      </c>
      <c r="B1135" s="66" t="s">
        <v>1055</v>
      </c>
      <c r="C1135" s="67"/>
      <c r="D1135" s="68"/>
      <c r="E1135" s="69"/>
      <c r="F1135" s="70"/>
      <c r="G1135" s="67"/>
      <c r="H1135" s="71"/>
      <c r="I1135" s="72"/>
      <c r="J1135" s="72"/>
      <c r="K1135" s="36"/>
      <c r="L1135" s="79"/>
      <c r="M1135" s="79"/>
      <c r="N1135" s="74"/>
      <c r="O1135" s="81" t="s">
        <v>1207</v>
      </c>
      <c r="P1135" s="83">
        <v>44460.212581018517</v>
      </c>
      <c r="Q1135" s="81" t="s">
        <v>1324</v>
      </c>
      <c r="R1135" s="81"/>
      <c r="S1135" s="81"/>
      <c r="T1135" s="81"/>
      <c r="U1135" s="85" t="str">
        <f>HYPERLINK("https://pbs.twimg.com/media/E_xVJy2VQAQerFe.jpg")</f>
        <v>https://pbs.twimg.com/media/E_xVJy2VQAQerFe.jpg</v>
      </c>
      <c r="V1135" s="85" t="str">
        <f>HYPERLINK("https://pbs.twimg.com/media/E_xVJy2VQAQerFe.jpg")</f>
        <v>https://pbs.twimg.com/media/E_xVJy2VQAQerFe.jpg</v>
      </c>
      <c r="W1135" s="83">
        <v>44460.212581018517</v>
      </c>
      <c r="X1135" s="89">
        <v>44460</v>
      </c>
      <c r="Y1135" s="87" t="s">
        <v>2538</v>
      </c>
      <c r="Z1135" s="85" t="str">
        <f>HYPERLINK("https://twitter.com/sonimsi07/status/1440180518780211208")</f>
        <v>https://twitter.com/sonimsi07/status/1440180518780211208</v>
      </c>
      <c r="AA1135" s="81"/>
      <c r="AB1135" s="81"/>
      <c r="AC1135" s="87" t="s">
        <v>3466</v>
      </c>
      <c r="AD1135" s="81"/>
      <c r="AE1135" s="81" t="b">
        <v>0</v>
      </c>
      <c r="AF1135" s="81">
        <v>0</v>
      </c>
      <c r="AG1135" s="87" t="s">
        <v>3875</v>
      </c>
      <c r="AH1135" s="81" t="b">
        <v>0</v>
      </c>
      <c r="AI1135" s="81" t="s">
        <v>4092</v>
      </c>
      <c r="AJ1135" s="81"/>
      <c r="AK1135" s="87" t="s">
        <v>3875</v>
      </c>
      <c r="AL1135" s="81" t="b">
        <v>0</v>
      </c>
      <c r="AM1135" s="81">
        <v>321</v>
      </c>
      <c r="AN1135" s="87" t="s">
        <v>3520</v>
      </c>
      <c r="AO1135" s="87" t="s">
        <v>4109</v>
      </c>
      <c r="AP1135" s="81" t="b">
        <v>0</v>
      </c>
      <c r="AQ1135" s="87" t="s">
        <v>3520</v>
      </c>
      <c r="AR1135" s="81" t="s">
        <v>179</v>
      </c>
      <c r="AS1135" s="81">
        <v>0</v>
      </c>
      <c r="AT1135" s="81">
        <v>0</v>
      </c>
      <c r="AU1135" s="81"/>
      <c r="AV1135" s="81"/>
      <c r="AW1135" s="81"/>
      <c r="AX1135" s="81"/>
      <c r="AY1135" s="81"/>
      <c r="AZ1135" s="81"/>
      <c r="BA1135" s="81"/>
      <c r="BB1135" s="81"/>
    </row>
    <row r="1136" spans="1:54" x14ac:dyDescent="0.35">
      <c r="A1136" s="66" t="s">
        <v>893</v>
      </c>
      <c r="B1136" s="66" t="s">
        <v>910</v>
      </c>
      <c r="C1136" s="67"/>
      <c r="D1136" s="68"/>
      <c r="E1136" s="69"/>
      <c r="F1136" s="70"/>
      <c r="G1136" s="67"/>
      <c r="H1136" s="71"/>
      <c r="I1136" s="72"/>
      <c r="J1136" s="72"/>
      <c r="K1136" s="36"/>
      <c r="L1136" s="79"/>
      <c r="M1136" s="79"/>
      <c r="N1136" s="74"/>
      <c r="O1136" s="81" t="s">
        <v>1205</v>
      </c>
      <c r="P1136" s="83">
        <v>44460.212581018517</v>
      </c>
      <c r="Q1136" s="81" t="s">
        <v>1324</v>
      </c>
      <c r="R1136" s="81"/>
      <c r="S1136" s="81"/>
      <c r="T1136" s="81"/>
      <c r="U1136" s="85" t="str">
        <f>HYPERLINK("https://pbs.twimg.com/media/E_xVJy2VQAQerFe.jpg")</f>
        <v>https://pbs.twimg.com/media/E_xVJy2VQAQerFe.jpg</v>
      </c>
      <c r="V1136" s="85" t="str">
        <f>HYPERLINK("https://pbs.twimg.com/media/E_xVJy2VQAQerFe.jpg")</f>
        <v>https://pbs.twimg.com/media/E_xVJy2VQAQerFe.jpg</v>
      </c>
      <c r="W1136" s="83">
        <v>44460.212581018517</v>
      </c>
      <c r="X1136" s="89">
        <v>44460</v>
      </c>
      <c r="Y1136" s="87" t="s">
        <v>2538</v>
      </c>
      <c r="Z1136" s="85" t="str">
        <f>HYPERLINK("https://twitter.com/sonimsi07/status/1440180518780211208")</f>
        <v>https://twitter.com/sonimsi07/status/1440180518780211208</v>
      </c>
      <c r="AA1136" s="81"/>
      <c r="AB1136" s="81"/>
      <c r="AC1136" s="87" t="s">
        <v>3466</v>
      </c>
      <c r="AD1136" s="81"/>
      <c r="AE1136" s="81" t="b">
        <v>0</v>
      </c>
      <c r="AF1136" s="81">
        <v>0</v>
      </c>
      <c r="AG1136" s="87" t="s">
        <v>3875</v>
      </c>
      <c r="AH1136" s="81" t="b">
        <v>0</v>
      </c>
      <c r="AI1136" s="81" t="s">
        <v>4092</v>
      </c>
      <c r="AJ1136" s="81"/>
      <c r="AK1136" s="87" t="s">
        <v>3875</v>
      </c>
      <c r="AL1136" s="81" t="b">
        <v>0</v>
      </c>
      <c r="AM1136" s="81">
        <v>321</v>
      </c>
      <c r="AN1136" s="87" t="s">
        <v>3520</v>
      </c>
      <c r="AO1136" s="87" t="s">
        <v>4109</v>
      </c>
      <c r="AP1136" s="81" t="b">
        <v>0</v>
      </c>
      <c r="AQ1136" s="87" t="s">
        <v>3520</v>
      </c>
      <c r="AR1136" s="81" t="s">
        <v>179</v>
      </c>
      <c r="AS1136" s="81">
        <v>0</v>
      </c>
      <c r="AT1136" s="81">
        <v>0</v>
      </c>
      <c r="AU1136" s="81"/>
      <c r="AV1136" s="81"/>
      <c r="AW1136" s="81"/>
      <c r="AX1136" s="81"/>
      <c r="AY1136" s="81"/>
      <c r="AZ1136" s="81"/>
      <c r="BA1136" s="81"/>
      <c r="BB1136" s="81"/>
    </row>
    <row r="1137" spans="1:54" x14ac:dyDescent="0.35">
      <c r="A1137" s="66" t="s">
        <v>894</v>
      </c>
      <c r="B1137" s="66" t="s">
        <v>894</v>
      </c>
      <c r="C1137" s="67"/>
      <c r="D1137" s="68"/>
      <c r="E1137" s="69"/>
      <c r="F1137" s="70"/>
      <c r="G1137" s="67"/>
      <c r="H1137" s="71"/>
      <c r="I1137" s="72"/>
      <c r="J1137" s="72"/>
      <c r="K1137" s="36"/>
      <c r="L1137" s="79"/>
      <c r="M1137" s="79"/>
      <c r="N1137" s="74"/>
      <c r="O1137" s="81" t="s">
        <v>179</v>
      </c>
      <c r="P1137" s="83">
        <v>44466.14203703704</v>
      </c>
      <c r="Q1137" s="81" t="s">
        <v>1601</v>
      </c>
      <c r="R1137" s="81"/>
      <c r="S1137" s="81"/>
      <c r="T1137" s="81"/>
      <c r="U1137" s="81"/>
      <c r="V1137" s="85" t="str">
        <f>HYPERLINK("https://pbs.twimg.com/profile_images/1323899777927372800/V4aQ8yrH_normal.jpg")</f>
        <v>https://pbs.twimg.com/profile_images/1323899777927372800/V4aQ8yrH_normal.jpg</v>
      </c>
      <c r="W1137" s="83">
        <v>44466.14203703704</v>
      </c>
      <c r="X1137" s="89">
        <v>44466</v>
      </c>
      <c r="Y1137" s="87" t="s">
        <v>2539</v>
      </c>
      <c r="Z1137" s="85" t="str">
        <f>HYPERLINK("https://twitter.com/samsat_pbg/status/1442329280642387972")</f>
        <v>https://twitter.com/samsat_pbg/status/1442329280642387972</v>
      </c>
      <c r="AA1137" s="81"/>
      <c r="AB1137" s="81"/>
      <c r="AC1137" s="87" t="s">
        <v>3467</v>
      </c>
      <c r="AD1137" s="81"/>
      <c r="AE1137" s="81" t="b">
        <v>0</v>
      </c>
      <c r="AF1137" s="81">
        <v>1</v>
      </c>
      <c r="AG1137" s="87" t="s">
        <v>3875</v>
      </c>
      <c r="AH1137" s="81" t="b">
        <v>0</v>
      </c>
      <c r="AI1137" s="81" t="s">
        <v>4092</v>
      </c>
      <c r="AJ1137" s="81"/>
      <c r="AK1137" s="87" t="s">
        <v>3875</v>
      </c>
      <c r="AL1137" s="81" t="b">
        <v>0</v>
      </c>
      <c r="AM1137" s="81">
        <v>0</v>
      </c>
      <c r="AN1137" s="87" t="s">
        <v>3875</v>
      </c>
      <c r="AO1137" s="87" t="s">
        <v>4111</v>
      </c>
      <c r="AP1137" s="81" t="b">
        <v>0</v>
      </c>
      <c r="AQ1137" s="87" t="s">
        <v>3467</v>
      </c>
      <c r="AR1137" s="81" t="s">
        <v>179</v>
      </c>
      <c r="AS1137" s="81">
        <v>0</v>
      </c>
      <c r="AT1137" s="81">
        <v>0</v>
      </c>
      <c r="AU1137" s="81"/>
      <c r="AV1137" s="81"/>
      <c r="AW1137" s="81"/>
      <c r="AX1137" s="81"/>
      <c r="AY1137" s="81"/>
      <c r="AZ1137" s="81"/>
      <c r="BA1137" s="81"/>
      <c r="BB1137" s="81"/>
    </row>
    <row r="1138" spans="1:54" x14ac:dyDescent="0.35">
      <c r="A1138" s="66" t="s">
        <v>895</v>
      </c>
      <c r="B1138" s="66" t="s">
        <v>1175</v>
      </c>
      <c r="C1138" s="67"/>
      <c r="D1138" s="68"/>
      <c r="E1138" s="69"/>
      <c r="F1138" s="70"/>
      <c r="G1138" s="67"/>
      <c r="H1138" s="71"/>
      <c r="I1138" s="72"/>
      <c r="J1138" s="72"/>
      <c r="K1138" s="36"/>
      <c r="L1138" s="79"/>
      <c r="M1138" s="79"/>
      <c r="N1138" s="74"/>
      <c r="O1138" s="81" t="s">
        <v>1208</v>
      </c>
      <c r="P1138" s="83">
        <v>44466.157962962963</v>
      </c>
      <c r="Q1138" s="81" t="s">
        <v>1602</v>
      </c>
      <c r="R1138" s="81"/>
      <c r="S1138" s="81"/>
      <c r="T1138" s="81"/>
      <c r="U1138" s="85" t="str">
        <f>HYPERLINK("https://pbs.twimg.com/media/FAQ0FFQUUAQZME2.jpg")</f>
        <v>https://pbs.twimg.com/media/FAQ0FFQUUAQZME2.jpg</v>
      </c>
      <c r="V1138" s="85" t="str">
        <f>HYPERLINK("https://pbs.twimg.com/media/FAQ0FFQUUAQZME2.jpg")</f>
        <v>https://pbs.twimg.com/media/FAQ0FFQUUAQZME2.jpg</v>
      </c>
      <c r="W1138" s="83">
        <v>44466.157962962963</v>
      </c>
      <c r="X1138" s="89">
        <v>44466</v>
      </c>
      <c r="Y1138" s="87" t="s">
        <v>2540</v>
      </c>
      <c r="Z1138" s="85" t="str">
        <f>HYPERLINK("https://twitter.com/mo0nstarrr/status/1442335051140632581")</f>
        <v>https://twitter.com/mo0nstarrr/status/1442335051140632581</v>
      </c>
      <c r="AA1138" s="81"/>
      <c r="AB1138" s="81"/>
      <c r="AC1138" s="87" t="s">
        <v>3468</v>
      </c>
      <c r="AD1138" s="87" t="s">
        <v>3833</v>
      </c>
      <c r="AE1138" s="81" t="b">
        <v>0</v>
      </c>
      <c r="AF1138" s="81">
        <v>0</v>
      </c>
      <c r="AG1138" s="87" t="s">
        <v>4051</v>
      </c>
      <c r="AH1138" s="81" t="b">
        <v>0</v>
      </c>
      <c r="AI1138" s="81" t="s">
        <v>4092</v>
      </c>
      <c r="AJ1138" s="81"/>
      <c r="AK1138" s="87" t="s">
        <v>3875</v>
      </c>
      <c r="AL1138" s="81" t="b">
        <v>0</v>
      </c>
      <c r="AM1138" s="81">
        <v>0</v>
      </c>
      <c r="AN1138" s="87" t="s">
        <v>3875</v>
      </c>
      <c r="AO1138" s="87" t="s">
        <v>4109</v>
      </c>
      <c r="AP1138" s="81" t="b">
        <v>0</v>
      </c>
      <c r="AQ1138" s="87" t="s">
        <v>3833</v>
      </c>
      <c r="AR1138" s="81" t="s">
        <v>179</v>
      </c>
      <c r="AS1138" s="81">
        <v>0</v>
      </c>
      <c r="AT1138" s="81">
        <v>0</v>
      </c>
      <c r="AU1138" s="81"/>
      <c r="AV1138" s="81"/>
      <c r="AW1138" s="81"/>
      <c r="AX1138" s="81"/>
      <c r="AY1138" s="81"/>
      <c r="AZ1138" s="81"/>
      <c r="BA1138" s="81"/>
      <c r="BB1138" s="81"/>
    </row>
    <row r="1139" spans="1:54" x14ac:dyDescent="0.35">
      <c r="A1139" s="66" t="s">
        <v>896</v>
      </c>
      <c r="B1139" s="66" t="s">
        <v>896</v>
      </c>
      <c r="C1139" s="67"/>
      <c r="D1139" s="68"/>
      <c r="E1139" s="69"/>
      <c r="F1139" s="70"/>
      <c r="G1139" s="67"/>
      <c r="H1139" s="71"/>
      <c r="I1139" s="72"/>
      <c r="J1139" s="72"/>
      <c r="K1139" s="36"/>
      <c r="L1139" s="79"/>
      <c r="M1139" s="79"/>
      <c r="N1139" s="74"/>
      <c r="O1139" s="81" t="s">
        <v>179</v>
      </c>
      <c r="P1139" s="83">
        <v>44466.16611111111</v>
      </c>
      <c r="Q1139" s="81" t="s">
        <v>1603</v>
      </c>
      <c r="R1139" s="81"/>
      <c r="S1139" s="81"/>
      <c r="T1139" s="81"/>
      <c r="U1139" s="85" t="str">
        <f>HYPERLINK("https://pbs.twimg.com/media/FAQ2xNjVkAUo7Vk.jpg")</f>
        <v>https://pbs.twimg.com/media/FAQ2xNjVkAUo7Vk.jpg</v>
      </c>
      <c r="V1139" s="85" t="str">
        <f>HYPERLINK("https://pbs.twimg.com/media/FAQ2xNjVkAUo7Vk.jpg")</f>
        <v>https://pbs.twimg.com/media/FAQ2xNjVkAUo7Vk.jpg</v>
      </c>
      <c r="W1139" s="83">
        <v>44466.16611111111</v>
      </c>
      <c r="X1139" s="89">
        <v>44466</v>
      </c>
      <c r="Y1139" s="87" t="s">
        <v>2541</v>
      </c>
      <c r="Z1139" s="85" t="str">
        <f>HYPERLINK("https://twitter.com/imigrasibaubau/status/1442338003469279236")</f>
        <v>https://twitter.com/imigrasibaubau/status/1442338003469279236</v>
      </c>
      <c r="AA1139" s="81"/>
      <c r="AB1139" s="81"/>
      <c r="AC1139" s="87" t="s">
        <v>3469</v>
      </c>
      <c r="AD1139" s="81"/>
      <c r="AE1139" s="81" t="b">
        <v>0</v>
      </c>
      <c r="AF1139" s="81">
        <v>1</v>
      </c>
      <c r="AG1139" s="87" t="s">
        <v>3875</v>
      </c>
      <c r="AH1139" s="81" t="b">
        <v>0</v>
      </c>
      <c r="AI1139" s="81" t="s">
        <v>4092</v>
      </c>
      <c r="AJ1139" s="81"/>
      <c r="AK1139" s="87" t="s">
        <v>3875</v>
      </c>
      <c r="AL1139" s="81" t="b">
        <v>0</v>
      </c>
      <c r="AM1139" s="81">
        <v>0</v>
      </c>
      <c r="AN1139" s="87" t="s">
        <v>3875</v>
      </c>
      <c r="AO1139" s="87" t="s">
        <v>4109</v>
      </c>
      <c r="AP1139" s="81" t="b">
        <v>0</v>
      </c>
      <c r="AQ1139" s="87" t="s">
        <v>3469</v>
      </c>
      <c r="AR1139" s="81" t="s">
        <v>179</v>
      </c>
      <c r="AS1139" s="81">
        <v>0</v>
      </c>
      <c r="AT1139" s="81">
        <v>0</v>
      </c>
      <c r="AU1139" s="81"/>
      <c r="AV1139" s="81"/>
      <c r="AW1139" s="81"/>
      <c r="AX1139" s="81"/>
      <c r="AY1139" s="81"/>
      <c r="AZ1139" s="81"/>
      <c r="BA1139" s="81"/>
      <c r="BB1139" s="81"/>
    </row>
    <row r="1140" spans="1:54" x14ac:dyDescent="0.35">
      <c r="A1140" s="66" t="s">
        <v>897</v>
      </c>
      <c r="B1140" s="66" t="s">
        <v>897</v>
      </c>
      <c r="C1140" s="67"/>
      <c r="D1140" s="68"/>
      <c r="E1140" s="69"/>
      <c r="F1140" s="70"/>
      <c r="G1140" s="67"/>
      <c r="H1140" s="71"/>
      <c r="I1140" s="72"/>
      <c r="J1140" s="72"/>
      <c r="K1140" s="36"/>
      <c r="L1140" s="79"/>
      <c r="M1140" s="79"/>
      <c r="N1140" s="74"/>
      <c r="O1140" s="81" t="s">
        <v>179</v>
      </c>
      <c r="P1140" s="83">
        <v>44466.170995370368</v>
      </c>
      <c r="Q1140" s="81" t="s">
        <v>1604</v>
      </c>
      <c r="R1140" s="81"/>
      <c r="S1140" s="81"/>
      <c r="T1140" s="81"/>
      <c r="U1140" s="81"/>
      <c r="V1140" s="85" t="str">
        <f>HYPERLINK("https://pbs.twimg.com/profile_images/1273123428246192131/mYHqBtPn_normal.jpg")</f>
        <v>https://pbs.twimg.com/profile_images/1273123428246192131/mYHqBtPn_normal.jpg</v>
      </c>
      <c r="W1140" s="83">
        <v>44466.170995370368</v>
      </c>
      <c r="X1140" s="89">
        <v>44466</v>
      </c>
      <c r="Y1140" s="87" t="s">
        <v>2542</v>
      </c>
      <c r="Z1140" s="85" t="str">
        <f>HYPERLINK("https://twitter.com/grahatoyota/status/1442339775113883650")</f>
        <v>https://twitter.com/grahatoyota/status/1442339775113883650</v>
      </c>
      <c r="AA1140" s="81"/>
      <c r="AB1140" s="81"/>
      <c r="AC1140" s="87" t="s">
        <v>3470</v>
      </c>
      <c r="AD1140" s="87" t="s">
        <v>3834</v>
      </c>
      <c r="AE1140" s="81" t="b">
        <v>0</v>
      </c>
      <c r="AF1140" s="81">
        <v>0</v>
      </c>
      <c r="AG1140" s="87" t="s">
        <v>4052</v>
      </c>
      <c r="AH1140" s="81" t="b">
        <v>0</v>
      </c>
      <c r="AI1140" s="81" t="s">
        <v>4092</v>
      </c>
      <c r="AJ1140" s="81"/>
      <c r="AK1140" s="87" t="s">
        <v>3875</v>
      </c>
      <c r="AL1140" s="81" t="b">
        <v>0</v>
      </c>
      <c r="AM1140" s="81">
        <v>0</v>
      </c>
      <c r="AN1140" s="87" t="s">
        <v>3875</v>
      </c>
      <c r="AO1140" s="87" t="s">
        <v>4110</v>
      </c>
      <c r="AP1140" s="81" t="b">
        <v>0</v>
      </c>
      <c r="AQ1140" s="87" t="s">
        <v>3834</v>
      </c>
      <c r="AR1140" s="81" t="s">
        <v>179</v>
      </c>
      <c r="AS1140" s="81">
        <v>0</v>
      </c>
      <c r="AT1140" s="81">
        <v>0</v>
      </c>
      <c r="AU1140" s="81"/>
      <c r="AV1140" s="81"/>
      <c r="AW1140" s="81"/>
      <c r="AX1140" s="81"/>
      <c r="AY1140" s="81"/>
      <c r="AZ1140" s="81"/>
      <c r="BA1140" s="81"/>
      <c r="BB1140" s="81"/>
    </row>
    <row r="1141" spans="1:54" x14ac:dyDescent="0.35">
      <c r="A1141" s="66" t="s">
        <v>898</v>
      </c>
      <c r="B1141" s="66" t="s">
        <v>898</v>
      </c>
      <c r="C1141" s="67"/>
      <c r="D1141" s="68"/>
      <c r="E1141" s="69"/>
      <c r="F1141" s="70"/>
      <c r="G1141" s="67"/>
      <c r="H1141" s="71"/>
      <c r="I1141" s="72"/>
      <c r="J1141" s="72"/>
      <c r="K1141" s="36"/>
      <c r="L1141" s="79"/>
      <c r="M1141" s="79"/>
      <c r="N1141" s="74"/>
      <c r="O1141" s="81" t="s">
        <v>179</v>
      </c>
      <c r="P1141" s="83">
        <v>44466.177164351851</v>
      </c>
      <c r="Q1141" s="81" t="s">
        <v>1605</v>
      </c>
      <c r="R1141" s="81"/>
      <c r="S1141" s="81"/>
      <c r="T1141" s="87" t="s">
        <v>1781</v>
      </c>
      <c r="U1141" s="85" t="str">
        <f>HYPERLINK("https://pbs.twimg.com/media/FAQ5HQ1UcAQYqFz.jpg")</f>
        <v>https://pbs.twimg.com/media/FAQ5HQ1UcAQYqFz.jpg</v>
      </c>
      <c r="V1141" s="85" t="str">
        <f>HYPERLINK("https://pbs.twimg.com/media/FAQ5HQ1UcAQYqFz.jpg")</f>
        <v>https://pbs.twimg.com/media/FAQ5HQ1UcAQYqFz.jpg</v>
      </c>
      <c r="W1141" s="83">
        <v>44466.177164351851</v>
      </c>
      <c r="X1141" s="89">
        <v>44466</v>
      </c>
      <c r="Y1141" s="87" t="s">
        <v>2543</v>
      </c>
      <c r="Z1141" s="85" t="str">
        <f>HYPERLINK("https://twitter.com/bawaslu_tanbe/status/1442342009100914694")</f>
        <v>https://twitter.com/bawaslu_tanbe/status/1442342009100914694</v>
      </c>
      <c r="AA1141" s="81"/>
      <c r="AB1141" s="81"/>
      <c r="AC1141" s="87" t="s">
        <v>3471</v>
      </c>
      <c r="AD1141" s="81"/>
      <c r="AE1141" s="81" t="b">
        <v>0</v>
      </c>
      <c r="AF1141" s="81">
        <v>0</v>
      </c>
      <c r="AG1141" s="87" t="s">
        <v>3875</v>
      </c>
      <c r="AH1141" s="81" t="b">
        <v>0</v>
      </c>
      <c r="AI1141" s="81" t="s">
        <v>4092</v>
      </c>
      <c r="AJ1141" s="81"/>
      <c r="AK1141" s="87" t="s">
        <v>3875</v>
      </c>
      <c r="AL1141" s="81" t="b">
        <v>0</v>
      </c>
      <c r="AM1141" s="81">
        <v>0</v>
      </c>
      <c r="AN1141" s="87" t="s">
        <v>3875</v>
      </c>
      <c r="AO1141" s="87" t="s">
        <v>4111</v>
      </c>
      <c r="AP1141" s="81" t="b">
        <v>0</v>
      </c>
      <c r="AQ1141" s="87" t="s">
        <v>3471</v>
      </c>
      <c r="AR1141" s="81" t="s">
        <v>179</v>
      </c>
      <c r="AS1141" s="81">
        <v>0</v>
      </c>
      <c r="AT1141" s="81">
        <v>0</v>
      </c>
      <c r="AU1141" s="81"/>
      <c r="AV1141" s="81"/>
      <c r="AW1141" s="81"/>
      <c r="AX1141" s="81"/>
      <c r="AY1141" s="81"/>
      <c r="AZ1141" s="81"/>
      <c r="BA1141" s="81"/>
      <c r="BB1141" s="81"/>
    </row>
    <row r="1142" spans="1:54" x14ac:dyDescent="0.35">
      <c r="A1142" s="66" t="s">
        <v>899</v>
      </c>
      <c r="B1142" s="66" t="s">
        <v>1176</v>
      </c>
      <c r="C1142" s="67"/>
      <c r="D1142" s="68"/>
      <c r="E1142" s="69"/>
      <c r="F1142" s="70"/>
      <c r="G1142" s="67"/>
      <c r="H1142" s="71"/>
      <c r="I1142" s="72"/>
      <c r="J1142" s="72"/>
      <c r="K1142" s="36"/>
      <c r="L1142" s="79"/>
      <c r="M1142" s="79"/>
      <c r="N1142" s="74"/>
      <c r="O1142" s="81" t="s">
        <v>1208</v>
      </c>
      <c r="P1142" s="83">
        <v>44466.177557870367</v>
      </c>
      <c r="Q1142" s="81" t="s">
        <v>1606</v>
      </c>
      <c r="R1142" s="81"/>
      <c r="S1142" s="81"/>
      <c r="T1142" s="81"/>
      <c r="U1142" s="81"/>
      <c r="V1142" s="85" t="str">
        <f>HYPERLINK("https://pbs.twimg.com/profile_images/1082274332661796864/VXrCsxRF_normal.jpg")</f>
        <v>https://pbs.twimg.com/profile_images/1082274332661796864/VXrCsxRF_normal.jpg</v>
      </c>
      <c r="W1142" s="83">
        <v>44466.177557870367</v>
      </c>
      <c r="X1142" s="89">
        <v>44466</v>
      </c>
      <c r="Y1142" s="87" t="s">
        <v>2544</v>
      </c>
      <c r="Z1142" s="85" t="str">
        <f>HYPERLINK("https://twitter.com/rino52650304/status/1442342152810336267")</f>
        <v>https://twitter.com/rino52650304/status/1442342152810336267</v>
      </c>
      <c r="AA1142" s="81"/>
      <c r="AB1142" s="81"/>
      <c r="AC1142" s="87" t="s">
        <v>3472</v>
      </c>
      <c r="AD1142" s="87" t="s">
        <v>3835</v>
      </c>
      <c r="AE1142" s="81" t="b">
        <v>0</v>
      </c>
      <c r="AF1142" s="81">
        <v>2</v>
      </c>
      <c r="AG1142" s="87" t="s">
        <v>4053</v>
      </c>
      <c r="AH1142" s="81" t="b">
        <v>0</v>
      </c>
      <c r="AI1142" s="81" t="s">
        <v>4096</v>
      </c>
      <c r="AJ1142" s="81"/>
      <c r="AK1142" s="87" t="s">
        <v>3875</v>
      </c>
      <c r="AL1142" s="81" t="b">
        <v>0</v>
      </c>
      <c r="AM1142" s="81">
        <v>0</v>
      </c>
      <c r="AN1142" s="87" t="s">
        <v>3875</v>
      </c>
      <c r="AO1142" s="87" t="s">
        <v>4111</v>
      </c>
      <c r="AP1142" s="81" t="b">
        <v>0</v>
      </c>
      <c r="AQ1142" s="87" t="s">
        <v>3835</v>
      </c>
      <c r="AR1142" s="81" t="s">
        <v>179</v>
      </c>
      <c r="AS1142" s="81">
        <v>0</v>
      </c>
      <c r="AT1142" s="81">
        <v>0</v>
      </c>
      <c r="AU1142" s="81"/>
      <c r="AV1142" s="81"/>
      <c r="AW1142" s="81"/>
      <c r="AX1142" s="81"/>
      <c r="AY1142" s="81"/>
      <c r="AZ1142" s="81"/>
      <c r="BA1142" s="81"/>
      <c r="BB1142" s="81"/>
    </row>
    <row r="1143" spans="1:54" x14ac:dyDescent="0.35">
      <c r="A1143" s="66" t="s">
        <v>900</v>
      </c>
      <c r="B1143" s="66" t="s">
        <v>671</v>
      </c>
      <c r="C1143" s="67"/>
      <c r="D1143" s="68"/>
      <c r="E1143" s="69"/>
      <c r="F1143" s="70"/>
      <c r="G1143" s="67"/>
      <c r="H1143" s="71"/>
      <c r="I1143" s="72"/>
      <c r="J1143" s="72"/>
      <c r="K1143" s="36"/>
      <c r="L1143" s="79"/>
      <c r="M1143" s="79"/>
      <c r="N1143" s="74"/>
      <c r="O1143" s="81" t="s">
        <v>1208</v>
      </c>
      <c r="P1143" s="83">
        <v>44466.181423611109</v>
      </c>
      <c r="Q1143" s="81" t="s">
        <v>1607</v>
      </c>
      <c r="R1143" s="81"/>
      <c r="S1143" s="81"/>
      <c r="T1143" s="81"/>
      <c r="U1143" s="81"/>
      <c r="V1143" s="85" t="str">
        <f>HYPERLINK("https://pbs.twimg.com/profile_images/1239367651798835200/eCwf-uZL_normal.jpg")</f>
        <v>https://pbs.twimg.com/profile_images/1239367651798835200/eCwf-uZL_normal.jpg</v>
      </c>
      <c r="W1143" s="83">
        <v>44466.181423611109</v>
      </c>
      <c r="X1143" s="89">
        <v>44466</v>
      </c>
      <c r="Y1143" s="87" t="s">
        <v>2545</v>
      </c>
      <c r="Z1143" s="85" t="str">
        <f>HYPERLINK("https://twitter.com/busbypkp/status/1442343555066781696")</f>
        <v>https://twitter.com/busbypkp/status/1442343555066781696</v>
      </c>
      <c r="AA1143" s="81"/>
      <c r="AB1143" s="81"/>
      <c r="AC1143" s="87" t="s">
        <v>3473</v>
      </c>
      <c r="AD1143" s="81"/>
      <c r="AE1143" s="81" t="b">
        <v>0</v>
      </c>
      <c r="AF1143" s="81">
        <v>0</v>
      </c>
      <c r="AG1143" s="87" t="s">
        <v>3955</v>
      </c>
      <c r="AH1143" s="81" t="b">
        <v>0</v>
      </c>
      <c r="AI1143" s="81" t="s">
        <v>4092</v>
      </c>
      <c r="AJ1143" s="81"/>
      <c r="AK1143" s="87" t="s">
        <v>3875</v>
      </c>
      <c r="AL1143" s="81" t="b">
        <v>0</v>
      </c>
      <c r="AM1143" s="81">
        <v>0</v>
      </c>
      <c r="AN1143" s="87" t="s">
        <v>3875</v>
      </c>
      <c r="AO1143" s="87" t="s">
        <v>4109</v>
      </c>
      <c r="AP1143" s="81" t="b">
        <v>0</v>
      </c>
      <c r="AQ1143" s="87" t="s">
        <v>3473</v>
      </c>
      <c r="AR1143" s="81" t="s">
        <v>179</v>
      </c>
      <c r="AS1143" s="81">
        <v>0</v>
      </c>
      <c r="AT1143" s="81">
        <v>0</v>
      </c>
      <c r="AU1143" s="81"/>
      <c r="AV1143" s="81"/>
      <c r="AW1143" s="81"/>
      <c r="AX1143" s="81"/>
      <c r="AY1143" s="81"/>
      <c r="AZ1143" s="81"/>
      <c r="BA1143" s="81"/>
      <c r="BB1143" s="81"/>
    </row>
    <row r="1144" spans="1:54" x14ac:dyDescent="0.35">
      <c r="A1144" s="66" t="s">
        <v>901</v>
      </c>
      <c r="B1144" s="66" t="s">
        <v>901</v>
      </c>
      <c r="C1144" s="67"/>
      <c r="D1144" s="68"/>
      <c r="E1144" s="69"/>
      <c r="F1144" s="70"/>
      <c r="G1144" s="67"/>
      <c r="H1144" s="71"/>
      <c r="I1144" s="72"/>
      <c r="J1144" s="72"/>
      <c r="K1144" s="36"/>
      <c r="L1144" s="79"/>
      <c r="M1144" s="79"/>
      <c r="N1144" s="74"/>
      <c r="O1144" s="81" t="s">
        <v>179</v>
      </c>
      <c r="P1144" s="83">
        <v>44466.183599537035</v>
      </c>
      <c r="Q1144" s="81" t="s">
        <v>1608</v>
      </c>
      <c r="R1144" s="81"/>
      <c r="S1144" s="81"/>
      <c r="T1144" s="87" t="s">
        <v>1782</v>
      </c>
      <c r="U1144" s="85" t="str">
        <f>HYPERLINK("https://pbs.twimg.com/media/FAQ8iNfUYAIWoEg.jpg")</f>
        <v>https://pbs.twimg.com/media/FAQ8iNfUYAIWoEg.jpg</v>
      </c>
      <c r="V1144" s="85" t="str">
        <f>HYPERLINK("https://pbs.twimg.com/media/FAQ8iNfUYAIWoEg.jpg")</f>
        <v>https://pbs.twimg.com/media/FAQ8iNfUYAIWoEg.jpg</v>
      </c>
      <c r="W1144" s="83">
        <v>44466.183599537035</v>
      </c>
      <c r="X1144" s="89">
        <v>44466</v>
      </c>
      <c r="Y1144" s="87" t="s">
        <v>2546</v>
      </c>
      <c r="Z1144" s="85" t="str">
        <f>HYPERLINK("https://twitter.com/kpuberau/status/1442344341838524434")</f>
        <v>https://twitter.com/kpuberau/status/1442344341838524434</v>
      </c>
      <c r="AA1144" s="81"/>
      <c r="AB1144" s="81"/>
      <c r="AC1144" s="87" t="s">
        <v>3474</v>
      </c>
      <c r="AD1144" s="81"/>
      <c r="AE1144" s="81" t="b">
        <v>0</v>
      </c>
      <c r="AF1144" s="81">
        <v>0</v>
      </c>
      <c r="AG1144" s="87" t="s">
        <v>3875</v>
      </c>
      <c r="AH1144" s="81" t="b">
        <v>0</v>
      </c>
      <c r="AI1144" s="81" t="s">
        <v>4092</v>
      </c>
      <c r="AJ1144" s="81"/>
      <c r="AK1144" s="87" t="s">
        <v>3875</v>
      </c>
      <c r="AL1144" s="81" t="b">
        <v>0</v>
      </c>
      <c r="AM1144" s="81">
        <v>0</v>
      </c>
      <c r="AN1144" s="87" t="s">
        <v>3875</v>
      </c>
      <c r="AO1144" s="87" t="s">
        <v>4109</v>
      </c>
      <c r="AP1144" s="81" t="b">
        <v>0</v>
      </c>
      <c r="AQ1144" s="87" t="s">
        <v>3474</v>
      </c>
      <c r="AR1144" s="81" t="s">
        <v>179</v>
      </c>
      <c r="AS1144" s="81">
        <v>0</v>
      </c>
      <c r="AT1144" s="81">
        <v>0</v>
      </c>
      <c r="AU1144" s="81"/>
      <c r="AV1144" s="81"/>
      <c r="AW1144" s="81"/>
      <c r="AX1144" s="81"/>
      <c r="AY1144" s="81"/>
      <c r="AZ1144" s="81"/>
      <c r="BA1144" s="81"/>
      <c r="BB1144" s="81"/>
    </row>
    <row r="1145" spans="1:54" x14ac:dyDescent="0.35">
      <c r="A1145" s="66" t="s">
        <v>902</v>
      </c>
      <c r="B1145" s="66" t="s">
        <v>1070</v>
      </c>
      <c r="C1145" s="67"/>
      <c r="D1145" s="68"/>
      <c r="E1145" s="69"/>
      <c r="F1145" s="70"/>
      <c r="G1145" s="67"/>
      <c r="H1145" s="71"/>
      <c r="I1145" s="72"/>
      <c r="J1145" s="72"/>
      <c r="K1145" s="36"/>
      <c r="L1145" s="79"/>
      <c r="M1145" s="79"/>
      <c r="N1145" s="74"/>
      <c r="O1145" s="81" t="s">
        <v>1208</v>
      </c>
      <c r="P1145" s="83">
        <v>44466.196377314816</v>
      </c>
      <c r="Q1145" s="81" t="s">
        <v>1609</v>
      </c>
      <c r="R1145" s="81"/>
      <c r="S1145" s="81"/>
      <c r="T1145" s="81"/>
      <c r="U1145" s="81"/>
      <c r="V1145" s="85" t="str">
        <f>HYPERLINK("https://pbs.twimg.com/profile_images/1335182477673988100/0fVBm30q_normal.jpg")</f>
        <v>https://pbs.twimg.com/profile_images/1335182477673988100/0fVBm30q_normal.jpg</v>
      </c>
      <c r="W1145" s="83">
        <v>44466.196377314816</v>
      </c>
      <c r="X1145" s="89">
        <v>44466</v>
      </c>
      <c r="Y1145" s="87" t="s">
        <v>2547</v>
      </c>
      <c r="Z1145" s="85" t="str">
        <f>HYPERLINK("https://twitter.com/gatauuserius/status/1442348971750412288")</f>
        <v>https://twitter.com/gatauuserius/status/1442348971750412288</v>
      </c>
      <c r="AA1145" s="81"/>
      <c r="AB1145" s="81"/>
      <c r="AC1145" s="87" t="s">
        <v>3475</v>
      </c>
      <c r="AD1145" s="87" t="s">
        <v>3836</v>
      </c>
      <c r="AE1145" s="81" t="b">
        <v>0</v>
      </c>
      <c r="AF1145" s="81">
        <v>0</v>
      </c>
      <c r="AG1145" s="87" t="s">
        <v>3944</v>
      </c>
      <c r="AH1145" s="81" t="b">
        <v>0</v>
      </c>
      <c r="AI1145" s="81" t="s">
        <v>4092</v>
      </c>
      <c r="AJ1145" s="81"/>
      <c r="AK1145" s="87" t="s">
        <v>3875</v>
      </c>
      <c r="AL1145" s="81" t="b">
        <v>0</v>
      </c>
      <c r="AM1145" s="81">
        <v>0</v>
      </c>
      <c r="AN1145" s="87" t="s">
        <v>3875</v>
      </c>
      <c r="AO1145" s="87" t="s">
        <v>4109</v>
      </c>
      <c r="AP1145" s="81" t="b">
        <v>0</v>
      </c>
      <c r="AQ1145" s="87" t="s">
        <v>3836</v>
      </c>
      <c r="AR1145" s="81" t="s">
        <v>179</v>
      </c>
      <c r="AS1145" s="81">
        <v>0</v>
      </c>
      <c r="AT1145" s="81">
        <v>0</v>
      </c>
      <c r="AU1145" s="81"/>
      <c r="AV1145" s="81"/>
      <c r="AW1145" s="81"/>
      <c r="AX1145" s="81"/>
      <c r="AY1145" s="81"/>
      <c r="AZ1145" s="81"/>
      <c r="BA1145" s="81"/>
      <c r="BB1145" s="81"/>
    </row>
    <row r="1146" spans="1:54" x14ac:dyDescent="0.35">
      <c r="A1146" s="66" t="s">
        <v>903</v>
      </c>
      <c r="B1146" s="66" t="s">
        <v>1177</v>
      </c>
      <c r="C1146" s="67"/>
      <c r="D1146" s="68"/>
      <c r="E1146" s="69"/>
      <c r="F1146" s="70"/>
      <c r="G1146" s="67"/>
      <c r="H1146" s="71"/>
      <c r="I1146" s="72"/>
      <c r="J1146" s="72"/>
      <c r="K1146" s="36"/>
      <c r="L1146" s="79"/>
      <c r="M1146" s="79"/>
      <c r="N1146" s="74"/>
      <c r="O1146" s="81" t="s">
        <v>1208</v>
      </c>
      <c r="P1146" s="83">
        <v>44458.423842592594</v>
      </c>
      <c r="Q1146" s="81" t="s">
        <v>1610</v>
      </c>
      <c r="R1146" s="81"/>
      <c r="S1146" s="81"/>
      <c r="T1146" s="81"/>
      <c r="U1146" s="81"/>
      <c r="V1146" s="85" t="str">
        <f>HYPERLINK("https://pbs.twimg.com/profile_images/780659330676731905/wcQ_XcYe_normal.jpg")</f>
        <v>https://pbs.twimg.com/profile_images/780659330676731905/wcQ_XcYe_normal.jpg</v>
      </c>
      <c r="W1146" s="83">
        <v>44458.423842592594</v>
      </c>
      <c r="X1146" s="89">
        <v>44458</v>
      </c>
      <c r="Y1146" s="87" t="s">
        <v>2548</v>
      </c>
      <c r="Z1146" s="85" t="str">
        <f>HYPERLINK("https://twitter.com/pln_123/status/1439532303114399752")</f>
        <v>https://twitter.com/pln_123/status/1439532303114399752</v>
      </c>
      <c r="AA1146" s="81"/>
      <c r="AB1146" s="81"/>
      <c r="AC1146" s="87" t="s">
        <v>3476</v>
      </c>
      <c r="AD1146" s="87" t="s">
        <v>3837</v>
      </c>
      <c r="AE1146" s="81" t="b">
        <v>0</v>
      </c>
      <c r="AF1146" s="81">
        <v>0</v>
      </c>
      <c r="AG1146" s="87" t="s">
        <v>4054</v>
      </c>
      <c r="AH1146" s="81" t="b">
        <v>0</v>
      </c>
      <c r="AI1146" s="81" t="s">
        <v>4092</v>
      </c>
      <c r="AJ1146" s="81"/>
      <c r="AK1146" s="87" t="s">
        <v>3875</v>
      </c>
      <c r="AL1146" s="81" t="b">
        <v>0</v>
      </c>
      <c r="AM1146" s="81">
        <v>0</v>
      </c>
      <c r="AN1146" s="87" t="s">
        <v>3875</v>
      </c>
      <c r="AO1146" s="87" t="s">
        <v>4137</v>
      </c>
      <c r="AP1146" s="81" t="b">
        <v>0</v>
      </c>
      <c r="AQ1146" s="87" t="s">
        <v>3837</v>
      </c>
      <c r="AR1146" s="81" t="s">
        <v>179</v>
      </c>
      <c r="AS1146" s="81">
        <v>0</v>
      </c>
      <c r="AT1146" s="81">
        <v>0</v>
      </c>
      <c r="AU1146" s="81"/>
      <c r="AV1146" s="81"/>
      <c r="AW1146" s="81"/>
      <c r="AX1146" s="81"/>
      <c r="AY1146" s="81"/>
      <c r="AZ1146" s="81"/>
      <c r="BA1146" s="81"/>
      <c r="BB1146" s="81"/>
    </row>
    <row r="1147" spans="1:54" x14ac:dyDescent="0.35">
      <c r="A1147" s="66" t="s">
        <v>903</v>
      </c>
      <c r="B1147" s="66" t="s">
        <v>1178</v>
      </c>
      <c r="C1147" s="67"/>
      <c r="D1147" s="68"/>
      <c r="E1147" s="69"/>
      <c r="F1147" s="70"/>
      <c r="G1147" s="67"/>
      <c r="H1147" s="71"/>
      <c r="I1147" s="72"/>
      <c r="J1147" s="72"/>
      <c r="K1147" s="36"/>
      <c r="L1147" s="79"/>
      <c r="M1147" s="79"/>
      <c r="N1147" s="74"/>
      <c r="O1147" s="81" t="s">
        <v>1208</v>
      </c>
      <c r="P1147" s="83">
        <v>44458.545856481483</v>
      </c>
      <c r="Q1147" s="81" t="s">
        <v>1611</v>
      </c>
      <c r="R1147" s="81"/>
      <c r="S1147" s="81"/>
      <c r="T1147" s="81"/>
      <c r="U1147" s="81"/>
      <c r="V1147" s="85" t="str">
        <f>HYPERLINK("https://pbs.twimg.com/profile_images/780659330676731905/wcQ_XcYe_normal.jpg")</f>
        <v>https://pbs.twimg.com/profile_images/780659330676731905/wcQ_XcYe_normal.jpg</v>
      </c>
      <c r="W1147" s="83">
        <v>44458.545856481483</v>
      </c>
      <c r="X1147" s="89">
        <v>44458</v>
      </c>
      <c r="Y1147" s="87" t="s">
        <v>2549</v>
      </c>
      <c r="Z1147" s="85" t="str">
        <f>HYPERLINK("https://twitter.com/pln_123/status/1439576519496454145")</f>
        <v>https://twitter.com/pln_123/status/1439576519496454145</v>
      </c>
      <c r="AA1147" s="81"/>
      <c r="AB1147" s="81"/>
      <c r="AC1147" s="87" t="s">
        <v>3477</v>
      </c>
      <c r="AD1147" s="87" t="s">
        <v>3838</v>
      </c>
      <c r="AE1147" s="81" t="b">
        <v>0</v>
      </c>
      <c r="AF1147" s="81">
        <v>0</v>
      </c>
      <c r="AG1147" s="87" t="s">
        <v>4055</v>
      </c>
      <c r="AH1147" s="81" t="b">
        <v>0</v>
      </c>
      <c r="AI1147" s="81" t="s">
        <v>4092</v>
      </c>
      <c r="AJ1147" s="81"/>
      <c r="AK1147" s="87" t="s">
        <v>3875</v>
      </c>
      <c r="AL1147" s="81" t="b">
        <v>0</v>
      </c>
      <c r="AM1147" s="81">
        <v>0</v>
      </c>
      <c r="AN1147" s="87" t="s">
        <v>3875</v>
      </c>
      <c r="AO1147" s="87" t="s">
        <v>4137</v>
      </c>
      <c r="AP1147" s="81" t="b">
        <v>0</v>
      </c>
      <c r="AQ1147" s="87" t="s">
        <v>3838</v>
      </c>
      <c r="AR1147" s="81" t="s">
        <v>179</v>
      </c>
      <c r="AS1147" s="81">
        <v>0</v>
      </c>
      <c r="AT1147" s="81">
        <v>0</v>
      </c>
      <c r="AU1147" s="81"/>
      <c r="AV1147" s="81"/>
      <c r="AW1147" s="81"/>
      <c r="AX1147" s="81"/>
      <c r="AY1147" s="81"/>
      <c r="AZ1147" s="81"/>
      <c r="BA1147" s="81"/>
      <c r="BB1147" s="81"/>
    </row>
    <row r="1148" spans="1:54" x14ac:dyDescent="0.35">
      <c r="A1148" s="66" t="s">
        <v>903</v>
      </c>
      <c r="B1148" s="66" t="s">
        <v>1179</v>
      </c>
      <c r="C1148" s="67"/>
      <c r="D1148" s="68"/>
      <c r="E1148" s="69"/>
      <c r="F1148" s="70"/>
      <c r="G1148" s="67"/>
      <c r="H1148" s="71"/>
      <c r="I1148" s="72"/>
      <c r="J1148" s="72"/>
      <c r="K1148" s="36"/>
      <c r="L1148" s="79"/>
      <c r="M1148" s="79"/>
      <c r="N1148" s="74"/>
      <c r="O1148" s="81" t="s">
        <v>1208</v>
      </c>
      <c r="P1148" s="83">
        <v>44466.207407407404</v>
      </c>
      <c r="Q1148" s="81" t="s">
        <v>1612</v>
      </c>
      <c r="R1148" s="81"/>
      <c r="S1148" s="81"/>
      <c r="T1148" s="81"/>
      <c r="U1148" s="81"/>
      <c r="V1148" s="85" t="str">
        <f>HYPERLINK("https://pbs.twimg.com/profile_images/780659330676731905/wcQ_XcYe_normal.jpg")</f>
        <v>https://pbs.twimg.com/profile_images/780659330676731905/wcQ_XcYe_normal.jpg</v>
      </c>
      <c r="W1148" s="83">
        <v>44466.207407407404</v>
      </c>
      <c r="X1148" s="89">
        <v>44466</v>
      </c>
      <c r="Y1148" s="87" t="s">
        <v>2550</v>
      </c>
      <c r="Z1148" s="85" t="str">
        <f>HYPERLINK("https://twitter.com/pln_123/status/1442352971455496196")</f>
        <v>https://twitter.com/pln_123/status/1442352971455496196</v>
      </c>
      <c r="AA1148" s="81"/>
      <c r="AB1148" s="81"/>
      <c r="AC1148" s="87" t="s">
        <v>3478</v>
      </c>
      <c r="AD1148" s="87" t="s">
        <v>3839</v>
      </c>
      <c r="AE1148" s="81" t="b">
        <v>0</v>
      </c>
      <c r="AF1148" s="81">
        <v>0</v>
      </c>
      <c r="AG1148" s="87" t="s">
        <v>4056</v>
      </c>
      <c r="AH1148" s="81" t="b">
        <v>0</v>
      </c>
      <c r="AI1148" s="81" t="s">
        <v>4092</v>
      </c>
      <c r="AJ1148" s="81"/>
      <c r="AK1148" s="87" t="s">
        <v>3875</v>
      </c>
      <c r="AL1148" s="81" t="b">
        <v>0</v>
      </c>
      <c r="AM1148" s="81">
        <v>0</v>
      </c>
      <c r="AN1148" s="87" t="s">
        <v>3875</v>
      </c>
      <c r="AO1148" s="87" t="s">
        <v>4137</v>
      </c>
      <c r="AP1148" s="81" t="b">
        <v>0</v>
      </c>
      <c r="AQ1148" s="87" t="s">
        <v>3839</v>
      </c>
      <c r="AR1148" s="81" t="s">
        <v>179</v>
      </c>
      <c r="AS1148" s="81">
        <v>0</v>
      </c>
      <c r="AT1148" s="81">
        <v>0</v>
      </c>
      <c r="AU1148" s="81"/>
      <c r="AV1148" s="81"/>
      <c r="AW1148" s="81"/>
      <c r="AX1148" s="81"/>
      <c r="AY1148" s="81"/>
      <c r="AZ1148" s="81"/>
      <c r="BA1148" s="81"/>
      <c r="BB1148" s="81"/>
    </row>
    <row r="1149" spans="1:54" x14ac:dyDescent="0.35">
      <c r="A1149" s="66" t="s">
        <v>904</v>
      </c>
      <c r="B1149" s="66" t="s">
        <v>904</v>
      </c>
      <c r="C1149" s="67"/>
      <c r="D1149" s="68"/>
      <c r="E1149" s="69"/>
      <c r="F1149" s="70"/>
      <c r="G1149" s="67"/>
      <c r="H1149" s="71"/>
      <c r="I1149" s="72"/>
      <c r="J1149" s="72"/>
      <c r="K1149" s="36"/>
      <c r="L1149" s="79"/>
      <c r="M1149" s="79"/>
      <c r="N1149" s="74"/>
      <c r="O1149" s="81" t="s">
        <v>179</v>
      </c>
      <c r="P1149" s="83">
        <v>44466.214513888888</v>
      </c>
      <c r="Q1149" s="81" t="s">
        <v>1613</v>
      </c>
      <c r="R1149" s="81"/>
      <c r="S1149" s="81"/>
      <c r="T1149" s="81"/>
      <c r="U1149" s="81"/>
      <c r="V1149" s="85" t="str">
        <f>HYPERLINK("https://pbs.twimg.com/profile_images/807773183747047424/TrZ60QzK_normal.jpg")</f>
        <v>https://pbs.twimg.com/profile_images/807773183747047424/TrZ60QzK_normal.jpg</v>
      </c>
      <c r="W1149" s="83">
        <v>44466.214513888888</v>
      </c>
      <c r="X1149" s="89">
        <v>44466</v>
      </c>
      <c r="Y1149" s="87" t="s">
        <v>2551</v>
      </c>
      <c r="Z1149" s="85" t="str">
        <f>HYPERLINK("https://twitter.com/achmad_zaenizen/status/1442355545910824960")</f>
        <v>https://twitter.com/achmad_zaenizen/status/1442355545910824960</v>
      </c>
      <c r="AA1149" s="81"/>
      <c r="AB1149" s="81"/>
      <c r="AC1149" s="87" t="s">
        <v>3479</v>
      </c>
      <c r="AD1149" s="87" t="s">
        <v>3840</v>
      </c>
      <c r="AE1149" s="81" t="b">
        <v>0</v>
      </c>
      <c r="AF1149" s="81">
        <v>0</v>
      </c>
      <c r="AG1149" s="87" t="s">
        <v>4057</v>
      </c>
      <c r="AH1149" s="81" t="b">
        <v>0</v>
      </c>
      <c r="AI1149" s="81" t="s">
        <v>4092</v>
      </c>
      <c r="AJ1149" s="81"/>
      <c r="AK1149" s="87" t="s">
        <v>3875</v>
      </c>
      <c r="AL1149" s="81" t="b">
        <v>0</v>
      </c>
      <c r="AM1149" s="81">
        <v>0</v>
      </c>
      <c r="AN1149" s="87" t="s">
        <v>3875</v>
      </c>
      <c r="AO1149" s="87" t="s">
        <v>4109</v>
      </c>
      <c r="AP1149" s="81" t="b">
        <v>0</v>
      </c>
      <c r="AQ1149" s="87" t="s">
        <v>3840</v>
      </c>
      <c r="AR1149" s="81" t="s">
        <v>179</v>
      </c>
      <c r="AS1149" s="81">
        <v>0</v>
      </c>
      <c r="AT1149" s="81">
        <v>0</v>
      </c>
      <c r="AU1149" s="81"/>
      <c r="AV1149" s="81"/>
      <c r="AW1149" s="81"/>
      <c r="AX1149" s="81"/>
      <c r="AY1149" s="81"/>
      <c r="AZ1149" s="81"/>
      <c r="BA1149" s="81"/>
      <c r="BB1149" s="81"/>
    </row>
    <row r="1150" spans="1:54" x14ac:dyDescent="0.35">
      <c r="A1150" s="66" t="s">
        <v>905</v>
      </c>
      <c r="B1150" s="66" t="s">
        <v>905</v>
      </c>
      <c r="C1150" s="67"/>
      <c r="D1150" s="68"/>
      <c r="E1150" s="69"/>
      <c r="F1150" s="70"/>
      <c r="G1150" s="67"/>
      <c r="H1150" s="71"/>
      <c r="I1150" s="72"/>
      <c r="J1150" s="72"/>
      <c r="K1150" s="36"/>
      <c r="L1150" s="79"/>
      <c r="M1150" s="79"/>
      <c r="N1150" s="74"/>
      <c r="O1150" s="81" t="s">
        <v>179</v>
      </c>
      <c r="P1150" s="83">
        <v>44466.217013888891</v>
      </c>
      <c r="Q1150" s="81" t="s">
        <v>1614</v>
      </c>
      <c r="R1150" s="81"/>
      <c r="S1150" s="81"/>
      <c r="T1150" s="81"/>
      <c r="U1150" s="85" t="str">
        <f>HYPERLINK("https://pbs.twimg.com/media/FARHhDdVcAsxE5m.jpg")</f>
        <v>https://pbs.twimg.com/media/FARHhDdVcAsxE5m.jpg</v>
      </c>
      <c r="V1150" s="85" t="str">
        <f>HYPERLINK("https://pbs.twimg.com/media/FARHhDdVcAsxE5m.jpg")</f>
        <v>https://pbs.twimg.com/media/FARHhDdVcAsxE5m.jpg</v>
      </c>
      <c r="W1150" s="83">
        <v>44466.217013888891</v>
      </c>
      <c r="X1150" s="89">
        <v>44466</v>
      </c>
      <c r="Y1150" s="87" t="s">
        <v>2552</v>
      </c>
      <c r="Z1150" s="85" t="str">
        <f>HYPERLINK("https://twitter.com/polsekkuala2/status/1442356452052459523")</f>
        <v>https://twitter.com/polsekkuala2/status/1442356452052459523</v>
      </c>
      <c r="AA1150" s="81"/>
      <c r="AB1150" s="81"/>
      <c r="AC1150" s="87" t="s">
        <v>3480</v>
      </c>
      <c r="AD1150" s="81"/>
      <c r="AE1150" s="81" t="b">
        <v>0</v>
      </c>
      <c r="AF1150" s="81">
        <v>0</v>
      </c>
      <c r="AG1150" s="87" t="s">
        <v>3875</v>
      </c>
      <c r="AH1150" s="81" t="b">
        <v>0</v>
      </c>
      <c r="AI1150" s="81" t="s">
        <v>4092</v>
      </c>
      <c r="AJ1150" s="81"/>
      <c r="AK1150" s="87" t="s">
        <v>3875</v>
      </c>
      <c r="AL1150" s="81" t="b">
        <v>0</v>
      </c>
      <c r="AM1150" s="81">
        <v>0</v>
      </c>
      <c r="AN1150" s="87" t="s">
        <v>3875</v>
      </c>
      <c r="AO1150" s="87" t="s">
        <v>4109</v>
      </c>
      <c r="AP1150" s="81" t="b">
        <v>0</v>
      </c>
      <c r="AQ1150" s="87" t="s">
        <v>3480</v>
      </c>
      <c r="AR1150" s="81" t="s">
        <v>179</v>
      </c>
      <c r="AS1150" s="81">
        <v>0</v>
      </c>
      <c r="AT1150" s="81">
        <v>0</v>
      </c>
      <c r="AU1150" s="81"/>
      <c r="AV1150" s="81"/>
      <c r="AW1150" s="81"/>
      <c r="AX1150" s="81"/>
      <c r="AY1150" s="81"/>
      <c r="AZ1150" s="81"/>
      <c r="BA1150" s="81"/>
      <c r="BB1150" s="81"/>
    </row>
    <row r="1151" spans="1:54" x14ac:dyDescent="0.35">
      <c r="A1151" s="66" t="s">
        <v>906</v>
      </c>
      <c r="B1151" s="66" t="s">
        <v>906</v>
      </c>
      <c r="C1151" s="67"/>
      <c r="D1151" s="68"/>
      <c r="E1151" s="69"/>
      <c r="F1151" s="70"/>
      <c r="G1151" s="67"/>
      <c r="H1151" s="71"/>
      <c r="I1151" s="72"/>
      <c r="J1151" s="72"/>
      <c r="K1151" s="36"/>
      <c r="L1151" s="79"/>
      <c r="M1151" s="79"/>
      <c r="N1151" s="74"/>
      <c r="O1151" s="81" t="s">
        <v>179</v>
      </c>
      <c r="P1151" s="83">
        <v>44466.217453703706</v>
      </c>
      <c r="Q1151" s="81" t="s">
        <v>1615</v>
      </c>
      <c r="R1151" s="81"/>
      <c r="S1151" s="81"/>
      <c r="T1151" s="81"/>
      <c r="U1151" s="81"/>
      <c r="V1151" s="85" t="str">
        <f>HYPERLINK("https://pbs.twimg.com/profile_images/1433434759196131332/sS_6Ig11_normal.jpg")</f>
        <v>https://pbs.twimg.com/profile_images/1433434759196131332/sS_6Ig11_normal.jpg</v>
      </c>
      <c r="W1151" s="83">
        <v>44466.217453703706</v>
      </c>
      <c r="X1151" s="89">
        <v>44466</v>
      </c>
      <c r="Y1151" s="87" t="s">
        <v>2553</v>
      </c>
      <c r="Z1151" s="85" t="str">
        <f>HYPERLINK("https://twitter.com/heynona94/status/1442356612610416649")</f>
        <v>https://twitter.com/heynona94/status/1442356612610416649</v>
      </c>
      <c r="AA1151" s="81"/>
      <c r="AB1151" s="81"/>
      <c r="AC1151" s="87" t="s">
        <v>3481</v>
      </c>
      <c r="AD1151" s="81"/>
      <c r="AE1151" s="81" t="b">
        <v>0</v>
      </c>
      <c r="AF1151" s="81">
        <v>0</v>
      </c>
      <c r="AG1151" s="87" t="s">
        <v>3875</v>
      </c>
      <c r="AH1151" s="81" t="b">
        <v>0</v>
      </c>
      <c r="AI1151" s="81" t="s">
        <v>4092</v>
      </c>
      <c r="AJ1151" s="81"/>
      <c r="AK1151" s="87" t="s">
        <v>3875</v>
      </c>
      <c r="AL1151" s="81" t="b">
        <v>0</v>
      </c>
      <c r="AM1151" s="81">
        <v>0</v>
      </c>
      <c r="AN1151" s="87" t="s">
        <v>3875</v>
      </c>
      <c r="AO1151" s="87" t="s">
        <v>4109</v>
      </c>
      <c r="AP1151" s="81" t="b">
        <v>0</v>
      </c>
      <c r="AQ1151" s="87" t="s">
        <v>3481</v>
      </c>
      <c r="AR1151" s="81" t="s">
        <v>179</v>
      </c>
      <c r="AS1151" s="81">
        <v>0</v>
      </c>
      <c r="AT1151" s="81">
        <v>0</v>
      </c>
      <c r="AU1151" s="81"/>
      <c r="AV1151" s="81"/>
      <c r="AW1151" s="81"/>
      <c r="AX1151" s="81"/>
      <c r="AY1151" s="81"/>
      <c r="AZ1151" s="81"/>
      <c r="BA1151" s="81"/>
      <c r="BB1151" s="81"/>
    </row>
    <row r="1152" spans="1:54" x14ac:dyDescent="0.35">
      <c r="A1152" s="66" t="s">
        <v>907</v>
      </c>
      <c r="B1152" s="66" t="s">
        <v>907</v>
      </c>
      <c r="C1152" s="67"/>
      <c r="D1152" s="68"/>
      <c r="E1152" s="69"/>
      <c r="F1152" s="70"/>
      <c r="G1152" s="67"/>
      <c r="H1152" s="71"/>
      <c r="I1152" s="72"/>
      <c r="J1152" s="72"/>
      <c r="K1152" s="36"/>
      <c r="L1152" s="79"/>
      <c r="M1152" s="79"/>
      <c r="N1152" s="74"/>
      <c r="O1152" s="81" t="s">
        <v>179</v>
      </c>
      <c r="P1152" s="83">
        <v>44466.220625000002</v>
      </c>
      <c r="Q1152" s="81" t="s">
        <v>1616</v>
      </c>
      <c r="R1152" s="81"/>
      <c r="S1152" s="81"/>
      <c r="T1152" s="81"/>
      <c r="U1152" s="81"/>
      <c r="V1152" s="85" t="str">
        <f>HYPERLINK("https://pbs.twimg.com/profile_images/1313274139436707840/soSwNamE_normal.jpg")</f>
        <v>https://pbs.twimg.com/profile_images/1313274139436707840/soSwNamE_normal.jpg</v>
      </c>
      <c r="W1152" s="83">
        <v>44466.220625000002</v>
      </c>
      <c r="X1152" s="89">
        <v>44466</v>
      </c>
      <c r="Y1152" s="87" t="s">
        <v>2554</v>
      </c>
      <c r="Z1152" s="85" t="str">
        <f>HYPERLINK("https://twitter.com/meiirandimeii/status/1442357762189455362")</f>
        <v>https://twitter.com/meiirandimeii/status/1442357762189455362</v>
      </c>
      <c r="AA1152" s="81"/>
      <c r="AB1152" s="81"/>
      <c r="AC1152" s="87" t="s">
        <v>3482</v>
      </c>
      <c r="AD1152" s="81"/>
      <c r="AE1152" s="81" t="b">
        <v>0</v>
      </c>
      <c r="AF1152" s="81">
        <v>0</v>
      </c>
      <c r="AG1152" s="87" t="s">
        <v>3875</v>
      </c>
      <c r="AH1152" s="81" t="b">
        <v>0</v>
      </c>
      <c r="AI1152" s="81" t="s">
        <v>4092</v>
      </c>
      <c r="AJ1152" s="81"/>
      <c r="AK1152" s="87" t="s">
        <v>3875</v>
      </c>
      <c r="AL1152" s="81" t="b">
        <v>0</v>
      </c>
      <c r="AM1152" s="81">
        <v>0</v>
      </c>
      <c r="AN1152" s="87" t="s">
        <v>3875</v>
      </c>
      <c r="AO1152" s="87" t="s">
        <v>4109</v>
      </c>
      <c r="AP1152" s="81" t="b">
        <v>0</v>
      </c>
      <c r="AQ1152" s="87" t="s">
        <v>3482</v>
      </c>
      <c r="AR1152" s="81" t="s">
        <v>179</v>
      </c>
      <c r="AS1152" s="81">
        <v>0</v>
      </c>
      <c r="AT1152" s="81">
        <v>0</v>
      </c>
      <c r="AU1152" s="81"/>
      <c r="AV1152" s="81"/>
      <c r="AW1152" s="81"/>
      <c r="AX1152" s="81"/>
      <c r="AY1152" s="81"/>
      <c r="AZ1152" s="81"/>
      <c r="BA1152" s="81"/>
      <c r="BB1152" s="81"/>
    </row>
    <row r="1153" spans="1:54" x14ac:dyDescent="0.35">
      <c r="A1153" s="66" t="s">
        <v>907</v>
      </c>
      <c r="B1153" s="66" t="s">
        <v>907</v>
      </c>
      <c r="C1153" s="67"/>
      <c r="D1153" s="68"/>
      <c r="E1153" s="69"/>
      <c r="F1153" s="70"/>
      <c r="G1153" s="67"/>
      <c r="H1153" s="71"/>
      <c r="I1153" s="72"/>
      <c r="J1153" s="72"/>
      <c r="K1153" s="36"/>
      <c r="L1153" s="79"/>
      <c r="M1153" s="79"/>
      <c r="N1153" s="74"/>
      <c r="O1153" s="81" t="s">
        <v>179</v>
      </c>
      <c r="P1153" s="83">
        <v>44466.221226851849</v>
      </c>
      <c r="Q1153" s="81" t="s">
        <v>1617</v>
      </c>
      <c r="R1153" s="81"/>
      <c r="S1153" s="81"/>
      <c r="T1153" s="81"/>
      <c r="U1153" s="81"/>
      <c r="V1153" s="85" t="str">
        <f>HYPERLINK("https://pbs.twimg.com/profile_images/1313274139436707840/soSwNamE_normal.jpg")</f>
        <v>https://pbs.twimg.com/profile_images/1313274139436707840/soSwNamE_normal.jpg</v>
      </c>
      <c r="W1153" s="83">
        <v>44466.221226851849</v>
      </c>
      <c r="X1153" s="89">
        <v>44466</v>
      </c>
      <c r="Y1153" s="87" t="s">
        <v>2555</v>
      </c>
      <c r="Z1153" s="85" t="str">
        <f>HYPERLINK("https://twitter.com/meiirandimeii/status/1442357979156647941")</f>
        <v>https://twitter.com/meiirandimeii/status/1442357979156647941</v>
      </c>
      <c r="AA1153" s="81"/>
      <c r="AB1153" s="81"/>
      <c r="AC1153" s="87" t="s">
        <v>3483</v>
      </c>
      <c r="AD1153" s="87" t="s">
        <v>3482</v>
      </c>
      <c r="AE1153" s="81" t="b">
        <v>0</v>
      </c>
      <c r="AF1153" s="81">
        <v>0</v>
      </c>
      <c r="AG1153" s="87" t="s">
        <v>4058</v>
      </c>
      <c r="AH1153" s="81" t="b">
        <v>0</v>
      </c>
      <c r="AI1153" s="81" t="s">
        <v>4092</v>
      </c>
      <c r="AJ1153" s="81"/>
      <c r="AK1153" s="87" t="s">
        <v>3875</v>
      </c>
      <c r="AL1153" s="81" t="b">
        <v>0</v>
      </c>
      <c r="AM1153" s="81">
        <v>0</v>
      </c>
      <c r="AN1153" s="87" t="s">
        <v>3875</v>
      </c>
      <c r="AO1153" s="87" t="s">
        <v>4109</v>
      </c>
      <c r="AP1153" s="81" t="b">
        <v>0</v>
      </c>
      <c r="AQ1153" s="87" t="s">
        <v>3482</v>
      </c>
      <c r="AR1153" s="81" t="s">
        <v>179</v>
      </c>
      <c r="AS1153" s="81">
        <v>0</v>
      </c>
      <c r="AT1153" s="81">
        <v>0</v>
      </c>
      <c r="AU1153" s="81"/>
      <c r="AV1153" s="81"/>
      <c r="AW1153" s="81"/>
      <c r="AX1153" s="81"/>
      <c r="AY1153" s="81"/>
      <c r="AZ1153" s="81"/>
      <c r="BA1153" s="81"/>
      <c r="BB1153" s="81"/>
    </row>
    <row r="1154" spans="1:54" x14ac:dyDescent="0.35">
      <c r="A1154" s="66" t="s">
        <v>907</v>
      </c>
      <c r="B1154" s="66" t="s">
        <v>907</v>
      </c>
      <c r="C1154" s="67"/>
      <c r="D1154" s="68"/>
      <c r="E1154" s="69"/>
      <c r="F1154" s="70"/>
      <c r="G1154" s="67"/>
      <c r="H1154" s="71"/>
      <c r="I1154" s="72"/>
      <c r="J1154" s="72"/>
      <c r="K1154" s="36"/>
      <c r="L1154" s="79"/>
      <c r="M1154" s="79"/>
      <c r="N1154" s="74"/>
      <c r="O1154" s="81" t="s">
        <v>179</v>
      </c>
      <c r="P1154" s="83">
        <v>44466.223530092589</v>
      </c>
      <c r="Q1154" s="81" t="s">
        <v>1618</v>
      </c>
      <c r="R1154" s="81"/>
      <c r="S1154" s="81"/>
      <c r="T1154" s="81"/>
      <c r="U1154" s="81"/>
      <c r="V1154" s="85" t="str">
        <f>HYPERLINK("https://pbs.twimg.com/profile_images/1313274139436707840/soSwNamE_normal.jpg")</f>
        <v>https://pbs.twimg.com/profile_images/1313274139436707840/soSwNamE_normal.jpg</v>
      </c>
      <c r="W1154" s="83">
        <v>44466.223530092589</v>
      </c>
      <c r="X1154" s="89">
        <v>44466</v>
      </c>
      <c r="Y1154" s="87" t="s">
        <v>2556</v>
      </c>
      <c r="Z1154" s="85" t="str">
        <f>HYPERLINK("https://twitter.com/meiirandimeii/status/1442358813957386243")</f>
        <v>https://twitter.com/meiirandimeii/status/1442358813957386243</v>
      </c>
      <c r="AA1154" s="81"/>
      <c r="AB1154" s="81"/>
      <c r="AC1154" s="87" t="s">
        <v>3484</v>
      </c>
      <c r="AD1154" s="87" t="s">
        <v>3483</v>
      </c>
      <c r="AE1154" s="81" t="b">
        <v>0</v>
      </c>
      <c r="AF1154" s="81">
        <v>0</v>
      </c>
      <c r="AG1154" s="87" t="s">
        <v>4058</v>
      </c>
      <c r="AH1154" s="81" t="b">
        <v>0</v>
      </c>
      <c r="AI1154" s="81" t="s">
        <v>4092</v>
      </c>
      <c r="AJ1154" s="81"/>
      <c r="AK1154" s="87" t="s">
        <v>3875</v>
      </c>
      <c r="AL1154" s="81" t="b">
        <v>0</v>
      </c>
      <c r="AM1154" s="81">
        <v>0</v>
      </c>
      <c r="AN1154" s="87" t="s">
        <v>3875</v>
      </c>
      <c r="AO1154" s="87" t="s">
        <v>4109</v>
      </c>
      <c r="AP1154" s="81" t="b">
        <v>0</v>
      </c>
      <c r="AQ1154" s="87" t="s">
        <v>3483</v>
      </c>
      <c r="AR1154" s="81" t="s">
        <v>179</v>
      </c>
      <c r="AS1154" s="81">
        <v>0</v>
      </c>
      <c r="AT1154" s="81">
        <v>0</v>
      </c>
      <c r="AU1154" s="81"/>
      <c r="AV1154" s="81"/>
      <c r="AW1154" s="81"/>
      <c r="AX1154" s="81"/>
      <c r="AY1154" s="81"/>
      <c r="AZ1154" s="81"/>
      <c r="BA1154" s="81"/>
      <c r="BB1154" s="81"/>
    </row>
    <row r="1155" spans="1:54" x14ac:dyDescent="0.35">
      <c r="A1155" s="66" t="s">
        <v>908</v>
      </c>
      <c r="B1155" s="66" t="s">
        <v>908</v>
      </c>
      <c r="C1155" s="67"/>
      <c r="D1155" s="68"/>
      <c r="E1155" s="69"/>
      <c r="F1155" s="70"/>
      <c r="G1155" s="67"/>
      <c r="H1155" s="71"/>
      <c r="I1155" s="72"/>
      <c r="J1155" s="72"/>
      <c r="K1155" s="36"/>
      <c r="L1155" s="79"/>
      <c r="M1155" s="79"/>
      <c r="N1155" s="74"/>
      <c r="O1155" s="81" t="s">
        <v>179</v>
      </c>
      <c r="P1155" s="83">
        <v>44466.230416666665</v>
      </c>
      <c r="Q1155" s="81" t="s">
        <v>1619</v>
      </c>
      <c r="R1155" s="81"/>
      <c r="S1155" s="81"/>
      <c r="T1155" s="81"/>
      <c r="U1155" s="85" t="str">
        <f>HYPERLINK("https://pbs.twimg.com/media/FARL712VkAQlqva.jpg")</f>
        <v>https://pbs.twimg.com/media/FARL712VkAQlqva.jpg</v>
      </c>
      <c r="V1155" s="85" t="str">
        <f>HYPERLINK("https://pbs.twimg.com/media/FARL712VkAQlqva.jpg")</f>
        <v>https://pbs.twimg.com/media/FARL712VkAQlqva.jpg</v>
      </c>
      <c r="W1155" s="83">
        <v>44466.230416666665</v>
      </c>
      <c r="X1155" s="89">
        <v>44466</v>
      </c>
      <c r="Y1155" s="87" t="s">
        <v>2557</v>
      </c>
      <c r="Z1155" s="85" t="str">
        <f>HYPERLINK("https://twitter.com/humaspemkotbkl/status/1442361310881017860")</f>
        <v>https://twitter.com/humaspemkotbkl/status/1442361310881017860</v>
      </c>
      <c r="AA1155" s="81"/>
      <c r="AB1155" s="81"/>
      <c r="AC1155" s="87" t="s">
        <v>3485</v>
      </c>
      <c r="AD1155" s="81"/>
      <c r="AE1155" s="81" t="b">
        <v>0</v>
      </c>
      <c r="AF1155" s="81">
        <v>2</v>
      </c>
      <c r="AG1155" s="87" t="s">
        <v>3875</v>
      </c>
      <c r="AH1155" s="81" t="b">
        <v>0</v>
      </c>
      <c r="AI1155" s="81" t="s">
        <v>4092</v>
      </c>
      <c r="AJ1155" s="81"/>
      <c r="AK1155" s="87" t="s">
        <v>3875</v>
      </c>
      <c r="AL1155" s="81" t="b">
        <v>0</v>
      </c>
      <c r="AM1155" s="81">
        <v>0</v>
      </c>
      <c r="AN1155" s="87" t="s">
        <v>3875</v>
      </c>
      <c r="AO1155" s="87" t="s">
        <v>4109</v>
      </c>
      <c r="AP1155" s="81" t="b">
        <v>0</v>
      </c>
      <c r="AQ1155" s="87" t="s">
        <v>3485</v>
      </c>
      <c r="AR1155" s="81" t="s">
        <v>179</v>
      </c>
      <c r="AS1155" s="81">
        <v>0</v>
      </c>
      <c r="AT1155" s="81">
        <v>0</v>
      </c>
      <c r="AU1155" s="81"/>
      <c r="AV1155" s="81"/>
      <c r="AW1155" s="81"/>
      <c r="AX1155" s="81"/>
      <c r="AY1155" s="81"/>
      <c r="AZ1155" s="81"/>
      <c r="BA1155" s="81"/>
      <c r="BB1155" s="81"/>
    </row>
    <row r="1156" spans="1:54" x14ac:dyDescent="0.35">
      <c r="A1156" s="66" t="s">
        <v>909</v>
      </c>
      <c r="B1156" s="66" t="s">
        <v>1180</v>
      </c>
      <c r="C1156" s="67"/>
      <c r="D1156" s="68"/>
      <c r="E1156" s="69"/>
      <c r="F1156" s="70"/>
      <c r="G1156" s="67"/>
      <c r="H1156" s="71"/>
      <c r="I1156" s="72"/>
      <c r="J1156" s="72"/>
      <c r="K1156" s="36"/>
      <c r="L1156" s="79"/>
      <c r="M1156" s="79"/>
      <c r="N1156" s="74"/>
      <c r="O1156" s="81" t="s">
        <v>1208</v>
      </c>
      <c r="P1156" s="83">
        <v>44466.236701388887</v>
      </c>
      <c r="Q1156" s="81" t="s">
        <v>1620</v>
      </c>
      <c r="R1156" s="81"/>
      <c r="S1156" s="81"/>
      <c r="T1156" s="81"/>
      <c r="U1156" s="81"/>
      <c r="V1156" s="85" t="str">
        <f>HYPERLINK("https://pbs.twimg.com/profile_images/1442093551983104003/3m5gimaJ_normal.jpg")</f>
        <v>https://pbs.twimg.com/profile_images/1442093551983104003/3m5gimaJ_normal.jpg</v>
      </c>
      <c r="W1156" s="83">
        <v>44466.236701388887</v>
      </c>
      <c r="X1156" s="89">
        <v>44466</v>
      </c>
      <c r="Y1156" s="87" t="s">
        <v>2558</v>
      </c>
      <c r="Z1156" s="85" t="str">
        <f>HYPERLINK("https://twitter.com/godfortunaa/status/1442363587008155653")</f>
        <v>https://twitter.com/godfortunaa/status/1442363587008155653</v>
      </c>
      <c r="AA1156" s="81"/>
      <c r="AB1156" s="81"/>
      <c r="AC1156" s="87" t="s">
        <v>3486</v>
      </c>
      <c r="AD1156" s="87" t="s">
        <v>3841</v>
      </c>
      <c r="AE1156" s="81" t="b">
        <v>0</v>
      </c>
      <c r="AF1156" s="81">
        <v>0</v>
      </c>
      <c r="AG1156" s="87" t="s">
        <v>4059</v>
      </c>
      <c r="AH1156" s="81" t="b">
        <v>0</v>
      </c>
      <c r="AI1156" s="81" t="s">
        <v>4092</v>
      </c>
      <c r="AJ1156" s="81"/>
      <c r="AK1156" s="87" t="s">
        <v>3875</v>
      </c>
      <c r="AL1156" s="81" t="b">
        <v>0</v>
      </c>
      <c r="AM1156" s="81">
        <v>0</v>
      </c>
      <c r="AN1156" s="87" t="s">
        <v>3875</v>
      </c>
      <c r="AO1156" s="87" t="s">
        <v>4109</v>
      </c>
      <c r="AP1156" s="81" t="b">
        <v>0</v>
      </c>
      <c r="AQ1156" s="87" t="s">
        <v>3841</v>
      </c>
      <c r="AR1156" s="81" t="s">
        <v>179</v>
      </c>
      <c r="AS1156" s="81">
        <v>0</v>
      </c>
      <c r="AT1156" s="81">
        <v>0</v>
      </c>
      <c r="AU1156" s="81"/>
      <c r="AV1156" s="81"/>
      <c r="AW1156" s="81"/>
      <c r="AX1156" s="81"/>
      <c r="AY1156" s="81"/>
      <c r="AZ1156" s="81"/>
      <c r="BA1156" s="81"/>
      <c r="BB1156" s="81"/>
    </row>
    <row r="1157" spans="1:54" x14ac:dyDescent="0.35">
      <c r="A1157" s="66" t="s">
        <v>910</v>
      </c>
      <c r="B1157" s="66" t="s">
        <v>1034</v>
      </c>
      <c r="C1157" s="67"/>
      <c r="D1157" s="68"/>
      <c r="E1157" s="69"/>
      <c r="F1157" s="70"/>
      <c r="G1157" s="67"/>
      <c r="H1157" s="71"/>
      <c r="I1157" s="72"/>
      <c r="J1157" s="72"/>
      <c r="K1157" s="36"/>
      <c r="L1157" s="79"/>
      <c r="M1157" s="79"/>
      <c r="N1157" s="74"/>
      <c r="O1157" s="81" t="s">
        <v>1206</v>
      </c>
      <c r="P1157" s="83">
        <v>44460.204340277778</v>
      </c>
      <c r="Q1157" s="81" t="s">
        <v>1334</v>
      </c>
      <c r="R1157" s="81"/>
      <c r="S1157" s="81"/>
      <c r="T1157" s="81"/>
      <c r="U1157" s="81"/>
      <c r="V1157" s="85" t="str">
        <f>HYPERLINK("https://pbs.twimg.com/profile_images/1428888419950743555/FV7XGf5o_normal.jpg")</f>
        <v>https://pbs.twimg.com/profile_images/1428888419950743555/FV7XGf5o_normal.jpg</v>
      </c>
      <c r="W1157" s="83">
        <v>44460.204340277778</v>
      </c>
      <c r="X1157" s="89">
        <v>44460</v>
      </c>
      <c r="Y1157" s="87" t="s">
        <v>2559</v>
      </c>
      <c r="Z1157" s="85" t="str">
        <f>HYPERLINK("https://twitter.com/ib_ost/status/1440177533459189765")</f>
        <v>https://twitter.com/ib_ost/status/1440177533459189765</v>
      </c>
      <c r="AA1157" s="81"/>
      <c r="AB1157" s="81"/>
      <c r="AC1157" s="87" t="s">
        <v>3487</v>
      </c>
      <c r="AD1157" s="87" t="s">
        <v>3520</v>
      </c>
      <c r="AE1157" s="81" t="b">
        <v>0</v>
      </c>
      <c r="AF1157" s="81">
        <v>16</v>
      </c>
      <c r="AG1157" s="87" t="s">
        <v>4060</v>
      </c>
      <c r="AH1157" s="81" t="b">
        <v>0</v>
      </c>
      <c r="AI1157" s="81" t="s">
        <v>4092</v>
      </c>
      <c r="AJ1157" s="81"/>
      <c r="AK1157" s="87" t="s">
        <v>3875</v>
      </c>
      <c r="AL1157" s="81" t="b">
        <v>0</v>
      </c>
      <c r="AM1157" s="81">
        <v>4</v>
      </c>
      <c r="AN1157" s="87" t="s">
        <v>3875</v>
      </c>
      <c r="AO1157" s="87" t="s">
        <v>4111</v>
      </c>
      <c r="AP1157" s="81" t="b">
        <v>0</v>
      </c>
      <c r="AQ1157" s="87" t="s">
        <v>3520</v>
      </c>
      <c r="AR1157" s="81" t="s">
        <v>179</v>
      </c>
      <c r="AS1157" s="81">
        <v>0</v>
      </c>
      <c r="AT1157" s="81">
        <v>0</v>
      </c>
      <c r="AU1157" s="81"/>
      <c r="AV1157" s="81"/>
      <c r="AW1157" s="81"/>
      <c r="AX1157" s="81"/>
      <c r="AY1157" s="81"/>
      <c r="AZ1157" s="81"/>
      <c r="BA1157" s="81"/>
      <c r="BB1157" s="81"/>
    </row>
    <row r="1158" spans="1:54" x14ac:dyDescent="0.35">
      <c r="A1158" s="66" t="s">
        <v>911</v>
      </c>
      <c r="B1158" s="66" t="s">
        <v>1034</v>
      </c>
      <c r="C1158" s="67"/>
      <c r="D1158" s="68"/>
      <c r="E1158" s="69"/>
      <c r="F1158" s="70"/>
      <c r="G1158" s="67"/>
      <c r="H1158" s="71"/>
      <c r="I1158" s="72"/>
      <c r="J1158" s="72"/>
      <c r="K1158" s="36"/>
      <c r="L1158" s="79"/>
      <c r="M1158" s="79"/>
      <c r="N1158" s="74"/>
      <c r="O1158" s="81" t="s">
        <v>1206</v>
      </c>
      <c r="P1158" s="83">
        <v>44466.236956018518</v>
      </c>
      <c r="Q1158" s="81" t="s">
        <v>1621</v>
      </c>
      <c r="R1158" s="81"/>
      <c r="S1158" s="81"/>
      <c r="T1158" s="87" t="s">
        <v>1783</v>
      </c>
      <c r="U1158" s="81"/>
      <c r="V1158" s="85" t="str">
        <f>HYPERLINK("https://pbs.twimg.com/profile_images/414418350/pianomanfb_normal.jpg")</f>
        <v>https://pbs.twimg.com/profile_images/414418350/pianomanfb_normal.jpg</v>
      </c>
      <c r="W1158" s="83">
        <v>44466.236956018518</v>
      </c>
      <c r="X1158" s="89">
        <v>44466</v>
      </c>
      <c r="Y1158" s="87" t="s">
        <v>2560</v>
      </c>
      <c r="Z1158" s="85" t="str">
        <f>HYPERLINK("https://twitter.com/harrynuriman/status/1442363679471591426")</f>
        <v>https://twitter.com/harrynuriman/status/1442363679471591426</v>
      </c>
      <c r="AA1158" s="81"/>
      <c r="AB1158" s="81"/>
      <c r="AC1158" s="87" t="s">
        <v>3488</v>
      </c>
      <c r="AD1158" s="81"/>
      <c r="AE1158" s="81" t="b">
        <v>0</v>
      </c>
      <c r="AF1158" s="81">
        <v>0</v>
      </c>
      <c r="AG1158" s="87" t="s">
        <v>3875</v>
      </c>
      <c r="AH1158" s="81" t="b">
        <v>0</v>
      </c>
      <c r="AI1158" s="81" t="s">
        <v>4092</v>
      </c>
      <c r="AJ1158" s="81"/>
      <c r="AK1158" s="87" t="s">
        <v>3875</v>
      </c>
      <c r="AL1158" s="81" t="b">
        <v>0</v>
      </c>
      <c r="AM1158" s="81">
        <v>0</v>
      </c>
      <c r="AN1158" s="87" t="s">
        <v>3875</v>
      </c>
      <c r="AO1158" s="87" t="s">
        <v>4111</v>
      </c>
      <c r="AP1158" s="81" t="b">
        <v>0</v>
      </c>
      <c r="AQ1158" s="87" t="s">
        <v>3488</v>
      </c>
      <c r="AR1158" s="81" t="s">
        <v>179</v>
      </c>
      <c r="AS1158" s="81">
        <v>0</v>
      </c>
      <c r="AT1158" s="81">
        <v>0</v>
      </c>
      <c r="AU1158" s="81"/>
      <c r="AV1158" s="81"/>
      <c r="AW1158" s="81"/>
      <c r="AX1158" s="81"/>
      <c r="AY1158" s="81"/>
      <c r="AZ1158" s="81"/>
      <c r="BA1158" s="81"/>
      <c r="BB1158" s="81"/>
    </row>
    <row r="1159" spans="1:54" x14ac:dyDescent="0.35">
      <c r="A1159" s="66" t="s">
        <v>911</v>
      </c>
      <c r="B1159" s="66" t="s">
        <v>1034</v>
      </c>
      <c r="C1159" s="67"/>
      <c r="D1159" s="68"/>
      <c r="E1159" s="69"/>
      <c r="F1159" s="70"/>
      <c r="G1159" s="67"/>
      <c r="H1159" s="71"/>
      <c r="I1159" s="72"/>
      <c r="J1159" s="72"/>
      <c r="K1159" s="36"/>
      <c r="L1159" s="79"/>
      <c r="M1159" s="79"/>
      <c r="N1159" s="74"/>
      <c r="O1159" s="81" t="s">
        <v>1206</v>
      </c>
      <c r="P1159" s="83">
        <v>44466.240497685183</v>
      </c>
      <c r="Q1159" s="81" t="s">
        <v>1622</v>
      </c>
      <c r="R1159" s="81"/>
      <c r="S1159" s="81"/>
      <c r="T1159" s="87" t="s">
        <v>1783</v>
      </c>
      <c r="U1159" s="81"/>
      <c r="V1159" s="85" t="str">
        <f>HYPERLINK("https://pbs.twimg.com/profile_images/414418350/pianomanfb_normal.jpg")</f>
        <v>https://pbs.twimg.com/profile_images/414418350/pianomanfb_normal.jpg</v>
      </c>
      <c r="W1159" s="83">
        <v>44466.240497685183</v>
      </c>
      <c r="X1159" s="89">
        <v>44466</v>
      </c>
      <c r="Y1159" s="87" t="s">
        <v>2561</v>
      </c>
      <c r="Z1159" s="85" t="str">
        <f>HYPERLINK("https://twitter.com/harrynuriman/status/1442364960831512581")</f>
        <v>https://twitter.com/harrynuriman/status/1442364960831512581</v>
      </c>
      <c r="AA1159" s="81"/>
      <c r="AB1159" s="81"/>
      <c r="AC1159" s="87" t="s">
        <v>3489</v>
      </c>
      <c r="AD1159" s="81"/>
      <c r="AE1159" s="81" t="b">
        <v>0</v>
      </c>
      <c r="AF1159" s="81">
        <v>0</v>
      </c>
      <c r="AG1159" s="87" t="s">
        <v>3875</v>
      </c>
      <c r="AH1159" s="81" t="b">
        <v>0</v>
      </c>
      <c r="AI1159" s="81" t="s">
        <v>4092</v>
      </c>
      <c r="AJ1159" s="81"/>
      <c r="AK1159" s="87" t="s">
        <v>3875</v>
      </c>
      <c r="AL1159" s="81" t="b">
        <v>0</v>
      </c>
      <c r="AM1159" s="81">
        <v>0</v>
      </c>
      <c r="AN1159" s="87" t="s">
        <v>3875</v>
      </c>
      <c r="AO1159" s="87" t="s">
        <v>4111</v>
      </c>
      <c r="AP1159" s="81" t="b">
        <v>0</v>
      </c>
      <c r="AQ1159" s="87" t="s">
        <v>3489</v>
      </c>
      <c r="AR1159" s="81" t="s">
        <v>179</v>
      </c>
      <c r="AS1159" s="81">
        <v>0</v>
      </c>
      <c r="AT1159" s="81">
        <v>0</v>
      </c>
      <c r="AU1159" s="81"/>
      <c r="AV1159" s="81"/>
      <c r="AW1159" s="81"/>
      <c r="AX1159" s="81"/>
      <c r="AY1159" s="81"/>
      <c r="AZ1159" s="81"/>
      <c r="BA1159" s="81"/>
      <c r="BB1159" s="81"/>
    </row>
    <row r="1160" spans="1:54" x14ac:dyDescent="0.35">
      <c r="A1160" s="66" t="s">
        <v>912</v>
      </c>
      <c r="B1160" s="66" t="s">
        <v>912</v>
      </c>
      <c r="C1160" s="67"/>
      <c r="D1160" s="68"/>
      <c r="E1160" s="69"/>
      <c r="F1160" s="70"/>
      <c r="G1160" s="67"/>
      <c r="H1160" s="71"/>
      <c r="I1160" s="72"/>
      <c r="J1160" s="72"/>
      <c r="K1160" s="36"/>
      <c r="L1160" s="79"/>
      <c r="M1160" s="79"/>
      <c r="N1160" s="74"/>
      <c r="O1160" s="81" t="s">
        <v>179</v>
      </c>
      <c r="P1160" s="83">
        <v>44466.244699074072</v>
      </c>
      <c r="Q1160" s="81" t="s">
        <v>1623</v>
      </c>
      <c r="R1160" s="81"/>
      <c r="S1160" s="81"/>
      <c r="T1160" s="81"/>
      <c r="U1160" s="81"/>
      <c r="V1160" s="85" t="str">
        <f>HYPERLINK("https://pbs.twimg.com/profile_images/764999946449788930/DJGwvVPd_normal.jpg")</f>
        <v>https://pbs.twimg.com/profile_images/764999946449788930/DJGwvVPd_normal.jpg</v>
      </c>
      <c r="W1160" s="83">
        <v>44466.244699074072</v>
      </c>
      <c r="X1160" s="89">
        <v>44466</v>
      </c>
      <c r="Y1160" s="87" t="s">
        <v>2562</v>
      </c>
      <c r="Z1160" s="85" t="str">
        <f>HYPERLINK("https://twitter.com/himapentikaunri/status/1442366485079359492")</f>
        <v>https://twitter.com/himapentikaunri/status/1442366485079359492</v>
      </c>
      <c r="AA1160" s="81"/>
      <c r="AB1160" s="81"/>
      <c r="AC1160" s="87" t="s">
        <v>3490</v>
      </c>
      <c r="AD1160" s="87" t="s">
        <v>3842</v>
      </c>
      <c r="AE1160" s="81" t="b">
        <v>0</v>
      </c>
      <c r="AF1160" s="81">
        <v>0</v>
      </c>
      <c r="AG1160" s="87" t="s">
        <v>4061</v>
      </c>
      <c r="AH1160" s="81" t="b">
        <v>0</v>
      </c>
      <c r="AI1160" s="81" t="s">
        <v>4092</v>
      </c>
      <c r="AJ1160" s="81"/>
      <c r="AK1160" s="87" t="s">
        <v>3875</v>
      </c>
      <c r="AL1160" s="81" t="b">
        <v>0</v>
      </c>
      <c r="AM1160" s="81">
        <v>0</v>
      </c>
      <c r="AN1160" s="87" t="s">
        <v>3875</v>
      </c>
      <c r="AO1160" s="87" t="s">
        <v>4109</v>
      </c>
      <c r="AP1160" s="81" t="b">
        <v>0</v>
      </c>
      <c r="AQ1160" s="87" t="s">
        <v>3842</v>
      </c>
      <c r="AR1160" s="81" t="s">
        <v>179</v>
      </c>
      <c r="AS1160" s="81">
        <v>0</v>
      </c>
      <c r="AT1160" s="81">
        <v>0</v>
      </c>
      <c r="AU1160" s="81" t="s">
        <v>4144</v>
      </c>
      <c r="AV1160" s="81" t="s">
        <v>4145</v>
      </c>
      <c r="AW1160" s="81" t="s">
        <v>12</v>
      </c>
      <c r="AX1160" s="81" t="s">
        <v>4150</v>
      </c>
      <c r="AY1160" s="81" t="s">
        <v>4155</v>
      </c>
      <c r="AZ1160" s="81" t="s">
        <v>4160</v>
      </c>
      <c r="BA1160" s="81" t="s">
        <v>4161</v>
      </c>
      <c r="BB1160" s="85" t="str">
        <f>HYPERLINK("https://api.twitter.com/1.1/geo/id/32eb831712cde417.json")</f>
        <v>https://api.twitter.com/1.1/geo/id/32eb831712cde417.json</v>
      </c>
    </row>
    <row r="1161" spans="1:54" x14ac:dyDescent="0.35">
      <c r="A1161" s="66" t="s">
        <v>913</v>
      </c>
      <c r="B1161" s="66" t="s">
        <v>1181</v>
      </c>
      <c r="C1161" s="67"/>
      <c r="D1161" s="68"/>
      <c r="E1161" s="69"/>
      <c r="F1161" s="70"/>
      <c r="G1161" s="67"/>
      <c r="H1161" s="71"/>
      <c r="I1161" s="72"/>
      <c r="J1161" s="72"/>
      <c r="K1161" s="36"/>
      <c r="L1161" s="79"/>
      <c r="M1161" s="79"/>
      <c r="N1161" s="74"/>
      <c r="O1161" s="81" t="s">
        <v>1208</v>
      </c>
      <c r="P1161" s="83">
        <v>44466.251273148147</v>
      </c>
      <c r="Q1161" s="81" t="s">
        <v>1624</v>
      </c>
      <c r="R1161" s="81"/>
      <c r="S1161" s="81"/>
      <c r="T1161" s="81"/>
      <c r="U1161" s="81"/>
      <c r="V1161" s="85" t="str">
        <f>HYPERLINK("https://pbs.twimg.com/profile_images/1440205363924459524/Jw4fbh7t_normal.jpg")</f>
        <v>https://pbs.twimg.com/profile_images/1440205363924459524/Jw4fbh7t_normal.jpg</v>
      </c>
      <c r="W1161" s="83">
        <v>44466.251273148147</v>
      </c>
      <c r="X1161" s="89">
        <v>44466</v>
      </c>
      <c r="Y1161" s="87" t="s">
        <v>2563</v>
      </c>
      <c r="Z1161" s="85" t="str">
        <f>HYPERLINK("https://twitter.com/prakasitams/status/1442368866282131458")</f>
        <v>https://twitter.com/prakasitams/status/1442368866282131458</v>
      </c>
      <c r="AA1161" s="81"/>
      <c r="AB1161" s="81"/>
      <c r="AC1161" s="87" t="s">
        <v>3491</v>
      </c>
      <c r="AD1161" s="87" t="s">
        <v>3843</v>
      </c>
      <c r="AE1161" s="81" t="b">
        <v>0</v>
      </c>
      <c r="AF1161" s="81">
        <v>0</v>
      </c>
      <c r="AG1161" s="87" t="s">
        <v>4062</v>
      </c>
      <c r="AH1161" s="81" t="b">
        <v>0</v>
      </c>
      <c r="AI1161" s="81" t="s">
        <v>4092</v>
      </c>
      <c r="AJ1161" s="81"/>
      <c r="AK1161" s="87" t="s">
        <v>3875</v>
      </c>
      <c r="AL1161" s="81" t="b">
        <v>0</v>
      </c>
      <c r="AM1161" s="81">
        <v>0</v>
      </c>
      <c r="AN1161" s="87" t="s">
        <v>3875</v>
      </c>
      <c r="AO1161" s="87" t="s">
        <v>4109</v>
      </c>
      <c r="AP1161" s="81" t="b">
        <v>0</v>
      </c>
      <c r="AQ1161" s="87" t="s">
        <v>3843</v>
      </c>
      <c r="AR1161" s="81" t="s">
        <v>179</v>
      </c>
      <c r="AS1161" s="81">
        <v>0</v>
      </c>
      <c r="AT1161" s="81">
        <v>0</v>
      </c>
      <c r="AU1161" s="81"/>
      <c r="AV1161" s="81"/>
      <c r="AW1161" s="81"/>
      <c r="AX1161" s="81"/>
      <c r="AY1161" s="81"/>
      <c r="AZ1161" s="81"/>
      <c r="BA1161" s="81"/>
      <c r="BB1161" s="81"/>
    </row>
    <row r="1162" spans="1:54" x14ac:dyDescent="0.35">
      <c r="A1162" s="66" t="s">
        <v>914</v>
      </c>
      <c r="B1162" s="66" t="s">
        <v>914</v>
      </c>
      <c r="C1162" s="67"/>
      <c r="D1162" s="68"/>
      <c r="E1162" s="69"/>
      <c r="F1162" s="70"/>
      <c r="G1162" s="67"/>
      <c r="H1162" s="71"/>
      <c r="I1162" s="72"/>
      <c r="J1162" s="72"/>
      <c r="K1162" s="36"/>
      <c r="L1162" s="79"/>
      <c r="M1162" s="79"/>
      <c r="N1162" s="74"/>
      <c r="O1162" s="81" t="s">
        <v>179</v>
      </c>
      <c r="P1162" s="83">
        <v>44466.275254629632</v>
      </c>
      <c r="Q1162" s="81" t="s">
        <v>1625</v>
      </c>
      <c r="R1162" s="81"/>
      <c r="S1162" s="81"/>
      <c r="T1162" s="87" t="s">
        <v>1784</v>
      </c>
      <c r="U1162" s="81"/>
      <c r="V1162" s="85" t="str">
        <f>HYPERLINK("https://pbs.twimg.com/profile_images/915028163700285440/_AUDht47_normal.jpg")</f>
        <v>https://pbs.twimg.com/profile_images/915028163700285440/_AUDht47_normal.jpg</v>
      </c>
      <c r="W1162" s="83">
        <v>44466.275254629632</v>
      </c>
      <c r="X1162" s="89">
        <v>44466</v>
      </c>
      <c r="Y1162" s="87" t="s">
        <v>2564</v>
      </c>
      <c r="Z1162" s="85" t="str">
        <f>HYPERLINK("https://twitter.com/humas_jogja/status/1442377557366558721")</f>
        <v>https://twitter.com/humas_jogja/status/1442377557366558721</v>
      </c>
      <c r="AA1162" s="81"/>
      <c r="AB1162" s="81"/>
      <c r="AC1162" s="87" t="s">
        <v>3492</v>
      </c>
      <c r="AD1162" s="87" t="s">
        <v>3844</v>
      </c>
      <c r="AE1162" s="81" t="b">
        <v>0</v>
      </c>
      <c r="AF1162" s="81">
        <v>0</v>
      </c>
      <c r="AG1162" s="87" t="s">
        <v>4063</v>
      </c>
      <c r="AH1162" s="81" t="b">
        <v>0</v>
      </c>
      <c r="AI1162" s="81" t="s">
        <v>4092</v>
      </c>
      <c r="AJ1162" s="81"/>
      <c r="AK1162" s="87" t="s">
        <v>3875</v>
      </c>
      <c r="AL1162" s="81" t="b">
        <v>0</v>
      </c>
      <c r="AM1162" s="81">
        <v>0</v>
      </c>
      <c r="AN1162" s="87" t="s">
        <v>3875</v>
      </c>
      <c r="AO1162" s="87" t="s">
        <v>4111</v>
      </c>
      <c r="AP1162" s="81" t="b">
        <v>0</v>
      </c>
      <c r="AQ1162" s="87" t="s">
        <v>3844</v>
      </c>
      <c r="AR1162" s="81" t="s">
        <v>179</v>
      </c>
      <c r="AS1162" s="81">
        <v>0</v>
      </c>
      <c r="AT1162" s="81">
        <v>0</v>
      </c>
      <c r="AU1162" s="81"/>
      <c r="AV1162" s="81"/>
      <c r="AW1162" s="81"/>
      <c r="AX1162" s="81"/>
      <c r="AY1162" s="81"/>
      <c r="AZ1162" s="81"/>
      <c r="BA1162" s="81"/>
      <c r="BB1162" s="81"/>
    </row>
    <row r="1163" spans="1:54" x14ac:dyDescent="0.35">
      <c r="A1163" s="66" t="s">
        <v>915</v>
      </c>
      <c r="B1163" s="66" t="s">
        <v>915</v>
      </c>
      <c r="C1163" s="67"/>
      <c r="D1163" s="68"/>
      <c r="E1163" s="69"/>
      <c r="F1163" s="70"/>
      <c r="G1163" s="67"/>
      <c r="H1163" s="71"/>
      <c r="I1163" s="72"/>
      <c r="J1163" s="72"/>
      <c r="K1163" s="36"/>
      <c r="L1163" s="79"/>
      <c r="M1163" s="79"/>
      <c r="N1163" s="74"/>
      <c r="O1163" s="81" t="s">
        <v>179</v>
      </c>
      <c r="P1163" s="83">
        <v>44466.283946759257</v>
      </c>
      <c r="Q1163" s="81" t="s">
        <v>1626</v>
      </c>
      <c r="R1163" s="81"/>
      <c r="S1163" s="81"/>
      <c r="T1163" s="81"/>
      <c r="U1163" s="81"/>
      <c r="V1163" s="85" t="str">
        <f>HYPERLINK("https://pbs.twimg.com/profile_images/1407163436530688001/Ou5aPw_F_normal.jpg")</f>
        <v>https://pbs.twimg.com/profile_images/1407163436530688001/Ou5aPw_F_normal.jpg</v>
      </c>
      <c r="W1163" s="83">
        <v>44466.283946759257</v>
      </c>
      <c r="X1163" s="89">
        <v>44466</v>
      </c>
      <c r="Y1163" s="87" t="s">
        <v>2565</v>
      </c>
      <c r="Z1163" s="85" t="str">
        <f>HYPERLINK("https://twitter.com/muwiosigu/status/1442380709679689734")</f>
        <v>https://twitter.com/muwiosigu/status/1442380709679689734</v>
      </c>
      <c r="AA1163" s="81"/>
      <c r="AB1163" s="81"/>
      <c r="AC1163" s="87" t="s">
        <v>3493</v>
      </c>
      <c r="AD1163" s="81"/>
      <c r="AE1163" s="81" t="b">
        <v>0</v>
      </c>
      <c r="AF1163" s="81">
        <v>0</v>
      </c>
      <c r="AG1163" s="87" t="s">
        <v>3875</v>
      </c>
      <c r="AH1163" s="81" t="b">
        <v>0</v>
      </c>
      <c r="AI1163" s="81" t="s">
        <v>4092</v>
      </c>
      <c r="AJ1163" s="81"/>
      <c r="AK1163" s="87" t="s">
        <v>3875</v>
      </c>
      <c r="AL1163" s="81" t="b">
        <v>0</v>
      </c>
      <c r="AM1163" s="81">
        <v>0</v>
      </c>
      <c r="AN1163" s="87" t="s">
        <v>3875</v>
      </c>
      <c r="AO1163" s="87" t="s">
        <v>4109</v>
      </c>
      <c r="AP1163" s="81" t="b">
        <v>0</v>
      </c>
      <c r="AQ1163" s="87" t="s">
        <v>3493</v>
      </c>
      <c r="AR1163" s="81" t="s">
        <v>179</v>
      </c>
      <c r="AS1163" s="81">
        <v>0</v>
      </c>
      <c r="AT1163" s="81">
        <v>0</v>
      </c>
      <c r="AU1163" s="81"/>
      <c r="AV1163" s="81"/>
      <c r="AW1163" s="81"/>
      <c r="AX1163" s="81"/>
      <c r="AY1163" s="81"/>
      <c r="AZ1163" s="81"/>
      <c r="BA1163" s="81"/>
      <c r="BB1163" s="81"/>
    </row>
    <row r="1164" spans="1:54" x14ac:dyDescent="0.35">
      <c r="A1164" s="66" t="s">
        <v>916</v>
      </c>
      <c r="B1164" s="66" t="s">
        <v>916</v>
      </c>
      <c r="C1164" s="67"/>
      <c r="D1164" s="68"/>
      <c r="E1164" s="69"/>
      <c r="F1164" s="70"/>
      <c r="G1164" s="67"/>
      <c r="H1164" s="71"/>
      <c r="I1164" s="72"/>
      <c r="J1164" s="72"/>
      <c r="K1164" s="36"/>
      <c r="L1164" s="79"/>
      <c r="M1164" s="79"/>
      <c r="N1164" s="74"/>
      <c r="O1164" s="81" t="s">
        <v>179</v>
      </c>
      <c r="P1164" s="83">
        <v>44466.286446759259</v>
      </c>
      <c r="Q1164" s="81" t="s">
        <v>1627</v>
      </c>
      <c r="R1164" s="81"/>
      <c r="S1164" s="81"/>
      <c r="T1164" s="81"/>
      <c r="U1164" s="81"/>
      <c r="V1164" s="85" t="str">
        <f>HYPERLINK("https://pbs.twimg.com/profile_images/1441753500623392768/9y-6KKYD_normal.jpg")</f>
        <v>https://pbs.twimg.com/profile_images/1441753500623392768/9y-6KKYD_normal.jpg</v>
      </c>
      <c r="W1164" s="83">
        <v>44466.286446759259</v>
      </c>
      <c r="X1164" s="89">
        <v>44466</v>
      </c>
      <c r="Y1164" s="87" t="s">
        <v>2566</v>
      </c>
      <c r="Z1164" s="85" t="str">
        <f>HYPERLINK("https://twitter.com/windykurniawa16/status/1442381614965673987")</f>
        <v>https://twitter.com/windykurniawa16/status/1442381614965673987</v>
      </c>
      <c r="AA1164" s="81"/>
      <c r="AB1164" s="81"/>
      <c r="AC1164" s="87" t="s">
        <v>3494</v>
      </c>
      <c r="AD1164" s="81"/>
      <c r="AE1164" s="81" t="b">
        <v>0</v>
      </c>
      <c r="AF1164" s="81">
        <v>0</v>
      </c>
      <c r="AG1164" s="87" t="s">
        <v>3875</v>
      </c>
      <c r="AH1164" s="81" t="b">
        <v>0</v>
      </c>
      <c r="AI1164" s="81" t="s">
        <v>4092</v>
      </c>
      <c r="AJ1164" s="81"/>
      <c r="AK1164" s="87" t="s">
        <v>3875</v>
      </c>
      <c r="AL1164" s="81" t="b">
        <v>0</v>
      </c>
      <c r="AM1164" s="81">
        <v>0</v>
      </c>
      <c r="AN1164" s="87" t="s">
        <v>3875</v>
      </c>
      <c r="AO1164" s="87" t="s">
        <v>4109</v>
      </c>
      <c r="AP1164" s="81" t="b">
        <v>0</v>
      </c>
      <c r="AQ1164" s="87" t="s">
        <v>3494</v>
      </c>
      <c r="AR1164" s="81" t="s">
        <v>179</v>
      </c>
      <c r="AS1164" s="81">
        <v>0</v>
      </c>
      <c r="AT1164" s="81">
        <v>0</v>
      </c>
      <c r="AU1164" s="81"/>
      <c r="AV1164" s="81"/>
      <c r="AW1164" s="81"/>
      <c r="AX1164" s="81"/>
      <c r="AY1164" s="81"/>
      <c r="AZ1164" s="81"/>
      <c r="BA1164" s="81"/>
      <c r="BB1164" s="81"/>
    </row>
    <row r="1165" spans="1:54" x14ac:dyDescent="0.35">
      <c r="A1165" s="66" t="s">
        <v>917</v>
      </c>
      <c r="B1165" s="66" t="s">
        <v>1182</v>
      </c>
      <c r="C1165" s="67"/>
      <c r="D1165" s="68"/>
      <c r="E1165" s="69"/>
      <c r="F1165" s="70"/>
      <c r="G1165" s="67"/>
      <c r="H1165" s="71"/>
      <c r="I1165" s="72"/>
      <c r="J1165" s="72"/>
      <c r="K1165" s="36"/>
      <c r="L1165" s="79"/>
      <c r="M1165" s="79"/>
      <c r="N1165" s="74"/>
      <c r="O1165" s="81" t="s">
        <v>1208</v>
      </c>
      <c r="P1165" s="83">
        <v>44416.003217592595</v>
      </c>
      <c r="Q1165" s="81" t="s">
        <v>1628</v>
      </c>
      <c r="R1165" s="81"/>
      <c r="S1165" s="81"/>
      <c r="T1165" s="81"/>
      <c r="U1165" s="81"/>
      <c r="V1165" s="85" t="str">
        <f>HYPERLINK("https://pbs.twimg.com/profile_images/1385347265271787521/Cxx8Msqe_normal.jpg")</f>
        <v>https://pbs.twimg.com/profile_images/1385347265271787521/Cxx8Msqe_normal.jpg</v>
      </c>
      <c r="W1165" s="83">
        <v>44416.003217592595</v>
      </c>
      <c r="X1165" s="89">
        <v>44416</v>
      </c>
      <c r="Y1165" s="87" t="s">
        <v>2567</v>
      </c>
      <c r="Z1165" s="85" t="str">
        <f>HYPERLINK("https://twitter.com/stwnhendra_/status/1424159582679494666")</f>
        <v>https://twitter.com/stwnhendra_/status/1424159582679494666</v>
      </c>
      <c r="AA1165" s="81"/>
      <c r="AB1165" s="81"/>
      <c r="AC1165" s="87" t="s">
        <v>3495</v>
      </c>
      <c r="AD1165" s="87" t="s">
        <v>3845</v>
      </c>
      <c r="AE1165" s="81" t="b">
        <v>0</v>
      </c>
      <c r="AF1165" s="81">
        <v>42</v>
      </c>
      <c r="AG1165" s="87" t="s">
        <v>4064</v>
      </c>
      <c r="AH1165" s="81" t="b">
        <v>0</v>
      </c>
      <c r="AI1165" s="81" t="s">
        <v>4092</v>
      </c>
      <c r="AJ1165" s="81"/>
      <c r="AK1165" s="87" t="s">
        <v>3875</v>
      </c>
      <c r="AL1165" s="81" t="b">
        <v>0</v>
      </c>
      <c r="AM1165" s="81">
        <v>5</v>
      </c>
      <c r="AN1165" s="87" t="s">
        <v>3875</v>
      </c>
      <c r="AO1165" s="87" t="s">
        <v>4109</v>
      </c>
      <c r="AP1165" s="81" t="b">
        <v>0</v>
      </c>
      <c r="AQ1165" s="87" t="s">
        <v>3845</v>
      </c>
      <c r="AR1165" s="81" t="s">
        <v>1205</v>
      </c>
      <c r="AS1165" s="81">
        <v>0</v>
      </c>
      <c r="AT1165" s="81">
        <v>0</v>
      </c>
      <c r="AU1165" s="81"/>
      <c r="AV1165" s="81"/>
      <c r="AW1165" s="81"/>
      <c r="AX1165" s="81"/>
      <c r="AY1165" s="81"/>
      <c r="AZ1165" s="81"/>
      <c r="BA1165" s="81"/>
      <c r="BB1165" s="81"/>
    </row>
    <row r="1166" spans="1:54" x14ac:dyDescent="0.35">
      <c r="A1166" s="66" t="s">
        <v>918</v>
      </c>
      <c r="B1166" s="66" t="s">
        <v>917</v>
      </c>
      <c r="C1166" s="67"/>
      <c r="D1166" s="68"/>
      <c r="E1166" s="69"/>
      <c r="F1166" s="70"/>
      <c r="G1166" s="67"/>
      <c r="H1166" s="71"/>
      <c r="I1166" s="72"/>
      <c r="J1166" s="72"/>
      <c r="K1166" s="36"/>
      <c r="L1166" s="79"/>
      <c r="M1166" s="79"/>
      <c r="N1166" s="74"/>
      <c r="O1166" s="81" t="s">
        <v>1205</v>
      </c>
      <c r="P1166" s="83">
        <v>44466.312210648146</v>
      </c>
      <c r="Q1166" s="81" t="s">
        <v>1628</v>
      </c>
      <c r="R1166" s="81"/>
      <c r="S1166" s="81"/>
      <c r="T1166" s="81"/>
      <c r="U1166" s="81"/>
      <c r="V1166" s="85" t="str">
        <f>HYPERLINK("https://pbs.twimg.com/profile_images/1434412147065253888/Nx3PNEql_normal.jpg")</f>
        <v>https://pbs.twimg.com/profile_images/1434412147065253888/Nx3PNEql_normal.jpg</v>
      </c>
      <c r="W1166" s="83">
        <v>44466.312210648146</v>
      </c>
      <c r="X1166" s="89">
        <v>44466</v>
      </c>
      <c r="Y1166" s="87" t="s">
        <v>2568</v>
      </c>
      <c r="Z1166" s="85" t="str">
        <f>HYPERLINK("https://twitter.com/dinomilosauruss/status/1442390950467170308")</f>
        <v>https://twitter.com/dinomilosauruss/status/1442390950467170308</v>
      </c>
      <c r="AA1166" s="81"/>
      <c r="AB1166" s="81"/>
      <c r="AC1166" s="87" t="s">
        <v>3496</v>
      </c>
      <c r="AD1166" s="81"/>
      <c r="AE1166" s="81" t="b">
        <v>0</v>
      </c>
      <c r="AF1166" s="81">
        <v>0</v>
      </c>
      <c r="AG1166" s="87" t="s">
        <v>3875</v>
      </c>
      <c r="AH1166" s="81" t="b">
        <v>0</v>
      </c>
      <c r="AI1166" s="81" t="s">
        <v>4092</v>
      </c>
      <c r="AJ1166" s="81"/>
      <c r="AK1166" s="87" t="s">
        <v>3875</v>
      </c>
      <c r="AL1166" s="81" t="b">
        <v>0</v>
      </c>
      <c r="AM1166" s="81">
        <v>5</v>
      </c>
      <c r="AN1166" s="87" t="s">
        <v>3495</v>
      </c>
      <c r="AO1166" s="87" t="s">
        <v>4109</v>
      </c>
      <c r="AP1166" s="81" t="b">
        <v>0</v>
      </c>
      <c r="AQ1166" s="87" t="s">
        <v>3495</v>
      </c>
      <c r="AR1166" s="81" t="s">
        <v>179</v>
      </c>
      <c r="AS1166" s="81">
        <v>0</v>
      </c>
      <c r="AT1166" s="81">
        <v>0</v>
      </c>
      <c r="AU1166" s="81"/>
      <c r="AV1166" s="81"/>
      <c r="AW1166" s="81"/>
      <c r="AX1166" s="81"/>
      <c r="AY1166" s="81"/>
      <c r="AZ1166" s="81"/>
      <c r="BA1166" s="81"/>
      <c r="BB1166" s="81"/>
    </row>
    <row r="1167" spans="1:54" x14ac:dyDescent="0.35">
      <c r="A1167" s="66" t="s">
        <v>918</v>
      </c>
      <c r="B1167" s="66" t="s">
        <v>1182</v>
      </c>
      <c r="C1167" s="67"/>
      <c r="D1167" s="68"/>
      <c r="E1167" s="69"/>
      <c r="F1167" s="70"/>
      <c r="G1167" s="67"/>
      <c r="H1167" s="71"/>
      <c r="I1167" s="72"/>
      <c r="J1167" s="72"/>
      <c r="K1167" s="36"/>
      <c r="L1167" s="79"/>
      <c r="M1167" s="79"/>
      <c r="N1167" s="74"/>
      <c r="O1167" s="81" t="s">
        <v>1208</v>
      </c>
      <c r="P1167" s="83">
        <v>44466.312210648146</v>
      </c>
      <c r="Q1167" s="81" t="s">
        <v>1628</v>
      </c>
      <c r="R1167" s="81"/>
      <c r="S1167" s="81"/>
      <c r="T1167" s="81"/>
      <c r="U1167" s="81"/>
      <c r="V1167" s="85" t="str">
        <f>HYPERLINK("https://pbs.twimg.com/profile_images/1434412147065253888/Nx3PNEql_normal.jpg")</f>
        <v>https://pbs.twimg.com/profile_images/1434412147065253888/Nx3PNEql_normal.jpg</v>
      </c>
      <c r="W1167" s="83">
        <v>44466.312210648146</v>
      </c>
      <c r="X1167" s="89">
        <v>44466</v>
      </c>
      <c r="Y1167" s="87" t="s">
        <v>2568</v>
      </c>
      <c r="Z1167" s="85" t="str">
        <f>HYPERLINK("https://twitter.com/dinomilosauruss/status/1442390950467170308")</f>
        <v>https://twitter.com/dinomilosauruss/status/1442390950467170308</v>
      </c>
      <c r="AA1167" s="81"/>
      <c r="AB1167" s="81"/>
      <c r="AC1167" s="87" t="s">
        <v>3496</v>
      </c>
      <c r="AD1167" s="81"/>
      <c r="AE1167" s="81" t="b">
        <v>0</v>
      </c>
      <c r="AF1167" s="81">
        <v>0</v>
      </c>
      <c r="AG1167" s="87" t="s">
        <v>3875</v>
      </c>
      <c r="AH1167" s="81" t="b">
        <v>0</v>
      </c>
      <c r="AI1167" s="81" t="s">
        <v>4092</v>
      </c>
      <c r="AJ1167" s="81"/>
      <c r="AK1167" s="87" t="s">
        <v>3875</v>
      </c>
      <c r="AL1167" s="81" t="b">
        <v>0</v>
      </c>
      <c r="AM1167" s="81">
        <v>5</v>
      </c>
      <c r="AN1167" s="87" t="s">
        <v>3495</v>
      </c>
      <c r="AO1167" s="87" t="s">
        <v>4109</v>
      </c>
      <c r="AP1167" s="81" t="b">
        <v>0</v>
      </c>
      <c r="AQ1167" s="87" t="s">
        <v>3495</v>
      </c>
      <c r="AR1167" s="81" t="s">
        <v>179</v>
      </c>
      <c r="AS1167" s="81">
        <v>0</v>
      </c>
      <c r="AT1167" s="81">
        <v>0</v>
      </c>
      <c r="AU1167" s="81"/>
      <c r="AV1167" s="81"/>
      <c r="AW1167" s="81"/>
      <c r="AX1167" s="81"/>
      <c r="AY1167" s="81"/>
      <c r="AZ1167" s="81"/>
      <c r="BA1167" s="81"/>
      <c r="BB1167" s="81"/>
    </row>
    <row r="1168" spans="1:54" x14ac:dyDescent="0.35">
      <c r="A1168" s="66" t="s">
        <v>919</v>
      </c>
      <c r="B1168" s="66" t="s">
        <v>1183</v>
      </c>
      <c r="C1168" s="67"/>
      <c r="D1168" s="68"/>
      <c r="E1168" s="69"/>
      <c r="F1168" s="70"/>
      <c r="G1168" s="67"/>
      <c r="H1168" s="71"/>
      <c r="I1168" s="72"/>
      <c r="J1168" s="72"/>
      <c r="K1168" s="36"/>
      <c r="L1168" s="79"/>
      <c r="M1168" s="79"/>
      <c r="N1168" s="74"/>
      <c r="O1168" s="81" t="s">
        <v>1208</v>
      </c>
      <c r="P1168" s="83">
        <v>44466.314976851849</v>
      </c>
      <c r="Q1168" s="81" t="s">
        <v>1629</v>
      </c>
      <c r="R1168" s="81"/>
      <c r="S1168" s="81"/>
      <c r="T1168" s="81"/>
      <c r="U1168" s="81"/>
      <c r="V1168" s="85" t="str">
        <f>HYPERLINK("https://pbs.twimg.com/profile_images/1442726208278446084/6GZqCH3J_normal.jpg")</f>
        <v>https://pbs.twimg.com/profile_images/1442726208278446084/6GZqCH3J_normal.jpg</v>
      </c>
      <c r="W1168" s="83">
        <v>44466.314976851849</v>
      </c>
      <c r="X1168" s="89">
        <v>44466</v>
      </c>
      <c r="Y1168" s="87" t="s">
        <v>2569</v>
      </c>
      <c r="Z1168" s="85" t="str">
        <f>HYPERLINK("https://twitter.com/moonkevicn/status/1442391953916579851")</f>
        <v>https://twitter.com/moonkevicn/status/1442391953916579851</v>
      </c>
      <c r="AA1168" s="81"/>
      <c r="AB1168" s="81"/>
      <c r="AC1168" s="87" t="s">
        <v>3497</v>
      </c>
      <c r="AD1168" s="87" t="s">
        <v>3846</v>
      </c>
      <c r="AE1168" s="81" t="b">
        <v>0</v>
      </c>
      <c r="AF1168" s="81">
        <v>0</v>
      </c>
      <c r="AG1168" s="87" t="s">
        <v>4065</v>
      </c>
      <c r="AH1168" s="81" t="b">
        <v>0</v>
      </c>
      <c r="AI1168" s="81" t="s">
        <v>4095</v>
      </c>
      <c r="AJ1168" s="81"/>
      <c r="AK1168" s="87" t="s">
        <v>3875</v>
      </c>
      <c r="AL1168" s="81" t="b">
        <v>0</v>
      </c>
      <c r="AM1168" s="81">
        <v>0</v>
      </c>
      <c r="AN1168" s="87" t="s">
        <v>3875</v>
      </c>
      <c r="AO1168" s="87" t="s">
        <v>4109</v>
      </c>
      <c r="AP1168" s="81" t="b">
        <v>0</v>
      </c>
      <c r="AQ1168" s="87" t="s">
        <v>3846</v>
      </c>
      <c r="AR1168" s="81" t="s">
        <v>179</v>
      </c>
      <c r="AS1168" s="81">
        <v>0</v>
      </c>
      <c r="AT1168" s="81">
        <v>0</v>
      </c>
      <c r="AU1168" s="81"/>
      <c r="AV1168" s="81"/>
      <c r="AW1168" s="81"/>
      <c r="AX1168" s="81"/>
      <c r="AY1168" s="81"/>
      <c r="AZ1168" s="81"/>
      <c r="BA1168" s="81"/>
      <c r="BB1168" s="81"/>
    </row>
    <row r="1169" spans="1:54" x14ac:dyDescent="0.35">
      <c r="A1169" s="66" t="s">
        <v>920</v>
      </c>
      <c r="B1169" s="66" t="s">
        <v>920</v>
      </c>
      <c r="C1169" s="67"/>
      <c r="D1169" s="68"/>
      <c r="E1169" s="69"/>
      <c r="F1169" s="70"/>
      <c r="G1169" s="67"/>
      <c r="H1169" s="71"/>
      <c r="I1169" s="72"/>
      <c r="J1169" s="72"/>
      <c r="K1169" s="36"/>
      <c r="L1169" s="79"/>
      <c r="M1169" s="79"/>
      <c r="N1169" s="74"/>
      <c r="O1169" s="81" t="s">
        <v>179</v>
      </c>
      <c r="P1169" s="83">
        <v>44466.328043981484</v>
      </c>
      <c r="Q1169" s="81" t="s">
        <v>1630</v>
      </c>
      <c r="R1169" s="81"/>
      <c r="S1169" s="81"/>
      <c r="T1169" s="81"/>
      <c r="U1169" s="81"/>
      <c r="V1169" s="85" t="str">
        <f>HYPERLINK("https://pbs.twimg.com/profile_images/1286195260125675520/nkdnqq_q_normal.jpg")</f>
        <v>https://pbs.twimg.com/profile_images/1286195260125675520/nkdnqq_q_normal.jpg</v>
      </c>
      <c r="W1169" s="83">
        <v>44466.328043981484</v>
      </c>
      <c r="X1169" s="89">
        <v>44466</v>
      </c>
      <c r="Y1169" s="87" t="s">
        <v>2570</v>
      </c>
      <c r="Z1169" s="85" t="str">
        <f>HYPERLINK("https://twitter.com/bonie_cool/status/1442396689705234432")</f>
        <v>https://twitter.com/bonie_cool/status/1442396689705234432</v>
      </c>
      <c r="AA1169" s="81"/>
      <c r="AB1169" s="81"/>
      <c r="AC1169" s="87" t="s">
        <v>3498</v>
      </c>
      <c r="AD1169" s="81"/>
      <c r="AE1169" s="81" t="b">
        <v>0</v>
      </c>
      <c r="AF1169" s="81">
        <v>0</v>
      </c>
      <c r="AG1169" s="87" t="s">
        <v>3875</v>
      </c>
      <c r="AH1169" s="81" t="b">
        <v>0</v>
      </c>
      <c r="AI1169" s="81" t="s">
        <v>4092</v>
      </c>
      <c r="AJ1169" s="81"/>
      <c r="AK1169" s="87" t="s">
        <v>3875</v>
      </c>
      <c r="AL1169" s="81" t="b">
        <v>0</v>
      </c>
      <c r="AM1169" s="81">
        <v>0</v>
      </c>
      <c r="AN1169" s="87" t="s">
        <v>3875</v>
      </c>
      <c r="AO1169" s="87" t="s">
        <v>4109</v>
      </c>
      <c r="AP1169" s="81" t="b">
        <v>0</v>
      </c>
      <c r="AQ1169" s="87" t="s">
        <v>3498</v>
      </c>
      <c r="AR1169" s="81" t="s">
        <v>179</v>
      </c>
      <c r="AS1169" s="81">
        <v>0</v>
      </c>
      <c r="AT1169" s="81">
        <v>0</v>
      </c>
      <c r="AU1169" s="81"/>
      <c r="AV1169" s="81"/>
      <c r="AW1169" s="81"/>
      <c r="AX1169" s="81"/>
      <c r="AY1169" s="81"/>
      <c r="AZ1169" s="81"/>
      <c r="BA1169" s="81"/>
      <c r="BB1169" s="81"/>
    </row>
    <row r="1170" spans="1:54" x14ac:dyDescent="0.35">
      <c r="A1170" s="66" t="s">
        <v>921</v>
      </c>
      <c r="B1170" s="66" t="s">
        <v>1184</v>
      </c>
      <c r="C1170" s="67"/>
      <c r="D1170" s="68"/>
      <c r="E1170" s="69"/>
      <c r="F1170" s="70"/>
      <c r="G1170" s="67"/>
      <c r="H1170" s="71"/>
      <c r="I1170" s="72"/>
      <c r="J1170" s="72"/>
      <c r="K1170" s="36"/>
      <c r="L1170" s="79"/>
      <c r="M1170" s="79"/>
      <c r="N1170" s="74"/>
      <c r="O1170" s="81" t="s">
        <v>1208</v>
      </c>
      <c r="P1170" s="83">
        <v>44466.33121527778</v>
      </c>
      <c r="Q1170" s="81" t="s">
        <v>1631</v>
      </c>
      <c r="R1170" s="81"/>
      <c r="S1170" s="81"/>
      <c r="T1170" s="81"/>
      <c r="U1170" s="81"/>
      <c r="V1170" s="85" t="str">
        <f>HYPERLINK("https://pbs.twimg.com/profile_images/1440044691458650117/DLfPLWxI_normal.jpg")</f>
        <v>https://pbs.twimg.com/profile_images/1440044691458650117/DLfPLWxI_normal.jpg</v>
      </c>
      <c r="W1170" s="83">
        <v>44466.33121527778</v>
      </c>
      <c r="X1170" s="89">
        <v>44466</v>
      </c>
      <c r="Y1170" s="87" t="s">
        <v>2571</v>
      </c>
      <c r="Z1170" s="85" t="str">
        <f>HYPERLINK("https://twitter.com/anakbulela/status/1442397835161313282")</f>
        <v>https://twitter.com/anakbulela/status/1442397835161313282</v>
      </c>
      <c r="AA1170" s="81"/>
      <c r="AB1170" s="81"/>
      <c r="AC1170" s="87" t="s">
        <v>3499</v>
      </c>
      <c r="AD1170" s="87" t="s">
        <v>3847</v>
      </c>
      <c r="AE1170" s="81" t="b">
        <v>0</v>
      </c>
      <c r="AF1170" s="81">
        <v>1</v>
      </c>
      <c r="AG1170" s="87" t="s">
        <v>4066</v>
      </c>
      <c r="AH1170" s="81" t="b">
        <v>0</v>
      </c>
      <c r="AI1170" s="81" t="s">
        <v>4092</v>
      </c>
      <c r="AJ1170" s="81"/>
      <c r="AK1170" s="87" t="s">
        <v>3875</v>
      </c>
      <c r="AL1170" s="81" t="b">
        <v>0</v>
      </c>
      <c r="AM1170" s="81">
        <v>0</v>
      </c>
      <c r="AN1170" s="87" t="s">
        <v>3875</v>
      </c>
      <c r="AO1170" s="87" t="s">
        <v>4109</v>
      </c>
      <c r="AP1170" s="81" t="b">
        <v>0</v>
      </c>
      <c r="AQ1170" s="87" t="s">
        <v>3847</v>
      </c>
      <c r="AR1170" s="81" t="s">
        <v>179</v>
      </c>
      <c r="AS1170" s="81">
        <v>0</v>
      </c>
      <c r="AT1170" s="81">
        <v>0</v>
      </c>
      <c r="AU1170" s="81"/>
      <c r="AV1170" s="81"/>
      <c r="AW1170" s="81"/>
      <c r="AX1170" s="81"/>
      <c r="AY1170" s="81"/>
      <c r="AZ1170" s="81"/>
      <c r="BA1170" s="81"/>
      <c r="BB1170" s="81"/>
    </row>
    <row r="1171" spans="1:54" x14ac:dyDescent="0.35">
      <c r="A1171" s="66" t="s">
        <v>922</v>
      </c>
      <c r="B1171" s="66" t="s">
        <v>1185</v>
      </c>
      <c r="C1171" s="67"/>
      <c r="D1171" s="68"/>
      <c r="E1171" s="69"/>
      <c r="F1171" s="70"/>
      <c r="G1171" s="67"/>
      <c r="H1171" s="71"/>
      <c r="I1171" s="72"/>
      <c r="J1171" s="72"/>
      <c r="K1171" s="36"/>
      <c r="L1171" s="79"/>
      <c r="M1171" s="79"/>
      <c r="N1171" s="74"/>
      <c r="O1171" s="81" t="s">
        <v>1208</v>
      </c>
      <c r="P1171" s="83">
        <v>44466.332175925927</v>
      </c>
      <c r="Q1171" s="81" t="s">
        <v>1632</v>
      </c>
      <c r="R1171" s="81"/>
      <c r="S1171" s="81"/>
      <c r="T1171" s="81"/>
      <c r="U1171" s="81"/>
      <c r="V1171" s="85" t="str">
        <f>HYPERLINK("https://pbs.twimg.com/profile_images/1318914891726675969/skO9aSaf_normal.jpg")</f>
        <v>https://pbs.twimg.com/profile_images/1318914891726675969/skO9aSaf_normal.jpg</v>
      </c>
      <c r="W1171" s="83">
        <v>44466.332175925927</v>
      </c>
      <c r="X1171" s="89">
        <v>44466</v>
      </c>
      <c r="Y1171" s="87" t="s">
        <v>2572</v>
      </c>
      <c r="Z1171" s="85" t="str">
        <f>HYPERLINK("https://twitter.com/dhe_nasihin/status/1442398183502409728")</f>
        <v>https://twitter.com/dhe_nasihin/status/1442398183502409728</v>
      </c>
      <c r="AA1171" s="81"/>
      <c r="AB1171" s="81"/>
      <c r="AC1171" s="87" t="s">
        <v>3500</v>
      </c>
      <c r="AD1171" s="87" t="s">
        <v>3848</v>
      </c>
      <c r="AE1171" s="81" t="b">
        <v>0</v>
      </c>
      <c r="AF1171" s="81">
        <v>0</v>
      </c>
      <c r="AG1171" s="87" t="s">
        <v>4067</v>
      </c>
      <c r="AH1171" s="81" t="b">
        <v>0</v>
      </c>
      <c r="AI1171" s="81" t="s">
        <v>4092</v>
      </c>
      <c r="AJ1171" s="81"/>
      <c r="AK1171" s="87" t="s">
        <v>3875</v>
      </c>
      <c r="AL1171" s="81" t="b">
        <v>0</v>
      </c>
      <c r="AM1171" s="81">
        <v>0</v>
      </c>
      <c r="AN1171" s="87" t="s">
        <v>3875</v>
      </c>
      <c r="AO1171" s="87" t="s">
        <v>4109</v>
      </c>
      <c r="AP1171" s="81" t="b">
        <v>0</v>
      </c>
      <c r="AQ1171" s="87" t="s">
        <v>3848</v>
      </c>
      <c r="AR1171" s="81" t="s">
        <v>179</v>
      </c>
      <c r="AS1171" s="81">
        <v>0</v>
      </c>
      <c r="AT1171" s="81">
        <v>0</v>
      </c>
      <c r="AU1171" s="81"/>
      <c r="AV1171" s="81"/>
      <c r="AW1171" s="81"/>
      <c r="AX1171" s="81"/>
      <c r="AY1171" s="81"/>
      <c r="AZ1171" s="81"/>
      <c r="BA1171" s="81"/>
      <c r="BB1171" s="81"/>
    </row>
    <row r="1172" spans="1:54" x14ac:dyDescent="0.35">
      <c r="A1172" s="66" t="s">
        <v>923</v>
      </c>
      <c r="B1172" s="66" t="s">
        <v>923</v>
      </c>
      <c r="C1172" s="67"/>
      <c r="D1172" s="68"/>
      <c r="E1172" s="69"/>
      <c r="F1172" s="70"/>
      <c r="G1172" s="67"/>
      <c r="H1172" s="71"/>
      <c r="I1172" s="72"/>
      <c r="J1172" s="72"/>
      <c r="K1172" s="36"/>
      <c r="L1172" s="79"/>
      <c r="M1172" s="79"/>
      <c r="N1172" s="74"/>
      <c r="O1172" s="81" t="s">
        <v>179</v>
      </c>
      <c r="P1172" s="83">
        <v>44466.344837962963</v>
      </c>
      <c r="Q1172" s="81" t="s">
        <v>1633</v>
      </c>
      <c r="R1172" s="81"/>
      <c r="S1172" s="81"/>
      <c r="T1172" s="81"/>
      <c r="U1172" s="81"/>
      <c r="V1172" s="85" t="str">
        <f>HYPERLINK("https://pbs.twimg.com/profile_images/964110187484266496/Qn-eoHrb_normal.jpg")</f>
        <v>https://pbs.twimg.com/profile_images/964110187484266496/Qn-eoHrb_normal.jpg</v>
      </c>
      <c r="W1172" s="83">
        <v>44466.344837962963</v>
      </c>
      <c r="X1172" s="89">
        <v>44466</v>
      </c>
      <c r="Y1172" s="87" t="s">
        <v>2573</v>
      </c>
      <c r="Z1172" s="85" t="str">
        <f>HYPERLINK("https://twitter.com/hafizatria/status/1442402774805729280")</f>
        <v>https://twitter.com/hafizatria/status/1442402774805729280</v>
      </c>
      <c r="AA1172" s="81"/>
      <c r="AB1172" s="81"/>
      <c r="AC1172" s="87" t="s">
        <v>3501</v>
      </c>
      <c r="AD1172" s="81"/>
      <c r="AE1172" s="81" t="b">
        <v>0</v>
      </c>
      <c r="AF1172" s="81">
        <v>2</v>
      </c>
      <c r="AG1172" s="87" t="s">
        <v>3875</v>
      </c>
      <c r="AH1172" s="81" t="b">
        <v>0</v>
      </c>
      <c r="AI1172" s="81" t="s">
        <v>4092</v>
      </c>
      <c r="AJ1172" s="81"/>
      <c r="AK1172" s="87" t="s">
        <v>3875</v>
      </c>
      <c r="AL1172" s="81" t="b">
        <v>0</v>
      </c>
      <c r="AM1172" s="81">
        <v>1</v>
      </c>
      <c r="AN1172" s="87" t="s">
        <v>3875</v>
      </c>
      <c r="AO1172" s="87" t="s">
        <v>4111</v>
      </c>
      <c r="AP1172" s="81" t="b">
        <v>0</v>
      </c>
      <c r="AQ1172" s="87" t="s">
        <v>3501</v>
      </c>
      <c r="AR1172" s="81" t="s">
        <v>179</v>
      </c>
      <c r="AS1172" s="81">
        <v>0</v>
      </c>
      <c r="AT1172" s="81">
        <v>0</v>
      </c>
      <c r="AU1172" s="81"/>
      <c r="AV1172" s="81"/>
      <c r="AW1172" s="81"/>
      <c r="AX1172" s="81"/>
      <c r="AY1172" s="81"/>
      <c r="AZ1172" s="81"/>
      <c r="BA1172" s="81"/>
      <c r="BB1172" s="81"/>
    </row>
    <row r="1173" spans="1:54" x14ac:dyDescent="0.35">
      <c r="A1173" s="66" t="s">
        <v>924</v>
      </c>
      <c r="B1173" s="66" t="s">
        <v>924</v>
      </c>
      <c r="C1173" s="67"/>
      <c r="D1173" s="68"/>
      <c r="E1173" s="69"/>
      <c r="F1173" s="70"/>
      <c r="G1173" s="67"/>
      <c r="H1173" s="71"/>
      <c r="I1173" s="72"/>
      <c r="J1173" s="72"/>
      <c r="K1173" s="36"/>
      <c r="L1173" s="79"/>
      <c r="M1173" s="79"/>
      <c r="N1173" s="74"/>
      <c r="O1173" s="81" t="s">
        <v>179</v>
      </c>
      <c r="P1173" s="83">
        <v>44466.361273148148</v>
      </c>
      <c r="Q1173" s="81" t="s">
        <v>1634</v>
      </c>
      <c r="R1173" s="81"/>
      <c r="S1173" s="81"/>
      <c r="T1173" s="81"/>
      <c r="U1173" s="85" t="str">
        <f>HYPERLINK("https://pbs.twimg.com/media/FAR3F3HVQAMQ4cA.jpg")</f>
        <v>https://pbs.twimg.com/media/FAR3F3HVQAMQ4cA.jpg</v>
      </c>
      <c r="V1173" s="85" t="str">
        <f>HYPERLINK("https://pbs.twimg.com/media/FAR3F3HVQAMQ4cA.jpg")</f>
        <v>https://pbs.twimg.com/media/FAR3F3HVQAMQ4cA.jpg</v>
      </c>
      <c r="W1173" s="83">
        <v>44466.361273148148</v>
      </c>
      <c r="X1173" s="89">
        <v>44466</v>
      </c>
      <c r="Y1173" s="87" t="s">
        <v>2574</v>
      </c>
      <c r="Z1173" s="85" t="str">
        <f>HYPERLINK("https://twitter.com/deepperx/status/1442408730293723140")</f>
        <v>https://twitter.com/deepperx/status/1442408730293723140</v>
      </c>
      <c r="AA1173" s="81"/>
      <c r="AB1173" s="81"/>
      <c r="AC1173" s="87" t="s">
        <v>3502</v>
      </c>
      <c r="AD1173" s="81"/>
      <c r="AE1173" s="81" t="b">
        <v>0</v>
      </c>
      <c r="AF1173" s="81">
        <v>0</v>
      </c>
      <c r="AG1173" s="87" t="s">
        <v>3875</v>
      </c>
      <c r="AH1173" s="81" t="b">
        <v>0</v>
      </c>
      <c r="AI1173" s="81" t="s">
        <v>4092</v>
      </c>
      <c r="AJ1173" s="81"/>
      <c r="AK1173" s="87" t="s">
        <v>3875</v>
      </c>
      <c r="AL1173" s="81" t="b">
        <v>0</v>
      </c>
      <c r="AM1173" s="81">
        <v>0</v>
      </c>
      <c r="AN1173" s="87" t="s">
        <v>3875</v>
      </c>
      <c r="AO1173" s="87" t="s">
        <v>4110</v>
      </c>
      <c r="AP1173" s="81" t="b">
        <v>0</v>
      </c>
      <c r="AQ1173" s="87" t="s">
        <v>3502</v>
      </c>
      <c r="AR1173" s="81" t="s">
        <v>179</v>
      </c>
      <c r="AS1173" s="81">
        <v>0</v>
      </c>
      <c r="AT1173" s="81">
        <v>0</v>
      </c>
      <c r="AU1173" s="81"/>
      <c r="AV1173" s="81"/>
      <c r="AW1173" s="81"/>
      <c r="AX1173" s="81"/>
      <c r="AY1173" s="81"/>
      <c r="AZ1173" s="81"/>
      <c r="BA1173" s="81"/>
      <c r="BB1173" s="81"/>
    </row>
    <row r="1174" spans="1:54" x14ac:dyDescent="0.35">
      <c r="A1174" s="66" t="s">
        <v>925</v>
      </c>
      <c r="B1174" s="66" t="s">
        <v>925</v>
      </c>
      <c r="C1174" s="67"/>
      <c r="D1174" s="68"/>
      <c r="E1174" s="69"/>
      <c r="F1174" s="70"/>
      <c r="G1174" s="67"/>
      <c r="H1174" s="71"/>
      <c r="I1174" s="72"/>
      <c r="J1174" s="72"/>
      <c r="K1174" s="36"/>
      <c r="L1174" s="79"/>
      <c r="M1174" s="79"/>
      <c r="N1174" s="74"/>
      <c r="O1174" s="81" t="s">
        <v>179</v>
      </c>
      <c r="P1174" s="83">
        <v>44466.378912037035</v>
      </c>
      <c r="Q1174" s="81" t="s">
        <v>1635</v>
      </c>
      <c r="R1174" s="81"/>
      <c r="S1174" s="81"/>
      <c r="T1174" s="81"/>
      <c r="U1174" s="85" t="str">
        <f>HYPERLINK("https://pbs.twimg.com/media/FAR8wiwUYAI1Bit.jpg")</f>
        <v>https://pbs.twimg.com/media/FAR8wiwUYAI1Bit.jpg</v>
      </c>
      <c r="V1174" s="85" t="str">
        <f>HYPERLINK("https://pbs.twimg.com/media/FAR8wiwUYAI1Bit.jpg")</f>
        <v>https://pbs.twimg.com/media/FAR8wiwUYAI1Bit.jpg</v>
      </c>
      <c r="W1174" s="83">
        <v>44466.378912037035</v>
      </c>
      <c r="X1174" s="89">
        <v>44466</v>
      </c>
      <c r="Y1174" s="87" t="s">
        <v>2575</v>
      </c>
      <c r="Z1174" s="85" t="str">
        <f>HYPERLINK("https://twitter.com/himakompolban/status/1442415121947447302")</f>
        <v>https://twitter.com/himakompolban/status/1442415121947447302</v>
      </c>
      <c r="AA1174" s="81"/>
      <c r="AB1174" s="81"/>
      <c r="AC1174" s="87" t="s">
        <v>3503</v>
      </c>
      <c r="AD1174" s="81"/>
      <c r="AE1174" s="81" t="b">
        <v>0</v>
      </c>
      <c r="AF1174" s="81">
        <v>1</v>
      </c>
      <c r="AG1174" s="87" t="s">
        <v>3875</v>
      </c>
      <c r="AH1174" s="81" t="b">
        <v>0</v>
      </c>
      <c r="AI1174" s="81" t="s">
        <v>4092</v>
      </c>
      <c r="AJ1174" s="81"/>
      <c r="AK1174" s="87" t="s">
        <v>3875</v>
      </c>
      <c r="AL1174" s="81" t="b">
        <v>0</v>
      </c>
      <c r="AM1174" s="81">
        <v>0</v>
      </c>
      <c r="AN1174" s="87" t="s">
        <v>3875</v>
      </c>
      <c r="AO1174" s="87" t="s">
        <v>4111</v>
      </c>
      <c r="AP1174" s="81" t="b">
        <v>0</v>
      </c>
      <c r="AQ1174" s="87" t="s">
        <v>3503</v>
      </c>
      <c r="AR1174" s="81" t="s">
        <v>179</v>
      </c>
      <c r="AS1174" s="81">
        <v>0</v>
      </c>
      <c r="AT1174" s="81">
        <v>0</v>
      </c>
      <c r="AU1174" s="81"/>
      <c r="AV1174" s="81"/>
      <c r="AW1174" s="81"/>
      <c r="AX1174" s="81"/>
      <c r="AY1174" s="81"/>
      <c r="AZ1174" s="81"/>
      <c r="BA1174" s="81"/>
      <c r="BB1174" s="81"/>
    </row>
    <row r="1175" spans="1:54" x14ac:dyDescent="0.35">
      <c r="A1175" s="66" t="s">
        <v>926</v>
      </c>
      <c r="B1175" s="66" t="s">
        <v>926</v>
      </c>
      <c r="C1175" s="67"/>
      <c r="D1175" s="68"/>
      <c r="E1175" s="69"/>
      <c r="F1175" s="70"/>
      <c r="G1175" s="67"/>
      <c r="H1175" s="71"/>
      <c r="I1175" s="72"/>
      <c r="J1175" s="72"/>
      <c r="K1175" s="36"/>
      <c r="L1175" s="79"/>
      <c r="M1175" s="79"/>
      <c r="N1175" s="74"/>
      <c r="O1175" s="81" t="s">
        <v>179</v>
      </c>
      <c r="P1175" s="83">
        <v>44466.401909722219</v>
      </c>
      <c r="Q1175" s="81" t="s">
        <v>1636</v>
      </c>
      <c r="R1175" s="81"/>
      <c r="S1175" s="81"/>
      <c r="T1175" s="81"/>
      <c r="U1175" s="81"/>
      <c r="V1175" s="85" t="str">
        <f>HYPERLINK("https://pbs.twimg.com/profile_images/1366717356429348865/Xf7LKXij_normal.jpg")</f>
        <v>https://pbs.twimg.com/profile_images/1366717356429348865/Xf7LKXij_normal.jpg</v>
      </c>
      <c r="W1175" s="83">
        <v>44466.401909722219</v>
      </c>
      <c r="X1175" s="89">
        <v>44466</v>
      </c>
      <c r="Y1175" s="87" t="s">
        <v>2576</v>
      </c>
      <c r="Z1175" s="85" t="str">
        <f>HYPERLINK("https://twitter.com/denpasarkota/status/1442423454616064011")</f>
        <v>https://twitter.com/denpasarkota/status/1442423454616064011</v>
      </c>
      <c r="AA1175" s="81"/>
      <c r="AB1175" s="81"/>
      <c r="AC1175" s="87" t="s">
        <v>3504</v>
      </c>
      <c r="AD1175" s="81"/>
      <c r="AE1175" s="81" t="b">
        <v>0</v>
      </c>
      <c r="AF1175" s="81">
        <v>0</v>
      </c>
      <c r="AG1175" s="87" t="s">
        <v>3875</v>
      </c>
      <c r="AH1175" s="81" t="b">
        <v>0</v>
      </c>
      <c r="AI1175" s="81" t="s">
        <v>4092</v>
      </c>
      <c r="AJ1175" s="81"/>
      <c r="AK1175" s="87" t="s">
        <v>3875</v>
      </c>
      <c r="AL1175" s="81" t="b">
        <v>0</v>
      </c>
      <c r="AM1175" s="81">
        <v>0</v>
      </c>
      <c r="AN1175" s="87" t="s">
        <v>3875</v>
      </c>
      <c r="AO1175" s="87" t="s">
        <v>4111</v>
      </c>
      <c r="AP1175" s="81" t="b">
        <v>0</v>
      </c>
      <c r="AQ1175" s="87" t="s">
        <v>3504</v>
      </c>
      <c r="AR1175" s="81" t="s">
        <v>179</v>
      </c>
      <c r="AS1175" s="81">
        <v>0</v>
      </c>
      <c r="AT1175" s="81">
        <v>0</v>
      </c>
      <c r="AU1175" s="81"/>
      <c r="AV1175" s="81"/>
      <c r="AW1175" s="81"/>
      <c r="AX1175" s="81"/>
      <c r="AY1175" s="81"/>
      <c r="AZ1175" s="81"/>
      <c r="BA1175" s="81"/>
      <c r="BB1175" s="81"/>
    </row>
    <row r="1176" spans="1:54" x14ac:dyDescent="0.35">
      <c r="A1176" s="66" t="s">
        <v>927</v>
      </c>
      <c r="B1176" s="66" t="s">
        <v>1186</v>
      </c>
      <c r="C1176" s="67"/>
      <c r="D1176" s="68"/>
      <c r="E1176" s="69"/>
      <c r="F1176" s="70"/>
      <c r="G1176" s="67"/>
      <c r="H1176" s="71"/>
      <c r="I1176" s="72"/>
      <c r="J1176" s="72"/>
      <c r="K1176" s="36"/>
      <c r="L1176" s="79"/>
      <c r="M1176" s="79"/>
      <c r="N1176" s="74"/>
      <c r="O1176" s="81" t="s">
        <v>1208</v>
      </c>
      <c r="P1176" s="83">
        <v>44466.422974537039</v>
      </c>
      <c r="Q1176" s="81" t="s">
        <v>1637</v>
      </c>
      <c r="R1176" s="81"/>
      <c r="S1176" s="81"/>
      <c r="T1176" s="81"/>
      <c r="U1176" s="81"/>
      <c r="V1176" s="85" t="str">
        <f>HYPERLINK("https://pbs.twimg.com/profile_images/1421706532840820736/O3dltU9S_normal.jpg")</f>
        <v>https://pbs.twimg.com/profile_images/1421706532840820736/O3dltU9S_normal.jpg</v>
      </c>
      <c r="W1176" s="83">
        <v>44466.422974537039</v>
      </c>
      <c r="X1176" s="89">
        <v>44466</v>
      </c>
      <c r="Y1176" s="87" t="s">
        <v>2577</v>
      </c>
      <c r="Z1176" s="85" t="str">
        <f>HYPERLINK("https://twitter.com/jejengjet_/status/1442431089394393089")</f>
        <v>https://twitter.com/jejengjet_/status/1442431089394393089</v>
      </c>
      <c r="AA1176" s="81"/>
      <c r="AB1176" s="81"/>
      <c r="AC1176" s="87" t="s">
        <v>3505</v>
      </c>
      <c r="AD1176" s="87" t="s">
        <v>3849</v>
      </c>
      <c r="AE1176" s="81" t="b">
        <v>0</v>
      </c>
      <c r="AF1176" s="81">
        <v>0</v>
      </c>
      <c r="AG1176" s="87" t="s">
        <v>4068</v>
      </c>
      <c r="AH1176" s="81" t="b">
        <v>0</v>
      </c>
      <c r="AI1176" s="81" t="s">
        <v>4092</v>
      </c>
      <c r="AJ1176" s="81"/>
      <c r="AK1176" s="87" t="s">
        <v>3875</v>
      </c>
      <c r="AL1176" s="81" t="b">
        <v>0</v>
      </c>
      <c r="AM1176" s="81">
        <v>0</v>
      </c>
      <c r="AN1176" s="87" t="s">
        <v>3875</v>
      </c>
      <c r="AO1176" s="87" t="s">
        <v>4109</v>
      </c>
      <c r="AP1176" s="81" t="b">
        <v>0</v>
      </c>
      <c r="AQ1176" s="87" t="s">
        <v>3849</v>
      </c>
      <c r="AR1176" s="81" t="s">
        <v>179</v>
      </c>
      <c r="AS1176" s="81">
        <v>0</v>
      </c>
      <c r="AT1176" s="81">
        <v>0</v>
      </c>
      <c r="AU1176" s="81"/>
      <c r="AV1176" s="81"/>
      <c r="AW1176" s="81"/>
      <c r="AX1176" s="81"/>
      <c r="AY1176" s="81"/>
      <c r="AZ1176" s="81"/>
      <c r="BA1176" s="81"/>
      <c r="BB1176" s="81"/>
    </row>
    <row r="1177" spans="1:54" x14ac:dyDescent="0.35">
      <c r="A1177" s="66" t="s">
        <v>928</v>
      </c>
      <c r="B1177" s="66" t="s">
        <v>957</v>
      </c>
      <c r="C1177" s="67"/>
      <c r="D1177" s="68"/>
      <c r="E1177" s="69"/>
      <c r="F1177" s="70"/>
      <c r="G1177" s="67"/>
      <c r="H1177" s="71"/>
      <c r="I1177" s="72"/>
      <c r="J1177" s="72"/>
      <c r="K1177" s="36"/>
      <c r="L1177" s="79"/>
      <c r="M1177" s="79"/>
      <c r="N1177" s="74"/>
      <c r="O1177" s="81" t="s">
        <v>1205</v>
      </c>
      <c r="P1177" s="83">
        <v>44466.441365740742</v>
      </c>
      <c r="Q1177" s="81" t="s">
        <v>1638</v>
      </c>
      <c r="R1177" s="81"/>
      <c r="S1177" s="81"/>
      <c r="T1177" s="81"/>
      <c r="U1177" s="85" t="str">
        <f>HYPERLINK("https://pbs.twimg.com/media/FASHjEnUcAMSLOM.jpg")</f>
        <v>https://pbs.twimg.com/media/FASHjEnUcAMSLOM.jpg</v>
      </c>
      <c r="V1177" s="85" t="str">
        <f>HYPERLINK("https://pbs.twimg.com/media/FASHjEnUcAMSLOM.jpg")</f>
        <v>https://pbs.twimg.com/media/FASHjEnUcAMSLOM.jpg</v>
      </c>
      <c r="W1177" s="83">
        <v>44466.441365740742</v>
      </c>
      <c r="X1177" s="89">
        <v>44466</v>
      </c>
      <c r="Y1177" s="87" t="s">
        <v>2578</v>
      </c>
      <c r="Z1177" s="85" t="str">
        <f>HYPERLINK("https://twitter.com/fattireyz/status/1442437753375899650")</f>
        <v>https://twitter.com/fattireyz/status/1442437753375899650</v>
      </c>
      <c r="AA1177" s="81"/>
      <c r="AB1177" s="81"/>
      <c r="AC1177" s="87" t="s">
        <v>3506</v>
      </c>
      <c r="AD1177" s="81"/>
      <c r="AE1177" s="81" t="b">
        <v>0</v>
      </c>
      <c r="AF1177" s="81">
        <v>0</v>
      </c>
      <c r="AG1177" s="87" t="s">
        <v>3875</v>
      </c>
      <c r="AH1177" s="81" t="b">
        <v>0</v>
      </c>
      <c r="AI1177" s="81" t="s">
        <v>4092</v>
      </c>
      <c r="AJ1177" s="81"/>
      <c r="AK1177" s="87" t="s">
        <v>3875</v>
      </c>
      <c r="AL1177" s="81" t="b">
        <v>0</v>
      </c>
      <c r="AM1177" s="81">
        <v>9</v>
      </c>
      <c r="AN1177" s="87" t="s">
        <v>3537</v>
      </c>
      <c r="AO1177" s="87" t="s">
        <v>4109</v>
      </c>
      <c r="AP1177" s="81" t="b">
        <v>0</v>
      </c>
      <c r="AQ1177" s="87" t="s">
        <v>3537</v>
      </c>
      <c r="AR1177" s="81" t="s">
        <v>179</v>
      </c>
      <c r="AS1177" s="81">
        <v>0</v>
      </c>
      <c r="AT1177" s="81">
        <v>0</v>
      </c>
      <c r="AU1177" s="81"/>
      <c r="AV1177" s="81"/>
      <c r="AW1177" s="81"/>
      <c r="AX1177" s="81"/>
      <c r="AY1177" s="81"/>
      <c r="AZ1177" s="81"/>
      <c r="BA1177" s="81"/>
      <c r="BB1177" s="81"/>
    </row>
    <row r="1178" spans="1:54" x14ac:dyDescent="0.35">
      <c r="A1178" s="66" t="s">
        <v>929</v>
      </c>
      <c r="B1178" s="66" t="s">
        <v>1045</v>
      </c>
      <c r="C1178" s="67"/>
      <c r="D1178" s="68"/>
      <c r="E1178" s="69"/>
      <c r="F1178" s="70"/>
      <c r="G1178" s="67"/>
      <c r="H1178" s="71"/>
      <c r="I1178" s="72"/>
      <c r="J1178" s="72"/>
      <c r="K1178" s="36"/>
      <c r="L1178" s="79"/>
      <c r="M1178" s="79"/>
      <c r="N1178" s="74"/>
      <c r="O1178" s="81" t="s">
        <v>1208</v>
      </c>
      <c r="P1178" s="83">
        <v>44466.446585648147</v>
      </c>
      <c r="Q1178" s="81" t="s">
        <v>1639</v>
      </c>
      <c r="R1178" s="81"/>
      <c r="S1178" s="81"/>
      <c r="T1178" s="81"/>
      <c r="U1178" s="81"/>
      <c r="V1178" s="85" t="str">
        <f>HYPERLINK("https://pbs.twimg.com/profile_images/1325232681269956608/T3Yleks7_normal.jpg")</f>
        <v>https://pbs.twimg.com/profile_images/1325232681269956608/T3Yleks7_normal.jpg</v>
      </c>
      <c r="W1178" s="83">
        <v>44466.446585648147</v>
      </c>
      <c r="X1178" s="89">
        <v>44466</v>
      </c>
      <c r="Y1178" s="87" t="s">
        <v>2579</v>
      </c>
      <c r="Z1178" s="85" t="str">
        <f>HYPERLINK("https://twitter.com/squishyteddy12/status/1442439647095713800")</f>
        <v>https://twitter.com/squishyteddy12/status/1442439647095713800</v>
      </c>
      <c r="AA1178" s="81"/>
      <c r="AB1178" s="81"/>
      <c r="AC1178" s="87" t="s">
        <v>3507</v>
      </c>
      <c r="AD1178" s="87" t="s">
        <v>3850</v>
      </c>
      <c r="AE1178" s="81" t="b">
        <v>0</v>
      </c>
      <c r="AF1178" s="81">
        <v>0</v>
      </c>
      <c r="AG1178" s="87" t="s">
        <v>4045</v>
      </c>
      <c r="AH1178" s="81" t="b">
        <v>0</v>
      </c>
      <c r="AI1178" s="81" t="s">
        <v>4092</v>
      </c>
      <c r="AJ1178" s="81"/>
      <c r="AK1178" s="87" t="s">
        <v>3875</v>
      </c>
      <c r="AL1178" s="81" t="b">
        <v>0</v>
      </c>
      <c r="AM1178" s="81">
        <v>0</v>
      </c>
      <c r="AN1178" s="87" t="s">
        <v>3875</v>
      </c>
      <c r="AO1178" s="87" t="s">
        <v>4109</v>
      </c>
      <c r="AP1178" s="81" t="b">
        <v>0</v>
      </c>
      <c r="AQ1178" s="87" t="s">
        <v>3850</v>
      </c>
      <c r="AR1178" s="81" t="s">
        <v>179</v>
      </c>
      <c r="AS1178" s="81">
        <v>0</v>
      </c>
      <c r="AT1178" s="81">
        <v>0</v>
      </c>
      <c r="AU1178" s="81"/>
      <c r="AV1178" s="81"/>
      <c r="AW1178" s="81"/>
      <c r="AX1178" s="81"/>
      <c r="AY1178" s="81"/>
      <c r="AZ1178" s="81"/>
      <c r="BA1178" s="81"/>
      <c r="BB1178" s="81"/>
    </row>
    <row r="1179" spans="1:54" x14ac:dyDescent="0.35">
      <c r="A1179" s="66" t="s">
        <v>930</v>
      </c>
      <c r="B1179" s="66" t="s">
        <v>1187</v>
      </c>
      <c r="C1179" s="67"/>
      <c r="D1179" s="68"/>
      <c r="E1179" s="69"/>
      <c r="F1179" s="70"/>
      <c r="G1179" s="67"/>
      <c r="H1179" s="71"/>
      <c r="I1179" s="72"/>
      <c r="J1179" s="72"/>
      <c r="K1179" s="36"/>
      <c r="L1179" s="79"/>
      <c r="M1179" s="79"/>
      <c r="N1179" s="74"/>
      <c r="O1179" s="81" t="s">
        <v>1208</v>
      </c>
      <c r="P1179" s="83">
        <v>44466.456145833334</v>
      </c>
      <c r="Q1179" s="81" t="s">
        <v>1640</v>
      </c>
      <c r="R1179" s="81"/>
      <c r="S1179" s="81"/>
      <c r="T1179" s="81"/>
      <c r="U1179" s="81"/>
      <c r="V1179" s="85" t="str">
        <f>HYPERLINK("https://pbs.twimg.com/profile_images/1428737669580787721/8guUhvGw_normal.jpg")</f>
        <v>https://pbs.twimg.com/profile_images/1428737669580787721/8guUhvGw_normal.jpg</v>
      </c>
      <c r="W1179" s="83">
        <v>44466.456145833334</v>
      </c>
      <c r="X1179" s="89">
        <v>44466</v>
      </c>
      <c r="Y1179" s="87" t="s">
        <v>2580</v>
      </c>
      <c r="Z1179" s="85" t="str">
        <f>HYPERLINK("https://twitter.com/chittaprrrna/status/1442443110777118721")</f>
        <v>https://twitter.com/chittaprrrna/status/1442443110777118721</v>
      </c>
      <c r="AA1179" s="81"/>
      <c r="AB1179" s="81"/>
      <c r="AC1179" s="87" t="s">
        <v>3508</v>
      </c>
      <c r="AD1179" s="87" t="s">
        <v>3851</v>
      </c>
      <c r="AE1179" s="81" t="b">
        <v>0</v>
      </c>
      <c r="AF1179" s="81">
        <v>0</v>
      </c>
      <c r="AG1179" s="87" t="s">
        <v>4069</v>
      </c>
      <c r="AH1179" s="81" t="b">
        <v>0</v>
      </c>
      <c r="AI1179" s="81" t="s">
        <v>4092</v>
      </c>
      <c r="AJ1179" s="81"/>
      <c r="AK1179" s="87" t="s">
        <v>3875</v>
      </c>
      <c r="AL1179" s="81" t="b">
        <v>0</v>
      </c>
      <c r="AM1179" s="81">
        <v>0</v>
      </c>
      <c r="AN1179" s="87" t="s">
        <v>3875</v>
      </c>
      <c r="AO1179" s="87" t="s">
        <v>4109</v>
      </c>
      <c r="AP1179" s="81" t="b">
        <v>0</v>
      </c>
      <c r="AQ1179" s="87" t="s">
        <v>3851</v>
      </c>
      <c r="AR1179" s="81" t="s">
        <v>179</v>
      </c>
      <c r="AS1179" s="81">
        <v>0</v>
      </c>
      <c r="AT1179" s="81">
        <v>0</v>
      </c>
      <c r="AU1179" s="81"/>
      <c r="AV1179" s="81"/>
      <c r="AW1179" s="81"/>
      <c r="AX1179" s="81"/>
      <c r="AY1179" s="81"/>
      <c r="AZ1179" s="81"/>
      <c r="BA1179" s="81"/>
      <c r="BB1179" s="81"/>
    </row>
    <row r="1180" spans="1:54" x14ac:dyDescent="0.35">
      <c r="A1180" s="66" t="s">
        <v>931</v>
      </c>
      <c r="B1180" s="66" t="s">
        <v>931</v>
      </c>
      <c r="C1180" s="67"/>
      <c r="D1180" s="68"/>
      <c r="E1180" s="69"/>
      <c r="F1180" s="70"/>
      <c r="G1180" s="67"/>
      <c r="H1180" s="71"/>
      <c r="I1180" s="72"/>
      <c r="J1180" s="72"/>
      <c r="K1180" s="36"/>
      <c r="L1180" s="79"/>
      <c r="M1180" s="79"/>
      <c r="N1180" s="74"/>
      <c r="O1180" s="81" t="s">
        <v>179</v>
      </c>
      <c r="P1180" s="83">
        <v>44466.466412037036</v>
      </c>
      <c r="Q1180" s="81" t="s">
        <v>1641</v>
      </c>
      <c r="R1180" s="81"/>
      <c r="S1180" s="81"/>
      <c r="T1180" s="81"/>
      <c r="U1180" s="85" t="str">
        <f>HYPERLINK("https://pbs.twimg.com/media/FASZvh2VQAolHXF.jpg")</f>
        <v>https://pbs.twimg.com/media/FASZvh2VQAolHXF.jpg</v>
      </c>
      <c r="V1180" s="85" t="str">
        <f>HYPERLINK("https://pbs.twimg.com/media/FASZvh2VQAolHXF.jpg")</f>
        <v>https://pbs.twimg.com/media/FASZvh2VQAolHXF.jpg</v>
      </c>
      <c r="W1180" s="83">
        <v>44466.466412037036</v>
      </c>
      <c r="X1180" s="89">
        <v>44466</v>
      </c>
      <c r="Y1180" s="87" t="s">
        <v>2581</v>
      </c>
      <c r="Z1180" s="85" t="str">
        <f>HYPERLINK("https://twitter.com/rifqi_frido/status/1442446829774249994")</f>
        <v>https://twitter.com/rifqi_frido/status/1442446829774249994</v>
      </c>
      <c r="AA1180" s="81"/>
      <c r="AB1180" s="81"/>
      <c r="AC1180" s="87" t="s">
        <v>3509</v>
      </c>
      <c r="AD1180" s="81"/>
      <c r="AE1180" s="81" t="b">
        <v>0</v>
      </c>
      <c r="AF1180" s="81">
        <v>1</v>
      </c>
      <c r="AG1180" s="87" t="s">
        <v>3875</v>
      </c>
      <c r="AH1180" s="81" t="b">
        <v>0</v>
      </c>
      <c r="AI1180" s="81" t="s">
        <v>4092</v>
      </c>
      <c r="AJ1180" s="81"/>
      <c r="AK1180" s="87" t="s">
        <v>3875</v>
      </c>
      <c r="AL1180" s="81" t="b">
        <v>0</v>
      </c>
      <c r="AM1180" s="81">
        <v>0</v>
      </c>
      <c r="AN1180" s="87" t="s">
        <v>3875</v>
      </c>
      <c r="AO1180" s="87" t="s">
        <v>4109</v>
      </c>
      <c r="AP1180" s="81" t="b">
        <v>0</v>
      </c>
      <c r="AQ1180" s="87" t="s">
        <v>3509</v>
      </c>
      <c r="AR1180" s="81" t="s">
        <v>179</v>
      </c>
      <c r="AS1180" s="81">
        <v>0</v>
      </c>
      <c r="AT1180" s="81">
        <v>0</v>
      </c>
      <c r="AU1180" s="81"/>
      <c r="AV1180" s="81"/>
      <c r="AW1180" s="81"/>
      <c r="AX1180" s="81"/>
      <c r="AY1180" s="81"/>
      <c r="AZ1180" s="81"/>
      <c r="BA1180" s="81"/>
      <c r="BB1180" s="81"/>
    </row>
    <row r="1181" spans="1:54" x14ac:dyDescent="0.35">
      <c r="A1181" s="66" t="s">
        <v>932</v>
      </c>
      <c r="B1181" s="66" t="s">
        <v>957</v>
      </c>
      <c r="C1181" s="67"/>
      <c r="D1181" s="68"/>
      <c r="E1181" s="69"/>
      <c r="F1181" s="70"/>
      <c r="G1181" s="67"/>
      <c r="H1181" s="71"/>
      <c r="I1181" s="72"/>
      <c r="J1181" s="72"/>
      <c r="K1181" s="36"/>
      <c r="L1181" s="79"/>
      <c r="M1181" s="79"/>
      <c r="N1181" s="74"/>
      <c r="O1181" s="81" t="s">
        <v>1205</v>
      </c>
      <c r="P1181" s="83">
        <v>44466.503171296295</v>
      </c>
      <c r="Q1181" s="81" t="s">
        <v>1638</v>
      </c>
      <c r="R1181" s="81"/>
      <c r="S1181" s="81"/>
      <c r="T1181" s="81"/>
      <c r="U1181" s="85" t="str">
        <f>HYPERLINK("https://pbs.twimg.com/media/FASHjEnUcAMSLOM.jpg")</f>
        <v>https://pbs.twimg.com/media/FASHjEnUcAMSLOM.jpg</v>
      </c>
      <c r="V1181" s="85" t="str">
        <f>HYPERLINK("https://pbs.twimg.com/media/FASHjEnUcAMSLOM.jpg")</f>
        <v>https://pbs.twimg.com/media/FASHjEnUcAMSLOM.jpg</v>
      </c>
      <c r="W1181" s="83">
        <v>44466.503171296295</v>
      </c>
      <c r="X1181" s="89">
        <v>44466</v>
      </c>
      <c r="Y1181" s="87" t="s">
        <v>2582</v>
      </c>
      <c r="Z1181" s="85" t="str">
        <f>HYPERLINK("https://twitter.com/ide2nesia/status/1442460150082641920")</f>
        <v>https://twitter.com/ide2nesia/status/1442460150082641920</v>
      </c>
      <c r="AA1181" s="81"/>
      <c r="AB1181" s="81"/>
      <c r="AC1181" s="87" t="s">
        <v>3510</v>
      </c>
      <c r="AD1181" s="81"/>
      <c r="AE1181" s="81" t="b">
        <v>0</v>
      </c>
      <c r="AF1181" s="81">
        <v>0</v>
      </c>
      <c r="AG1181" s="87" t="s">
        <v>3875</v>
      </c>
      <c r="AH1181" s="81" t="b">
        <v>0</v>
      </c>
      <c r="AI1181" s="81" t="s">
        <v>4092</v>
      </c>
      <c r="AJ1181" s="81"/>
      <c r="AK1181" s="87" t="s">
        <v>3875</v>
      </c>
      <c r="AL1181" s="81" t="b">
        <v>0</v>
      </c>
      <c r="AM1181" s="81">
        <v>9</v>
      </c>
      <c r="AN1181" s="87" t="s">
        <v>3537</v>
      </c>
      <c r="AO1181" s="87" t="s">
        <v>4111</v>
      </c>
      <c r="AP1181" s="81" t="b">
        <v>0</v>
      </c>
      <c r="AQ1181" s="87" t="s">
        <v>3537</v>
      </c>
      <c r="AR1181" s="81" t="s">
        <v>179</v>
      </c>
      <c r="AS1181" s="81">
        <v>0</v>
      </c>
      <c r="AT1181" s="81">
        <v>0</v>
      </c>
      <c r="AU1181" s="81"/>
      <c r="AV1181" s="81"/>
      <c r="AW1181" s="81"/>
      <c r="AX1181" s="81"/>
      <c r="AY1181" s="81"/>
      <c r="AZ1181" s="81"/>
      <c r="BA1181" s="81"/>
      <c r="BB1181" s="81"/>
    </row>
    <row r="1182" spans="1:54" x14ac:dyDescent="0.35">
      <c r="A1182" s="66" t="s">
        <v>933</v>
      </c>
      <c r="B1182" s="66" t="s">
        <v>933</v>
      </c>
      <c r="C1182" s="67"/>
      <c r="D1182" s="68"/>
      <c r="E1182" s="69"/>
      <c r="F1182" s="70"/>
      <c r="G1182" s="67"/>
      <c r="H1182" s="71"/>
      <c r="I1182" s="72"/>
      <c r="J1182" s="72"/>
      <c r="K1182" s="36"/>
      <c r="L1182" s="79"/>
      <c r="M1182" s="79"/>
      <c r="N1182" s="74"/>
      <c r="O1182" s="81" t="s">
        <v>179</v>
      </c>
      <c r="P1182" s="83">
        <v>44466.511516203704</v>
      </c>
      <c r="Q1182" s="81" t="s">
        <v>1642</v>
      </c>
      <c r="R1182" s="81"/>
      <c r="S1182" s="81"/>
      <c r="T1182" s="87" t="s">
        <v>1785</v>
      </c>
      <c r="U1182" s="81"/>
      <c r="V1182" s="85" t="str">
        <f>HYPERLINK("https://pbs.twimg.com/profile_images/780910181865496576/1MK7bwvI_normal.jpg")</f>
        <v>https://pbs.twimg.com/profile_images/780910181865496576/1MK7bwvI_normal.jpg</v>
      </c>
      <c r="W1182" s="83">
        <v>44466.511516203704</v>
      </c>
      <c r="X1182" s="89">
        <v>44466</v>
      </c>
      <c r="Y1182" s="87" t="s">
        <v>2583</v>
      </c>
      <c r="Z1182" s="85" t="str">
        <f>HYPERLINK("https://twitter.com/ayobogor/status/1442463177510322177")</f>
        <v>https://twitter.com/ayobogor/status/1442463177510322177</v>
      </c>
      <c r="AA1182" s="81"/>
      <c r="AB1182" s="81"/>
      <c r="AC1182" s="87" t="s">
        <v>3511</v>
      </c>
      <c r="AD1182" s="81"/>
      <c r="AE1182" s="81" t="b">
        <v>0</v>
      </c>
      <c r="AF1182" s="81">
        <v>0</v>
      </c>
      <c r="AG1182" s="87" t="s">
        <v>3875</v>
      </c>
      <c r="AH1182" s="81" t="b">
        <v>0</v>
      </c>
      <c r="AI1182" s="81" t="s">
        <v>4092</v>
      </c>
      <c r="AJ1182" s="81"/>
      <c r="AK1182" s="87" t="s">
        <v>3875</v>
      </c>
      <c r="AL1182" s="81" t="b">
        <v>0</v>
      </c>
      <c r="AM1182" s="81">
        <v>0</v>
      </c>
      <c r="AN1182" s="87" t="s">
        <v>3875</v>
      </c>
      <c r="AO1182" s="87" t="s">
        <v>4138</v>
      </c>
      <c r="AP1182" s="81" t="b">
        <v>0</v>
      </c>
      <c r="AQ1182" s="87" t="s">
        <v>3511</v>
      </c>
      <c r="AR1182" s="81" t="s">
        <v>179</v>
      </c>
      <c r="AS1182" s="81">
        <v>0</v>
      </c>
      <c r="AT1182" s="81">
        <v>0</v>
      </c>
      <c r="AU1182" s="81"/>
      <c r="AV1182" s="81"/>
      <c r="AW1182" s="81"/>
      <c r="AX1182" s="81"/>
      <c r="AY1182" s="81"/>
      <c r="AZ1182" s="81"/>
      <c r="BA1182" s="81"/>
      <c r="BB1182" s="81"/>
    </row>
    <row r="1183" spans="1:54" x14ac:dyDescent="0.35">
      <c r="A1183" s="66" t="s">
        <v>934</v>
      </c>
      <c r="B1183" s="66" t="s">
        <v>934</v>
      </c>
      <c r="C1183" s="67"/>
      <c r="D1183" s="68"/>
      <c r="E1183" s="69"/>
      <c r="F1183" s="70"/>
      <c r="G1183" s="67"/>
      <c r="H1183" s="71"/>
      <c r="I1183" s="72"/>
      <c r="J1183" s="72"/>
      <c r="K1183" s="36"/>
      <c r="L1183" s="79"/>
      <c r="M1183" s="79"/>
      <c r="N1183" s="74"/>
      <c r="O1183" s="81" t="s">
        <v>179</v>
      </c>
      <c r="P1183" s="83">
        <v>44466.514999999999</v>
      </c>
      <c r="Q1183" s="81" t="s">
        <v>1643</v>
      </c>
      <c r="R1183" s="81"/>
      <c r="S1183" s="81"/>
      <c r="T1183" s="81"/>
      <c r="U1183" s="85" t="str">
        <f>HYPERLINK("https://pbs.twimg.com/media/FASpw1xUUAYe1sU.jpg")</f>
        <v>https://pbs.twimg.com/media/FASpw1xUUAYe1sU.jpg</v>
      </c>
      <c r="V1183" s="85" t="str">
        <f>HYPERLINK("https://pbs.twimg.com/media/FASpw1xUUAYe1sU.jpg")</f>
        <v>https://pbs.twimg.com/media/FASpw1xUUAYe1sU.jpg</v>
      </c>
      <c r="W1183" s="83">
        <v>44466.514999999999</v>
      </c>
      <c r="X1183" s="89">
        <v>44466</v>
      </c>
      <c r="Y1183" s="87" t="s">
        <v>2584</v>
      </c>
      <c r="Z1183" s="85" t="str">
        <f>HYPERLINK("https://twitter.com/bawasluppu/status/1442464440138428436")</f>
        <v>https://twitter.com/bawasluppu/status/1442464440138428436</v>
      </c>
      <c r="AA1183" s="81"/>
      <c r="AB1183" s="81"/>
      <c r="AC1183" s="87" t="s">
        <v>3512</v>
      </c>
      <c r="AD1183" s="81"/>
      <c r="AE1183" s="81" t="b">
        <v>0</v>
      </c>
      <c r="AF1183" s="81">
        <v>0</v>
      </c>
      <c r="AG1183" s="87" t="s">
        <v>3875</v>
      </c>
      <c r="AH1183" s="81" t="b">
        <v>0</v>
      </c>
      <c r="AI1183" s="81" t="s">
        <v>4092</v>
      </c>
      <c r="AJ1183" s="81"/>
      <c r="AK1183" s="87" t="s">
        <v>3875</v>
      </c>
      <c r="AL1183" s="81" t="b">
        <v>0</v>
      </c>
      <c r="AM1183" s="81">
        <v>0</v>
      </c>
      <c r="AN1183" s="87" t="s">
        <v>3875</v>
      </c>
      <c r="AO1183" s="87" t="s">
        <v>4109</v>
      </c>
      <c r="AP1183" s="81" t="b">
        <v>0</v>
      </c>
      <c r="AQ1183" s="87" t="s">
        <v>3512</v>
      </c>
      <c r="AR1183" s="81" t="s">
        <v>179</v>
      </c>
      <c r="AS1183" s="81">
        <v>0</v>
      </c>
      <c r="AT1183" s="81">
        <v>0</v>
      </c>
      <c r="AU1183" s="81"/>
      <c r="AV1183" s="81"/>
      <c r="AW1183" s="81"/>
      <c r="AX1183" s="81"/>
      <c r="AY1183" s="81"/>
      <c r="AZ1183" s="81"/>
      <c r="BA1183" s="81"/>
      <c r="BB1183" s="81"/>
    </row>
    <row r="1184" spans="1:54" x14ac:dyDescent="0.35">
      <c r="A1184" s="66" t="s">
        <v>935</v>
      </c>
      <c r="B1184" s="66" t="s">
        <v>1188</v>
      </c>
      <c r="C1184" s="67"/>
      <c r="D1184" s="68"/>
      <c r="E1184" s="69"/>
      <c r="F1184" s="70"/>
      <c r="G1184" s="67"/>
      <c r="H1184" s="71"/>
      <c r="I1184" s="72"/>
      <c r="J1184" s="72"/>
      <c r="K1184" s="36"/>
      <c r="L1184" s="79"/>
      <c r="M1184" s="79"/>
      <c r="N1184" s="74"/>
      <c r="O1184" s="81" t="s">
        <v>1206</v>
      </c>
      <c r="P1184" s="83">
        <v>44466.536273148151</v>
      </c>
      <c r="Q1184" s="81" t="s">
        <v>1644</v>
      </c>
      <c r="R1184" s="81"/>
      <c r="S1184" s="81"/>
      <c r="T1184" s="81"/>
      <c r="U1184" s="85" t="str">
        <f>HYPERLINK("https://pbs.twimg.com/media/FASwxKBVkAYcIkB.jpg")</f>
        <v>https://pbs.twimg.com/media/FASwxKBVkAYcIkB.jpg</v>
      </c>
      <c r="V1184" s="85" t="str">
        <f>HYPERLINK("https://pbs.twimg.com/media/FASwxKBVkAYcIkB.jpg")</f>
        <v>https://pbs.twimg.com/media/FASwxKBVkAYcIkB.jpg</v>
      </c>
      <c r="W1184" s="83">
        <v>44466.536273148151</v>
      </c>
      <c r="X1184" s="89">
        <v>44466</v>
      </c>
      <c r="Y1184" s="87" t="s">
        <v>2585</v>
      </c>
      <c r="Z1184" s="85" t="str">
        <f>HYPERLINK("https://twitter.com/ipm_smpalqolam/status/1442472145901158407")</f>
        <v>https://twitter.com/ipm_smpalqolam/status/1442472145901158407</v>
      </c>
      <c r="AA1184" s="81"/>
      <c r="AB1184" s="81"/>
      <c r="AC1184" s="87" t="s">
        <v>3513</v>
      </c>
      <c r="AD1184" s="81"/>
      <c r="AE1184" s="81" t="b">
        <v>0</v>
      </c>
      <c r="AF1184" s="81">
        <v>0</v>
      </c>
      <c r="AG1184" s="87" t="s">
        <v>3875</v>
      </c>
      <c r="AH1184" s="81" t="b">
        <v>0</v>
      </c>
      <c r="AI1184" s="81" t="s">
        <v>4092</v>
      </c>
      <c r="AJ1184" s="81"/>
      <c r="AK1184" s="87" t="s">
        <v>3875</v>
      </c>
      <c r="AL1184" s="81" t="b">
        <v>0</v>
      </c>
      <c r="AM1184" s="81">
        <v>0</v>
      </c>
      <c r="AN1184" s="87" t="s">
        <v>3875</v>
      </c>
      <c r="AO1184" s="87" t="s">
        <v>4109</v>
      </c>
      <c r="AP1184" s="81" t="b">
        <v>0</v>
      </c>
      <c r="AQ1184" s="87" t="s">
        <v>3513</v>
      </c>
      <c r="AR1184" s="81" t="s">
        <v>179</v>
      </c>
      <c r="AS1184" s="81">
        <v>0</v>
      </c>
      <c r="AT1184" s="81">
        <v>0</v>
      </c>
      <c r="AU1184" s="81"/>
      <c r="AV1184" s="81"/>
      <c r="AW1184" s="81"/>
      <c r="AX1184" s="81"/>
      <c r="AY1184" s="81"/>
      <c r="AZ1184" s="81"/>
      <c r="BA1184" s="81"/>
      <c r="BB1184" s="81"/>
    </row>
    <row r="1185" spans="1:54" x14ac:dyDescent="0.35">
      <c r="A1185" s="66" t="s">
        <v>935</v>
      </c>
      <c r="B1185" s="66" t="s">
        <v>1189</v>
      </c>
      <c r="C1185" s="67"/>
      <c r="D1185" s="68"/>
      <c r="E1185" s="69"/>
      <c r="F1185" s="70"/>
      <c r="G1185" s="67"/>
      <c r="H1185" s="71"/>
      <c r="I1185" s="72"/>
      <c r="J1185" s="72"/>
      <c r="K1185" s="36"/>
      <c r="L1185" s="79"/>
      <c r="M1185" s="79"/>
      <c r="N1185" s="74"/>
      <c r="O1185" s="81" t="s">
        <v>1206</v>
      </c>
      <c r="P1185" s="83">
        <v>44466.536273148151</v>
      </c>
      <c r="Q1185" s="81" t="s">
        <v>1644</v>
      </c>
      <c r="R1185" s="81"/>
      <c r="S1185" s="81"/>
      <c r="T1185" s="81"/>
      <c r="U1185" s="85" t="str">
        <f>HYPERLINK("https://pbs.twimg.com/media/FASwxKBVkAYcIkB.jpg")</f>
        <v>https://pbs.twimg.com/media/FASwxKBVkAYcIkB.jpg</v>
      </c>
      <c r="V1185" s="85" t="str">
        <f>HYPERLINK("https://pbs.twimg.com/media/FASwxKBVkAYcIkB.jpg")</f>
        <v>https://pbs.twimg.com/media/FASwxKBVkAYcIkB.jpg</v>
      </c>
      <c r="W1185" s="83">
        <v>44466.536273148151</v>
      </c>
      <c r="X1185" s="89">
        <v>44466</v>
      </c>
      <c r="Y1185" s="87" t="s">
        <v>2585</v>
      </c>
      <c r="Z1185" s="85" t="str">
        <f>HYPERLINK("https://twitter.com/ipm_smpalqolam/status/1442472145901158407")</f>
        <v>https://twitter.com/ipm_smpalqolam/status/1442472145901158407</v>
      </c>
      <c r="AA1185" s="81"/>
      <c r="AB1185" s="81"/>
      <c r="AC1185" s="87" t="s">
        <v>3513</v>
      </c>
      <c r="AD1185" s="81"/>
      <c r="AE1185" s="81" t="b">
        <v>0</v>
      </c>
      <c r="AF1185" s="81">
        <v>0</v>
      </c>
      <c r="AG1185" s="87" t="s">
        <v>3875</v>
      </c>
      <c r="AH1185" s="81" t="b">
        <v>0</v>
      </c>
      <c r="AI1185" s="81" t="s">
        <v>4092</v>
      </c>
      <c r="AJ1185" s="81"/>
      <c r="AK1185" s="87" t="s">
        <v>3875</v>
      </c>
      <c r="AL1185" s="81" t="b">
        <v>0</v>
      </c>
      <c r="AM1185" s="81">
        <v>0</v>
      </c>
      <c r="AN1185" s="87" t="s">
        <v>3875</v>
      </c>
      <c r="AO1185" s="87" t="s">
        <v>4109</v>
      </c>
      <c r="AP1185" s="81" t="b">
        <v>0</v>
      </c>
      <c r="AQ1185" s="87" t="s">
        <v>3513</v>
      </c>
      <c r="AR1185" s="81" t="s">
        <v>179</v>
      </c>
      <c r="AS1185" s="81">
        <v>0</v>
      </c>
      <c r="AT1185" s="81">
        <v>0</v>
      </c>
      <c r="AU1185" s="81"/>
      <c r="AV1185" s="81"/>
      <c r="AW1185" s="81"/>
      <c r="AX1185" s="81"/>
      <c r="AY1185" s="81"/>
      <c r="AZ1185" s="81"/>
      <c r="BA1185" s="81"/>
      <c r="BB1185" s="81"/>
    </row>
    <row r="1186" spans="1:54" x14ac:dyDescent="0.35">
      <c r="A1186" s="66" t="s">
        <v>936</v>
      </c>
      <c r="B1186" s="66" t="s">
        <v>957</v>
      </c>
      <c r="C1186" s="67"/>
      <c r="D1186" s="68"/>
      <c r="E1186" s="69"/>
      <c r="F1186" s="70"/>
      <c r="G1186" s="67"/>
      <c r="H1186" s="71"/>
      <c r="I1186" s="72"/>
      <c r="J1186" s="72"/>
      <c r="K1186" s="36"/>
      <c r="L1186" s="79"/>
      <c r="M1186" s="79"/>
      <c r="N1186" s="74"/>
      <c r="O1186" s="81" t="s">
        <v>1205</v>
      </c>
      <c r="P1186" s="83">
        <v>44466.543391203704</v>
      </c>
      <c r="Q1186" s="81" t="s">
        <v>1638</v>
      </c>
      <c r="R1186" s="81"/>
      <c r="S1186" s="81"/>
      <c r="T1186" s="81"/>
      <c r="U1186" s="85" t="str">
        <f>HYPERLINK("https://pbs.twimg.com/media/FASHjEnUcAMSLOM.jpg")</f>
        <v>https://pbs.twimg.com/media/FASHjEnUcAMSLOM.jpg</v>
      </c>
      <c r="V1186" s="85" t="str">
        <f>HYPERLINK("https://pbs.twimg.com/media/FASHjEnUcAMSLOM.jpg")</f>
        <v>https://pbs.twimg.com/media/FASHjEnUcAMSLOM.jpg</v>
      </c>
      <c r="W1186" s="83">
        <v>44466.543391203704</v>
      </c>
      <c r="X1186" s="89">
        <v>44466</v>
      </c>
      <c r="Y1186" s="87" t="s">
        <v>2586</v>
      </c>
      <c r="Z1186" s="85" t="str">
        <f>HYPERLINK("https://twitter.com/gojekmilitan/status/1442474725108711436")</f>
        <v>https://twitter.com/gojekmilitan/status/1442474725108711436</v>
      </c>
      <c r="AA1186" s="81"/>
      <c r="AB1186" s="81"/>
      <c r="AC1186" s="87" t="s">
        <v>3514</v>
      </c>
      <c r="AD1186" s="81"/>
      <c r="AE1186" s="81" t="b">
        <v>0</v>
      </c>
      <c r="AF1186" s="81">
        <v>0</v>
      </c>
      <c r="AG1186" s="87" t="s">
        <v>3875</v>
      </c>
      <c r="AH1186" s="81" t="b">
        <v>0</v>
      </c>
      <c r="AI1186" s="81" t="s">
        <v>4092</v>
      </c>
      <c r="AJ1186" s="81"/>
      <c r="AK1186" s="87" t="s">
        <v>3875</v>
      </c>
      <c r="AL1186" s="81" t="b">
        <v>0</v>
      </c>
      <c r="AM1186" s="81">
        <v>9</v>
      </c>
      <c r="AN1186" s="87" t="s">
        <v>3537</v>
      </c>
      <c r="AO1186" s="87" t="s">
        <v>4109</v>
      </c>
      <c r="AP1186" s="81" t="b">
        <v>0</v>
      </c>
      <c r="AQ1186" s="87" t="s">
        <v>3537</v>
      </c>
      <c r="AR1186" s="81" t="s">
        <v>179</v>
      </c>
      <c r="AS1186" s="81">
        <v>0</v>
      </c>
      <c r="AT1186" s="81">
        <v>0</v>
      </c>
      <c r="AU1186" s="81"/>
      <c r="AV1186" s="81"/>
      <c r="AW1186" s="81"/>
      <c r="AX1186" s="81"/>
      <c r="AY1186" s="81"/>
      <c r="AZ1186" s="81"/>
      <c r="BA1186" s="81"/>
      <c r="BB1186" s="81"/>
    </row>
    <row r="1187" spans="1:54" x14ac:dyDescent="0.35">
      <c r="A1187" s="66" t="s">
        <v>937</v>
      </c>
      <c r="B1187" s="66" t="s">
        <v>937</v>
      </c>
      <c r="C1187" s="67"/>
      <c r="D1187" s="68"/>
      <c r="E1187" s="69"/>
      <c r="F1187" s="70"/>
      <c r="G1187" s="67"/>
      <c r="H1187" s="71"/>
      <c r="I1187" s="72"/>
      <c r="J1187" s="72"/>
      <c r="K1187" s="36"/>
      <c r="L1187" s="79"/>
      <c r="M1187" s="79"/>
      <c r="N1187" s="74"/>
      <c r="O1187" s="81" t="s">
        <v>179</v>
      </c>
      <c r="P1187" s="83">
        <v>44466.55023148148</v>
      </c>
      <c r="Q1187" s="81" t="s">
        <v>1645</v>
      </c>
      <c r="R1187" s="81"/>
      <c r="S1187" s="81"/>
      <c r="T1187" s="81"/>
      <c r="U1187" s="81"/>
      <c r="V1187" s="85" t="str">
        <f>HYPERLINK("https://pbs.twimg.com/profile_images/1437377026567000071/XmAc_Niu_normal.jpg")</f>
        <v>https://pbs.twimg.com/profile_images/1437377026567000071/XmAc_Niu_normal.jpg</v>
      </c>
      <c r="W1187" s="83">
        <v>44466.55023148148</v>
      </c>
      <c r="X1187" s="89">
        <v>44466</v>
      </c>
      <c r="Y1187" s="87" t="s">
        <v>2587</v>
      </c>
      <c r="Z1187" s="85" t="str">
        <f>HYPERLINK("https://twitter.com/notyours_k/status/1442477204223369223")</f>
        <v>https://twitter.com/notyours_k/status/1442477204223369223</v>
      </c>
      <c r="AA1187" s="81"/>
      <c r="AB1187" s="81"/>
      <c r="AC1187" s="87" t="s">
        <v>3515</v>
      </c>
      <c r="AD1187" s="81"/>
      <c r="AE1187" s="81" t="b">
        <v>0</v>
      </c>
      <c r="AF1187" s="81">
        <v>0</v>
      </c>
      <c r="AG1187" s="87" t="s">
        <v>3875</v>
      </c>
      <c r="AH1187" s="81" t="b">
        <v>0</v>
      </c>
      <c r="AI1187" s="81" t="s">
        <v>4092</v>
      </c>
      <c r="AJ1187" s="81"/>
      <c r="AK1187" s="87" t="s">
        <v>3875</v>
      </c>
      <c r="AL1187" s="81" t="b">
        <v>0</v>
      </c>
      <c r="AM1187" s="81">
        <v>0</v>
      </c>
      <c r="AN1187" s="87" t="s">
        <v>3875</v>
      </c>
      <c r="AO1187" s="87" t="s">
        <v>4110</v>
      </c>
      <c r="AP1187" s="81" t="b">
        <v>0</v>
      </c>
      <c r="AQ1187" s="87" t="s">
        <v>3515</v>
      </c>
      <c r="AR1187" s="81" t="s">
        <v>179</v>
      </c>
      <c r="AS1187" s="81">
        <v>0</v>
      </c>
      <c r="AT1187" s="81">
        <v>0</v>
      </c>
      <c r="AU1187" s="81"/>
      <c r="AV1187" s="81"/>
      <c r="AW1187" s="81"/>
      <c r="AX1187" s="81"/>
      <c r="AY1187" s="81"/>
      <c r="AZ1187" s="81"/>
      <c r="BA1187" s="81"/>
      <c r="BB1187" s="81"/>
    </row>
    <row r="1188" spans="1:54" x14ac:dyDescent="0.35">
      <c r="A1188" s="66" t="s">
        <v>938</v>
      </c>
      <c r="B1188" s="66" t="s">
        <v>969</v>
      </c>
      <c r="C1188" s="67"/>
      <c r="D1188" s="68"/>
      <c r="E1188" s="69"/>
      <c r="F1188" s="70"/>
      <c r="G1188" s="67"/>
      <c r="H1188" s="71"/>
      <c r="I1188" s="72"/>
      <c r="J1188" s="72"/>
      <c r="K1188" s="36"/>
      <c r="L1188" s="79"/>
      <c r="M1188" s="79"/>
      <c r="N1188" s="74"/>
      <c r="O1188" s="81" t="s">
        <v>1208</v>
      </c>
      <c r="P1188" s="83">
        <v>44466.568611111114</v>
      </c>
      <c r="Q1188" s="81" t="s">
        <v>1646</v>
      </c>
      <c r="R1188" s="81"/>
      <c r="S1188" s="81"/>
      <c r="T1188" s="81"/>
      <c r="U1188" s="81"/>
      <c r="V1188" s="85" t="str">
        <f>HYPERLINK("https://pbs.twimg.com/profile_images/1442483139952082948/PLSpx5t7_normal.jpg")</f>
        <v>https://pbs.twimg.com/profile_images/1442483139952082948/PLSpx5t7_normal.jpg</v>
      </c>
      <c r="W1188" s="83">
        <v>44466.568611111114</v>
      </c>
      <c r="X1188" s="89">
        <v>44466</v>
      </c>
      <c r="Y1188" s="87" t="s">
        <v>2588</v>
      </c>
      <c r="Z1188" s="85" t="str">
        <f>HYPERLINK("https://twitter.com/tiniebubss/status/1442483866879414272")</f>
        <v>https://twitter.com/tiniebubss/status/1442483866879414272</v>
      </c>
      <c r="AA1188" s="81"/>
      <c r="AB1188" s="81"/>
      <c r="AC1188" s="87" t="s">
        <v>3516</v>
      </c>
      <c r="AD1188" s="87" t="s">
        <v>3852</v>
      </c>
      <c r="AE1188" s="81" t="b">
        <v>0</v>
      </c>
      <c r="AF1188" s="81">
        <v>0</v>
      </c>
      <c r="AG1188" s="87" t="s">
        <v>4070</v>
      </c>
      <c r="AH1188" s="81" t="b">
        <v>0</v>
      </c>
      <c r="AI1188" s="81" t="s">
        <v>4092</v>
      </c>
      <c r="AJ1188" s="81"/>
      <c r="AK1188" s="87" t="s">
        <v>3875</v>
      </c>
      <c r="AL1188" s="81" t="b">
        <v>0</v>
      </c>
      <c r="AM1188" s="81">
        <v>0</v>
      </c>
      <c r="AN1188" s="87" t="s">
        <v>3875</v>
      </c>
      <c r="AO1188" s="87" t="s">
        <v>4109</v>
      </c>
      <c r="AP1188" s="81" t="b">
        <v>0</v>
      </c>
      <c r="AQ1188" s="87" t="s">
        <v>3852</v>
      </c>
      <c r="AR1188" s="81" t="s">
        <v>179</v>
      </c>
      <c r="AS1188" s="81">
        <v>0</v>
      </c>
      <c r="AT1188" s="81">
        <v>0</v>
      </c>
      <c r="AU1188" s="81"/>
      <c r="AV1188" s="81"/>
      <c r="AW1188" s="81"/>
      <c r="AX1188" s="81"/>
      <c r="AY1188" s="81"/>
      <c r="AZ1188" s="81"/>
      <c r="BA1188" s="81"/>
      <c r="BB1188" s="81"/>
    </row>
    <row r="1189" spans="1:54" x14ac:dyDescent="0.35">
      <c r="A1189" s="66" t="s">
        <v>939</v>
      </c>
      <c r="B1189" s="66" t="s">
        <v>957</v>
      </c>
      <c r="C1189" s="67"/>
      <c r="D1189" s="68"/>
      <c r="E1189" s="69"/>
      <c r="F1189" s="70"/>
      <c r="G1189" s="67"/>
      <c r="H1189" s="71"/>
      <c r="I1189" s="72"/>
      <c r="J1189" s="72"/>
      <c r="K1189" s="36"/>
      <c r="L1189" s="79"/>
      <c r="M1189" s="79"/>
      <c r="N1189" s="74"/>
      <c r="O1189" s="81" t="s">
        <v>1205</v>
      </c>
      <c r="P1189" s="83">
        <v>44466.586377314816</v>
      </c>
      <c r="Q1189" s="81" t="s">
        <v>1638</v>
      </c>
      <c r="R1189" s="81"/>
      <c r="S1189" s="81"/>
      <c r="T1189" s="81"/>
      <c r="U1189" s="85" t="str">
        <f>HYPERLINK("https://pbs.twimg.com/media/FASHjEnUcAMSLOM.jpg")</f>
        <v>https://pbs.twimg.com/media/FASHjEnUcAMSLOM.jpg</v>
      </c>
      <c r="V1189" s="85" t="str">
        <f>HYPERLINK("https://pbs.twimg.com/media/FASHjEnUcAMSLOM.jpg")</f>
        <v>https://pbs.twimg.com/media/FASHjEnUcAMSLOM.jpg</v>
      </c>
      <c r="W1189" s="83">
        <v>44466.586377314816</v>
      </c>
      <c r="X1189" s="89">
        <v>44466</v>
      </c>
      <c r="Y1189" s="87" t="s">
        <v>2589</v>
      </c>
      <c r="Z1189" s="85" t="str">
        <f>HYPERLINK("https://twitter.com/negarakecil/status/1442490305803022343")</f>
        <v>https://twitter.com/negarakecil/status/1442490305803022343</v>
      </c>
      <c r="AA1189" s="81"/>
      <c r="AB1189" s="81"/>
      <c r="AC1189" s="87" t="s">
        <v>3517</v>
      </c>
      <c r="AD1189" s="81"/>
      <c r="AE1189" s="81" t="b">
        <v>0</v>
      </c>
      <c r="AF1189" s="81">
        <v>0</v>
      </c>
      <c r="AG1189" s="87" t="s">
        <v>3875</v>
      </c>
      <c r="AH1189" s="81" t="b">
        <v>0</v>
      </c>
      <c r="AI1189" s="81" t="s">
        <v>4092</v>
      </c>
      <c r="AJ1189" s="81"/>
      <c r="AK1189" s="87" t="s">
        <v>3875</v>
      </c>
      <c r="AL1189" s="81" t="b">
        <v>0</v>
      </c>
      <c r="AM1189" s="81">
        <v>9</v>
      </c>
      <c r="AN1189" s="87" t="s">
        <v>3537</v>
      </c>
      <c r="AO1189" s="87" t="s">
        <v>4109</v>
      </c>
      <c r="AP1189" s="81" t="b">
        <v>0</v>
      </c>
      <c r="AQ1189" s="87" t="s">
        <v>3537</v>
      </c>
      <c r="AR1189" s="81" t="s">
        <v>179</v>
      </c>
      <c r="AS1189" s="81">
        <v>0</v>
      </c>
      <c r="AT1189" s="81">
        <v>0</v>
      </c>
      <c r="AU1189" s="81"/>
      <c r="AV1189" s="81"/>
      <c r="AW1189" s="81"/>
      <c r="AX1189" s="81"/>
      <c r="AY1189" s="81"/>
      <c r="AZ1189" s="81"/>
      <c r="BA1189" s="81"/>
      <c r="BB1189" s="81"/>
    </row>
    <row r="1190" spans="1:54" x14ac:dyDescent="0.35">
      <c r="A1190" s="66" t="s">
        <v>940</v>
      </c>
      <c r="B1190" s="66" t="s">
        <v>1190</v>
      </c>
      <c r="C1190" s="67"/>
      <c r="D1190" s="68"/>
      <c r="E1190" s="69"/>
      <c r="F1190" s="70"/>
      <c r="G1190" s="67"/>
      <c r="H1190" s="71"/>
      <c r="I1190" s="72"/>
      <c r="J1190" s="72"/>
      <c r="K1190" s="36"/>
      <c r="L1190" s="79"/>
      <c r="M1190" s="79"/>
      <c r="N1190" s="74"/>
      <c r="O1190" s="81" t="s">
        <v>1208</v>
      </c>
      <c r="P1190" s="83">
        <v>44466.589016203703</v>
      </c>
      <c r="Q1190" s="81" t="s">
        <v>1647</v>
      </c>
      <c r="R1190" s="81"/>
      <c r="S1190" s="81"/>
      <c r="T1190" s="81"/>
      <c r="U1190" s="81"/>
      <c r="V1190" s="85" t="str">
        <f>HYPERLINK("https://pbs.twimg.com/profile_images/1117006411081216001/IXidIh7F_normal.jpg")</f>
        <v>https://pbs.twimg.com/profile_images/1117006411081216001/IXidIh7F_normal.jpg</v>
      </c>
      <c r="W1190" s="83">
        <v>44466.589016203703</v>
      </c>
      <c r="X1190" s="89">
        <v>44466</v>
      </c>
      <c r="Y1190" s="87" t="s">
        <v>2590</v>
      </c>
      <c r="Z1190" s="85" t="str">
        <f>HYPERLINK("https://twitter.com/dwinoerk/status/1442491260212637705")</f>
        <v>https://twitter.com/dwinoerk/status/1442491260212637705</v>
      </c>
      <c r="AA1190" s="81"/>
      <c r="AB1190" s="81"/>
      <c r="AC1190" s="87" t="s">
        <v>3518</v>
      </c>
      <c r="AD1190" s="87" t="s">
        <v>3853</v>
      </c>
      <c r="AE1190" s="81" t="b">
        <v>0</v>
      </c>
      <c r="AF1190" s="81">
        <v>0</v>
      </c>
      <c r="AG1190" s="87" t="s">
        <v>4071</v>
      </c>
      <c r="AH1190" s="81" t="b">
        <v>0</v>
      </c>
      <c r="AI1190" s="81" t="s">
        <v>4092</v>
      </c>
      <c r="AJ1190" s="81"/>
      <c r="AK1190" s="87" t="s">
        <v>3875</v>
      </c>
      <c r="AL1190" s="81" t="b">
        <v>0</v>
      </c>
      <c r="AM1190" s="81">
        <v>0</v>
      </c>
      <c r="AN1190" s="87" t="s">
        <v>3875</v>
      </c>
      <c r="AO1190" s="87" t="s">
        <v>4110</v>
      </c>
      <c r="AP1190" s="81" t="b">
        <v>0</v>
      </c>
      <c r="AQ1190" s="87" t="s">
        <v>3853</v>
      </c>
      <c r="AR1190" s="81" t="s">
        <v>179</v>
      </c>
      <c r="AS1190" s="81">
        <v>0</v>
      </c>
      <c r="AT1190" s="81">
        <v>0</v>
      </c>
      <c r="AU1190" s="81"/>
      <c r="AV1190" s="81"/>
      <c r="AW1190" s="81"/>
      <c r="AX1190" s="81"/>
      <c r="AY1190" s="81"/>
      <c r="AZ1190" s="81"/>
      <c r="BA1190" s="81"/>
      <c r="BB1190" s="81"/>
    </row>
    <row r="1191" spans="1:54" x14ac:dyDescent="0.35">
      <c r="A1191" s="66" t="s">
        <v>941</v>
      </c>
      <c r="B1191" s="66" t="s">
        <v>1191</v>
      </c>
      <c r="C1191" s="67"/>
      <c r="D1191" s="68"/>
      <c r="E1191" s="69"/>
      <c r="F1191" s="70"/>
      <c r="G1191" s="67"/>
      <c r="H1191" s="71"/>
      <c r="I1191" s="72"/>
      <c r="J1191" s="72"/>
      <c r="K1191" s="36"/>
      <c r="L1191" s="79"/>
      <c r="M1191" s="79"/>
      <c r="N1191" s="74"/>
      <c r="O1191" s="81" t="s">
        <v>1208</v>
      </c>
      <c r="P1191" s="83">
        <v>44466.595208333332</v>
      </c>
      <c r="Q1191" s="81" t="s">
        <v>1648</v>
      </c>
      <c r="R1191" s="81"/>
      <c r="S1191" s="81"/>
      <c r="T1191" s="81"/>
      <c r="U1191" s="81"/>
      <c r="V1191" s="85" t="str">
        <f>HYPERLINK("https://pbs.twimg.com/profile_images/1223811350800916480/_0APqqXo_normal.jpg")</f>
        <v>https://pbs.twimg.com/profile_images/1223811350800916480/_0APqqXo_normal.jpg</v>
      </c>
      <c r="W1191" s="83">
        <v>44466.595208333332</v>
      </c>
      <c r="X1191" s="89">
        <v>44466</v>
      </c>
      <c r="Y1191" s="87" t="s">
        <v>2591</v>
      </c>
      <c r="Z1191" s="85" t="str">
        <f>HYPERLINK("https://twitter.com/acengnurhid/status/1442493505872429064")</f>
        <v>https://twitter.com/acengnurhid/status/1442493505872429064</v>
      </c>
      <c r="AA1191" s="81"/>
      <c r="AB1191" s="81"/>
      <c r="AC1191" s="87" t="s">
        <v>3519</v>
      </c>
      <c r="AD1191" s="87" t="s">
        <v>3854</v>
      </c>
      <c r="AE1191" s="81" t="b">
        <v>0</v>
      </c>
      <c r="AF1191" s="81">
        <v>0</v>
      </c>
      <c r="AG1191" s="87" t="s">
        <v>4072</v>
      </c>
      <c r="AH1191" s="81" t="b">
        <v>0</v>
      </c>
      <c r="AI1191" s="81" t="s">
        <v>4092</v>
      </c>
      <c r="AJ1191" s="81"/>
      <c r="AK1191" s="87" t="s">
        <v>3875</v>
      </c>
      <c r="AL1191" s="81" t="b">
        <v>0</v>
      </c>
      <c r="AM1191" s="81">
        <v>0</v>
      </c>
      <c r="AN1191" s="87" t="s">
        <v>3875</v>
      </c>
      <c r="AO1191" s="87" t="s">
        <v>4109</v>
      </c>
      <c r="AP1191" s="81" t="b">
        <v>0</v>
      </c>
      <c r="AQ1191" s="87" t="s">
        <v>3854</v>
      </c>
      <c r="AR1191" s="81" t="s">
        <v>179</v>
      </c>
      <c r="AS1191" s="81">
        <v>0</v>
      </c>
      <c r="AT1191" s="81">
        <v>0</v>
      </c>
      <c r="AU1191" s="81"/>
      <c r="AV1191" s="81"/>
      <c r="AW1191" s="81"/>
      <c r="AX1191" s="81"/>
      <c r="AY1191" s="81"/>
      <c r="AZ1191" s="81"/>
      <c r="BA1191" s="81"/>
      <c r="BB1191" s="81"/>
    </row>
    <row r="1192" spans="1:54" x14ac:dyDescent="0.35">
      <c r="A1192" s="66" t="s">
        <v>910</v>
      </c>
      <c r="B1192" s="66" t="s">
        <v>1055</v>
      </c>
      <c r="C1192" s="67"/>
      <c r="D1192" s="68"/>
      <c r="E1192" s="69"/>
      <c r="F1192" s="70"/>
      <c r="G1192" s="67"/>
      <c r="H1192" s="71"/>
      <c r="I1192" s="72"/>
      <c r="J1192" s="72"/>
      <c r="K1192" s="36"/>
      <c r="L1192" s="79"/>
      <c r="M1192" s="79"/>
      <c r="N1192" s="74"/>
      <c r="O1192" s="81" t="s">
        <v>1206</v>
      </c>
      <c r="P1192" s="83">
        <v>44460.044560185182</v>
      </c>
      <c r="Q1192" s="81" t="s">
        <v>1324</v>
      </c>
      <c r="R1192" s="81"/>
      <c r="S1192" s="81"/>
      <c r="T1192" s="81"/>
      <c r="U1192" s="85" t="str">
        <f>HYPERLINK("https://pbs.twimg.com/media/E_xVJy2VQAQerFe.jpg")</f>
        <v>https://pbs.twimg.com/media/E_xVJy2VQAQerFe.jpg</v>
      </c>
      <c r="V1192" s="85" t="str">
        <f>HYPERLINK("https://pbs.twimg.com/media/E_xVJy2VQAQerFe.jpg")</f>
        <v>https://pbs.twimg.com/media/E_xVJy2VQAQerFe.jpg</v>
      </c>
      <c r="W1192" s="83">
        <v>44460.044560185182</v>
      </c>
      <c r="X1192" s="89">
        <v>44460</v>
      </c>
      <c r="Y1192" s="87" t="s">
        <v>2592</v>
      </c>
      <c r="Z1192" s="85" t="str">
        <f>HYPERLINK("https://twitter.com/ib_ost/status/1440119631516082176")</f>
        <v>https://twitter.com/ib_ost/status/1440119631516082176</v>
      </c>
      <c r="AA1192" s="81"/>
      <c r="AB1192" s="81"/>
      <c r="AC1192" s="87" t="s">
        <v>3520</v>
      </c>
      <c r="AD1192" s="81"/>
      <c r="AE1192" s="81" t="b">
        <v>0</v>
      </c>
      <c r="AF1192" s="81">
        <v>747</v>
      </c>
      <c r="AG1192" s="87" t="s">
        <v>3875</v>
      </c>
      <c r="AH1192" s="81" t="b">
        <v>0</v>
      </c>
      <c r="AI1192" s="81" t="s">
        <v>4092</v>
      </c>
      <c r="AJ1192" s="81"/>
      <c r="AK1192" s="87" t="s">
        <v>3875</v>
      </c>
      <c r="AL1192" s="81" t="b">
        <v>0</v>
      </c>
      <c r="AM1192" s="81">
        <v>321</v>
      </c>
      <c r="AN1192" s="87" t="s">
        <v>3875</v>
      </c>
      <c r="AO1192" s="87" t="s">
        <v>4111</v>
      </c>
      <c r="AP1192" s="81" t="b">
        <v>0</v>
      </c>
      <c r="AQ1192" s="87" t="s">
        <v>3520</v>
      </c>
      <c r="AR1192" s="81" t="s">
        <v>179</v>
      </c>
      <c r="AS1192" s="81">
        <v>0</v>
      </c>
      <c r="AT1192" s="81">
        <v>0</v>
      </c>
      <c r="AU1192" s="81"/>
      <c r="AV1192" s="81"/>
      <c r="AW1192" s="81"/>
      <c r="AX1192" s="81"/>
      <c r="AY1192" s="81"/>
      <c r="AZ1192" s="81"/>
      <c r="BA1192" s="81"/>
      <c r="BB1192" s="81"/>
    </row>
    <row r="1193" spans="1:54" x14ac:dyDescent="0.35">
      <c r="A1193" s="66" t="s">
        <v>910</v>
      </c>
      <c r="B1193" s="66" t="s">
        <v>1055</v>
      </c>
      <c r="C1193" s="67"/>
      <c r="D1193" s="68"/>
      <c r="E1193" s="69"/>
      <c r="F1193" s="70"/>
      <c r="G1193" s="67"/>
      <c r="H1193" s="71"/>
      <c r="I1193" s="72"/>
      <c r="J1193" s="72"/>
      <c r="K1193" s="36"/>
      <c r="L1193" s="79"/>
      <c r="M1193" s="79"/>
      <c r="N1193" s="74"/>
      <c r="O1193" s="81" t="s">
        <v>1208</v>
      </c>
      <c r="P1193" s="83">
        <v>44460.204340277778</v>
      </c>
      <c r="Q1193" s="81" t="s">
        <v>1334</v>
      </c>
      <c r="R1193" s="81"/>
      <c r="S1193" s="81"/>
      <c r="T1193" s="81"/>
      <c r="U1193" s="81"/>
      <c r="V1193" s="85" t="str">
        <f>HYPERLINK("https://pbs.twimg.com/profile_images/1428888419950743555/FV7XGf5o_normal.jpg")</f>
        <v>https://pbs.twimg.com/profile_images/1428888419950743555/FV7XGf5o_normal.jpg</v>
      </c>
      <c r="W1193" s="83">
        <v>44460.204340277778</v>
      </c>
      <c r="X1193" s="89">
        <v>44460</v>
      </c>
      <c r="Y1193" s="87" t="s">
        <v>2559</v>
      </c>
      <c r="Z1193" s="85" t="str">
        <f>HYPERLINK("https://twitter.com/ib_ost/status/1440177533459189765")</f>
        <v>https://twitter.com/ib_ost/status/1440177533459189765</v>
      </c>
      <c r="AA1193" s="81"/>
      <c r="AB1193" s="81"/>
      <c r="AC1193" s="87" t="s">
        <v>3487</v>
      </c>
      <c r="AD1193" s="87" t="s">
        <v>3520</v>
      </c>
      <c r="AE1193" s="81" t="b">
        <v>0</v>
      </c>
      <c r="AF1193" s="81">
        <v>16</v>
      </c>
      <c r="AG1193" s="87" t="s">
        <v>4060</v>
      </c>
      <c r="AH1193" s="81" t="b">
        <v>0</v>
      </c>
      <c r="AI1193" s="81" t="s">
        <v>4092</v>
      </c>
      <c r="AJ1193" s="81"/>
      <c r="AK1193" s="87" t="s">
        <v>3875</v>
      </c>
      <c r="AL1193" s="81" t="b">
        <v>0</v>
      </c>
      <c r="AM1193" s="81">
        <v>4</v>
      </c>
      <c r="AN1193" s="87" t="s">
        <v>3875</v>
      </c>
      <c r="AO1193" s="87" t="s">
        <v>4111</v>
      </c>
      <c r="AP1193" s="81" t="b">
        <v>0</v>
      </c>
      <c r="AQ1193" s="87" t="s">
        <v>3520</v>
      </c>
      <c r="AR1193" s="81" t="s">
        <v>179</v>
      </c>
      <c r="AS1193" s="81">
        <v>0</v>
      </c>
      <c r="AT1193" s="81">
        <v>0</v>
      </c>
      <c r="AU1193" s="81"/>
      <c r="AV1193" s="81"/>
      <c r="AW1193" s="81"/>
      <c r="AX1193" s="81"/>
      <c r="AY1193" s="81"/>
      <c r="AZ1193" s="81"/>
      <c r="BA1193" s="81"/>
      <c r="BB1193" s="81"/>
    </row>
    <row r="1194" spans="1:54" x14ac:dyDescent="0.35">
      <c r="A1194" s="66" t="s">
        <v>942</v>
      </c>
      <c r="B1194" s="66" t="s">
        <v>1055</v>
      </c>
      <c r="C1194" s="67"/>
      <c r="D1194" s="68"/>
      <c r="E1194" s="69"/>
      <c r="F1194" s="70"/>
      <c r="G1194" s="67"/>
      <c r="H1194" s="71"/>
      <c r="I1194" s="72"/>
      <c r="J1194" s="72"/>
      <c r="K1194" s="36"/>
      <c r="L1194" s="79"/>
      <c r="M1194" s="79"/>
      <c r="N1194" s="74"/>
      <c r="O1194" s="81" t="s">
        <v>1207</v>
      </c>
      <c r="P1194" s="83">
        <v>44466.597962962966</v>
      </c>
      <c r="Q1194" s="81" t="s">
        <v>1324</v>
      </c>
      <c r="R1194" s="81"/>
      <c r="S1194" s="81"/>
      <c r="T1194" s="81"/>
      <c r="U1194" s="85" t="str">
        <f>HYPERLINK("https://pbs.twimg.com/media/E_xVJy2VQAQerFe.jpg")</f>
        <v>https://pbs.twimg.com/media/E_xVJy2VQAQerFe.jpg</v>
      </c>
      <c r="V1194" s="85" t="str">
        <f>HYPERLINK("https://pbs.twimg.com/media/E_xVJy2VQAQerFe.jpg")</f>
        <v>https://pbs.twimg.com/media/E_xVJy2VQAQerFe.jpg</v>
      </c>
      <c r="W1194" s="83">
        <v>44466.597962962966</v>
      </c>
      <c r="X1194" s="89">
        <v>44466</v>
      </c>
      <c r="Y1194" s="87" t="s">
        <v>2593</v>
      </c>
      <c r="Z1194" s="85" t="str">
        <f>HYPERLINK("https://twitter.com/rmdharmasetia/status/1442494502992707584")</f>
        <v>https://twitter.com/rmdharmasetia/status/1442494502992707584</v>
      </c>
      <c r="AA1194" s="81"/>
      <c r="AB1194" s="81"/>
      <c r="AC1194" s="87" t="s">
        <v>3521</v>
      </c>
      <c r="AD1194" s="81"/>
      <c r="AE1194" s="81" t="b">
        <v>0</v>
      </c>
      <c r="AF1194" s="81">
        <v>0</v>
      </c>
      <c r="AG1194" s="87" t="s">
        <v>3875</v>
      </c>
      <c r="AH1194" s="81" t="b">
        <v>0</v>
      </c>
      <c r="AI1194" s="81" t="s">
        <v>4092</v>
      </c>
      <c r="AJ1194" s="81"/>
      <c r="AK1194" s="87" t="s">
        <v>3875</v>
      </c>
      <c r="AL1194" s="81" t="b">
        <v>0</v>
      </c>
      <c r="AM1194" s="81">
        <v>321</v>
      </c>
      <c r="AN1194" s="87" t="s">
        <v>3520</v>
      </c>
      <c r="AO1194" s="87" t="s">
        <v>4109</v>
      </c>
      <c r="AP1194" s="81" t="b">
        <v>0</v>
      </c>
      <c r="AQ1194" s="87" t="s">
        <v>3520</v>
      </c>
      <c r="AR1194" s="81" t="s">
        <v>179</v>
      </c>
      <c r="AS1194" s="81">
        <v>0</v>
      </c>
      <c r="AT1194" s="81">
        <v>0</v>
      </c>
      <c r="AU1194" s="81"/>
      <c r="AV1194" s="81"/>
      <c r="AW1194" s="81"/>
      <c r="AX1194" s="81"/>
      <c r="AY1194" s="81"/>
      <c r="AZ1194" s="81"/>
      <c r="BA1194" s="81"/>
      <c r="BB1194" s="81"/>
    </row>
    <row r="1195" spans="1:54" x14ac:dyDescent="0.35">
      <c r="A1195" s="66" t="s">
        <v>942</v>
      </c>
      <c r="B1195" s="66" t="s">
        <v>910</v>
      </c>
      <c r="C1195" s="67"/>
      <c r="D1195" s="68"/>
      <c r="E1195" s="69"/>
      <c r="F1195" s="70"/>
      <c r="G1195" s="67"/>
      <c r="H1195" s="71"/>
      <c r="I1195" s="72"/>
      <c r="J1195" s="72"/>
      <c r="K1195" s="36"/>
      <c r="L1195" s="79"/>
      <c r="M1195" s="79"/>
      <c r="N1195" s="74"/>
      <c r="O1195" s="81" t="s">
        <v>1205</v>
      </c>
      <c r="P1195" s="83">
        <v>44466.597962962966</v>
      </c>
      <c r="Q1195" s="81" t="s">
        <v>1324</v>
      </c>
      <c r="R1195" s="81"/>
      <c r="S1195" s="81"/>
      <c r="T1195" s="81"/>
      <c r="U1195" s="85" t="str">
        <f>HYPERLINK("https://pbs.twimg.com/media/E_xVJy2VQAQerFe.jpg")</f>
        <v>https://pbs.twimg.com/media/E_xVJy2VQAQerFe.jpg</v>
      </c>
      <c r="V1195" s="85" t="str">
        <f>HYPERLINK("https://pbs.twimg.com/media/E_xVJy2VQAQerFe.jpg")</f>
        <v>https://pbs.twimg.com/media/E_xVJy2VQAQerFe.jpg</v>
      </c>
      <c r="W1195" s="83">
        <v>44466.597962962966</v>
      </c>
      <c r="X1195" s="89">
        <v>44466</v>
      </c>
      <c r="Y1195" s="87" t="s">
        <v>2593</v>
      </c>
      <c r="Z1195" s="85" t="str">
        <f>HYPERLINK("https://twitter.com/rmdharmasetia/status/1442494502992707584")</f>
        <v>https://twitter.com/rmdharmasetia/status/1442494502992707584</v>
      </c>
      <c r="AA1195" s="81"/>
      <c r="AB1195" s="81"/>
      <c r="AC1195" s="87" t="s">
        <v>3521</v>
      </c>
      <c r="AD1195" s="81"/>
      <c r="AE1195" s="81" t="b">
        <v>0</v>
      </c>
      <c r="AF1195" s="81">
        <v>0</v>
      </c>
      <c r="AG1195" s="87" t="s">
        <v>3875</v>
      </c>
      <c r="AH1195" s="81" t="b">
        <v>0</v>
      </c>
      <c r="AI1195" s="81" t="s">
        <v>4092</v>
      </c>
      <c r="AJ1195" s="81"/>
      <c r="AK1195" s="87" t="s">
        <v>3875</v>
      </c>
      <c r="AL1195" s="81" t="b">
        <v>0</v>
      </c>
      <c r="AM1195" s="81">
        <v>321</v>
      </c>
      <c r="AN1195" s="87" t="s">
        <v>3520</v>
      </c>
      <c r="AO1195" s="87" t="s">
        <v>4109</v>
      </c>
      <c r="AP1195" s="81" t="b">
        <v>0</v>
      </c>
      <c r="AQ1195" s="87" t="s">
        <v>3520</v>
      </c>
      <c r="AR1195" s="81" t="s">
        <v>179</v>
      </c>
      <c r="AS1195" s="81">
        <v>0</v>
      </c>
      <c r="AT1195" s="81">
        <v>0</v>
      </c>
      <c r="AU1195" s="81"/>
      <c r="AV1195" s="81"/>
      <c r="AW1195" s="81"/>
      <c r="AX1195" s="81"/>
      <c r="AY1195" s="81"/>
      <c r="AZ1195" s="81"/>
      <c r="BA1195" s="81"/>
      <c r="BB1195" s="81"/>
    </row>
    <row r="1196" spans="1:54" x14ac:dyDescent="0.35">
      <c r="A1196" s="66" t="s">
        <v>943</v>
      </c>
      <c r="B1196" s="66" t="s">
        <v>944</v>
      </c>
      <c r="C1196" s="67"/>
      <c r="D1196" s="68"/>
      <c r="E1196" s="69"/>
      <c r="F1196" s="70"/>
      <c r="G1196" s="67"/>
      <c r="H1196" s="71"/>
      <c r="I1196" s="72"/>
      <c r="J1196" s="72"/>
      <c r="K1196" s="36"/>
      <c r="L1196" s="79"/>
      <c r="M1196" s="79"/>
      <c r="N1196" s="74"/>
      <c r="O1196" s="81" t="s">
        <v>1208</v>
      </c>
      <c r="P1196" s="83">
        <v>44466.606620370374</v>
      </c>
      <c r="Q1196" s="81" t="s">
        <v>1649</v>
      </c>
      <c r="R1196" s="81"/>
      <c r="S1196" s="81"/>
      <c r="T1196" s="81"/>
      <c r="U1196" s="81"/>
      <c r="V1196" s="85" t="str">
        <f>HYPERLINK("https://pbs.twimg.com/profile_images/1433705550605262848/-R8nyHHY_normal.jpg")</f>
        <v>https://pbs.twimg.com/profile_images/1433705550605262848/-R8nyHHY_normal.jpg</v>
      </c>
      <c r="W1196" s="83">
        <v>44466.606620370374</v>
      </c>
      <c r="X1196" s="89">
        <v>44466</v>
      </c>
      <c r="Y1196" s="87" t="s">
        <v>2594</v>
      </c>
      <c r="Z1196" s="85" t="str">
        <f>HYPERLINK("https://twitter.com/wicaksono_pe/status/1442497642332778501")</f>
        <v>https://twitter.com/wicaksono_pe/status/1442497642332778501</v>
      </c>
      <c r="AA1196" s="81"/>
      <c r="AB1196" s="81"/>
      <c r="AC1196" s="87" t="s">
        <v>3522</v>
      </c>
      <c r="AD1196" s="87" t="s">
        <v>3855</v>
      </c>
      <c r="AE1196" s="81" t="b">
        <v>0</v>
      </c>
      <c r="AF1196" s="81">
        <v>1</v>
      </c>
      <c r="AG1196" s="87" t="s">
        <v>4073</v>
      </c>
      <c r="AH1196" s="81" t="b">
        <v>0</v>
      </c>
      <c r="AI1196" s="81" t="s">
        <v>4093</v>
      </c>
      <c r="AJ1196" s="81"/>
      <c r="AK1196" s="87" t="s">
        <v>3875</v>
      </c>
      <c r="AL1196" s="81" t="b">
        <v>0</v>
      </c>
      <c r="AM1196" s="81">
        <v>0</v>
      </c>
      <c r="AN1196" s="87" t="s">
        <v>3875</v>
      </c>
      <c r="AO1196" s="87" t="s">
        <v>4111</v>
      </c>
      <c r="AP1196" s="81" t="b">
        <v>0</v>
      </c>
      <c r="AQ1196" s="87" t="s">
        <v>3855</v>
      </c>
      <c r="AR1196" s="81" t="s">
        <v>179</v>
      </c>
      <c r="AS1196" s="81">
        <v>0</v>
      </c>
      <c r="AT1196" s="81">
        <v>0</v>
      </c>
      <c r="AU1196" s="81"/>
      <c r="AV1196" s="81"/>
      <c r="AW1196" s="81"/>
      <c r="AX1196" s="81"/>
      <c r="AY1196" s="81"/>
      <c r="AZ1196" s="81"/>
      <c r="BA1196" s="81"/>
      <c r="BB1196" s="81"/>
    </row>
    <row r="1197" spans="1:54" x14ac:dyDescent="0.35">
      <c r="A1197" s="66" t="s">
        <v>944</v>
      </c>
      <c r="B1197" s="66" t="s">
        <v>944</v>
      </c>
      <c r="C1197" s="67"/>
      <c r="D1197" s="68"/>
      <c r="E1197" s="69"/>
      <c r="F1197" s="70"/>
      <c r="G1197" s="67"/>
      <c r="H1197" s="71"/>
      <c r="I1197" s="72"/>
      <c r="J1197" s="72"/>
      <c r="K1197" s="36"/>
      <c r="L1197" s="79"/>
      <c r="M1197" s="79"/>
      <c r="N1197" s="74"/>
      <c r="O1197" s="81" t="s">
        <v>179</v>
      </c>
      <c r="P1197" s="83">
        <v>44466.608344907407</v>
      </c>
      <c r="Q1197" s="81" t="s">
        <v>1650</v>
      </c>
      <c r="R1197" s="85" t="str">
        <f>HYPERLINK("https://twitter.com/Wicaksono_pe/status/1442497642332778501")</f>
        <v>https://twitter.com/Wicaksono_pe/status/1442497642332778501</v>
      </c>
      <c r="S1197" s="81" t="s">
        <v>1731</v>
      </c>
      <c r="T1197" s="81"/>
      <c r="U1197" s="81"/>
      <c r="V1197" s="85" t="str">
        <f>HYPERLINK("https://pbs.twimg.com/profile_images/1434103240988119040/IWpRojT5_normal.jpg")</f>
        <v>https://pbs.twimg.com/profile_images/1434103240988119040/IWpRojT5_normal.jpg</v>
      </c>
      <c r="W1197" s="83">
        <v>44466.608344907407</v>
      </c>
      <c r="X1197" s="89">
        <v>44466</v>
      </c>
      <c r="Y1197" s="87" t="s">
        <v>2595</v>
      </c>
      <c r="Z1197" s="85" t="str">
        <f>HYPERLINK("https://twitter.com/minanggermanic/status/1442498266197676035")</f>
        <v>https://twitter.com/minanggermanic/status/1442498266197676035</v>
      </c>
      <c r="AA1197" s="81"/>
      <c r="AB1197" s="81"/>
      <c r="AC1197" s="87" t="s">
        <v>3523</v>
      </c>
      <c r="AD1197" s="81"/>
      <c r="AE1197" s="81" t="b">
        <v>0</v>
      </c>
      <c r="AF1197" s="81">
        <v>3</v>
      </c>
      <c r="AG1197" s="87" t="s">
        <v>3875</v>
      </c>
      <c r="AH1197" s="81" t="b">
        <v>1</v>
      </c>
      <c r="AI1197" s="81" t="s">
        <v>4093</v>
      </c>
      <c r="AJ1197" s="81"/>
      <c r="AK1197" s="87" t="s">
        <v>3522</v>
      </c>
      <c r="AL1197" s="81" t="b">
        <v>0</v>
      </c>
      <c r="AM1197" s="81">
        <v>0</v>
      </c>
      <c r="AN1197" s="87" t="s">
        <v>3875</v>
      </c>
      <c r="AO1197" s="87" t="s">
        <v>4109</v>
      </c>
      <c r="AP1197" s="81" t="b">
        <v>0</v>
      </c>
      <c r="AQ1197" s="87" t="s">
        <v>3523</v>
      </c>
      <c r="AR1197" s="81" t="s">
        <v>179</v>
      </c>
      <c r="AS1197" s="81">
        <v>0</v>
      </c>
      <c r="AT1197" s="81">
        <v>0</v>
      </c>
      <c r="AU1197" s="81"/>
      <c r="AV1197" s="81"/>
      <c r="AW1197" s="81"/>
      <c r="AX1197" s="81"/>
      <c r="AY1197" s="81"/>
      <c r="AZ1197" s="81"/>
      <c r="BA1197" s="81"/>
      <c r="BB1197" s="81"/>
    </row>
    <row r="1198" spans="1:54" x14ac:dyDescent="0.35">
      <c r="A1198" s="66" t="s">
        <v>945</v>
      </c>
      <c r="B1198" s="66" t="s">
        <v>1192</v>
      </c>
      <c r="C1198" s="67"/>
      <c r="D1198" s="68"/>
      <c r="E1198" s="69"/>
      <c r="F1198" s="70"/>
      <c r="G1198" s="67"/>
      <c r="H1198" s="71"/>
      <c r="I1198" s="72"/>
      <c r="J1198" s="72"/>
      <c r="K1198" s="36"/>
      <c r="L1198" s="79"/>
      <c r="M1198" s="79"/>
      <c r="N1198" s="74"/>
      <c r="O1198" s="81" t="s">
        <v>1208</v>
      </c>
      <c r="P1198" s="83">
        <v>44466.612986111111</v>
      </c>
      <c r="Q1198" s="81" t="s">
        <v>1651</v>
      </c>
      <c r="R1198" s="81"/>
      <c r="S1198" s="81"/>
      <c r="T1198" s="81"/>
      <c r="U1198" s="81"/>
      <c r="V1198" s="85" t="str">
        <f>HYPERLINK("https://pbs.twimg.com/profile_images/1442654791893610497/WNgptmiR_normal.jpg")</f>
        <v>https://pbs.twimg.com/profile_images/1442654791893610497/WNgptmiR_normal.jpg</v>
      </c>
      <c r="W1198" s="83">
        <v>44466.612986111111</v>
      </c>
      <c r="X1198" s="89">
        <v>44466</v>
      </c>
      <c r="Y1198" s="87" t="s">
        <v>2596</v>
      </c>
      <c r="Z1198" s="85" t="str">
        <f>HYPERLINK("https://twitter.com/kwangjoobi/status/1442499947761340420")</f>
        <v>https://twitter.com/kwangjoobi/status/1442499947761340420</v>
      </c>
      <c r="AA1198" s="81"/>
      <c r="AB1198" s="81"/>
      <c r="AC1198" s="87" t="s">
        <v>3524</v>
      </c>
      <c r="AD1198" s="87" t="s">
        <v>3856</v>
      </c>
      <c r="AE1198" s="81" t="b">
        <v>0</v>
      </c>
      <c r="AF1198" s="81">
        <v>0</v>
      </c>
      <c r="AG1198" s="87" t="s">
        <v>4074</v>
      </c>
      <c r="AH1198" s="81" t="b">
        <v>0</v>
      </c>
      <c r="AI1198" s="81" t="s">
        <v>4092</v>
      </c>
      <c r="AJ1198" s="81"/>
      <c r="AK1198" s="87" t="s">
        <v>3875</v>
      </c>
      <c r="AL1198" s="81" t="b">
        <v>0</v>
      </c>
      <c r="AM1198" s="81">
        <v>0</v>
      </c>
      <c r="AN1198" s="87" t="s">
        <v>3875</v>
      </c>
      <c r="AO1198" s="87" t="s">
        <v>4109</v>
      </c>
      <c r="AP1198" s="81" t="b">
        <v>0</v>
      </c>
      <c r="AQ1198" s="87" t="s">
        <v>3856</v>
      </c>
      <c r="AR1198" s="81" t="s">
        <v>179</v>
      </c>
      <c r="AS1198" s="81">
        <v>0</v>
      </c>
      <c r="AT1198" s="81">
        <v>0</v>
      </c>
      <c r="AU1198" s="81"/>
      <c r="AV1198" s="81"/>
      <c r="AW1198" s="81"/>
      <c r="AX1198" s="81"/>
      <c r="AY1198" s="81"/>
      <c r="AZ1198" s="81"/>
      <c r="BA1198" s="81"/>
      <c r="BB1198" s="81"/>
    </row>
    <row r="1199" spans="1:54" x14ac:dyDescent="0.35">
      <c r="A1199" s="66" t="s">
        <v>946</v>
      </c>
      <c r="B1199" s="66" t="s">
        <v>1193</v>
      </c>
      <c r="C1199" s="67"/>
      <c r="D1199" s="68"/>
      <c r="E1199" s="69"/>
      <c r="F1199" s="70"/>
      <c r="G1199" s="67"/>
      <c r="H1199" s="71"/>
      <c r="I1199" s="72"/>
      <c r="J1199" s="72"/>
      <c r="K1199" s="36"/>
      <c r="L1199" s="79"/>
      <c r="M1199" s="79"/>
      <c r="N1199" s="74"/>
      <c r="O1199" s="81" t="s">
        <v>1208</v>
      </c>
      <c r="P1199" s="83">
        <v>44466.623576388891</v>
      </c>
      <c r="Q1199" s="81" t="s">
        <v>1652</v>
      </c>
      <c r="R1199" s="81"/>
      <c r="S1199" s="81"/>
      <c r="T1199" s="81"/>
      <c r="U1199" s="81"/>
      <c r="V1199" s="85" t="str">
        <f>HYPERLINK("https://pbs.twimg.com/profile_images/1440305315572973580/rSMwLam0_normal.jpg")</f>
        <v>https://pbs.twimg.com/profile_images/1440305315572973580/rSMwLam0_normal.jpg</v>
      </c>
      <c r="W1199" s="83">
        <v>44466.623576388891</v>
      </c>
      <c r="X1199" s="89">
        <v>44466</v>
      </c>
      <c r="Y1199" s="87" t="s">
        <v>2597</v>
      </c>
      <c r="Z1199" s="85" t="str">
        <f>HYPERLINK("https://twitter.com/ardanisbergas/status/1442503787164299264")</f>
        <v>https://twitter.com/ardanisbergas/status/1442503787164299264</v>
      </c>
      <c r="AA1199" s="81"/>
      <c r="AB1199" s="81"/>
      <c r="AC1199" s="87" t="s">
        <v>3525</v>
      </c>
      <c r="AD1199" s="87" t="s">
        <v>3857</v>
      </c>
      <c r="AE1199" s="81" t="b">
        <v>0</v>
      </c>
      <c r="AF1199" s="81">
        <v>0</v>
      </c>
      <c r="AG1199" s="87" t="s">
        <v>4075</v>
      </c>
      <c r="AH1199" s="81" t="b">
        <v>0</v>
      </c>
      <c r="AI1199" s="81" t="s">
        <v>4092</v>
      </c>
      <c r="AJ1199" s="81"/>
      <c r="AK1199" s="87" t="s">
        <v>3875</v>
      </c>
      <c r="AL1199" s="81" t="b">
        <v>0</v>
      </c>
      <c r="AM1199" s="81">
        <v>0</v>
      </c>
      <c r="AN1199" s="87" t="s">
        <v>3875</v>
      </c>
      <c r="AO1199" s="87" t="s">
        <v>4110</v>
      </c>
      <c r="AP1199" s="81" t="b">
        <v>0</v>
      </c>
      <c r="AQ1199" s="87" t="s">
        <v>3857</v>
      </c>
      <c r="AR1199" s="81" t="s">
        <v>179</v>
      </c>
      <c r="AS1199" s="81">
        <v>0</v>
      </c>
      <c r="AT1199" s="81">
        <v>0</v>
      </c>
      <c r="AU1199" s="81"/>
      <c r="AV1199" s="81"/>
      <c r="AW1199" s="81"/>
      <c r="AX1199" s="81"/>
      <c r="AY1199" s="81"/>
      <c r="AZ1199" s="81"/>
      <c r="BA1199" s="81"/>
      <c r="BB1199" s="81"/>
    </row>
    <row r="1200" spans="1:54" x14ac:dyDescent="0.35">
      <c r="A1200" s="66" t="s">
        <v>947</v>
      </c>
      <c r="B1200" s="66" t="s">
        <v>1139</v>
      </c>
      <c r="C1200" s="67"/>
      <c r="D1200" s="68"/>
      <c r="E1200" s="69"/>
      <c r="F1200" s="70"/>
      <c r="G1200" s="67"/>
      <c r="H1200" s="71"/>
      <c r="I1200" s="72"/>
      <c r="J1200" s="72"/>
      <c r="K1200" s="36"/>
      <c r="L1200" s="79"/>
      <c r="M1200" s="79"/>
      <c r="N1200" s="74"/>
      <c r="O1200" s="81" t="s">
        <v>1206</v>
      </c>
      <c r="P1200" s="83">
        <v>44466.623842592591</v>
      </c>
      <c r="Q1200" s="81" t="s">
        <v>1653</v>
      </c>
      <c r="R1200" s="81"/>
      <c r="S1200" s="81"/>
      <c r="T1200" s="81"/>
      <c r="U1200" s="81"/>
      <c r="V1200" s="85" t="str">
        <f>HYPERLINK("https://pbs.twimg.com/profile_images/1442129025686593540/1p6LvjF4_normal.jpg")</f>
        <v>https://pbs.twimg.com/profile_images/1442129025686593540/1p6LvjF4_normal.jpg</v>
      </c>
      <c r="W1200" s="83">
        <v>44466.623842592591</v>
      </c>
      <c r="X1200" s="89">
        <v>44466</v>
      </c>
      <c r="Y1200" s="87" t="s">
        <v>2598</v>
      </c>
      <c r="Z1200" s="85" t="str">
        <f>HYPERLINK("https://twitter.com/msucn_/status/1442503880516923401")</f>
        <v>https://twitter.com/msucn_/status/1442503880516923401</v>
      </c>
      <c r="AA1200" s="81"/>
      <c r="AB1200" s="81"/>
      <c r="AC1200" s="87" t="s">
        <v>3526</v>
      </c>
      <c r="AD1200" s="87" t="s">
        <v>3858</v>
      </c>
      <c r="AE1200" s="81" t="b">
        <v>0</v>
      </c>
      <c r="AF1200" s="81">
        <v>0</v>
      </c>
      <c r="AG1200" s="87" t="s">
        <v>4076</v>
      </c>
      <c r="AH1200" s="81" t="b">
        <v>0</v>
      </c>
      <c r="AI1200" s="81" t="s">
        <v>4092</v>
      </c>
      <c r="AJ1200" s="81"/>
      <c r="AK1200" s="87" t="s">
        <v>3875</v>
      </c>
      <c r="AL1200" s="81" t="b">
        <v>0</v>
      </c>
      <c r="AM1200" s="81">
        <v>0</v>
      </c>
      <c r="AN1200" s="87" t="s">
        <v>3875</v>
      </c>
      <c r="AO1200" s="87" t="s">
        <v>4109</v>
      </c>
      <c r="AP1200" s="81" t="b">
        <v>0</v>
      </c>
      <c r="AQ1200" s="87" t="s">
        <v>3858</v>
      </c>
      <c r="AR1200" s="81" t="s">
        <v>179</v>
      </c>
      <c r="AS1200" s="81">
        <v>0</v>
      </c>
      <c r="AT1200" s="81">
        <v>0</v>
      </c>
      <c r="AU1200" s="81"/>
      <c r="AV1200" s="81"/>
      <c r="AW1200" s="81"/>
      <c r="AX1200" s="81"/>
      <c r="AY1200" s="81"/>
      <c r="AZ1200" s="81"/>
      <c r="BA1200" s="81"/>
      <c r="BB1200" s="81"/>
    </row>
    <row r="1201" spans="1:54" x14ac:dyDescent="0.35">
      <c r="A1201" s="66" t="s">
        <v>948</v>
      </c>
      <c r="B1201" s="66" t="s">
        <v>1139</v>
      </c>
      <c r="C1201" s="67"/>
      <c r="D1201" s="68"/>
      <c r="E1201" s="69"/>
      <c r="F1201" s="70"/>
      <c r="G1201" s="67"/>
      <c r="H1201" s="71"/>
      <c r="I1201" s="72"/>
      <c r="J1201" s="72"/>
      <c r="K1201" s="36"/>
      <c r="L1201" s="79"/>
      <c r="M1201" s="79"/>
      <c r="N1201" s="74"/>
      <c r="O1201" s="81" t="s">
        <v>1206</v>
      </c>
      <c r="P1201" s="83">
        <v>44466.625231481485</v>
      </c>
      <c r="Q1201" s="81" t="s">
        <v>1654</v>
      </c>
      <c r="R1201" s="81"/>
      <c r="S1201" s="81"/>
      <c r="T1201" s="81"/>
      <c r="U1201" s="81"/>
      <c r="V1201" s="85" t="str">
        <f>HYPERLINK("https://pbs.twimg.com/profile_images/1433247112926429187/jdB1hbbj_normal.jpg")</f>
        <v>https://pbs.twimg.com/profile_images/1433247112926429187/jdB1hbbj_normal.jpg</v>
      </c>
      <c r="W1201" s="83">
        <v>44466.625231481485</v>
      </c>
      <c r="X1201" s="89">
        <v>44466</v>
      </c>
      <c r="Y1201" s="87" t="s">
        <v>2599</v>
      </c>
      <c r="Z1201" s="85" t="str">
        <f>HYPERLINK("https://twitter.com/avwwt/status/1442504383309115398")</f>
        <v>https://twitter.com/avwwt/status/1442504383309115398</v>
      </c>
      <c r="AA1201" s="81"/>
      <c r="AB1201" s="81"/>
      <c r="AC1201" s="87" t="s">
        <v>3527</v>
      </c>
      <c r="AD1201" s="87" t="s">
        <v>3526</v>
      </c>
      <c r="AE1201" s="81" t="b">
        <v>0</v>
      </c>
      <c r="AF1201" s="81">
        <v>0</v>
      </c>
      <c r="AG1201" s="87" t="s">
        <v>4077</v>
      </c>
      <c r="AH1201" s="81" t="b">
        <v>0</v>
      </c>
      <c r="AI1201" s="81" t="s">
        <v>4092</v>
      </c>
      <c r="AJ1201" s="81"/>
      <c r="AK1201" s="87" t="s">
        <v>3875</v>
      </c>
      <c r="AL1201" s="81" t="b">
        <v>0</v>
      </c>
      <c r="AM1201" s="81">
        <v>0</v>
      </c>
      <c r="AN1201" s="87" t="s">
        <v>3875</v>
      </c>
      <c r="AO1201" s="87" t="s">
        <v>4109</v>
      </c>
      <c r="AP1201" s="81" t="b">
        <v>0</v>
      </c>
      <c r="AQ1201" s="87" t="s">
        <v>3526</v>
      </c>
      <c r="AR1201" s="81" t="s">
        <v>179</v>
      </c>
      <c r="AS1201" s="81">
        <v>0</v>
      </c>
      <c r="AT1201" s="81">
        <v>0</v>
      </c>
      <c r="AU1201" s="81"/>
      <c r="AV1201" s="81"/>
      <c r="AW1201" s="81"/>
      <c r="AX1201" s="81"/>
      <c r="AY1201" s="81"/>
      <c r="AZ1201" s="81"/>
      <c r="BA1201" s="81"/>
      <c r="BB1201" s="81"/>
    </row>
    <row r="1202" spans="1:54" x14ac:dyDescent="0.35">
      <c r="A1202" s="66" t="s">
        <v>947</v>
      </c>
      <c r="B1202" s="66" t="s">
        <v>1194</v>
      </c>
      <c r="C1202" s="67"/>
      <c r="D1202" s="68"/>
      <c r="E1202" s="69"/>
      <c r="F1202" s="70"/>
      <c r="G1202" s="67"/>
      <c r="H1202" s="71"/>
      <c r="I1202" s="72"/>
      <c r="J1202" s="72"/>
      <c r="K1202" s="36"/>
      <c r="L1202" s="79"/>
      <c r="M1202" s="79"/>
      <c r="N1202" s="74"/>
      <c r="O1202" s="81" t="s">
        <v>1206</v>
      </c>
      <c r="P1202" s="83">
        <v>44466.623842592591</v>
      </c>
      <c r="Q1202" s="81" t="s">
        <v>1653</v>
      </c>
      <c r="R1202" s="81"/>
      <c r="S1202" s="81"/>
      <c r="T1202" s="81"/>
      <c r="U1202" s="81"/>
      <c r="V1202" s="85" t="str">
        <f>HYPERLINK("https://pbs.twimg.com/profile_images/1442129025686593540/1p6LvjF4_normal.jpg")</f>
        <v>https://pbs.twimg.com/profile_images/1442129025686593540/1p6LvjF4_normal.jpg</v>
      </c>
      <c r="W1202" s="83">
        <v>44466.623842592591</v>
      </c>
      <c r="X1202" s="89">
        <v>44466</v>
      </c>
      <c r="Y1202" s="87" t="s">
        <v>2598</v>
      </c>
      <c r="Z1202" s="85" t="str">
        <f>HYPERLINK("https://twitter.com/msucn_/status/1442503880516923401")</f>
        <v>https://twitter.com/msucn_/status/1442503880516923401</v>
      </c>
      <c r="AA1202" s="81"/>
      <c r="AB1202" s="81"/>
      <c r="AC1202" s="87" t="s">
        <v>3526</v>
      </c>
      <c r="AD1202" s="87" t="s">
        <v>3858</v>
      </c>
      <c r="AE1202" s="81" t="b">
        <v>0</v>
      </c>
      <c r="AF1202" s="81">
        <v>0</v>
      </c>
      <c r="AG1202" s="87" t="s">
        <v>4076</v>
      </c>
      <c r="AH1202" s="81" t="b">
        <v>0</v>
      </c>
      <c r="AI1202" s="81" t="s">
        <v>4092</v>
      </c>
      <c r="AJ1202" s="81"/>
      <c r="AK1202" s="87" t="s">
        <v>3875</v>
      </c>
      <c r="AL1202" s="81" t="b">
        <v>0</v>
      </c>
      <c r="AM1202" s="81">
        <v>0</v>
      </c>
      <c r="AN1202" s="87" t="s">
        <v>3875</v>
      </c>
      <c r="AO1202" s="87" t="s">
        <v>4109</v>
      </c>
      <c r="AP1202" s="81" t="b">
        <v>0</v>
      </c>
      <c r="AQ1202" s="87" t="s">
        <v>3858</v>
      </c>
      <c r="AR1202" s="81" t="s">
        <v>179</v>
      </c>
      <c r="AS1202" s="81">
        <v>0</v>
      </c>
      <c r="AT1202" s="81">
        <v>0</v>
      </c>
      <c r="AU1202" s="81"/>
      <c r="AV1202" s="81"/>
      <c r="AW1202" s="81"/>
      <c r="AX1202" s="81"/>
      <c r="AY1202" s="81"/>
      <c r="AZ1202" s="81"/>
      <c r="BA1202" s="81"/>
      <c r="BB1202" s="81"/>
    </row>
    <row r="1203" spans="1:54" x14ac:dyDescent="0.35">
      <c r="A1203" s="66" t="s">
        <v>948</v>
      </c>
      <c r="B1203" s="66" t="s">
        <v>1194</v>
      </c>
      <c r="C1203" s="67"/>
      <c r="D1203" s="68"/>
      <c r="E1203" s="69"/>
      <c r="F1203" s="70"/>
      <c r="G1203" s="67"/>
      <c r="H1203" s="71"/>
      <c r="I1203" s="72"/>
      <c r="J1203" s="72"/>
      <c r="K1203" s="36"/>
      <c r="L1203" s="79"/>
      <c r="M1203" s="79"/>
      <c r="N1203" s="74"/>
      <c r="O1203" s="81" t="s">
        <v>1206</v>
      </c>
      <c r="P1203" s="83">
        <v>44466.625231481485</v>
      </c>
      <c r="Q1203" s="81" t="s">
        <v>1654</v>
      </c>
      <c r="R1203" s="81"/>
      <c r="S1203" s="81"/>
      <c r="T1203" s="81"/>
      <c r="U1203" s="81"/>
      <c r="V1203" s="85" t="str">
        <f>HYPERLINK("https://pbs.twimg.com/profile_images/1433247112926429187/jdB1hbbj_normal.jpg")</f>
        <v>https://pbs.twimg.com/profile_images/1433247112926429187/jdB1hbbj_normal.jpg</v>
      </c>
      <c r="W1203" s="83">
        <v>44466.625231481485</v>
      </c>
      <c r="X1203" s="89">
        <v>44466</v>
      </c>
      <c r="Y1203" s="87" t="s">
        <v>2599</v>
      </c>
      <c r="Z1203" s="85" t="str">
        <f>HYPERLINK("https://twitter.com/avwwt/status/1442504383309115398")</f>
        <v>https://twitter.com/avwwt/status/1442504383309115398</v>
      </c>
      <c r="AA1203" s="81"/>
      <c r="AB1203" s="81"/>
      <c r="AC1203" s="87" t="s">
        <v>3527</v>
      </c>
      <c r="AD1203" s="87" t="s">
        <v>3526</v>
      </c>
      <c r="AE1203" s="81" t="b">
        <v>0</v>
      </c>
      <c r="AF1203" s="81">
        <v>0</v>
      </c>
      <c r="AG1203" s="87" t="s">
        <v>4077</v>
      </c>
      <c r="AH1203" s="81" t="b">
        <v>0</v>
      </c>
      <c r="AI1203" s="81" t="s">
        <v>4092</v>
      </c>
      <c r="AJ1203" s="81"/>
      <c r="AK1203" s="87" t="s">
        <v>3875</v>
      </c>
      <c r="AL1203" s="81" t="b">
        <v>0</v>
      </c>
      <c r="AM1203" s="81">
        <v>0</v>
      </c>
      <c r="AN1203" s="87" t="s">
        <v>3875</v>
      </c>
      <c r="AO1203" s="87" t="s">
        <v>4109</v>
      </c>
      <c r="AP1203" s="81" t="b">
        <v>0</v>
      </c>
      <c r="AQ1203" s="87" t="s">
        <v>3526</v>
      </c>
      <c r="AR1203" s="81" t="s">
        <v>179</v>
      </c>
      <c r="AS1203" s="81">
        <v>0</v>
      </c>
      <c r="AT1203" s="81">
        <v>0</v>
      </c>
      <c r="AU1203" s="81"/>
      <c r="AV1203" s="81"/>
      <c r="AW1203" s="81"/>
      <c r="AX1203" s="81"/>
      <c r="AY1203" s="81"/>
      <c r="AZ1203" s="81"/>
      <c r="BA1203" s="81"/>
      <c r="BB1203" s="81"/>
    </row>
    <row r="1204" spans="1:54" x14ac:dyDescent="0.35">
      <c r="A1204" s="66" t="s">
        <v>947</v>
      </c>
      <c r="B1204" s="66" t="s">
        <v>948</v>
      </c>
      <c r="C1204" s="67"/>
      <c r="D1204" s="68"/>
      <c r="E1204" s="69"/>
      <c r="F1204" s="70"/>
      <c r="G1204" s="67"/>
      <c r="H1204" s="71"/>
      <c r="I1204" s="72"/>
      <c r="J1204" s="72"/>
      <c r="K1204" s="36"/>
      <c r="L1204" s="79"/>
      <c r="M1204" s="79"/>
      <c r="N1204" s="74"/>
      <c r="O1204" s="81" t="s">
        <v>1208</v>
      </c>
      <c r="P1204" s="83">
        <v>44466.623842592591</v>
      </c>
      <c r="Q1204" s="81" t="s">
        <v>1653</v>
      </c>
      <c r="R1204" s="81"/>
      <c r="S1204" s="81"/>
      <c r="T1204" s="81"/>
      <c r="U1204" s="81"/>
      <c r="V1204" s="85" t="str">
        <f>HYPERLINK("https://pbs.twimg.com/profile_images/1442129025686593540/1p6LvjF4_normal.jpg")</f>
        <v>https://pbs.twimg.com/profile_images/1442129025686593540/1p6LvjF4_normal.jpg</v>
      </c>
      <c r="W1204" s="83">
        <v>44466.623842592591</v>
      </c>
      <c r="X1204" s="89">
        <v>44466</v>
      </c>
      <c r="Y1204" s="87" t="s">
        <v>2598</v>
      </c>
      <c r="Z1204" s="85" t="str">
        <f>HYPERLINK("https://twitter.com/msucn_/status/1442503880516923401")</f>
        <v>https://twitter.com/msucn_/status/1442503880516923401</v>
      </c>
      <c r="AA1204" s="81"/>
      <c r="AB1204" s="81"/>
      <c r="AC1204" s="87" t="s">
        <v>3526</v>
      </c>
      <c r="AD1204" s="87" t="s">
        <v>3858</v>
      </c>
      <c r="AE1204" s="81" t="b">
        <v>0</v>
      </c>
      <c r="AF1204" s="81">
        <v>0</v>
      </c>
      <c r="AG1204" s="87" t="s">
        <v>4076</v>
      </c>
      <c r="AH1204" s="81" t="b">
        <v>0</v>
      </c>
      <c r="AI1204" s="81" t="s">
        <v>4092</v>
      </c>
      <c r="AJ1204" s="81"/>
      <c r="AK1204" s="87" t="s">
        <v>3875</v>
      </c>
      <c r="AL1204" s="81" t="b">
        <v>0</v>
      </c>
      <c r="AM1204" s="81">
        <v>0</v>
      </c>
      <c r="AN1204" s="87" t="s">
        <v>3875</v>
      </c>
      <c r="AO1204" s="87" t="s">
        <v>4109</v>
      </c>
      <c r="AP1204" s="81" t="b">
        <v>0</v>
      </c>
      <c r="AQ1204" s="87" t="s">
        <v>3858</v>
      </c>
      <c r="AR1204" s="81" t="s">
        <v>179</v>
      </c>
      <c r="AS1204" s="81">
        <v>0</v>
      </c>
      <c r="AT1204" s="81">
        <v>0</v>
      </c>
      <c r="AU1204" s="81"/>
      <c r="AV1204" s="81"/>
      <c r="AW1204" s="81"/>
      <c r="AX1204" s="81"/>
      <c r="AY1204" s="81"/>
      <c r="AZ1204" s="81"/>
      <c r="BA1204" s="81"/>
      <c r="BB1204" s="81"/>
    </row>
    <row r="1205" spans="1:54" x14ac:dyDescent="0.35">
      <c r="A1205" s="66" t="s">
        <v>948</v>
      </c>
      <c r="B1205" s="66" t="s">
        <v>947</v>
      </c>
      <c r="C1205" s="67"/>
      <c r="D1205" s="68"/>
      <c r="E1205" s="69"/>
      <c r="F1205" s="70"/>
      <c r="G1205" s="67"/>
      <c r="H1205" s="71"/>
      <c r="I1205" s="72"/>
      <c r="J1205" s="72"/>
      <c r="K1205" s="36"/>
      <c r="L1205" s="79"/>
      <c r="M1205" s="79"/>
      <c r="N1205" s="74"/>
      <c r="O1205" s="81" t="s">
        <v>1208</v>
      </c>
      <c r="P1205" s="83">
        <v>44466.625231481485</v>
      </c>
      <c r="Q1205" s="81" t="s">
        <v>1654</v>
      </c>
      <c r="R1205" s="81"/>
      <c r="S1205" s="81"/>
      <c r="T1205" s="81"/>
      <c r="U1205" s="81"/>
      <c r="V1205" s="85" t="str">
        <f>HYPERLINK("https://pbs.twimg.com/profile_images/1433247112926429187/jdB1hbbj_normal.jpg")</f>
        <v>https://pbs.twimg.com/profile_images/1433247112926429187/jdB1hbbj_normal.jpg</v>
      </c>
      <c r="W1205" s="83">
        <v>44466.625231481485</v>
      </c>
      <c r="X1205" s="89">
        <v>44466</v>
      </c>
      <c r="Y1205" s="87" t="s">
        <v>2599</v>
      </c>
      <c r="Z1205" s="85" t="str">
        <f>HYPERLINK("https://twitter.com/avwwt/status/1442504383309115398")</f>
        <v>https://twitter.com/avwwt/status/1442504383309115398</v>
      </c>
      <c r="AA1205" s="81"/>
      <c r="AB1205" s="81"/>
      <c r="AC1205" s="87" t="s">
        <v>3527</v>
      </c>
      <c r="AD1205" s="87" t="s">
        <v>3526</v>
      </c>
      <c r="AE1205" s="81" t="b">
        <v>0</v>
      </c>
      <c r="AF1205" s="81">
        <v>0</v>
      </c>
      <c r="AG1205" s="87" t="s">
        <v>4077</v>
      </c>
      <c r="AH1205" s="81" t="b">
        <v>0</v>
      </c>
      <c r="AI1205" s="81" t="s">
        <v>4092</v>
      </c>
      <c r="AJ1205" s="81"/>
      <c r="AK1205" s="87" t="s">
        <v>3875</v>
      </c>
      <c r="AL1205" s="81" t="b">
        <v>0</v>
      </c>
      <c r="AM1205" s="81">
        <v>0</v>
      </c>
      <c r="AN1205" s="87" t="s">
        <v>3875</v>
      </c>
      <c r="AO1205" s="87" t="s">
        <v>4109</v>
      </c>
      <c r="AP1205" s="81" t="b">
        <v>0</v>
      </c>
      <c r="AQ1205" s="87" t="s">
        <v>3526</v>
      </c>
      <c r="AR1205" s="81" t="s">
        <v>179</v>
      </c>
      <c r="AS1205" s="81">
        <v>0</v>
      </c>
      <c r="AT1205" s="81">
        <v>0</v>
      </c>
      <c r="AU1205" s="81"/>
      <c r="AV1205" s="81"/>
      <c r="AW1205" s="81"/>
      <c r="AX1205" s="81"/>
      <c r="AY1205" s="81"/>
      <c r="AZ1205" s="81"/>
      <c r="BA1205" s="81"/>
      <c r="BB1205" s="81"/>
    </row>
    <row r="1206" spans="1:54" x14ac:dyDescent="0.35">
      <c r="A1206" s="66" t="s">
        <v>949</v>
      </c>
      <c r="B1206" s="66" t="s">
        <v>1195</v>
      </c>
      <c r="C1206" s="67"/>
      <c r="D1206" s="68"/>
      <c r="E1206" s="69"/>
      <c r="F1206" s="70"/>
      <c r="G1206" s="67"/>
      <c r="H1206" s="71"/>
      <c r="I1206" s="72"/>
      <c r="J1206" s="72"/>
      <c r="K1206" s="36"/>
      <c r="L1206" s="79"/>
      <c r="M1206" s="79"/>
      <c r="N1206" s="74"/>
      <c r="O1206" s="81" t="s">
        <v>1208</v>
      </c>
      <c r="P1206" s="83">
        <v>44466.654803240737</v>
      </c>
      <c r="Q1206" s="81" t="s">
        <v>1655</v>
      </c>
      <c r="R1206" s="81"/>
      <c r="S1206" s="81"/>
      <c r="T1206" s="81"/>
      <c r="U1206" s="81"/>
      <c r="V1206" s="85" t="str">
        <f>HYPERLINK("https://pbs.twimg.com/profile_images/1442430824108806146/Few8x3Gx_normal.jpg")</f>
        <v>https://pbs.twimg.com/profile_images/1442430824108806146/Few8x3Gx_normal.jpg</v>
      </c>
      <c r="W1206" s="83">
        <v>44466.654803240737</v>
      </c>
      <c r="X1206" s="89">
        <v>44466</v>
      </c>
      <c r="Y1206" s="87" t="s">
        <v>2600</v>
      </c>
      <c r="Z1206" s="85" t="str">
        <f>HYPERLINK("https://twitter.com/94jinyoungfey/status/1442515103509663764")</f>
        <v>https://twitter.com/94jinyoungfey/status/1442515103509663764</v>
      </c>
      <c r="AA1206" s="81"/>
      <c r="AB1206" s="81"/>
      <c r="AC1206" s="87" t="s">
        <v>3528</v>
      </c>
      <c r="AD1206" s="87" t="s">
        <v>3859</v>
      </c>
      <c r="AE1206" s="81" t="b">
        <v>0</v>
      </c>
      <c r="AF1206" s="81">
        <v>0</v>
      </c>
      <c r="AG1206" s="87" t="s">
        <v>4078</v>
      </c>
      <c r="AH1206" s="81" t="b">
        <v>0</v>
      </c>
      <c r="AI1206" s="81" t="s">
        <v>4092</v>
      </c>
      <c r="AJ1206" s="81"/>
      <c r="AK1206" s="87" t="s">
        <v>3875</v>
      </c>
      <c r="AL1206" s="81" t="b">
        <v>0</v>
      </c>
      <c r="AM1206" s="81">
        <v>0</v>
      </c>
      <c r="AN1206" s="87" t="s">
        <v>3875</v>
      </c>
      <c r="AO1206" s="87" t="s">
        <v>4109</v>
      </c>
      <c r="AP1206" s="81" t="b">
        <v>0</v>
      </c>
      <c r="AQ1206" s="87" t="s">
        <v>3859</v>
      </c>
      <c r="AR1206" s="81" t="s">
        <v>179</v>
      </c>
      <c r="AS1206" s="81">
        <v>0</v>
      </c>
      <c r="AT1206" s="81">
        <v>0</v>
      </c>
      <c r="AU1206" s="81"/>
      <c r="AV1206" s="81"/>
      <c r="AW1206" s="81"/>
      <c r="AX1206" s="81"/>
      <c r="AY1206" s="81"/>
      <c r="AZ1206" s="81"/>
      <c r="BA1206" s="81"/>
      <c r="BB1206" s="81"/>
    </row>
    <row r="1207" spans="1:54" x14ac:dyDescent="0.35">
      <c r="A1207" s="66" t="s">
        <v>950</v>
      </c>
      <c r="B1207" s="66" t="s">
        <v>1045</v>
      </c>
      <c r="C1207" s="67"/>
      <c r="D1207" s="68"/>
      <c r="E1207" s="69"/>
      <c r="F1207" s="70"/>
      <c r="G1207" s="67"/>
      <c r="H1207" s="71"/>
      <c r="I1207" s="72"/>
      <c r="J1207" s="72"/>
      <c r="K1207" s="36"/>
      <c r="L1207" s="79"/>
      <c r="M1207" s="79"/>
      <c r="N1207" s="74"/>
      <c r="O1207" s="81" t="s">
        <v>1208</v>
      </c>
      <c r="P1207" s="83">
        <v>44466.655312499999</v>
      </c>
      <c r="Q1207" s="81" t="s">
        <v>1656</v>
      </c>
      <c r="R1207" s="81"/>
      <c r="S1207" s="81"/>
      <c r="T1207" s="81"/>
      <c r="U1207" s="81"/>
      <c r="V1207" s="85" t="str">
        <f>HYPERLINK("https://pbs.twimg.com/profile_images/1421894410938114055/K_6XzuMD_normal.jpg")</f>
        <v>https://pbs.twimg.com/profile_images/1421894410938114055/K_6XzuMD_normal.jpg</v>
      </c>
      <c r="W1207" s="83">
        <v>44466.655312499999</v>
      </c>
      <c r="X1207" s="89">
        <v>44466</v>
      </c>
      <c r="Y1207" s="87" t="s">
        <v>2601</v>
      </c>
      <c r="Z1207" s="85" t="str">
        <f>HYPERLINK("https://twitter.com/mantovanintens/status/1442515284280049672")</f>
        <v>https://twitter.com/mantovanintens/status/1442515284280049672</v>
      </c>
      <c r="AA1207" s="81"/>
      <c r="AB1207" s="81"/>
      <c r="AC1207" s="87" t="s">
        <v>3529</v>
      </c>
      <c r="AD1207" s="87" t="s">
        <v>3860</v>
      </c>
      <c r="AE1207" s="81" t="b">
        <v>0</v>
      </c>
      <c r="AF1207" s="81">
        <v>0</v>
      </c>
      <c r="AG1207" s="87" t="s">
        <v>4045</v>
      </c>
      <c r="AH1207" s="81" t="b">
        <v>0</v>
      </c>
      <c r="AI1207" s="81" t="s">
        <v>4092</v>
      </c>
      <c r="AJ1207" s="81"/>
      <c r="AK1207" s="87" t="s">
        <v>3875</v>
      </c>
      <c r="AL1207" s="81" t="b">
        <v>0</v>
      </c>
      <c r="AM1207" s="81">
        <v>0</v>
      </c>
      <c r="AN1207" s="87" t="s">
        <v>3875</v>
      </c>
      <c r="AO1207" s="87" t="s">
        <v>4111</v>
      </c>
      <c r="AP1207" s="81" t="b">
        <v>0</v>
      </c>
      <c r="AQ1207" s="87" t="s">
        <v>3860</v>
      </c>
      <c r="AR1207" s="81" t="s">
        <v>179</v>
      </c>
      <c r="AS1207" s="81">
        <v>0</v>
      </c>
      <c r="AT1207" s="81">
        <v>0</v>
      </c>
      <c r="AU1207" s="81"/>
      <c r="AV1207" s="81"/>
      <c r="AW1207" s="81"/>
      <c r="AX1207" s="81"/>
      <c r="AY1207" s="81"/>
      <c r="AZ1207" s="81"/>
      <c r="BA1207" s="81"/>
      <c r="BB1207" s="81"/>
    </row>
    <row r="1208" spans="1:54" x14ac:dyDescent="0.35">
      <c r="A1208" s="66" t="s">
        <v>951</v>
      </c>
      <c r="B1208" s="66" t="s">
        <v>957</v>
      </c>
      <c r="C1208" s="67"/>
      <c r="D1208" s="68"/>
      <c r="E1208" s="69"/>
      <c r="F1208" s="70"/>
      <c r="G1208" s="67"/>
      <c r="H1208" s="71"/>
      <c r="I1208" s="72"/>
      <c r="J1208" s="72"/>
      <c r="K1208" s="36"/>
      <c r="L1208" s="79"/>
      <c r="M1208" s="79"/>
      <c r="N1208" s="74"/>
      <c r="O1208" s="81" t="s">
        <v>1205</v>
      </c>
      <c r="P1208" s="83">
        <v>44466.65865740741</v>
      </c>
      <c r="Q1208" s="81" t="s">
        <v>1638</v>
      </c>
      <c r="R1208" s="81"/>
      <c r="S1208" s="81"/>
      <c r="T1208" s="81"/>
      <c r="U1208" s="85" t="str">
        <f>HYPERLINK("https://pbs.twimg.com/media/FASHjEnUcAMSLOM.jpg")</f>
        <v>https://pbs.twimg.com/media/FASHjEnUcAMSLOM.jpg</v>
      </c>
      <c r="V1208" s="85" t="str">
        <f>HYPERLINK("https://pbs.twimg.com/media/FASHjEnUcAMSLOM.jpg")</f>
        <v>https://pbs.twimg.com/media/FASHjEnUcAMSLOM.jpg</v>
      </c>
      <c r="W1208" s="83">
        <v>44466.65865740741</v>
      </c>
      <c r="X1208" s="89">
        <v>44466</v>
      </c>
      <c r="Y1208" s="87" t="s">
        <v>2602</v>
      </c>
      <c r="Z1208" s="85" t="str">
        <f>HYPERLINK("https://twitter.com/3andalas/status/1442516499135012875")</f>
        <v>https://twitter.com/3andalas/status/1442516499135012875</v>
      </c>
      <c r="AA1208" s="81"/>
      <c r="AB1208" s="81"/>
      <c r="AC1208" s="87" t="s">
        <v>3530</v>
      </c>
      <c r="AD1208" s="81"/>
      <c r="AE1208" s="81" t="b">
        <v>0</v>
      </c>
      <c r="AF1208" s="81">
        <v>0</v>
      </c>
      <c r="AG1208" s="87" t="s">
        <v>3875</v>
      </c>
      <c r="AH1208" s="81" t="b">
        <v>0</v>
      </c>
      <c r="AI1208" s="81" t="s">
        <v>4092</v>
      </c>
      <c r="AJ1208" s="81"/>
      <c r="AK1208" s="87" t="s">
        <v>3875</v>
      </c>
      <c r="AL1208" s="81" t="b">
        <v>0</v>
      </c>
      <c r="AM1208" s="81">
        <v>9</v>
      </c>
      <c r="AN1208" s="87" t="s">
        <v>3537</v>
      </c>
      <c r="AO1208" s="87" t="s">
        <v>4109</v>
      </c>
      <c r="AP1208" s="81" t="b">
        <v>0</v>
      </c>
      <c r="AQ1208" s="87" t="s">
        <v>3537</v>
      </c>
      <c r="AR1208" s="81" t="s">
        <v>179</v>
      </c>
      <c r="AS1208" s="81">
        <v>0</v>
      </c>
      <c r="AT1208" s="81">
        <v>0</v>
      </c>
      <c r="AU1208" s="81"/>
      <c r="AV1208" s="81"/>
      <c r="AW1208" s="81"/>
      <c r="AX1208" s="81"/>
      <c r="AY1208" s="81"/>
      <c r="AZ1208" s="81"/>
      <c r="BA1208" s="81"/>
      <c r="BB1208" s="81"/>
    </row>
    <row r="1209" spans="1:54" x14ac:dyDescent="0.35">
      <c r="A1209" s="66" t="s">
        <v>952</v>
      </c>
      <c r="B1209" s="66" t="s">
        <v>1032</v>
      </c>
      <c r="C1209" s="67"/>
      <c r="D1209" s="68"/>
      <c r="E1209" s="69"/>
      <c r="F1209" s="70"/>
      <c r="G1209" s="67"/>
      <c r="H1209" s="71"/>
      <c r="I1209" s="72"/>
      <c r="J1209" s="72"/>
      <c r="K1209" s="36"/>
      <c r="L1209" s="79"/>
      <c r="M1209" s="79"/>
      <c r="N1209" s="74"/>
      <c r="O1209" s="81" t="s">
        <v>1208</v>
      </c>
      <c r="P1209" s="83">
        <v>44466.693252314813</v>
      </c>
      <c r="Q1209" s="81" t="s">
        <v>1657</v>
      </c>
      <c r="R1209" s="81"/>
      <c r="S1209" s="81"/>
      <c r="T1209" s="81"/>
      <c r="U1209" s="81"/>
      <c r="V1209" s="85" t="str">
        <f>HYPERLINK("https://pbs.twimg.com/profile_images/1441391506829373443/0vMPE9XO_normal.jpg")</f>
        <v>https://pbs.twimg.com/profile_images/1441391506829373443/0vMPE9XO_normal.jpg</v>
      </c>
      <c r="W1209" s="83">
        <v>44466.693252314813</v>
      </c>
      <c r="X1209" s="89">
        <v>44466</v>
      </c>
      <c r="Y1209" s="87" t="s">
        <v>2603</v>
      </c>
      <c r="Z1209" s="85" t="str">
        <f>HYPERLINK("https://twitter.com/hmmribet/status/1442529036446560261")</f>
        <v>https://twitter.com/hmmribet/status/1442529036446560261</v>
      </c>
      <c r="AA1209" s="81"/>
      <c r="AB1209" s="81"/>
      <c r="AC1209" s="87" t="s">
        <v>3531</v>
      </c>
      <c r="AD1209" s="87" t="s">
        <v>3861</v>
      </c>
      <c r="AE1209" s="81" t="b">
        <v>0</v>
      </c>
      <c r="AF1209" s="81">
        <v>0</v>
      </c>
      <c r="AG1209" s="87" t="s">
        <v>3912</v>
      </c>
      <c r="AH1209" s="81" t="b">
        <v>0</v>
      </c>
      <c r="AI1209" s="81" t="s">
        <v>4092</v>
      </c>
      <c r="AJ1209" s="81"/>
      <c r="AK1209" s="87" t="s">
        <v>3875</v>
      </c>
      <c r="AL1209" s="81" t="b">
        <v>0</v>
      </c>
      <c r="AM1209" s="81">
        <v>0</v>
      </c>
      <c r="AN1209" s="87" t="s">
        <v>3875</v>
      </c>
      <c r="AO1209" s="87" t="s">
        <v>4109</v>
      </c>
      <c r="AP1209" s="81" t="b">
        <v>0</v>
      </c>
      <c r="AQ1209" s="87" t="s">
        <v>3861</v>
      </c>
      <c r="AR1209" s="81" t="s">
        <v>179</v>
      </c>
      <c r="AS1209" s="81">
        <v>0</v>
      </c>
      <c r="AT1209" s="81">
        <v>0</v>
      </c>
      <c r="AU1209" s="81"/>
      <c r="AV1209" s="81"/>
      <c r="AW1209" s="81"/>
      <c r="AX1209" s="81"/>
      <c r="AY1209" s="81"/>
      <c r="AZ1209" s="81"/>
      <c r="BA1209" s="81"/>
      <c r="BB1209" s="81"/>
    </row>
    <row r="1210" spans="1:54" x14ac:dyDescent="0.35">
      <c r="A1210" s="66" t="s">
        <v>953</v>
      </c>
      <c r="B1210" s="66" t="s">
        <v>1067</v>
      </c>
      <c r="C1210" s="67"/>
      <c r="D1210" s="68"/>
      <c r="E1210" s="69"/>
      <c r="F1210" s="70"/>
      <c r="G1210" s="67"/>
      <c r="H1210" s="71"/>
      <c r="I1210" s="72"/>
      <c r="J1210" s="72"/>
      <c r="K1210" s="36"/>
      <c r="L1210" s="79"/>
      <c r="M1210" s="79"/>
      <c r="N1210" s="74"/>
      <c r="O1210" s="81" t="s">
        <v>1208</v>
      </c>
      <c r="P1210" s="83">
        <v>44466.707789351851</v>
      </c>
      <c r="Q1210" s="81" t="s">
        <v>1658</v>
      </c>
      <c r="R1210" s="81"/>
      <c r="S1210" s="81"/>
      <c r="T1210" s="81"/>
      <c r="U1210" s="81"/>
      <c r="V1210" s="85" t="str">
        <f>HYPERLINK("https://pbs.twimg.com/profile_images/1438458760263979008/HWTI7NDR_normal.jpg")</f>
        <v>https://pbs.twimg.com/profile_images/1438458760263979008/HWTI7NDR_normal.jpg</v>
      </c>
      <c r="W1210" s="83">
        <v>44466.707789351851</v>
      </c>
      <c r="X1210" s="89">
        <v>44466</v>
      </c>
      <c r="Y1210" s="87" t="s">
        <v>2604</v>
      </c>
      <c r="Z1210" s="85" t="str">
        <f>HYPERLINK("https://twitter.com/merthurslove/status/1442534303271845893")</f>
        <v>https://twitter.com/merthurslove/status/1442534303271845893</v>
      </c>
      <c r="AA1210" s="81"/>
      <c r="AB1210" s="81"/>
      <c r="AC1210" s="87" t="s">
        <v>3532</v>
      </c>
      <c r="AD1210" s="87" t="s">
        <v>3862</v>
      </c>
      <c r="AE1210" s="81" t="b">
        <v>0</v>
      </c>
      <c r="AF1210" s="81">
        <v>0</v>
      </c>
      <c r="AG1210" s="87" t="s">
        <v>4079</v>
      </c>
      <c r="AH1210" s="81" t="b">
        <v>0</v>
      </c>
      <c r="AI1210" s="81" t="s">
        <v>4092</v>
      </c>
      <c r="AJ1210" s="81"/>
      <c r="AK1210" s="87" t="s">
        <v>3875</v>
      </c>
      <c r="AL1210" s="81" t="b">
        <v>0</v>
      </c>
      <c r="AM1210" s="81">
        <v>0</v>
      </c>
      <c r="AN1210" s="87" t="s">
        <v>3875</v>
      </c>
      <c r="AO1210" s="87" t="s">
        <v>4111</v>
      </c>
      <c r="AP1210" s="81" t="b">
        <v>0</v>
      </c>
      <c r="AQ1210" s="87" t="s">
        <v>3862</v>
      </c>
      <c r="AR1210" s="81" t="s">
        <v>179</v>
      </c>
      <c r="AS1210" s="81">
        <v>0</v>
      </c>
      <c r="AT1210" s="81">
        <v>0</v>
      </c>
      <c r="AU1210" s="81"/>
      <c r="AV1210" s="81"/>
      <c r="AW1210" s="81"/>
      <c r="AX1210" s="81"/>
      <c r="AY1210" s="81"/>
      <c r="AZ1210" s="81"/>
      <c r="BA1210" s="81"/>
      <c r="BB1210" s="81"/>
    </row>
    <row r="1211" spans="1:54" x14ac:dyDescent="0.35">
      <c r="A1211" s="66" t="s">
        <v>953</v>
      </c>
      <c r="B1211" s="66" t="s">
        <v>1067</v>
      </c>
      <c r="C1211" s="67"/>
      <c r="D1211" s="68"/>
      <c r="E1211" s="69"/>
      <c r="F1211" s="70"/>
      <c r="G1211" s="67"/>
      <c r="H1211" s="71"/>
      <c r="I1211" s="72"/>
      <c r="J1211" s="72"/>
      <c r="K1211" s="36"/>
      <c r="L1211" s="79"/>
      <c r="M1211" s="79"/>
      <c r="N1211" s="74"/>
      <c r="O1211" s="81" t="s">
        <v>1208</v>
      </c>
      <c r="P1211" s="83">
        <v>44466.708171296297</v>
      </c>
      <c r="Q1211" s="81" t="s">
        <v>1659</v>
      </c>
      <c r="R1211" s="81"/>
      <c r="S1211" s="81"/>
      <c r="T1211" s="81"/>
      <c r="U1211" s="81"/>
      <c r="V1211" s="85" t="str">
        <f>HYPERLINK("https://pbs.twimg.com/profile_images/1438458760263979008/HWTI7NDR_normal.jpg")</f>
        <v>https://pbs.twimg.com/profile_images/1438458760263979008/HWTI7NDR_normal.jpg</v>
      </c>
      <c r="W1211" s="83">
        <v>44466.708171296297</v>
      </c>
      <c r="X1211" s="89">
        <v>44466</v>
      </c>
      <c r="Y1211" s="87" t="s">
        <v>2605</v>
      </c>
      <c r="Z1211" s="85" t="str">
        <f>HYPERLINK("https://twitter.com/merthurslove/status/1442534441188872197")</f>
        <v>https://twitter.com/merthurslove/status/1442534441188872197</v>
      </c>
      <c r="AA1211" s="81"/>
      <c r="AB1211" s="81"/>
      <c r="AC1211" s="87" t="s">
        <v>3533</v>
      </c>
      <c r="AD1211" s="87" t="s">
        <v>3532</v>
      </c>
      <c r="AE1211" s="81" t="b">
        <v>0</v>
      </c>
      <c r="AF1211" s="81">
        <v>0</v>
      </c>
      <c r="AG1211" s="87" t="s">
        <v>4080</v>
      </c>
      <c r="AH1211" s="81" t="b">
        <v>0</v>
      </c>
      <c r="AI1211" s="81" t="s">
        <v>4092</v>
      </c>
      <c r="AJ1211" s="81"/>
      <c r="AK1211" s="87" t="s">
        <v>3875</v>
      </c>
      <c r="AL1211" s="81" t="b">
        <v>0</v>
      </c>
      <c r="AM1211" s="81">
        <v>0</v>
      </c>
      <c r="AN1211" s="87" t="s">
        <v>3875</v>
      </c>
      <c r="AO1211" s="87" t="s">
        <v>4111</v>
      </c>
      <c r="AP1211" s="81" t="b">
        <v>0</v>
      </c>
      <c r="AQ1211" s="87" t="s">
        <v>3532</v>
      </c>
      <c r="AR1211" s="81" t="s">
        <v>179</v>
      </c>
      <c r="AS1211" s="81">
        <v>0</v>
      </c>
      <c r="AT1211" s="81">
        <v>0</v>
      </c>
      <c r="AU1211" s="81"/>
      <c r="AV1211" s="81"/>
      <c r="AW1211" s="81"/>
      <c r="AX1211" s="81"/>
      <c r="AY1211" s="81"/>
      <c r="AZ1211" s="81"/>
      <c r="BA1211" s="81"/>
      <c r="BB1211" s="81"/>
    </row>
    <row r="1212" spans="1:54" x14ac:dyDescent="0.35">
      <c r="A1212" s="66" t="s">
        <v>954</v>
      </c>
      <c r="B1212" s="66" t="s">
        <v>957</v>
      </c>
      <c r="C1212" s="67"/>
      <c r="D1212" s="68"/>
      <c r="E1212" s="69"/>
      <c r="F1212" s="70"/>
      <c r="G1212" s="67"/>
      <c r="H1212" s="71"/>
      <c r="I1212" s="72"/>
      <c r="J1212" s="72"/>
      <c r="K1212" s="36"/>
      <c r="L1212" s="79"/>
      <c r="M1212" s="79"/>
      <c r="N1212" s="74"/>
      <c r="O1212" s="81" t="s">
        <v>1205</v>
      </c>
      <c r="P1212" s="83">
        <v>44466.714201388888</v>
      </c>
      <c r="Q1212" s="81" t="s">
        <v>1638</v>
      </c>
      <c r="R1212" s="81"/>
      <c r="S1212" s="81"/>
      <c r="T1212" s="81"/>
      <c r="U1212" s="85" t="str">
        <f>HYPERLINK("https://pbs.twimg.com/media/FASHjEnUcAMSLOM.jpg")</f>
        <v>https://pbs.twimg.com/media/FASHjEnUcAMSLOM.jpg</v>
      </c>
      <c r="V1212" s="85" t="str">
        <f>HYPERLINK("https://pbs.twimg.com/media/FASHjEnUcAMSLOM.jpg")</f>
        <v>https://pbs.twimg.com/media/FASHjEnUcAMSLOM.jpg</v>
      </c>
      <c r="W1212" s="83">
        <v>44466.714201388888</v>
      </c>
      <c r="X1212" s="89">
        <v>44466</v>
      </c>
      <c r="Y1212" s="87" t="s">
        <v>2606</v>
      </c>
      <c r="Z1212" s="85" t="str">
        <f>HYPERLINK("https://twitter.com/alkecilsaja/status/1442536625041403905")</f>
        <v>https://twitter.com/alkecilsaja/status/1442536625041403905</v>
      </c>
      <c r="AA1212" s="81"/>
      <c r="AB1212" s="81"/>
      <c r="AC1212" s="87" t="s">
        <v>3534</v>
      </c>
      <c r="AD1212" s="81"/>
      <c r="AE1212" s="81" t="b">
        <v>0</v>
      </c>
      <c r="AF1212" s="81">
        <v>0</v>
      </c>
      <c r="AG1212" s="87" t="s">
        <v>3875</v>
      </c>
      <c r="AH1212" s="81" t="b">
        <v>0</v>
      </c>
      <c r="AI1212" s="81" t="s">
        <v>4092</v>
      </c>
      <c r="AJ1212" s="81"/>
      <c r="AK1212" s="87" t="s">
        <v>3875</v>
      </c>
      <c r="AL1212" s="81" t="b">
        <v>0</v>
      </c>
      <c r="AM1212" s="81">
        <v>9</v>
      </c>
      <c r="AN1212" s="87" t="s">
        <v>3537</v>
      </c>
      <c r="AO1212" s="87" t="s">
        <v>4109</v>
      </c>
      <c r="AP1212" s="81" t="b">
        <v>0</v>
      </c>
      <c r="AQ1212" s="87" t="s">
        <v>3537</v>
      </c>
      <c r="AR1212" s="81" t="s">
        <v>179</v>
      </c>
      <c r="AS1212" s="81">
        <v>0</v>
      </c>
      <c r="AT1212" s="81">
        <v>0</v>
      </c>
      <c r="AU1212" s="81"/>
      <c r="AV1212" s="81"/>
      <c r="AW1212" s="81"/>
      <c r="AX1212" s="81"/>
      <c r="AY1212" s="81"/>
      <c r="AZ1212" s="81"/>
      <c r="BA1212" s="81"/>
      <c r="BB1212" s="81"/>
    </row>
    <row r="1213" spans="1:54" x14ac:dyDescent="0.35">
      <c r="A1213" s="66" t="s">
        <v>955</v>
      </c>
      <c r="B1213" s="66" t="s">
        <v>957</v>
      </c>
      <c r="C1213" s="67"/>
      <c r="D1213" s="68"/>
      <c r="E1213" s="69"/>
      <c r="F1213" s="70"/>
      <c r="G1213" s="67"/>
      <c r="H1213" s="71"/>
      <c r="I1213" s="72"/>
      <c r="J1213" s="72"/>
      <c r="K1213" s="36"/>
      <c r="L1213" s="79"/>
      <c r="M1213" s="79"/>
      <c r="N1213" s="74"/>
      <c r="O1213" s="81" t="s">
        <v>1205</v>
      </c>
      <c r="P1213" s="83">
        <v>44466.715405092589</v>
      </c>
      <c r="Q1213" s="81" t="s">
        <v>1638</v>
      </c>
      <c r="R1213" s="81"/>
      <c r="S1213" s="81"/>
      <c r="T1213" s="81"/>
      <c r="U1213" s="85" t="str">
        <f>HYPERLINK("https://pbs.twimg.com/media/FASHjEnUcAMSLOM.jpg")</f>
        <v>https://pbs.twimg.com/media/FASHjEnUcAMSLOM.jpg</v>
      </c>
      <c r="V1213" s="85" t="str">
        <f>HYPERLINK("https://pbs.twimg.com/media/FASHjEnUcAMSLOM.jpg")</f>
        <v>https://pbs.twimg.com/media/FASHjEnUcAMSLOM.jpg</v>
      </c>
      <c r="W1213" s="83">
        <v>44466.715405092589</v>
      </c>
      <c r="X1213" s="89">
        <v>44466</v>
      </c>
      <c r="Y1213" s="87" t="s">
        <v>2607</v>
      </c>
      <c r="Z1213" s="85" t="str">
        <f>HYPERLINK("https://twitter.com/yanguning2/status/1442537061924278273")</f>
        <v>https://twitter.com/yanguning2/status/1442537061924278273</v>
      </c>
      <c r="AA1213" s="81"/>
      <c r="AB1213" s="81"/>
      <c r="AC1213" s="87" t="s">
        <v>3535</v>
      </c>
      <c r="AD1213" s="81"/>
      <c r="AE1213" s="81" t="b">
        <v>0</v>
      </c>
      <c r="AF1213" s="81">
        <v>0</v>
      </c>
      <c r="AG1213" s="87" t="s">
        <v>3875</v>
      </c>
      <c r="AH1213" s="81" t="b">
        <v>0</v>
      </c>
      <c r="AI1213" s="81" t="s">
        <v>4092</v>
      </c>
      <c r="AJ1213" s="81"/>
      <c r="AK1213" s="87" t="s">
        <v>3875</v>
      </c>
      <c r="AL1213" s="81" t="b">
        <v>0</v>
      </c>
      <c r="AM1213" s="81">
        <v>9</v>
      </c>
      <c r="AN1213" s="87" t="s">
        <v>3537</v>
      </c>
      <c r="AO1213" s="87" t="s">
        <v>4109</v>
      </c>
      <c r="AP1213" s="81" t="b">
        <v>0</v>
      </c>
      <c r="AQ1213" s="87" t="s">
        <v>3537</v>
      </c>
      <c r="AR1213" s="81" t="s">
        <v>179</v>
      </c>
      <c r="AS1213" s="81">
        <v>0</v>
      </c>
      <c r="AT1213" s="81">
        <v>0</v>
      </c>
      <c r="AU1213" s="81"/>
      <c r="AV1213" s="81"/>
      <c r="AW1213" s="81"/>
      <c r="AX1213" s="81"/>
      <c r="AY1213" s="81"/>
      <c r="AZ1213" s="81"/>
      <c r="BA1213" s="81"/>
      <c r="BB1213" s="81"/>
    </row>
    <row r="1214" spans="1:54" x14ac:dyDescent="0.35">
      <c r="A1214" s="66" t="s">
        <v>956</v>
      </c>
      <c r="B1214" s="66" t="s">
        <v>956</v>
      </c>
      <c r="C1214" s="67"/>
      <c r="D1214" s="68"/>
      <c r="E1214" s="69"/>
      <c r="F1214" s="70"/>
      <c r="G1214" s="67"/>
      <c r="H1214" s="71"/>
      <c r="I1214" s="72"/>
      <c r="J1214" s="72"/>
      <c r="K1214" s="36"/>
      <c r="L1214" s="79"/>
      <c r="M1214" s="79"/>
      <c r="N1214" s="74"/>
      <c r="O1214" s="81" t="s">
        <v>179</v>
      </c>
      <c r="P1214" s="83">
        <v>44466.724490740744</v>
      </c>
      <c r="Q1214" s="81" t="s">
        <v>1660</v>
      </c>
      <c r="R1214" s="81"/>
      <c r="S1214" s="81"/>
      <c r="T1214" s="81"/>
      <c r="U1214" s="85" t="str">
        <f>HYPERLINK("https://pbs.twimg.com/media/FATutVKXEAMt9m8.jpg")</f>
        <v>https://pbs.twimg.com/media/FATutVKXEAMt9m8.jpg</v>
      </c>
      <c r="V1214" s="85" t="str">
        <f>HYPERLINK("https://pbs.twimg.com/media/FATutVKXEAMt9m8.jpg")</f>
        <v>https://pbs.twimg.com/media/FATutVKXEAMt9m8.jpg</v>
      </c>
      <c r="W1214" s="83">
        <v>44466.724490740744</v>
      </c>
      <c r="X1214" s="89">
        <v>44466</v>
      </c>
      <c r="Y1214" s="87" t="s">
        <v>2608</v>
      </c>
      <c r="Z1214" s="85" t="str">
        <f>HYPERLINK("https://twitter.com/danicdanic/status/1442540353815396356")</f>
        <v>https://twitter.com/danicdanic/status/1442540353815396356</v>
      </c>
      <c r="AA1214" s="81"/>
      <c r="AB1214" s="81"/>
      <c r="AC1214" s="87" t="s">
        <v>3536</v>
      </c>
      <c r="AD1214" s="81"/>
      <c r="AE1214" s="81" t="b">
        <v>0</v>
      </c>
      <c r="AF1214" s="81">
        <v>0</v>
      </c>
      <c r="AG1214" s="87" t="s">
        <v>3875</v>
      </c>
      <c r="AH1214" s="81" t="b">
        <v>0</v>
      </c>
      <c r="AI1214" s="81" t="s">
        <v>4092</v>
      </c>
      <c r="AJ1214" s="81"/>
      <c r="AK1214" s="87" t="s">
        <v>3875</v>
      </c>
      <c r="AL1214" s="81" t="b">
        <v>0</v>
      </c>
      <c r="AM1214" s="81">
        <v>0</v>
      </c>
      <c r="AN1214" s="87" t="s">
        <v>3875</v>
      </c>
      <c r="AO1214" s="87" t="s">
        <v>4111</v>
      </c>
      <c r="AP1214" s="81" t="b">
        <v>0</v>
      </c>
      <c r="AQ1214" s="87" t="s">
        <v>3536</v>
      </c>
      <c r="AR1214" s="81" t="s">
        <v>179</v>
      </c>
      <c r="AS1214" s="81">
        <v>0</v>
      </c>
      <c r="AT1214" s="81">
        <v>0</v>
      </c>
      <c r="AU1214" s="81"/>
      <c r="AV1214" s="81"/>
      <c r="AW1214" s="81"/>
      <c r="AX1214" s="81"/>
      <c r="AY1214" s="81"/>
      <c r="AZ1214" s="81"/>
      <c r="BA1214" s="81"/>
      <c r="BB1214" s="81"/>
    </row>
    <row r="1215" spans="1:54" x14ac:dyDescent="0.35">
      <c r="A1215" s="66" t="s">
        <v>957</v>
      </c>
      <c r="B1215" s="66" t="s">
        <v>957</v>
      </c>
      <c r="C1215" s="67"/>
      <c r="D1215" s="68"/>
      <c r="E1215" s="69"/>
      <c r="F1215" s="70"/>
      <c r="G1215" s="67"/>
      <c r="H1215" s="71"/>
      <c r="I1215" s="72"/>
      <c r="J1215" s="72"/>
      <c r="K1215" s="36"/>
      <c r="L1215" s="79"/>
      <c r="M1215" s="79"/>
      <c r="N1215" s="74"/>
      <c r="O1215" s="81" t="s">
        <v>179</v>
      </c>
      <c r="P1215" s="83">
        <v>44466.411192129628</v>
      </c>
      <c r="Q1215" s="81" t="s">
        <v>1638</v>
      </c>
      <c r="R1215" s="81"/>
      <c r="S1215" s="81"/>
      <c r="T1215" s="81"/>
      <c r="U1215" s="85" t="str">
        <f>HYPERLINK("https://pbs.twimg.com/media/FASHjEnUcAMSLOM.jpg")</f>
        <v>https://pbs.twimg.com/media/FASHjEnUcAMSLOM.jpg</v>
      </c>
      <c r="V1215" s="85" t="str">
        <f>HYPERLINK("https://pbs.twimg.com/media/FASHjEnUcAMSLOM.jpg")</f>
        <v>https://pbs.twimg.com/media/FASHjEnUcAMSLOM.jpg</v>
      </c>
      <c r="W1215" s="83">
        <v>44466.411192129628</v>
      </c>
      <c r="X1215" s="89">
        <v>44466</v>
      </c>
      <c r="Y1215" s="87" t="s">
        <v>2609</v>
      </c>
      <c r="Z1215" s="85" t="str">
        <f>HYPERLINK("https://twitter.com/zomet13/status/1442426820138201096")</f>
        <v>https://twitter.com/zomet13/status/1442426820138201096</v>
      </c>
      <c r="AA1215" s="81"/>
      <c r="AB1215" s="81"/>
      <c r="AC1215" s="87" t="s">
        <v>3537</v>
      </c>
      <c r="AD1215" s="81"/>
      <c r="AE1215" s="81" t="b">
        <v>0</v>
      </c>
      <c r="AF1215" s="81">
        <v>60</v>
      </c>
      <c r="AG1215" s="87" t="s">
        <v>3875</v>
      </c>
      <c r="AH1215" s="81" t="b">
        <v>0</v>
      </c>
      <c r="AI1215" s="81" t="s">
        <v>4092</v>
      </c>
      <c r="AJ1215" s="81"/>
      <c r="AK1215" s="87" t="s">
        <v>3875</v>
      </c>
      <c r="AL1215" s="81" t="b">
        <v>0</v>
      </c>
      <c r="AM1215" s="81">
        <v>9</v>
      </c>
      <c r="AN1215" s="87" t="s">
        <v>3875</v>
      </c>
      <c r="AO1215" s="87" t="s">
        <v>4109</v>
      </c>
      <c r="AP1215" s="81" t="b">
        <v>0</v>
      </c>
      <c r="AQ1215" s="87" t="s">
        <v>3537</v>
      </c>
      <c r="AR1215" s="81" t="s">
        <v>179</v>
      </c>
      <c r="AS1215" s="81">
        <v>0</v>
      </c>
      <c r="AT1215" s="81">
        <v>0</v>
      </c>
      <c r="AU1215" s="81"/>
      <c r="AV1215" s="81"/>
      <c r="AW1215" s="81"/>
      <c r="AX1215" s="81"/>
      <c r="AY1215" s="81"/>
      <c r="AZ1215" s="81"/>
      <c r="BA1215" s="81"/>
      <c r="BB1215" s="81"/>
    </row>
    <row r="1216" spans="1:54" x14ac:dyDescent="0.35">
      <c r="A1216" s="66" t="s">
        <v>958</v>
      </c>
      <c r="B1216" s="66" t="s">
        <v>957</v>
      </c>
      <c r="C1216" s="67"/>
      <c r="D1216" s="68"/>
      <c r="E1216" s="69"/>
      <c r="F1216" s="70"/>
      <c r="G1216" s="67"/>
      <c r="H1216" s="71"/>
      <c r="I1216" s="72"/>
      <c r="J1216" s="72"/>
      <c r="K1216" s="36"/>
      <c r="L1216" s="79"/>
      <c r="M1216" s="79"/>
      <c r="N1216" s="74"/>
      <c r="O1216" s="81" t="s">
        <v>1205</v>
      </c>
      <c r="P1216" s="83">
        <v>44466.951840277776</v>
      </c>
      <c r="Q1216" s="81" t="s">
        <v>1638</v>
      </c>
      <c r="R1216" s="81"/>
      <c r="S1216" s="81"/>
      <c r="T1216" s="81"/>
      <c r="U1216" s="85" t="str">
        <f>HYPERLINK("https://pbs.twimg.com/media/FASHjEnUcAMSLOM.jpg")</f>
        <v>https://pbs.twimg.com/media/FASHjEnUcAMSLOM.jpg</v>
      </c>
      <c r="V1216" s="85" t="str">
        <f>HYPERLINK("https://pbs.twimg.com/media/FASHjEnUcAMSLOM.jpg")</f>
        <v>https://pbs.twimg.com/media/FASHjEnUcAMSLOM.jpg</v>
      </c>
      <c r="W1216" s="83">
        <v>44466.951840277776</v>
      </c>
      <c r="X1216" s="89">
        <v>44466</v>
      </c>
      <c r="Y1216" s="87" t="s">
        <v>2610</v>
      </c>
      <c r="Z1216" s="85" t="str">
        <f>HYPERLINK("https://twitter.com/camelaila1/status/1442622742113624070")</f>
        <v>https://twitter.com/camelaila1/status/1442622742113624070</v>
      </c>
      <c r="AA1216" s="81"/>
      <c r="AB1216" s="81"/>
      <c r="AC1216" s="87" t="s">
        <v>3538</v>
      </c>
      <c r="AD1216" s="81"/>
      <c r="AE1216" s="81" t="b">
        <v>0</v>
      </c>
      <c r="AF1216" s="81">
        <v>0</v>
      </c>
      <c r="AG1216" s="87" t="s">
        <v>3875</v>
      </c>
      <c r="AH1216" s="81" t="b">
        <v>0</v>
      </c>
      <c r="AI1216" s="81" t="s">
        <v>4092</v>
      </c>
      <c r="AJ1216" s="81"/>
      <c r="AK1216" s="87" t="s">
        <v>3875</v>
      </c>
      <c r="AL1216" s="81" t="b">
        <v>0</v>
      </c>
      <c r="AM1216" s="81">
        <v>9</v>
      </c>
      <c r="AN1216" s="87" t="s">
        <v>3537</v>
      </c>
      <c r="AO1216" s="87" t="s">
        <v>4109</v>
      </c>
      <c r="AP1216" s="81" t="b">
        <v>0</v>
      </c>
      <c r="AQ1216" s="87" t="s">
        <v>3537</v>
      </c>
      <c r="AR1216" s="81" t="s">
        <v>179</v>
      </c>
      <c r="AS1216" s="81">
        <v>0</v>
      </c>
      <c r="AT1216" s="81">
        <v>0</v>
      </c>
      <c r="AU1216" s="81"/>
      <c r="AV1216" s="81"/>
      <c r="AW1216" s="81"/>
      <c r="AX1216" s="81"/>
      <c r="AY1216" s="81"/>
      <c r="AZ1216" s="81"/>
      <c r="BA1216" s="81"/>
      <c r="BB1216" s="81"/>
    </row>
    <row r="1217" spans="1:54" x14ac:dyDescent="0.35">
      <c r="A1217" s="66" t="s">
        <v>959</v>
      </c>
      <c r="B1217" s="66" t="s">
        <v>1103</v>
      </c>
      <c r="C1217" s="67"/>
      <c r="D1217" s="68"/>
      <c r="E1217" s="69"/>
      <c r="F1217" s="70"/>
      <c r="G1217" s="67"/>
      <c r="H1217" s="71"/>
      <c r="I1217" s="72"/>
      <c r="J1217" s="72"/>
      <c r="K1217" s="36"/>
      <c r="L1217" s="79"/>
      <c r="M1217" s="79"/>
      <c r="N1217" s="74"/>
      <c r="O1217" s="81" t="s">
        <v>1208</v>
      </c>
      <c r="P1217" s="83">
        <v>44466.981273148151</v>
      </c>
      <c r="Q1217" s="81" t="s">
        <v>1661</v>
      </c>
      <c r="R1217" s="81"/>
      <c r="S1217" s="81"/>
      <c r="T1217" s="81"/>
      <c r="U1217" s="81"/>
      <c r="V1217" s="85" t="str">
        <f>HYPERLINK("https://pbs.twimg.com/profile_images/1442066538694012930/8ywlVDte_normal.jpg")</f>
        <v>https://pbs.twimg.com/profile_images/1442066538694012930/8ywlVDte_normal.jpg</v>
      </c>
      <c r="W1217" s="83">
        <v>44466.981273148151</v>
      </c>
      <c r="X1217" s="89">
        <v>44466</v>
      </c>
      <c r="Y1217" s="87" t="s">
        <v>2611</v>
      </c>
      <c r="Z1217" s="85" t="str">
        <f>HYPERLINK("https://twitter.com/punyanyongrote/status/1442633410317471745")</f>
        <v>https://twitter.com/punyanyongrote/status/1442633410317471745</v>
      </c>
      <c r="AA1217" s="81"/>
      <c r="AB1217" s="81"/>
      <c r="AC1217" s="87" t="s">
        <v>3539</v>
      </c>
      <c r="AD1217" s="87" t="s">
        <v>3863</v>
      </c>
      <c r="AE1217" s="81" t="b">
        <v>0</v>
      </c>
      <c r="AF1217" s="81">
        <v>0</v>
      </c>
      <c r="AG1217" s="87" t="s">
        <v>3974</v>
      </c>
      <c r="AH1217" s="81" t="b">
        <v>0</v>
      </c>
      <c r="AI1217" s="81" t="s">
        <v>4092</v>
      </c>
      <c r="AJ1217" s="81"/>
      <c r="AK1217" s="87" t="s">
        <v>3875</v>
      </c>
      <c r="AL1217" s="81" t="b">
        <v>0</v>
      </c>
      <c r="AM1217" s="81">
        <v>0</v>
      </c>
      <c r="AN1217" s="87" t="s">
        <v>3875</v>
      </c>
      <c r="AO1217" s="87" t="s">
        <v>4109</v>
      </c>
      <c r="AP1217" s="81" t="b">
        <v>0</v>
      </c>
      <c r="AQ1217" s="87" t="s">
        <v>3863</v>
      </c>
      <c r="AR1217" s="81" t="s">
        <v>179</v>
      </c>
      <c r="AS1217" s="81">
        <v>0</v>
      </c>
      <c r="AT1217" s="81">
        <v>0</v>
      </c>
      <c r="AU1217" s="81"/>
      <c r="AV1217" s="81"/>
      <c r="AW1217" s="81"/>
      <c r="AX1217" s="81"/>
      <c r="AY1217" s="81"/>
      <c r="AZ1217" s="81"/>
      <c r="BA1217" s="81"/>
      <c r="BB1217" s="81"/>
    </row>
    <row r="1218" spans="1:54" x14ac:dyDescent="0.35">
      <c r="A1218" s="66" t="s">
        <v>960</v>
      </c>
      <c r="B1218" s="66" t="s">
        <v>981</v>
      </c>
      <c r="C1218" s="67"/>
      <c r="D1218" s="68"/>
      <c r="E1218" s="69"/>
      <c r="F1218" s="70"/>
      <c r="G1218" s="67"/>
      <c r="H1218" s="71"/>
      <c r="I1218" s="72"/>
      <c r="J1218" s="72"/>
      <c r="K1218" s="36"/>
      <c r="L1218" s="79"/>
      <c r="M1218" s="79"/>
      <c r="N1218" s="74"/>
      <c r="O1218" s="81" t="s">
        <v>1205</v>
      </c>
      <c r="P1218" s="83">
        <v>44467.001168981478</v>
      </c>
      <c r="Q1218" s="81" t="s">
        <v>1662</v>
      </c>
      <c r="R1218" s="81"/>
      <c r="S1218" s="81"/>
      <c r="T1218" s="87" t="s">
        <v>1761</v>
      </c>
      <c r="U1218" s="85" t="str">
        <f>HYPERLINK("https://pbs.twimg.com/media/FAVJMbIVQAEDPMG.jpg")</f>
        <v>https://pbs.twimg.com/media/FAVJMbIVQAEDPMG.jpg</v>
      </c>
      <c r="V1218" s="85" t="str">
        <f>HYPERLINK("https://pbs.twimg.com/media/FAVJMbIVQAEDPMG.jpg")</f>
        <v>https://pbs.twimg.com/media/FAVJMbIVQAEDPMG.jpg</v>
      </c>
      <c r="W1218" s="83">
        <v>44467.001168981478</v>
      </c>
      <c r="X1218" s="89">
        <v>44467</v>
      </c>
      <c r="Y1218" s="87" t="s">
        <v>2612</v>
      </c>
      <c r="Z1218" s="85" t="str">
        <f>HYPERLINK("https://twitter.com/deddyhariadi/status/1442640620036657153")</f>
        <v>https://twitter.com/deddyhariadi/status/1442640620036657153</v>
      </c>
      <c r="AA1218" s="81"/>
      <c r="AB1218" s="81"/>
      <c r="AC1218" s="87" t="s">
        <v>3540</v>
      </c>
      <c r="AD1218" s="81"/>
      <c r="AE1218" s="81" t="b">
        <v>0</v>
      </c>
      <c r="AF1218" s="81">
        <v>0</v>
      </c>
      <c r="AG1218" s="87" t="s">
        <v>3875</v>
      </c>
      <c r="AH1218" s="81" t="b">
        <v>0</v>
      </c>
      <c r="AI1218" s="81" t="s">
        <v>4092</v>
      </c>
      <c r="AJ1218" s="81"/>
      <c r="AK1218" s="87" t="s">
        <v>3875</v>
      </c>
      <c r="AL1218" s="81" t="b">
        <v>0</v>
      </c>
      <c r="AM1218" s="81">
        <v>4</v>
      </c>
      <c r="AN1218" s="87" t="s">
        <v>3626</v>
      </c>
      <c r="AO1218" s="87" t="s">
        <v>4109</v>
      </c>
      <c r="AP1218" s="81" t="b">
        <v>0</v>
      </c>
      <c r="AQ1218" s="87" t="s">
        <v>3626</v>
      </c>
      <c r="AR1218" s="81" t="s">
        <v>179</v>
      </c>
      <c r="AS1218" s="81">
        <v>0</v>
      </c>
      <c r="AT1218" s="81">
        <v>0</v>
      </c>
      <c r="AU1218" s="81"/>
      <c r="AV1218" s="81"/>
      <c r="AW1218" s="81"/>
      <c r="AX1218" s="81"/>
      <c r="AY1218" s="81"/>
      <c r="AZ1218" s="81"/>
      <c r="BA1218" s="81"/>
      <c r="BB1218" s="81"/>
    </row>
    <row r="1219" spans="1:54" x14ac:dyDescent="0.35">
      <c r="A1219" s="66" t="s">
        <v>961</v>
      </c>
      <c r="B1219" s="66" t="s">
        <v>981</v>
      </c>
      <c r="C1219" s="67"/>
      <c r="D1219" s="68"/>
      <c r="E1219" s="69"/>
      <c r="F1219" s="70"/>
      <c r="G1219" s="67"/>
      <c r="H1219" s="71"/>
      <c r="I1219" s="72"/>
      <c r="J1219" s="72"/>
      <c r="K1219" s="36"/>
      <c r="L1219" s="79"/>
      <c r="M1219" s="79"/>
      <c r="N1219" s="74"/>
      <c r="O1219" s="81" t="s">
        <v>1205</v>
      </c>
      <c r="P1219" s="83">
        <v>44467.007222222222</v>
      </c>
      <c r="Q1219" s="81" t="s">
        <v>1662</v>
      </c>
      <c r="R1219" s="81"/>
      <c r="S1219" s="81"/>
      <c r="T1219" s="87" t="s">
        <v>1761</v>
      </c>
      <c r="U1219" s="85" t="str">
        <f>HYPERLINK("https://pbs.twimg.com/media/FAVJMbIVQAEDPMG.jpg")</f>
        <v>https://pbs.twimg.com/media/FAVJMbIVQAEDPMG.jpg</v>
      </c>
      <c r="V1219" s="85" t="str">
        <f>HYPERLINK("https://pbs.twimg.com/media/FAVJMbIVQAEDPMG.jpg")</f>
        <v>https://pbs.twimg.com/media/FAVJMbIVQAEDPMG.jpg</v>
      </c>
      <c r="W1219" s="83">
        <v>44467.007222222222</v>
      </c>
      <c r="X1219" s="89">
        <v>44467</v>
      </c>
      <c r="Y1219" s="87" t="s">
        <v>2613</v>
      </c>
      <c r="Z1219" s="85" t="str">
        <f>HYPERLINK("https://twitter.com/helmybobo/status/1442642815641522179")</f>
        <v>https://twitter.com/helmybobo/status/1442642815641522179</v>
      </c>
      <c r="AA1219" s="81"/>
      <c r="AB1219" s="81"/>
      <c r="AC1219" s="87" t="s">
        <v>3541</v>
      </c>
      <c r="AD1219" s="81"/>
      <c r="AE1219" s="81" t="b">
        <v>0</v>
      </c>
      <c r="AF1219" s="81">
        <v>0</v>
      </c>
      <c r="AG1219" s="87" t="s">
        <v>3875</v>
      </c>
      <c r="AH1219" s="81" t="b">
        <v>0</v>
      </c>
      <c r="AI1219" s="81" t="s">
        <v>4092</v>
      </c>
      <c r="AJ1219" s="81"/>
      <c r="AK1219" s="87" t="s">
        <v>3875</v>
      </c>
      <c r="AL1219" s="81" t="b">
        <v>0</v>
      </c>
      <c r="AM1219" s="81">
        <v>4</v>
      </c>
      <c r="AN1219" s="87" t="s">
        <v>3626</v>
      </c>
      <c r="AO1219" s="87" t="s">
        <v>4109</v>
      </c>
      <c r="AP1219" s="81" t="b">
        <v>0</v>
      </c>
      <c r="AQ1219" s="87" t="s">
        <v>3626</v>
      </c>
      <c r="AR1219" s="81" t="s">
        <v>179</v>
      </c>
      <c r="AS1219" s="81">
        <v>0</v>
      </c>
      <c r="AT1219" s="81">
        <v>0</v>
      </c>
      <c r="AU1219" s="81"/>
      <c r="AV1219" s="81"/>
      <c r="AW1219" s="81"/>
      <c r="AX1219" s="81"/>
      <c r="AY1219" s="81"/>
      <c r="AZ1219" s="81"/>
      <c r="BA1219" s="81"/>
      <c r="BB1219" s="81"/>
    </row>
    <row r="1220" spans="1:54" x14ac:dyDescent="0.35">
      <c r="A1220" s="66" t="s">
        <v>962</v>
      </c>
      <c r="B1220" s="66" t="s">
        <v>981</v>
      </c>
      <c r="C1220" s="67"/>
      <c r="D1220" s="68"/>
      <c r="E1220" s="69"/>
      <c r="F1220" s="70"/>
      <c r="G1220" s="67"/>
      <c r="H1220" s="71"/>
      <c r="I1220" s="72"/>
      <c r="J1220" s="72"/>
      <c r="K1220" s="36"/>
      <c r="L1220" s="79"/>
      <c r="M1220" s="79"/>
      <c r="N1220" s="74"/>
      <c r="O1220" s="81" t="s">
        <v>1205</v>
      </c>
      <c r="P1220" s="83">
        <v>44459.006944444445</v>
      </c>
      <c r="Q1220" s="81" t="s">
        <v>1269</v>
      </c>
      <c r="R1220" s="81"/>
      <c r="S1220" s="81"/>
      <c r="T1220" s="87" t="s">
        <v>1761</v>
      </c>
      <c r="U1220" s="85" t="str">
        <f>HYPERLINK("https://pbs.twimg.com/media/E_r8KZzVcAMmGuJ.jpg")</f>
        <v>https://pbs.twimg.com/media/E_r8KZzVcAMmGuJ.jpg</v>
      </c>
      <c r="V1220" s="85" t="str">
        <f>HYPERLINK("https://pbs.twimg.com/media/E_r8KZzVcAMmGuJ.jpg")</f>
        <v>https://pbs.twimg.com/media/E_r8KZzVcAMmGuJ.jpg</v>
      </c>
      <c r="W1220" s="83">
        <v>44459.006944444445</v>
      </c>
      <c r="X1220" s="89">
        <v>44459</v>
      </c>
      <c r="Y1220" s="87" t="s">
        <v>2614</v>
      </c>
      <c r="Z1220" s="85" t="str">
        <f>HYPERLINK("https://twitter.com/radioelshinta/status/1439743611487223810")</f>
        <v>https://twitter.com/radioelshinta/status/1439743611487223810</v>
      </c>
      <c r="AA1220" s="81"/>
      <c r="AB1220" s="81"/>
      <c r="AC1220" s="87" t="s">
        <v>3542</v>
      </c>
      <c r="AD1220" s="81"/>
      <c r="AE1220" s="81" t="b">
        <v>0</v>
      </c>
      <c r="AF1220" s="81">
        <v>0</v>
      </c>
      <c r="AG1220" s="87" t="s">
        <v>3875</v>
      </c>
      <c r="AH1220" s="81" t="b">
        <v>0</v>
      </c>
      <c r="AI1220" s="81" t="s">
        <v>4092</v>
      </c>
      <c r="AJ1220" s="81"/>
      <c r="AK1220" s="87" t="s">
        <v>3875</v>
      </c>
      <c r="AL1220" s="81" t="b">
        <v>0</v>
      </c>
      <c r="AM1220" s="81">
        <v>5</v>
      </c>
      <c r="AN1220" s="87" t="s">
        <v>3619</v>
      </c>
      <c r="AO1220" s="87" t="s">
        <v>4111</v>
      </c>
      <c r="AP1220" s="81" t="b">
        <v>0</v>
      </c>
      <c r="AQ1220" s="87" t="s">
        <v>3619</v>
      </c>
      <c r="AR1220" s="81" t="s">
        <v>179</v>
      </c>
      <c r="AS1220" s="81">
        <v>0</v>
      </c>
      <c r="AT1220" s="81">
        <v>0</v>
      </c>
      <c r="AU1220" s="81"/>
      <c r="AV1220" s="81"/>
      <c r="AW1220" s="81"/>
      <c r="AX1220" s="81"/>
      <c r="AY1220" s="81"/>
      <c r="AZ1220" s="81"/>
      <c r="BA1220" s="81"/>
      <c r="BB1220" s="81"/>
    </row>
    <row r="1221" spans="1:54" x14ac:dyDescent="0.35">
      <c r="A1221" s="66" t="s">
        <v>962</v>
      </c>
      <c r="B1221" s="66" t="s">
        <v>981</v>
      </c>
      <c r="C1221" s="67"/>
      <c r="D1221" s="68"/>
      <c r="E1221" s="69"/>
      <c r="F1221" s="70"/>
      <c r="G1221" s="67"/>
      <c r="H1221" s="71"/>
      <c r="I1221" s="72"/>
      <c r="J1221" s="72"/>
      <c r="K1221" s="36"/>
      <c r="L1221" s="79"/>
      <c r="M1221" s="79"/>
      <c r="N1221" s="74"/>
      <c r="O1221" s="81" t="s">
        <v>1205</v>
      </c>
      <c r="P1221" s="83">
        <v>44459.976655092592</v>
      </c>
      <c r="Q1221" s="81" t="s">
        <v>1322</v>
      </c>
      <c r="R1221" s="81"/>
      <c r="S1221" s="81"/>
      <c r="T1221" s="87" t="s">
        <v>1761</v>
      </c>
      <c r="U1221" s="85" t="str">
        <f>HYPERLINK("https://pbs.twimg.com/media/E_w2xwgUcAcN61c.jpg")</f>
        <v>https://pbs.twimg.com/media/E_w2xwgUcAcN61c.jpg</v>
      </c>
      <c r="V1221" s="85" t="str">
        <f>HYPERLINK("https://pbs.twimg.com/media/E_w2xwgUcAcN61c.jpg")</f>
        <v>https://pbs.twimg.com/media/E_w2xwgUcAcN61c.jpg</v>
      </c>
      <c r="W1221" s="83">
        <v>44459.976655092592</v>
      </c>
      <c r="X1221" s="89">
        <v>44459</v>
      </c>
      <c r="Y1221" s="87" t="s">
        <v>2615</v>
      </c>
      <c r="Z1221" s="85" t="str">
        <f>HYPERLINK("https://twitter.com/radioelshinta/status/1440095020267098120")</f>
        <v>https://twitter.com/radioelshinta/status/1440095020267098120</v>
      </c>
      <c r="AA1221" s="81"/>
      <c r="AB1221" s="81"/>
      <c r="AC1221" s="87" t="s">
        <v>3543</v>
      </c>
      <c r="AD1221" s="81"/>
      <c r="AE1221" s="81" t="b">
        <v>0</v>
      </c>
      <c r="AF1221" s="81">
        <v>0</v>
      </c>
      <c r="AG1221" s="87" t="s">
        <v>3875</v>
      </c>
      <c r="AH1221" s="81" t="b">
        <v>0</v>
      </c>
      <c r="AI1221" s="81" t="s">
        <v>4092</v>
      </c>
      <c r="AJ1221" s="81"/>
      <c r="AK1221" s="87" t="s">
        <v>3875</v>
      </c>
      <c r="AL1221" s="81" t="b">
        <v>0</v>
      </c>
      <c r="AM1221" s="81">
        <v>5</v>
      </c>
      <c r="AN1221" s="87" t="s">
        <v>3620</v>
      </c>
      <c r="AO1221" s="87" t="s">
        <v>4111</v>
      </c>
      <c r="AP1221" s="81" t="b">
        <v>0</v>
      </c>
      <c r="AQ1221" s="87" t="s">
        <v>3620</v>
      </c>
      <c r="AR1221" s="81" t="s">
        <v>179</v>
      </c>
      <c r="AS1221" s="81">
        <v>0</v>
      </c>
      <c r="AT1221" s="81">
        <v>0</v>
      </c>
      <c r="AU1221" s="81"/>
      <c r="AV1221" s="81"/>
      <c r="AW1221" s="81"/>
      <c r="AX1221" s="81"/>
      <c r="AY1221" s="81"/>
      <c r="AZ1221" s="81"/>
      <c r="BA1221" s="81"/>
      <c r="BB1221" s="81"/>
    </row>
    <row r="1222" spans="1:54" x14ac:dyDescent="0.35">
      <c r="A1222" s="66" t="s">
        <v>962</v>
      </c>
      <c r="B1222" s="66" t="s">
        <v>981</v>
      </c>
      <c r="C1222" s="67"/>
      <c r="D1222" s="68"/>
      <c r="E1222" s="69"/>
      <c r="F1222" s="70"/>
      <c r="G1222" s="67"/>
      <c r="H1222" s="71"/>
      <c r="I1222" s="72"/>
      <c r="J1222" s="72"/>
      <c r="K1222" s="36"/>
      <c r="L1222" s="79"/>
      <c r="M1222" s="79"/>
      <c r="N1222" s="74"/>
      <c r="O1222" s="81" t="s">
        <v>1205</v>
      </c>
      <c r="P1222" s="83">
        <v>44460.98027777778</v>
      </c>
      <c r="Q1222" s="81" t="s">
        <v>1370</v>
      </c>
      <c r="R1222" s="81"/>
      <c r="S1222" s="81"/>
      <c r="T1222" s="87" t="s">
        <v>1761</v>
      </c>
      <c r="U1222" s="85" t="str">
        <f>HYPERLINK("https://pbs.twimg.com/media/E_2F2szVgAAqDwo.jpg")</f>
        <v>https://pbs.twimg.com/media/E_2F2szVgAAqDwo.jpg</v>
      </c>
      <c r="V1222" s="85" t="str">
        <f>HYPERLINK("https://pbs.twimg.com/media/E_2F2szVgAAqDwo.jpg")</f>
        <v>https://pbs.twimg.com/media/E_2F2szVgAAqDwo.jpg</v>
      </c>
      <c r="W1222" s="83">
        <v>44460.98027777778</v>
      </c>
      <c r="X1222" s="89">
        <v>44460</v>
      </c>
      <c r="Y1222" s="87" t="s">
        <v>2616</v>
      </c>
      <c r="Z1222" s="85" t="str">
        <f>HYPERLINK("https://twitter.com/radioelshinta/status/1440458722224926721")</f>
        <v>https://twitter.com/radioelshinta/status/1440458722224926721</v>
      </c>
      <c r="AA1222" s="81"/>
      <c r="AB1222" s="81"/>
      <c r="AC1222" s="87" t="s">
        <v>3544</v>
      </c>
      <c r="AD1222" s="81"/>
      <c r="AE1222" s="81" t="b">
        <v>0</v>
      </c>
      <c r="AF1222" s="81">
        <v>0</v>
      </c>
      <c r="AG1222" s="87" t="s">
        <v>3875</v>
      </c>
      <c r="AH1222" s="81" t="b">
        <v>0</v>
      </c>
      <c r="AI1222" s="81" t="s">
        <v>4092</v>
      </c>
      <c r="AJ1222" s="81"/>
      <c r="AK1222" s="87" t="s">
        <v>3875</v>
      </c>
      <c r="AL1222" s="81" t="b">
        <v>0</v>
      </c>
      <c r="AM1222" s="81">
        <v>3</v>
      </c>
      <c r="AN1222" s="87" t="s">
        <v>3621</v>
      </c>
      <c r="AO1222" s="87" t="s">
        <v>4111</v>
      </c>
      <c r="AP1222" s="81" t="b">
        <v>0</v>
      </c>
      <c r="AQ1222" s="87" t="s">
        <v>3621</v>
      </c>
      <c r="AR1222" s="81" t="s">
        <v>179</v>
      </c>
      <c r="AS1222" s="81">
        <v>0</v>
      </c>
      <c r="AT1222" s="81">
        <v>0</v>
      </c>
      <c r="AU1222" s="81"/>
      <c r="AV1222" s="81"/>
      <c r="AW1222" s="81"/>
      <c r="AX1222" s="81"/>
      <c r="AY1222" s="81"/>
      <c r="AZ1222" s="81"/>
      <c r="BA1222" s="81"/>
      <c r="BB1222" s="81"/>
    </row>
    <row r="1223" spans="1:54" x14ac:dyDescent="0.35">
      <c r="A1223" s="66" t="s">
        <v>962</v>
      </c>
      <c r="B1223" s="66" t="s">
        <v>981</v>
      </c>
      <c r="C1223" s="67"/>
      <c r="D1223" s="68"/>
      <c r="E1223" s="69"/>
      <c r="F1223" s="70"/>
      <c r="G1223" s="67"/>
      <c r="H1223" s="71"/>
      <c r="I1223" s="72"/>
      <c r="J1223" s="72"/>
      <c r="K1223" s="36"/>
      <c r="L1223" s="79"/>
      <c r="M1223" s="79"/>
      <c r="N1223" s="74"/>
      <c r="O1223" s="81" t="s">
        <v>1205</v>
      </c>
      <c r="P1223" s="83">
        <v>44462.00675925926</v>
      </c>
      <c r="Q1223" s="81" t="s">
        <v>1423</v>
      </c>
      <c r="R1223" s="81"/>
      <c r="S1223" s="81"/>
      <c r="T1223" s="87" t="s">
        <v>1761</v>
      </c>
      <c r="U1223" s="85" t="str">
        <f>HYPERLINK("https://pbs.twimg.com/media/E_7TTslUcAUqXs5.jpg")</f>
        <v>https://pbs.twimg.com/media/E_7TTslUcAUqXs5.jpg</v>
      </c>
      <c r="V1223" s="85" t="str">
        <f>HYPERLINK("https://pbs.twimg.com/media/E_7TTslUcAUqXs5.jpg")</f>
        <v>https://pbs.twimg.com/media/E_7TTslUcAUqXs5.jpg</v>
      </c>
      <c r="W1223" s="83">
        <v>44462.00675925926</v>
      </c>
      <c r="X1223" s="89">
        <v>44462</v>
      </c>
      <c r="Y1223" s="87" t="s">
        <v>2617</v>
      </c>
      <c r="Z1223" s="85" t="str">
        <f>HYPERLINK("https://twitter.com/radioelshinta/status/1440830706599350281")</f>
        <v>https://twitter.com/radioelshinta/status/1440830706599350281</v>
      </c>
      <c r="AA1223" s="81"/>
      <c r="AB1223" s="81"/>
      <c r="AC1223" s="87" t="s">
        <v>3545</v>
      </c>
      <c r="AD1223" s="81"/>
      <c r="AE1223" s="81" t="b">
        <v>0</v>
      </c>
      <c r="AF1223" s="81">
        <v>0</v>
      </c>
      <c r="AG1223" s="87" t="s">
        <v>3875</v>
      </c>
      <c r="AH1223" s="81" t="b">
        <v>0</v>
      </c>
      <c r="AI1223" s="81" t="s">
        <v>4092</v>
      </c>
      <c r="AJ1223" s="81"/>
      <c r="AK1223" s="87" t="s">
        <v>3875</v>
      </c>
      <c r="AL1223" s="81" t="b">
        <v>0</v>
      </c>
      <c r="AM1223" s="81">
        <v>2</v>
      </c>
      <c r="AN1223" s="87" t="s">
        <v>3622</v>
      </c>
      <c r="AO1223" s="87" t="s">
        <v>4111</v>
      </c>
      <c r="AP1223" s="81" t="b">
        <v>0</v>
      </c>
      <c r="AQ1223" s="87" t="s">
        <v>3622</v>
      </c>
      <c r="AR1223" s="81" t="s">
        <v>179</v>
      </c>
      <c r="AS1223" s="81">
        <v>0</v>
      </c>
      <c r="AT1223" s="81">
        <v>0</v>
      </c>
      <c r="AU1223" s="81"/>
      <c r="AV1223" s="81"/>
      <c r="AW1223" s="81"/>
      <c r="AX1223" s="81"/>
      <c r="AY1223" s="81"/>
      <c r="AZ1223" s="81"/>
      <c r="BA1223" s="81"/>
      <c r="BB1223" s="81"/>
    </row>
    <row r="1224" spans="1:54" x14ac:dyDescent="0.35">
      <c r="A1224" s="66" t="s">
        <v>962</v>
      </c>
      <c r="B1224" s="66" t="s">
        <v>981</v>
      </c>
      <c r="C1224" s="67"/>
      <c r="D1224" s="68"/>
      <c r="E1224" s="69"/>
      <c r="F1224" s="70"/>
      <c r="G1224" s="67"/>
      <c r="H1224" s="71"/>
      <c r="I1224" s="72"/>
      <c r="J1224" s="72"/>
      <c r="K1224" s="36"/>
      <c r="L1224" s="79"/>
      <c r="M1224" s="79"/>
      <c r="N1224" s="74"/>
      <c r="O1224" s="81" t="s">
        <v>1205</v>
      </c>
      <c r="P1224" s="83">
        <v>44462.968599537038</v>
      </c>
      <c r="Q1224" s="81" t="s">
        <v>1663</v>
      </c>
      <c r="R1224" s="81"/>
      <c r="S1224" s="81"/>
      <c r="T1224" s="87" t="s">
        <v>1761</v>
      </c>
      <c r="U1224" s="85" t="str">
        <f>HYPERLINK("https://pbs.twimg.com/media/FAAS6FnUcAEsaxu.jpg")</f>
        <v>https://pbs.twimg.com/media/FAAS6FnUcAEsaxu.jpg</v>
      </c>
      <c r="V1224" s="85" t="str">
        <f>HYPERLINK("https://pbs.twimg.com/media/FAAS6FnUcAEsaxu.jpg")</f>
        <v>https://pbs.twimg.com/media/FAAS6FnUcAEsaxu.jpg</v>
      </c>
      <c r="W1224" s="83">
        <v>44462.968599537038</v>
      </c>
      <c r="X1224" s="89">
        <v>44462</v>
      </c>
      <c r="Y1224" s="87" t="s">
        <v>2618</v>
      </c>
      <c r="Z1224" s="85" t="str">
        <f>HYPERLINK("https://twitter.com/radioelshinta/status/1441179265253347337")</f>
        <v>https://twitter.com/radioelshinta/status/1441179265253347337</v>
      </c>
      <c r="AA1224" s="81"/>
      <c r="AB1224" s="81"/>
      <c r="AC1224" s="87" t="s">
        <v>3546</v>
      </c>
      <c r="AD1224" s="81"/>
      <c r="AE1224" s="81" t="b">
        <v>0</v>
      </c>
      <c r="AF1224" s="81">
        <v>0</v>
      </c>
      <c r="AG1224" s="87" t="s">
        <v>3875</v>
      </c>
      <c r="AH1224" s="81" t="b">
        <v>0</v>
      </c>
      <c r="AI1224" s="81" t="s">
        <v>4092</v>
      </c>
      <c r="AJ1224" s="81"/>
      <c r="AK1224" s="87" t="s">
        <v>3875</v>
      </c>
      <c r="AL1224" s="81" t="b">
        <v>0</v>
      </c>
      <c r="AM1224" s="81">
        <v>2</v>
      </c>
      <c r="AN1224" s="87" t="s">
        <v>3623</v>
      </c>
      <c r="AO1224" s="87" t="s">
        <v>4111</v>
      </c>
      <c r="AP1224" s="81" t="b">
        <v>0</v>
      </c>
      <c r="AQ1224" s="87" t="s">
        <v>3623</v>
      </c>
      <c r="AR1224" s="81" t="s">
        <v>179</v>
      </c>
      <c r="AS1224" s="81">
        <v>0</v>
      </c>
      <c r="AT1224" s="81">
        <v>0</v>
      </c>
      <c r="AU1224" s="81"/>
      <c r="AV1224" s="81"/>
      <c r="AW1224" s="81"/>
      <c r="AX1224" s="81"/>
      <c r="AY1224" s="81"/>
      <c r="AZ1224" s="81"/>
      <c r="BA1224" s="81"/>
      <c r="BB1224" s="81"/>
    </row>
    <row r="1225" spans="1:54" x14ac:dyDescent="0.35">
      <c r="A1225" s="66" t="s">
        <v>962</v>
      </c>
      <c r="B1225" s="66" t="s">
        <v>981</v>
      </c>
      <c r="C1225" s="67"/>
      <c r="D1225" s="68"/>
      <c r="E1225" s="69"/>
      <c r="F1225" s="70"/>
      <c r="G1225" s="67"/>
      <c r="H1225" s="71"/>
      <c r="I1225" s="72"/>
      <c r="J1225" s="72"/>
      <c r="K1225" s="36"/>
      <c r="L1225" s="79"/>
      <c r="M1225" s="79"/>
      <c r="N1225" s="74"/>
      <c r="O1225" s="81" t="s">
        <v>1205</v>
      </c>
      <c r="P1225" s="83">
        <v>44463.980393518519</v>
      </c>
      <c r="Q1225" s="81" t="s">
        <v>1511</v>
      </c>
      <c r="R1225" s="81"/>
      <c r="S1225" s="81"/>
      <c r="T1225" s="87" t="s">
        <v>1761</v>
      </c>
      <c r="U1225" s="85" t="str">
        <f>HYPERLINK("https://pbs.twimg.com/media/FAFli1WVcAUQZZc.jpg")</f>
        <v>https://pbs.twimg.com/media/FAFli1WVcAUQZZc.jpg</v>
      </c>
      <c r="V1225" s="85" t="str">
        <f>HYPERLINK("https://pbs.twimg.com/media/FAFli1WVcAUQZZc.jpg")</f>
        <v>https://pbs.twimg.com/media/FAFli1WVcAUQZZc.jpg</v>
      </c>
      <c r="W1225" s="83">
        <v>44463.980393518519</v>
      </c>
      <c r="X1225" s="89">
        <v>44463</v>
      </c>
      <c r="Y1225" s="87" t="s">
        <v>2619</v>
      </c>
      <c r="Z1225" s="85" t="str">
        <f>HYPERLINK("https://twitter.com/radioelshinta/status/1441545928997957632")</f>
        <v>https://twitter.com/radioelshinta/status/1441545928997957632</v>
      </c>
      <c r="AA1225" s="81"/>
      <c r="AB1225" s="81"/>
      <c r="AC1225" s="87" t="s">
        <v>3547</v>
      </c>
      <c r="AD1225" s="81"/>
      <c r="AE1225" s="81" t="b">
        <v>0</v>
      </c>
      <c r="AF1225" s="81">
        <v>0</v>
      </c>
      <c r="AG1225" s="87" t="s">
        <v>3875</v>
      </c>
      <c r="AH1225" s="81" t="b">
        <v>0</v>
      </c>
      <c r="AI1225" s="81" t="s">
        <v>4092</v>
      </c>
      <c r="AJ1225" s="81"/>
      <c r="AK1225" s="87" t="s">
        <v>3875</v>
      </c>
      <c r="AL1225" s="81" t="b">
        <v>0</v>
      </c>
      <c r="AM1225" s="81">
        <v>3</v>
      </c>
      <c r="AN1225" s="87" t="s">
        <v>3624</v>
      </c>
      <c r="AO1225" s="87" t="s">
        <v>4111</v>
      </c>
      <c r="AP1225" s="81" t="b">
        <v>0</v>
      </c>
      <c r="AQ1225" s="87" t="s">
        <v>3624</v>
      </c>
      <c r="AR1225" s="81" t="s">
        <v>179</v>
      </c>
      <c r="AS1225" s="81">
        <v>0</v>
      </c>
      <c r="AT1225" s="81">
        <v>0</v>
      </c>
      <c r="AU1225" s="81"/>
      <c r="AV1225" s="81"/>
      <c r="AW1225" s="81"/>
      <c r="AX1225" s="81"/>
      <c r="AY1225" s="81"/>
      <c r="AZ1225" s="81"/>
      <c r="BA1225" s="81"/>
      <c r="BB1225" s="81"/>
    </row>
    <row r="1226" spans="1:54" x14ac:dyDescent="0.35">
      <c r="A1226" s="66" t="s">
        <v>962</v>
      </c>
      <c r="B1226" s="66" t="s">
        <v>981</v>
      </c>
      <c r="C1226" s="67"/>
      <c r="D1226" s="68"/>
      <c r="E1226" s="69"/>
      <c r="F1226" s="70"/>
      <c r="G1226" s="67"/>
      <c r="H1226" s="71"/>
      <c r="I1226" s="72"/>
      <c r="J1226" s="72"/>
      <c r="K1226" s="36"/>
      <c r="L1226" s="79"/>
      <c r="M1226" s="79"/>
      <c r="N1226" s="74"/>
      <c r="O1226" s="81" t="s">
        <v>1205</v>
      </c>
      <c r="P1226" s="83">
        <v>44467.011759259258</v>
      </c>
      <c r="Q1226" s="81" t="s">
        <v>1662</v>
      </c>
      <c r="R1226" s="81"/>
      <c r="S1226" s="81"/>
      <c r="T1226" s="87" t="s">
        <v>1761</v>
      </c>
      <c r="U1226" s="85" t="str">
        <f>HYPERLINK("https://pbs.twimg.com/media/FAVJMbIVQAEDPMG.jpg")</f>
        <v>https://pbs.twimg.com/media/FAVJMbIVQAEDPMG.jpg</v>
      </c>
      <c r="V1226" s="85" t="str">
        <f>HYPERLINK("https://pbs.twimg.com/media/FAVJMbIVQAEDPMG.jpg")</f>
        <v>https://pbs.twimg.com/media/FAVJMbIVQAEDPMG.jpg</v>
      </c>
      <c r="W1226" s="83">
        <v>44467.011759259258</v>
      </c>
      <c r="X1226" s="89">
        <v>44467</v>
      </c>
      <c r="Y1226" s="87" t="s">
        <v>2620</v>
      </c>
      <c r="Z1226" s="85" t="str">
        <f>HYPERLINK("https://twitter.com/radioelshinta/status/1442644457187254274")</f>
        <v>https://twitter.com/radioelshinta/status/1442644457187254274</v>
      </c>
      <c r="AA1226" s="81"/>
      <c r="AB1226" s="81"/>
      <c r="AC1226" s="87" t="s">
        <v>3548</v>
      </c>
      <c r="AD1226" s="81"/>
      <c r="AE1226" s="81" t="b">
        <v>0</v>
      </c>
      <c r="AF1226" s="81">
        <v>0</v>
      </c>
      <c r="AG1226" s="87" t="s">
        <v>3875</v>
      </c>
      <c r="AH1226" s="81" t="b">
        <v>0</v>
      </c>
      <c r="AI1226" s="81" t="s">
        <v>4092</v>
      </c>
      <c r="AJ1226" s="81"/>
      <c r="AK1226" s="87" t="s">
        <v>3875</v>
      </c>
      <c r="AL1226" s="81" t="b">
        <v>0</v>
      </c>
      <c r="AM1226" s="81">
        <v>4</v>
      </c>
      <c r="AN1226" s="87" t="s">
        <v>3626</v>
      </c>
      <c r="AO1226" s="87" t="s">
        <v>4111</v>
      </c>
      <c r="AP1226" s="81" t="b">
        <v>0</v>
      </c>
      <c r="AQ1226" s="87" t="s">
        <v>3626</v>
      </c>
      <c r="AR1226" s="81" t="s">
        <v>179</v>
      </c>
      <c r="AS1226" s="81">
        <v>0</v>
      </c>
      <c r="AT1226" s="81">
        <v>0</v>
      </c>
      <c r="AU1226" s="81"/>
      <c r="AV1226" s="81"/>
      <c r="AW1226" s="81"/>
      <c r="AX1226" s="81"/>
      <c r="AY1226" s="81"/>
      <c r="AZ1226" s="81"/>
      <c r="BA1226" s="81"/>
      <c r="BB1226" s="81"/>
    </row>
    <row r="1227" spans="1:54" x14ac:dyDescent="0.35">
      <c r="A1227" s="66" t="s">
        <v>963</v>
      </c>
      <c r="B1227" s="66" t="s">
        <v>981</v>
      </c>
      <c r="C1227" s="67"/>
      <c r="D1227" s="68"/>
      <c r="E1227" s="69"/>
      <c r="F1227" s="70"/>
      <c r="G1227" s="67"/>
      <c r="H1227" s="71"/>
      <c r="I1227" s="72"/>
      <c r="J1227" s="72"/>
      <c r="K1227" s="36"/>
      <c r="L1227" s="79"/>
      <c r="M1227" s="79"/>
      <c r="N1227" s="74"/>
      <c r="O1227" s="81" t="s">
        <v>1206</v>
      </c>
      <c r="P1227" s="83">
        <v>44459.000694444447</v>
      </c>
      <c r="Q1227" s="81" t="s">
        <v>1664</v>
      </c>
      <c r="R1227" s="81"/>
      <c r="S1227" s="81"/>
      <c r="T1227" s="87" t="s">
        <v>1786</v>
      </c>
      <c r="U1227" s="85" t="str">
        <f>HYPERLINK("https://pbs.twimg.com/media/E_r8xUAUYAE0-Sy.jpg")</f>
        <v>https://pbs.twimg.com/media/E_r8xUAUYAE0-Sy.jpg</v>
      </c>
      <c r="V1227" s="85" t="str">
        <f>HYPERLINK("https://pbs.twimg.com/media/E_r8xUAUYAE0-Sy.jpg")</f>
        <v>https://pbs.twimg.com/media/E_r8xUAUYAE0-Sy.jpg</v>
      </c>
      <c r="W1227" s="83">
        <v>44459.000694444447</v>
      </c>
      <c r="X1227" s="89">
        <v>44459</v>
      </c>
      <c r="Y1227" s="87" t="s">
        <v>2621</v>
      </c>
      <c r="Z1227" s="85" t="str">
        <f>HYPERLINK("https://twitter.com/sonorafm92/status/1439741347380928514")</f>
        <v>https://twitter.com/sonorafm92/status/1439741347380928514</v>
      </c>
      <c r="AA1227" s="81"/>
      <c r="AB1227" s="81"/>
      <c r="AC1227" s="87" t="s">
        <v>3549</v>
      </c>
      <c r="AD1227" s="81"/>
      <c r="AE1227" s="81" t="b">
        <v>0</v>
      </c>
      <c r="AF1227" s="81">
        <v>0</v>
      </c>
      <c r="AG1227" s="87" t="s">
        <v>3875</v>
      </c>
      <c r="AH1227" s="81" t="b">
        <v>0</v>
      </c>
      <c r="AI1227" s="81" t="s">
        <v>4092</v>
      </c>
      <c r="AJ1227" s="81"/>
      <c r="AK1227" s="87" t="s">
        <v>3875</v>
      </c>
      <c r="AL1227" s="81" t="b">
        <v>0</v>
      </c>
      <c r="AM1227" s="81">
        <v>0</v>
      </c>
      <c r="AN1227" s="87" t="s">
        <v>3875</v>
      </c>
      <c r="AO1227" s="87" t="s">
        <v>4109</v>
      </c>
      <c r="AP1227" s="81" t="b">
        <v>0</v>
      </c>
      <c r="AQ1227" s="87" t="s">
        <v>3549</v>
      </c>
      <c r="AR1227" s="81" t="s">
        <v>179</v>
      </c>
      <c r="AS1227" s="81">
        <v>0</v>
      </c>
      <c r="AT1227" s="81">
        <v>0</v>
      </c>
      <c r="AU1227" s="81"/>
      <c r="AV1227" s="81"/>
      <c r="AW1227" s="81"/>
      <c r="AX1227" s="81"/>
      <c r="AY1227" s="81"/>
      <c r="AZ1227" s="81"/>
      <c r="BA1227" s="81"/>
      <c r="BB1227" s="81"/>
    </row>
    <row r="1228" spans="1:54" x14ac:dyDescent="0.35">
      <c r="A1228" s="66" t="s">
        <v>963</v>
      </c>
      <c r="B1228" s="66" t="s">
        <v>981</v>
      </c>
      <c r="C1228" s="67"/>
      <c r="D1228" s="68"/>
      <c r="E1228" s="69"/>
      <c r="F1228" s="70"/>
      <c r="G1228" s="67"/>
      <c r="H1228" s="71"/>
      <c r="I1228" s="72"/>
      <c r="J1228" s="72"/>
      <c r="K1228" s="36"/>
      <c r="L1228" s="79"/>
      <c r="M1228" s="79"/>
      <c r="N1228" s="74"/>
      <c r="O1228" s="81" t="s">
        <v>1206</v>
      </c>
      <c r="P1228" s="83">
        <v>44460.018171296295</v>
      </c>
      <c r="Q1228" s="81" t="s">
        <v>1665</v>
      </c>
      <c r="R1228" s="81"/>
      <c r="S1228" s="81"/>
      <c r="T1228" s="87" t="s">
        <v>1786</v>
      </c>
      <c r="U1228" s="81"/>
      <c r="V1228" s="85" t="str">
        <f>HYPERLINK("https://pbs.twimg.com/profile_images/1410493292035252229/WJtGTERO_normal.jpg")</f>
        <v>https://pbs.twimg.com/profile_images/1410493292035252229/WJtGTERO_normal.jpg</v>
      </c>
      <c r="W1228" s="83">
        <v>44460.018171296295</v>
      </c>
      <c r="X1228" s="89">
        <v>44460</v>
      </c>
      <c r="Y1228" s="87" t="s">
        <v>2622</v>
      </c>
      <c r="Z1228" s="85" t="str">
        <f>HYPERLINK("https://twitter.com/sonorafm92/status/1440110066321952772")</f>
        <v>https://twitter.com/sonorafm92/status/1440110066321952772</v>
      </c>
      <c r="AA1228" s="81"/>
      <c r="AB1228" s="81"/>
      <c r="AC1228" s="87" t="s">
        <v>3550</v>
      </c>
      <c r="AD1228" s="81"/>
      <c r="AE1228" s="81" t="b">
        <v>0</v>
      </c>
      <c r="AF1228" s="81">
        <v>0</v>
      </c>
      <c r="AG1228" s="87" t="s">
        <v>3875</v>
      </c>
      <c r="AH1228" s="81" t="b">
        <v>0</v>
      </c>
      <c r="AI1228" s="81" t="s">
        <v>4092</v>
      </c>
      <c r="AJ1228" s="81"/>
      <c r="AK1228" s="87" t="s">
        <v>3875</v>
      </c>
      <c r="AL1228" s="81" t="b">
        <v>0</v>
      </c>
      <c r="AM1228" s="81">
        <v>0</v>
      </c>
      <c r="AN1228" s="87" t="s">
        <v>3875</v>
      </c>
      <c r="AO1228" s="87" t="s">
        <v>4124</v>
      </c>
      <c r="AP1228" s="81" t="b">
        <v>0</v>
      </c>
      <c r="AQ1228" s="87" t="s">
        <v>3550</v>
      </c>
      <c r="AR1228" s="81" t="s">
        <v>179</v>
      </c>
      <c r="AS1228" s="81">
        <v>0</v>
      </c>
      <c r="AT1228" s="81">
        <v>0</v>
      </c>
      <c r="AU1228" s="81"/>
      <c r="AV1228" s="81"/>
      <c r="AW1228" s="81"/>
      <c r="AX1228" s="81"/>
      <c r="AY1228" s="81"/>
      <c r="AZ1228" s="81"/>
      <c r="BA1228" s="81"/>
      <c r="BB1228" s="81"/>
    </row>
    <row r="1229" spans="1:54" x14ac:dyDescent="0.35">
      <c r="A1229" s="66" t="s">
        <v>963</v>
      </c>
      <c r="B1229" s="66" t="s">
        <v>981</v>
      </c>
      <c r="C1229" s="67"/>
      <c r="D1229" s="68"/>
      <c r="E1229" s="69"/>
      <c r="F1229" s="70"/>
      <c r="G1229" s="67"/>
      <c r="H1229" s="71"/>
      <c r="I1229" s="72"/>
      <c r="J1229" s="72"/>
      <c r="K1229" s="36"/>
      <c r="L1229" s="79"/>
      <c r="M1229" s="79"/>
      <c r="N1229" s="74"/>
      <c r="O1229" s="81" t="s">
        <v>1206</v>
      </c>
      <c r="P1229" s="83">
        <v>44460.973032407404</v>
      </c>
      <c r="Q1229" s="81" t="s">
        <v>1666</v>
      </c>
      <c r="R1229" s="81"/>
      <c r="S1229" s="81"/>
      <c r="T1229" s="87" t="s">
        <v>1786</v>
      </c>
      <c r="U1229" s="85" t="str">
        <f>HYPERLINK("https://pbs.twimg.com/media/E_2HHRUVIAI5QfL.jpg")</f>
        <v>https://pbs.twimg.com/media/E_2HHRUVIAI5QfL.jpg</v>
      </c>
      <c r="V1229" s="85" t="str">
        <f>HYPERLINK("https://pbs.twimg.com/media/E_2HHRUVIAI5QfL.jpg")</f>
        <v>https://pbs.twimg.com/media/E_2HHRUVIAI5QfL.jpg</v>
      </c>
      <c r="W1229" s="83">
        <v>44460.973032407404</v>
      </c>
      <c r="X1229" s="89">
        <v>44460</v>
      </c>
      <c r="Y1229" s="87" t="s">
        <v>2623</v>
      </c>
      <c r="Z1229" s="85" t="str">
        <f>HYPERLINK("https://twitter.com/sonorafm92/status/1440456095734976519")</f>
        <v>https://twitter.com/sonorafm92/status/1440456095734976519</v>
      </c>
      <c r="AA1229" s="81"/>
      <c r="AB1229" s="81"/>
      <c r="AC1229" s="87" t="s">
        <v>3551</v>
      </c>
      <c r="AD1229" s="81"/>
      <c r="AE1229" s="81" t="b">
        <v>0</v>
      </c>
      <c r="AF1229" s="81">
        <v>1</v>
      </c>
      <c r="AG1229" s="87" t="s">
        <v>3875</v>
      </c>
      <c r="AH1229" s="81" t="b">
        <v>0</v>
      </c>
      <c r="AI1229" s="81" t="s">
        <v>4092</v>
      </c>
      <c r="AJ1229" s="81"/>
      <c r="AK1229" s="87" t="s">
        <v>3875</v>
      </c>
      <c r="AL1229" s="81" t="b">
        <v>0</v>
      </c>
      <c r="AM1229" s="81">
        <v>0</v>
      </c>
      <c r="AN1229" s="87" t="s">
        <v>3875</v>
      </c>
      <c r="AO1229" s="87" t="s">
        <v>4109</v>
      </c>
      <c r="AP1229" s="81" t="b">
        <v>0</v>
      </c>
      <c r="AQ1229" s="87" t="s">
        <v>3551</v>
      </c>
      <c r="AR1229" s="81" t="s">
        <v>179</v>
      </c>
      <c r="AS1229" s="81">
        <v>0</v>
      </c>
      <c r="AT1229" s="81">
        <v>0</v>
      </c>
      <c r="AU1229" s="81"/>
      <c r="AV1229" s="81"/>
      <c r="AW1229" s="81"/>
      <c r="AX1229" s="81"/>
      <c r="AY1229" s="81"/>
      <c r="AZ1229" s="81"/>
      <c r="BA1229" s="81"/>
      <c r="BB1229" s="81"/>
    </row>
    <row r="1230" spans="1:54" x14ac:dyDescent="0.35">
      <c r="A1230" s="66" t="s">
        <v>963</v>
      </c>
      <c r="B1230" s="66" t="s">
        <v>963</v>
      </c>
      <c r="C1230" s="67"/>
      <c r="D1230" s="68"/>
      <c r="E1230" s="69"/>
      <c r="F1230" s="70"/>
      <c r="G1230" s="67"/>
      <c r="H1230" s="71"/>
      <c r="I1230" s="72"/>
      <c r="J1230" s="72"/>
      <c r="K1230" s="36"/>
      <c r="L1230" s="79"/>
      <c r="M1230" s="79"/>
      <c r="N1230" s="74"/>
      <c r="O1230" s="81" t="s">
        <v>179</v>
      </c>
      <c r="P1230" s="83">
        <v>44462.029432870368</v>
      </c>
      <c r="Q1230" s="81" t="s">
        <v>1667</v>
      </c>
      <c r="R1230" s="81"/>
      <c r="S1230" s="81"/>
      <c r="T1230" s="87" t="s">
        <v>1786</v>
      </c>
      <c r="U1230" s="85" t="str">
        <f>HYPERLINK("https://pbs.twimg.com/media/E_7TTslUcAUqXs5.jpg")</f>
        <v>https://pbs.twimg.com/media/E_7TTslUcAUqXs5.jpg</v>
      </c>
      <c r="V1230" s="85" t="str">
        <f>HYPERLINK("https://pbs.twimg.com/media/E_7TTslUcAUqXs5.jpg")</f>
        <v>https://pbs.twimg.com/media/E_7TTslUcAUqXs5.jpg</v>
      </c>
      <c r="W1230" s="83">
        <v>44462.029432870368</v>
      </c>
      <c r="X1230" s="89">
        <v>44462</v>
      </c>
      <c r="Y1230" s="87" t="s">
        <v>2624</v>
      </c>
      <c r="Z1230" s="85" t="str">
        <f>HYPERLINK("https://twitter.com/sonorafm92/status/1440838925279367185")</f>
        <v>https://twitter.com/sonorafm92/status/1440838925279367185</v>
      </c>
      <c r="AA1230" s="81"/>
      <c r="AB1230" s="81"/>
      <c r="AC1230" s="87" t="s">
        <v>3552</v>
      </c>
      <c r="AD1230" s="81"/>
      <c r="AE1230" s="81" t="b">
        <v>0</v>
      </c>
      <c r="AF1230" s="81">
        <v>0</v>
      </c>
      <c r="AG1230" s="87" t="s">
        <v>3875</v>
      </c>
      <c r="AH1230" s="81" t="b">
        <v>0</v>
      </c>
      <c r="AI1230" s="81" t="s">
        <v>4092</v>
      </c>
      <c r="AJ1230" s="81"/>
      <c r="AK1230" s="87" t="s">
        <v>3875</v>
      </c>
      <c r="AL1230" s="81" t="b">
        <v>0</v>
      </c>
      <c r="AM1230" s="81">
        <v>0</v>
      </c>
      <c r="AN1230" s="87" t="s">
        <v>3875</v>
      </c>
      <c r="AO1230" s="87" t="s">
        <v>4124</v>
      </c>
      <c r="AP1230" s="81" t="b">
        <v>0</v>
      </c>
      <c r="AQ1230" s="87" t="s">
        <v>3552</v>
      </c>
      <c r="AR1230" s="81" t="s">
        <v>179</v>
      </c>
      <c r="AS1230" s="81">
        <v>0</v>
      </c>
      <c r="AT1230" s="81">
        <v>0</v>
      </c>
      <c r="AU1230" s="81"/>
      <c r="AV1230" s="81"/>
      <c r="AW1230" s="81"/>
      <c r="AX1230" s="81"/>
      <c r="AY1230" s="81"/>
      <c r="AZ1230" s="81"/>
      <c r="BA1230" s="81"/>
      <c r="BB1230" s="81"/>
    </row>
    <row r="1231" spans="1:54" x14ac:dyDescent="0.35">
      <c r="A1231" s="66" t="s">
        <v>963</v>
      </c>
      <c r="B1231" s="66" t="s">
        <v>981</v>
      </c>
      <c r="C1231" s="67"/>
      <c r="D1231" s="68"/>
      <c r="E1231" s="69"/>
      <c r="F1231" s="70"/>
      <c r="G1231" s="67"/>
      <c r="H1231" s="71"/>
      <c r="I1231" s="72"/>
      <c r="J1231" s="72"/>
      <c r="K1231" s="36"/>
      <c r="L1231" s="79"/>
      <c r="M1231" s="79"/>
      <c r="N1231" s="74"/>
      <c r="O1231" s="81" t="s">
        <v>1206</v>
      </c>
      <c r="P1231" s="83">
        <v>44462.965370370373</v>
      </c>
      <c r="Q1231" s="81" t="s">
        <v>1668</v>
      </c>
      <c r="R1231" s="81"/>
      <c r="S1231" s="81"/>
      <c r="T1231" s="87" t="s">
        <v>1786</v>
      </c>
      <c r="U1231" s="85" t="str">
        <f>HYPERLINK("https://pbs.twimg.com/media/FAAX1tYVEAgmQv1.jpg")</f>
        <v>https://pbs.twimg.com/media/FAAX1tYVEAgmQv1.jpg</v>
      </c>
      <c r="V1231" s="85" t="str">
        <f>HYPERLINK("https://pbs.twimg.com/media/FAAX1tYVEAgmQv1.jpg")</f>
        <v>https://pbs.twimg.com/media/FAAX1tYVEAgmQv1.jpg</v>
      </c>
      <c r="W1231" s="83">
        <v>44462.965370370373</v>
      </c>
      <c r="X1231" s="89">
        <v>44462</v>
      </c>
      <c r="Y1231" s="87" t="s">
        <v>2625</v>
      </c>
      <c r="Z1231" s="85" t="str">
        <f>HYPERLINK("https://twitter.com/sonorafm92/status/1441178094920880133")</f>
        <v>https://twitter.com/sonorafm92/status/1441178094920880133</v>
      </c>
      <c r="AA1231" s="81"/>
      <c r="AB1231" s="81"/>
      <c r="AC1231" s="87" t="s">
        <v>3553</v>
      </c>
      <c r="AD1231" s="81"/>
      <c r="AE1231" s="81" t="b">
        <v>0</v>
      </c>
      <c r="AF1231" s="81">
        <v>0</v>
      </c>
      <c r="AG1231" s="87" t="s">
        <v>3875</v>
      </c>
      <c r="AH1231" s="81" t="b">
        <v>0</v>
      </c>
      <c r="AI1231" s="81" t="s">
        <v>4092</v>
      </c>
      <c r="AJ1231" s="81"/>
      <c r="AK1231" s="87" t="s">
        <v>3875</v>
      </c>
      <c r="AL1231" s="81" t="b">
        <v>0</v>
      </c>
      <c r="AM1231" s="81">
        <v>0</v>
      </c>
      <c r="AN1231" s="87" t="s">
        <v>3875</v>
      </c>
      <c r="AO1231" s="87" t="s">
        <v>4109</v>
      </c>
      <c r="AP1231" s="81" t="b">
        <v>0</v>
      </c>
      <c r="AQ1231" s="87" t="s">
        <v>3553</v>
      </c>
      <c r="AR1231" s="81" t="s">
        <v>179</v>
      </c>
      <c r="AS1231" s="81">
        <v>0</v>
      </c>
      <c r="AT1231" s="81">
        <v>0</v>
      </c>
      <c r="AU1231" s="81"/>
      <c r="AV1231" s="81"/>
      <c r="AW1231" s="81"/>
      <c r="AX1231" s="81"/>
      <c r="AY1231" s="81"/>
      <c r="AZ1231" s="81"/>
      <c r="BA1231" s="81"/>
      <c r="BB1231" s="81"/>
    </row>
    <row r="1232" spans="1:54" x14ac:dyDescent="0.35">
      <c r="A1232" s="66" t="s">
        <v>963</v>
      </c>
      <c r="B1232" s="66" t="s">
        <v>981</v>
      </c>
      <c r="C1232" s="67"/>
      <c r="D1232" s="68"/>
      <c r="E1232" s="69"/>
      <c r="F1232" s="70"/>
      <c r="G1232" s="67"/>
      <c r="H1232" s="71"/>
      <c r="I1232" s="72"/>
      <c r="J1232" s="72"/>
      <c r="K1232" s="36"/>
      <c r="L1232" s="79"/>
      <c r="M1232" s="79"/>
      <c r="N1232" s="74"/>
      <c r="O1232" s="81" t="s">
        <v>1206</v>
      </c>
      <c r="P1232" s="83">
        <v>44464.004062499997</v>
      </c>
      <c r="Q1232" s="81" t="s">
        <v>1669</v>
      </c>
      <c r="R1232" s="81"/>
      <c r="S1232" s="81"/>
      <c r="T1232" s="87" t="s">
        <v>1786</v>
      </c>
      <c r="U1232" s="85" t="str">
        <f>HYPERLINK("https://pbs.twimg.com/media/FAFuLtPUUAYDc9E.jpg")</f>
        <v>https://pbs.twimg.com/media/FAFuLtPUUAYDc9E.jpg</v>
      </c>
      <c r="V1232" s="85" t="str">
        <f>HYPERLINK("https://pbs.twimg.com/media/FAFuLtPUUAYDc9E.jpg")</f>
        <v>https://pbs.twimg.com/media/FAFuLtPUUAYDc9E.jpg</v>
      </c>
      <c r="W1232" s="83">
        <v>44464.004062499997</v>
      </c>
      <c r="X1232" s="89">
        <v>44464</v>
      </c>
      <c r="Y1232" s="87" t="s">
        <v>2626</v>
      </c>
      <c r="Z1232" s="85" t="str">
        <f>HYPERLINK("https://twitter.com/sonorafm92/status/1441554506546778115")</f>
        <v>https://twitter.com/sonorafm92/status/1441554506546778115</v>
      </c>
      <c r="AA1232" s="81"/>
      <c r="AB1232" s="81"/>
      <c r="AC1232" s="87" t="s">
        <v>3554</v>
      </c>
      <c r="AD1232" s="81"/>
      <c r="AE1232" s="81" t="b">
        <v>0</v>
      </c>
      <c r="AF1232" s="81">
        <v>0</v>
      </c>
      <c r="AG1232" s="87" t="s">
        <v>3875</v>
      </c>
      <c r="AH1232" s="81" t="b">
        <v>0</v>
      </c>
      <c r="AI1232" s="81" t="s">
        <v>4092</v>
      </c>
      <c r="AJ1232" s="81"/>
      <c r="AK1232" s="87" t="s">
        <v>3875</v>
      </c>
      <c r="AL1232" s="81" t="b">
        <v>0</v>
      </c>
      <c r="AM1232" s="81">
        <v>0</v>
      </c>
      <c r="AN1232" s="87" t="s">
        <v>3875</v>
      </c>
      <c r="AO1232" s="87" t="s">
        <v>4109</v>
      </c>
      <c r="AP1232" s="81" t="b">
        <v>0</v>
      </c>
      <c r="AQ1232" s="87" t="s">
        <v>3554</v>
      </c>
      <c r="AR1232" s="81" t="s">
        <v>179</v>
      </c>
      <c r="AS1232" s="81">
        <v>0</v>
      </c>
      <c r="AT1232" s="81">
        <v>0</v>
      </c>
      <c r="AU1232" s="81"/>
      <c r="AV1232" s="81"/>
      <c r="AW1232" s="81"/>
      <c r="AX1232" s="81"/>
      <c r="AY1232" s="81"/>
      <c r="AZ1232" s="81"/>
      <c r="BA1232" s="81"/>
      <c r="BB1232" s="81"/>
    </row>
    <row r="1233" spans="1:54" x14ac:dyDescent="0.35">
      <c r="A1233" s="66" t="s">
        <v>963</v>
      </c>
      <c r="B1233" s="66" t="s">
        <v>981</v>
      </c>
      <c r="C1233" s="67"/>
      <c r="D1233" s="68"/>
      <c r="E1233" s="69"/>
      <c r="F1233" s="70"/>
      <c r="G1233" s="67"/>
      <c r="H1233" s="71"/>
      <c r="I1233" s="72"/>
      <c r="J1233" s="72"/>
      <c r="K1233" s="36"/>
      <c r="L1233" s="79"/>
      <c r="M1233" s="79"/>
      <c r="N1233" s="74"/>
      <c r="O1233" s="81" t="s">
        <v>1206</v>
      </c>
      <c r="P1233" s="83">
        <v>44465.971875000003</v>
      </c>
      <c r="Q1233" s="81" t="s">
        <v>1670</v>
      </c>
      <c r="R1233" s="81"/>
      <c r="S1233" s="81"/>
      <c r="T1233" s="87" t="s">
        <v>1786</v>
      </c>
      <c r="U1233" s="85" t="str">
        <f>HYPERLINK("https://pbs.twimg.com/media/FAP2wRAVgAQ2XLi.jpg")</f>
        <v>https://pbs.twimg.com/media/FAP2wRAVgAQ2XLi.jpg</v>
      </c>
      <c r="V1233" s="85" t="str">
        <f>HYPERLINK("https://pbs.twimg.com/media/FAP2wRAVgAQ2XLi.jpg")</f>
        <v>https://pbs.twimg.com/media/FAP2wRAVgAQ2XLi.jpg</v>
      </c>
      <c r="W1233" s="83">
        <v>44465.971875000003</v>
      </c>
      <c r="X1233" s="89">
        <v>44465</v>
      </c>
      <c r="Y1233" s="87" t="s">
        <v>2627</v>
      </c>
      <c r="Z1233" s="85" t="str">
        <f>HYPERLINK("https://twitter.com/sonorafm92/status/1442267617075478531")</f>
        <v>https://twitter.com/sonorafm92/status/1442267617075478531</v>
      </c>
      <c r="AA1233" s="81"/>
      <c r="AB1233" s="81"/>
      <c r="AC1233" s="87" t="s">
        <v>3555</v>
      </c>
      <c r="AD1233" s="81"/>
      <c r="AE1233" s="81" t="b">
        <v>0</v>
      </c>
      <c r="AF1233" s="81">
        <v>0</v>
      </c>
      <c r="AG1233" s="87" t="s">
        <v>3875</v>
      </c>
      <c r="AH1233" s="81" t="b">
        <v>0</v>
      </c>
      <c r="AI1233" s="81" t="s">
        <v>4092</v>
      </c>
      <c r="AJ1233" s="81"/>
      <c r="AK1233" s="87" t="s">
        <v>3875</v>
      </c>
      <c r="AL1233" s="81" t="b">
        <v>0</v>
      </c>
      <c r="AM1233" s="81">
        <v>0</v>
      </c>
      <c r="AN1233" s="87" t="s">
        <v>3875</v>
      </c>
      <c r="AO1233" s="87" t="s">
        <v>4109</v>
      </c>
      <c r="AP1233" s="81" t="b">
        <v>0</v>
      </c>
      <c r="AQ1233" s="87" t="s">
        <v>3555</v>
      </c>
      <c r="AR1233" s="81" t="s">
        <v>179</v>
      </c>
      <c r="AS1233" s="81">
        <v>0</v>
      </c>
      <c r="AT1233" s="81">
        <v>0</v>
      </c>
      <c r="AU1233" s="81"/>
      <c r="AV1233" s="81"/>
      <c r="AW1233" s="81"/>
      <c r="AX1233" s="81"/>
      <c r="AY1233" s="81"/>
      <c r="AZ1233" s="81"/>
      <c r="BA1233" s="81"/>
      <c r="BB1233" s="81"/>
    </row>
    <row r="1234" spans="1:54" x14ac:dyDescent="0.35">
      <c r="A1234" s="66" t="s">
        <v>963</v>
      </c>
      <c r="B1234" s="66" t="s">
        <v>963</v>
      </c>
      <c r="C1234" s="67"/>
      <c r="D1234" s="68"/>
      <c r="E1234" s="69"/>
      <c r="F1234" s="70"/>
      <c r="G1234" s="67"/>
      <c r="H1234" s="71"/>
      <c r="I1234" s="72"/>
      <c r="J1234" s="72"/>
      <c r="K1234" s="36"/>
      <c r="L1234" s="79"/>
      <c r="M1234" s="79"/>
      <c r="N1234" s="74"/>
      <c r="O1234" s="81" t="s">
        <v>179</v>
      </c>
      <c r="P1234" s="83">
        <v>44467.026574074072</v>
      </c>
      <c r="Q1234" s="81" t="s">
        <v>1671</v>
      </c>
      <c r="R1234" s="81"/>
      <c r="S1234" s="81"/>
      <c r="T1234" s="87" t="s">
        <v>1787</v>
      </c>
      <c r="U1234" s="81"/>
      <c r="V1234" s="85" t="str">
        <f>HYPERLINK("https://pbs.twimg.com/profile_images/1410493292035252229/WJtGTERO_normal.jpg")</f>
        <v>https://pbs.twimg.com/profile_images/1410493292035252229/WJtGTERO_normal.jpg</v>
      </c>
      <c r="W1234" s="83">
        <v>44467.026574074072</v>
      </c>
      <c r="X1234" s="89">
        <v>44467</v>
      </c>
      <c r="Y1234" s="87" t="s">
        <v>2628</v>
      </c>
      <c r="Z1234" s="85" t="str">
        <f>HYPERLINK("https://twitter.com/sonorafm92/status/1442649825510518790")</f>
        <v>https://twitter.com/sonorafm92/status/1442649825510518790</v>
      </c>
      <c r="AA1234" s="81"/>
      <c r="AB1234" s="81"/>
      <c r="AC1234" s="87" t="s">
        <v>3556</v>
      </c>
      <c r="AD1234" s="81"/>
      <c r="AE1234" s="81" t="b">
        <v>0</v>
      </c>
      <c r="AF1234" s="81">
        <v>0</v>
      </c>
      <c r="AG1234" s="87" t="s">
        <v>3875</v>
      </c>
      <c r="AH1234" s="81" t="b">
        <v>0</v>
      </c>
      <c r="AI1234" s="81" t="s">
        <v>4092</v>
      </c>
      <c r="AJ1234" s="81"/>
      <c r="AK1234" s="87" t="s">
        <v>3875</v>
      </c>
      <c r="AL1234" s="81" t="b">
        <v>0</v>
      </c>
      <c r="AM1234" s="81">
        <v>0</v>
      </c>
      <c r="AN1234" s="87" t="s">
        <v>3875</v>
      </c>
      <c r="AO1234" s="87" t="s">
        <v>4124</v>
      </c>
      <c r="AP1234" s="81" t="b">
        <v>0</v>
      </c>
      <c r="AQ1234" s="87" t="s">
        <v>3556</v>
      </c>
      <c r="AR1234" s="81" t="s">
        <v>179</v>
      </c>
      <c r="AS1234" s="81">
        <v>0</v>
      </c>
      <c r="AT1234" s="81">
        <v>0</v>
      </c>
      <c r="AU1234" s="81"/>
      <c r="AV1234" s="81"/>
      <c r="AW1234" s="81"/>
      <c r="AX1234" s="81"/>
      <c r="AY1234" s="81"/>
      <c r="AZ1234" s="81"/>
      <c r="BA1234" s="81"/>
      <c r="BB1234" s="81"/>
    </row>
    <row r="1235" spans="1:54" x14ac:dyDescent="0.35">
      <c r="A1235" s="66" t="s">
        <v>964</v>
      </c>
      <c r="B1235" s="66" t="s">
        <v>964</v>
      </c>
      <c r="C1235" s="67"/>
      <c r="D1235" s="68"/>
      <c r="E1235" s="69"/>
      <c r="F1235" s="70"/>
      <c r="G1235" s="67"/>
      <c r="H1235" s="71"/>
      <c r="I1235" s="72"/>
      <c r="J1235" s="72"/>
      <c r="K1235" s="36"/>
      <c r="L1235" s="79"/>
      <c r="M1235" s="79"/>
      <c r="N1235" s="74"/>
      <c r="O1235" s="81" t="s">
        <v>179</v>
      </c>
      <c r="P1235" s="83">
        <v>44459.021874999999</v>
      </c>
      <c r="Q1235" s="81" t="s">
        <v>1672</v>
      </c>
      <c r="R1235" s="81"/>
      <c r="S1235" s="81"/>
      <c r="T1235" s="87" t="s">
        <v>1761</v>
      </c>
      <c r="U1235" s="85" t="str">
        <f>HYPERLINK("https://pbs.twimg.com/media/E_sEGy-UcAEc7FU.jpg")</f>
        <v>https://pbs.twimg.com/media/E_sEGy-UcAEc7FU.jpg</v>
      </c>
      <c r="V1235" s="85" t="str">
        <f>HYPERLINK("https://pbs.twimg.com/media/E_sEGy-UcAEc7FU.jpg")</f>
        <v>https://pbs.twimg.com/media/E_sEGy-UcAEc7FU.jpg</v>
      </c>
      <c r="W1235" s="83">
        <v>44459.021874999999</v>
      </c>
      <c r="X1235" s="89">
        <v>44459</v>
      </c>
      <c r="Y1235" s="87" t="s">
        <v>2629</v>
      </c>
      <c r="Z1235" s="85" t="str">
        <f>HYPERLINK("https://twitter.com/satpasmetrojaya/status/1439749022852411392")</f>
        <v>https://twitter.com/satpasmetrojaya/status/1439749022852411392</v>
      </c>
      <c r="AA1235" s="81"/>
      <c r="AB1235" s="81"/>
      <c r="AC1235" s="87" t="s">
        <v>3557</v>
      </c>
      <c r="AD1235" s="81"/>
      <c r="AE1235" s="81" t="b">
        <v>0</v>
      </c>
      <c r="AF1235" s="81">
        <v>0</v>
      </c>
      <c r="AG1235" s="87" t="s">
        <v>3875</v>
      </c>
      <c r="AH1235" s="81" t="b">
        <v>0</v>
      </c>
      <c r="AI1235" s="81" t="s">
        <v>4092</v>
      </c>
      <c r="AJ1235" s="81"/>
      <c r="AK1235" s="87" t="s">
        <v>3875</v>
      </c>
      <c r="AL1235" s="81" t="b">
        <v>0</v>
      </c>
      <c r="AM1235" s="81">
        <v>0</v>
      </c>
      <c r="AN1235" s="87" t="s">
        <v>3875</v>
      </c>
      <c r="AO1235" s="87" t="s">
        <v>4109</v>
      </c>
      <c r="AP1235" s="81" t="b">
        <v>0</v>
      </c>
      <c r="AQ1235" s="87" t="s">
        <v>3557</v>
      </c>
      <c r="AR1235" s="81" t="s">
        <v>179</v>
      </c>
      <c r="AS1235" s="81">
        <v>0</v>
      </c>
      <c r="AT1235" s="81">
        <v>0</v>
      </c>
      <c r="AU1235" s="81"/>
      <c r="AV1235" s="81"/>
      <c r="AW1235" s="81"/>
      <c r="AX1235" s="81"/>
      <c r="AY1235" s="81"/>
      <c r="AZ1235" s="81"/>
      <c r="BA1235" s="81"/>
      <c r="BB1235" s="81"/>
    </row>
    <row r="1236" spans="1:54" x14ac:dyDescent="0.35">
      <c r="A1236" s="66" t="s">
        <v>964</v>
      </c>
      <c r="B1236" s="66" t="s">
        <v>964</v>
      </c>
      <c r="C1236" s="67"/>
      <c r="D1236" s="68"/>
      <c r="E1236" s="69"/>
      <c r="F1236" s="70"/>
      <c r="G1236" s="67"/>
      <c r="H1236" s="71"/>
      <c r="I1236" s="72"/>
      <c r="J1236" s="72"/>
      <c r="K1236" s="36"/>
      <c r="L1236" s="79"/>
      <c r="M1236" s="79"/>
      <c r="N1236" s="74"/>
      <c r="O1236" s="81" t="s">
        <v>179</v>
      </c>
      <c r="P1236" s="83">
        <v>44459.963171296295</v>
      </c>
      <c r="Q1236" s="81" t="s">
        <v>1673</v>
      </c>
      <c r="R1236" s="81"/>
      <c r="S1236" s="81"/>
      <c r="T1236" s="87" t="s">
        <v>1761</v>
      </c>
      <c r="U1236" s="85" t="str">
        <f>HYPERLINK("https://pbs.twimg.com/media/E_w6WJkVcAc-DiP.jpg")</f>
        <v>https://pbs.twimg.com/media/E_w6WJkVcAc-DiP.jpg</v>
      </c>
      <c r="V1236" s="85" t="str">
        <f>HYPERLINK("https://pbs.twimg.com/media/E_w6WJkVcAc-DiP.jpg")</f>
        <v>https://pbs.twimg.com/media/E_w6WJkVcAc-DiP.jpg</v>
      </c>
      <c r="W1236" s="83">
        <v>44459.963171296295</v>
      </c>
      <c r="X1236" s="89">
        <v>44459</v>
      </c>
      <c r="Y1236" s="87" t="s">
        <v>2630</v>
      </c>
      <c r="Z1236" s="85" t="str">
        <f>HYPERLINK("https://twitter.com/satpasmetrojaya/status/1440090135316480004")</f>
        <v>https://twitter.com/satpasmetrojaya/status/1440090135316480004</v>
      </c>
      <c r="AA1236" s="81"/>
      <c r="AB1236" s="81"/>
      <c r="AC1236" s="87" t="s">
        <v>3558</v>
      </c>
      <c r="AD1236" s="81"/>
      <c r="AE1236" s="81" t="b">
        <v>0</v>
      </c>
      <c r="AF1236" s="81">
        <v>0</v>
      </c>
      <c r="AG1236" s="87" t="s">
        <v>3875</v>
      </c>
      <c r="AH1236" s="81" t="b">
        <v>0</v>
      </c>
      <c r="AI1236" s="81" t="s">
        <v>4092</v>
      </c>
      <c r="AJ1236" s="81"/>
      <c r="AK1236" s="87" t="s">
        <v>3875</v>
      </c>
      <c r="AL1236" s="81" t="b">
        <v>0</v>
      </c>
      <c r="AM1236" s="81">
        <v>0</v>
      </c>
      <c r="AN1236" s="87" t="s">
        <v>3875</v>
      </c>
      <c r="AO1236" s="87" t="s">
        <v>4109</v>
      </c>
      <c r="AP1236" s="81" t="b">
        <v>0</v>
      </c>
      <c r="AQ1236" s="87" t="s">
        <v>3558</v>
      </c>
      <c r="AR1236" s="81" t="s">
        <v>179</v>
      </c>
      <c r="AS1236" s="81">
        <v>0</v>
      </c>
      <c r="AT1236" s="81">
        <v>0</v>
      </c>
      <c r="AU1236" s="81"/>
      <c r="AV1236" s="81"/>
      <c r="AW1236" s="81"/>
      <c r="AX1236" s="81"/>
      <c r="AY1236" s="81"/>
      <c r="AZ1236" s="81"/>
      <c r="BA1236" s="81"/>
      <c r="BB1236" s="81"/>
    </row>
    <row r="1237" spans="1:54" x14ac:dyDescent="0.35">
      <c r="A1237" s="66" t="s">
        <v>964</v>
      </c>
      <c r="B1237" s="66" t="s">
        <v>964</v>
      </c>
      <c r="C1237" s="67"/>
      <c r="D1237" s="68"/>
      <c r="E1237" s="69"/>
      <c r="F1237" s="70"/>
      <c r="G1237" s="67"/>
      <c r="H1237" s="71"/>
      <c r="I1237" s="72"/>
      <c r="J1237" s="72"/>
      <c r="K1237" s="36"/>
      <c r="L1237" s="79"/>
      <c r="M1237" s="79"/>
      <c r="N1237" s="74"/>
      <c r="O1237" s="81" t="s">
        <v>179</v>
      </c>
      <c r="P1237" s="83">
        <v>44461.016041666669</v>
      </c>
      <c r="Q1237" s="81" t="s">
        <v>1674</v>
      </c>
      <c r="R1237" s="81"/>
      <c r="S1237" s="81"/>
      <c r="T1237" s="87" t="s">
        <v>1761</v>
      </c>
      <c r="U1237" s="85" t="str">
        <f>HYPERLINK("https://pbs.twimg.com/media/E_2VXOKVUAAW42c.jpg")</f>
        <v>https://pbs.twimg.com/media/E_2VXOKVUAAW42c.jpg</v>
      </c>
      <c r="V1237" s="85" t="str">
        <f>HYPERLINK("https://pbs.twimg.com/media/E_2VXOKVUAAW42c.jpg")</f>
        <v>https://pbs.twimg.com/media/E_2VXOKVUAAW42c.jpg</v>
      </c>
      <c r="W1237" s="83">
        <v>44461.016041666669</v>
      </c>
      <c r="X1237" s="89">
        <v>44461</v>
      </c>
      <c r="Y1237" s="87" t="s">
        <v>2631</v>
      </c>
      <c r="Z1237" s="85" t="str">
        <f>HYPERLINK("https://twitter.com/satpasmetrojaya/status/1440471684335554571")</f>
        <v>https://twitter.com/satpasmetrojaya/status/1440471684335554571</v>
      </c>
      <c r="AA1237" s="81"/>
      <c r="AB1237" s="81"/>
      <c r="AC1237" s="87" t="s">
        <v>3559</v>
      </c>
      <c r="AD1237" s="81"/>
      <c r="AE1237" s="81" t="b">
        <v>0</v>
      </c>
      <c r="AF1237" s="81">
        <v>0</v>
      </c>
      <c r="AG1237" s="87" t="s">
        <v>3875</v>
      </c>
      <c r="AH1237" s="81" t="b">
        <v>0</v>
      </c>
      <c r="AI1237" s="81" t="s">
        <v>4092</v>
      </c>
      <c r="AJ1237" s="81"/>
      <c r="AK1237" s="87" t="s">
        <v>3875</v>
      </c>
      <c r="AL1237" s="81" t="b">
        <v>0</v>
      </c>
      <c r="AM1237" s="81">
        <v>0</v>
      </c>
      <c r="AN1237" s="87" t="s">
        <v>3875</v>
      </c>
      <c r="AO1237" s="87" t="s">
        <v>4109</v>
      </c>
      <c r="AP1237" s="81" t="b">
        <v>0</v>
      </c>
      <c r="AQ1237" s="87" t="s">
        <v>3559</v>
      </c>
      <c r="AR1237" s="81" t="s">
        <v>179</v>
      </c>
      <c r="AS1237" s="81">
        <v>0</v>
      </c>
      <c r="AT1237" s="81">
        <v>0</v>
      </c>
      <c r="AU1237" s="81"/>
      <c r="AV1237" s="81"/>
      <c r="AW1237" s="81"/>
      <c r="AX1237" s="81"/>
      <c r="AY1237" s="81"/>
      <c r="AZ1237" s="81"/>
      <c r="BA1237" s="81"/>
      <c r="BB1237" s="81"/>
    </row>
    <row r="1238" spans="1:54" x14ac:dyDescent="0.35">
      <c r="A1238" s="66" t="s">
        <v>964</v>
      </c>
      <c r="B1238" s="66" t="s">
        <v>964</v>
      </c>
      <c r="C1238" s="67"/>
      <c r="D1238" s="68"/>
      <c r="E1238" s="69"/>
      <c r="F1238" s="70"/>
      <c r="G1238" s="67"/>
      <c r="H1238" s="71"/>
      <c r="I1238" s="72"/>
      <c r="J1238" s="72"/>
      <c r="K1238" s="36"/>
      <c r="L1238" s="79"/>
      <c r="M1238" s="79"/>
      <c r="N1238" s="74"/>
      <c r="O1238" s="81" t="s">
        <v>179</v>
      </c>
      <c r="P1238" s="83">
        <v>44462.032268518517</v>
      </c>
      <c r="Q1238" s="81" t="s">
        <v>1675</v>
      </c>
      <c r="R1238" s="81"/>
      <c r="S1238" s="81"/>
      <c r="T1238" s="87" t="s">
        <v>1761</v>
      </c>
      <c r="U1238" s="85" t="str">
        <f>HYPERLINK("https://pbs.twimg.com/media/E_7kTLdVQAIKfNH.jpg")</f>
        <v>https://pbs.twimg.com/media/E_7kTLdVQAIKfNH.jpg</v>
      </c>
      <c r="V1238" s="85" t="str">
        <f>HYPERLINK("https://pbs.twimg.com/media/E_7kTLdVQAIKfNH.jpg")</f>
        <v>https://pbs.twimg.com/media/E_7kTLdVQAIKfNH.jpg</v>
      </c>
      <c r="W1238" s="83">
        <v>44462.032268518517</v>
      </c>
      <c r="X1238" s="89">
        <v>44462</v>
      </c>
      <c r="Y1238" s="87" t="s">
        <v>2632</v>
      </c>
      <c r="Z1238" s="85" t="str">
        <f>HYPERLINK("https://twitter.com/satpasmetrojaya/status/1440839951134773251")</f>
        <v>https://twitter.com/satpasmetrojaya/status/1440839951134773251</v>
      </c>
      <c r="AA1238" s="81"/>
      <c r="AB1238" s="81"/>
      <c r="AC1238" s="87" t="s">
        <v>3560</v>
      </c>
      <c r="AD1238" s="81"/>
      <c r="AE1238" s="81" t="b">
        <v>0</v>
      </c>
      <c r="AF1238" s="81">
        <v>0</v>
      </c>
      <c r="AG1238" s="87" t="s">
        <v>3875</v>
      </c>
      <c r="AH1238" s="81" t="b">
        <v>0</v>
      </c>
      <c r="AI1238" s="81" t="s">
        <v>4092</v>
      </c>
      <c r="AJ1238" s="81"/>
      <c r="AK1238" s="87" t="s">
        <v>3875</v>
      </c>
      <c r="AL1238" s="81" t="b">
        <v>0</v>
      </c>
      <c r="AM1238" s="81">
        <v>0</v>
      </c>
      <c r="AN1238" s="87" t="s">
        <v>3875</v>
      </c>
      <c r="AO1238" s="87" t="s">
        <v>4109</v>
      </c>
      <c r="AP1238" s="81" t="b">
        <v>0</v>
      </c>
      <c r="AQ1238" s="87" t="s">
        <v>3560</v>
      </c>
      <c r="AR1238" s="81" t="s">
        <v>179</v>
      </c>
      <c r="AS1238" s="81">
        <v>0</v>
      </c>
      <c r="AT1238" s="81">
        <v>0</v>
      </c>
      <c r="AU1238" s="81"/>
      <c r="AV1238" s="81"/>
      <c r="AW1238" s="81"/>
      <c r="AX1238" s="81"/>
      <c r="AY1238" s="81"/>
      <c r="AZ1238" s="81"/>
      <c r="BA1238" s="81"/>
      <c r="BB1238" s="81"/>
    </row>
    <row r="1239" spans="1:54" x14ac:dyDescent="0.35">
      <c r="A1239" s="66" t="s">
        <v>964</v>
      </c>
      <c r="B1239" s="66" t="s">
        <v>964</v>
      </c>
      <c r="C1239" s="67"/>
      <c r="D1239" s="68"/>
      <c r="E1239" s="69"/>
      <c r="F1239" s="70"/>
      <c r="G1239" s="67"/>
      <c r="H1239" s="71"/>
      <c r="I1239" s="72"/>
      <c r="J1239" s="72"/>
      <c r="K1239" s="36"/>
      <c r="L1239" s="79"/>
      <c r="M1239" s="79"/>
      <c r="N1239" s="74"/>
      <c r="O1239" s="81" t="s">
        <v>179</v>
      </c>
      <c r="P1239" s="83">
        <v>44463.012754629628</v>
      </c>
      <c r="Q1239" s="81" t="s">
        <v>1676</v>
      </c>
      <c r="R1239" s="81"/>
      <c r="S1239" s="81"/>
      <c r="T1239" s="87" t="s">
        <v>1761</v>
      </c>
      <c r="U1239" s="85" t="str">
        <f>HYPERLINK("https://pbs.twimg.com/media/FAAndNBUYAMqj_o.jpg")</f>
        <v>https://pbs.twimg.com/media/FAAndNBUYAMqj_o.jpg</v>
      </c>
      <c r="V1239" s="85" t="str">
        <f>HYPERLINK("https://pbs.twimg.com/media/FAAndNBUYAMqj_o.jpg")</f>
        <v>https://pbs.twimg.com/media/FAAndNBUYAMqj_o.jpg</v>
      </c>
      <c r="W1239" s="83">
        <v>44463.012754629628</v>
      </c>
      <c r="X1239" s="89">
        <v>44463</v>
      </c>
      <c r="Y1239" s="87" t="s">
        <v>2633</v>
      </c>
      <c r="Z1239" s="85" t="str">
        <f>HYPERLINK("https://twitter.com/satpasmetrojaya/status/1441195267395514372")</f>
        <v>https://twitter.com/satpasmetrojaya/status/1441195267395514372</v>
      </c>
      <c r="AA1239" s="81"/>
      <c r="AB1239" s="81"/>
      <c r="AC1239" s="87" t="s">
        <v>3561</v>
      </c>
      <c r="AD1239" s="81"/>
      <c r="AE1239" s="81" t="b">
        <v>0</v>
      </c>
      <c r="AF1239" s="81">
        <v>0</v>
      </c>
      <c r="AG1239" s="87" t="s">
        <v>3875</v>
      </c>
      <c r="AH1239" s="81" t="b">
        <v>0</v>
      </c>
      <c r="AI1239" s="81" t="s">
        <v>4092</v>
      </c>
      <c r="AJ1239" s="81"/>
      <c r="AK1239" s="87" t="s">
        <v>3875</v>
      </c>
      <c r="AL1239" s="81" t="b">
        <v>0</v>
      </c>
      <c r="AM1239" s="81">
        <v>0</v>
      </c>
      <c r="AN1239" s="87" t="s">
        <v>3875</v>
      </c>
      <c r="AO1239" s="87" t="s">
        <v>4109</v>
      </c>
      <c r="AP1239" s="81" t="b">
        <v>0</v>
      </c>
      <c r="AQ1239" s="87" t="s">
        <v>3561</v>
      </c>
      <c r="AR1239" s="81" t="s">
        <v>179</v>
      </c>
      <c r="AS1239" s="81">
        <v>0</v>
      </c>
      <c r="AT1239" s="81">
        <v>0</v>
      </c>
      <c r="AU1239" s="81"/>
      <c r="AV1239" s="81"/>
      <c r="AW1239" s="81"/>
      <c r="AX1239" s="81"/>
      <c r="AY1239" s="81"/>
      <c r="AZ1239" s="81"/>
      <c r="BA1239" s="81"/>
      <c r="BB1239" s="81"/>
    </row>
    <row r="1240" spans="1:54" x14ac:dyDescent="0.35">
      <c r="A1240" s="66" t="s">
        <v>964</v>
      </c>
      <c r="B1240" s="66" t="s">
        <v>964</v>
      </c>
      <c r="C1240" s="67"/>
      <c r="D1240" s="68"/>
      <c r="E1240" s="69"/>
      <c r="F1240" s="70"/>
      <c r="G1240" s="67"/>
      <c r="H1240" s="71"/>
      <c r="I1240" s="72"/>
      <c r="J1240" s="72"/>
      <c r="K1240" s="36"/>
      <c r="L1240" s="79"/>
      <c r="M1240" s="79"/>
      <c r="N1240" s="74"/>
      <c r="O1240" s="81" t="s">
        <v>179</v>
      </c>
      <c r="P1240" s="83">
        <v>44464.039282407408</v>
      </c>
      <c r="Q1240" s="81" t="s">
        <v>1677</v>
      </c>
      <c r="R1240" s="81"/>
      <c r="S1240" s="81"/>
      <c r="T1240" s="87" t="s">
        <v>1761</v>
      </c>
      <c r="U1240" s="85" t="str">
        <f>HYPERLINK("https://pbs.twimg.com/media/FAF5yeFUYAAXMv3.jpg")</f>
        <v>https://pbs.twimg.com/media/FAF5yeFUYAAXMv3.jpg</v>
      </c>
      <c r="V1240" s="85" t="str">
        <f>HYPERLINK("https://pbs.twimg.com/media/FAF5yeFUYAAXMv3.jpg")</f>
        <v>https://pbs.twimg.com/media/FAF5yeFUYAAXMv3.jpg</v>
      </c>
      <c r="W1240" s="83">
        <v>44464.039282407408</v>
      </c>
      <c r="X1240" s="89">
        <v>44464</v>
      </c>
      <c r="Y1240" s="87" t="s">
        <v>2634</v>
      </c>
      <c r="Z1240" s="85" t="str">
        <f>HYPERLINK("https://twitter.com/satpasmetrojaya/status/1441567266580008961")</f>
        <v>https://twitter.com/satpasmetrojaya/status/1441567266580008961</v>
      </c>
      <c r="AA1240" s="81"/>
      <c r="AB1240" s="81"/>
      <c r="AC1240" s="87" t="s">
        <v>3562</v>
      </c>
      <c r="AD1240" s="81"/>
      <c r="AE1240" s="81" t="b">
        <v>0</v>
      </c>
      <c r="AF1240" s="81">
        <v>0</v>
      </c>
      <c r="AG1240" s="87" t="s">
        <v>3875</v>
      </c>
      <c r="AH1240" s="81" t="b">
        <v>0</v>
      </c>
      <c r="AI1240" s="81" t="s">
        <v>4092</v>
      </c>
      <c r="AJ1240" s="81"/>
      <c r="AK1240" s="87" t="s">
        <v>3875</v>
      </c>
      <c r="AL1240" s="81" t="b">
        <v>0</v>
      </c>
      <c r="AM1240" s="81">
        <v>0</v>
      </c>
      <c r="AN1240" s="87" t="s">
        <v>3875</v>
      </c>
      <c r="AO1240" s="87" t="s">
        <v>4109</v>
      </c>
      <c r="AP1240" s="81" t="b">
        <v>0</v>
      </c>
      <c r="AQ1240" s="87" t="s">
        <v>3562</v>
      </c>
      <c r="AR1240" s="81" t="s">
        <v>179</v>
      </c>
      <c r="AS1240" s="81">
        <v>0</v>
      </c>
      <c r="AT1240" s="81">
        <v>0</v>
      </c>
      <c r="AU1240" s="81"/>
      <c r="AV1240" s="81"/>
      <c r="AW1240" s="81"/>
      <c r="AX1240" s="81"/>
      <c r="AY1240" s="81"/>
      <c r="AZ1240" s="81"/>
      <c r="BA1240" s="81"/>
      <c r="BB1240" s="81"/>
    </row>
    <row r="1241" spans="1:54" x14ac:dyDescent="0.35">
      <c r="A1241" s="66" t="s">
        <v>964</v>
      </c>
      <c r="B1241" s="66" t="s">
        <v>964</v>
      </c>
      <c r="C1241" s="67"/>
      <c r="D1241" s="68"/>
      <c r="E1241" s="69"/>
      <c r="F1241" s="70"/>
      <c r="G1241" s="67"/>
      <c r="H1241" s="71"/>
      <c r="I1241" s="72"/>
      <c r="J1241" s="72"/>
      <c r="K1241" s="36"/>
      <c r="L1241" s="79"/>
      <c r="M1241" s="79"/>
      <c r="N1241" s="74"/>
      <c r="O1241" s="81" t="s">
        <v>179</v>
      </c>
      <c r="P1241" s="83">
        <v>44465.993622685186</v>
      </c>
      <c r="Q1241" s="81" t="s">
        <v>1678</v>
      </c>
      <c r="R1241" s="81"/>
      <c r="S1241" s="81"/>
      <c r="T1241" s="87" t="s">
        <v>1761</v>
      </c>
      <c r="U1241" s="85" t="str">
        <f>HYPERLINK("https://pbs.twimg.com/media/FAP966MVcAQ4E5_.jpg")</f>
        <v>https://pbs.twimg.com/media/FAP966MVcAQ4E5_.jpg</v>
      </c>
      <c r="V1241" s="85" t="str">
        <f>HYPERLINK("https://pbs.twimg.com/media/FAP966MVcAQ4E5_.jpg")</f>
        <v>https://pbs.twimg.com/media/FAP966MVcAQ4E5_.jpg</v>
      </c>
      <c r="W1241" s="83">
        <v>44465.993622685186</v>
      </c>
      <c r="X1241" s="89">
        <v>44465</v>
      </c>
      <c r="Y1241" s="87" t="s">
        <v>2635</v>
      </c>
      <c r="Z1241" s="85" t="str">
        <f>HYPERLINK("https://twitter.com/satpasmetrojaya/status/1442275497086529538")</f>
        <v>https://twitter.com/satpasmetrojaya/status/1442275497086529538</v>
      </c>
      <c r="AA1241" s="81"/>
      <c r="AB1241" s="81"/>
      <c r="AC1241" s="87" t="s">
        <v>3563</v>
      </c>
      <c r="AD1241" s="81"/>
      <c r="AE1241" s="81" t="b">
        <v>0</v>
      </c>
      <c r="AF1241" s="81">
        <v>0</v>
      </c>
      <c r="AG1241" s="87" t="s">
        <v>3875</v>
      </c>
      <c r="AH1241" s="81" t="b">
        <v>0</v>
      </c>
      <c r="AI1241" s="81" t="s">
        <v>4092</v>
      </c>
      <c r="AJ1241" s="81"/>
      <c r="AK1241" s="87" t="s">
        <v>3875</v>
      </c>
      <c r="AL1241" s="81" t="b">
        <v>0</v>
      </c>
      <c r="AM1241" s="81">
        <v>0</v>
      </c>
      <c r="AN1241" s="87" t="s">
        <v>3875</v>
      </c>
      <c r="AO1241" s="87" t="s">
        <v>4109</v>
      </c>
      <c r="AP1241" s="81" t="b">
        <v>0</v>
      </c>
      <c r="AQ1241" s="87" t="s">
        <v>3563</v>
      </c>
      <c r="AR1241" s="81" t="s">
        <v>179</v>
      </c>
      <c r="AS1241" s="81">
        <v>0</v>
      </c>
      <c r="AT1241" s="81">
        <v>0</v>
      </c>
      <c r="AU1241" s="81"/>
      <c r="AV1241" s="81"/>
      <c r="AW1241" s="81"/>
      <c r="AX1241" s="81"/>
      <c r="AY1241" s="81"/>
      <c r="AZ1241" s="81"/>
      <c r="BA1241" s="81"/>
      <c r="BB1241" s="81"/>
    </row>
    <row r="1242" spans="1:54" x14ac:dyDescent="0.35">
      <c r="A1242" s="66" t="s">
        <v>964</v>
      </c>
      <c r="B1242" s="66" t="s">
        <v>964</v>
      </c>
      <c r="C1242" s="67"/>
      <c r="D1242" s="68"/>
      <c r="E1242" s="69"/>
      <c r="F1242" s="70"/>
      <c r="G1242" s="67"/>
      <c r="H1242" s="71"/>
      <c r="I1242" s="72"/>
      <c r="J1242" s="72"/>
      <c r="K1242" s="36"/>
      <c r="L1242" s="79"/>
      <c r="M1242" s="79"/>
      <c r="N1242" s="74"/>
      <c r="O1242" s="81" t="s">
        <v>179</v>
      </c>
      <c r="P1242" s="83">
        <v>44467.026585648149</v>
      </c>
      <c r="Q1242" s="81" t="s">
        <v>1679</v>
      </c>
      <c r="R1242" s="81"/>
      <c r="S1242" s="81"/>
      <c r="T1242" s="87" t="s">
        <v>1761</v>
      </c>
      <c r="U1242" s="85" t="str">
        <f>HYPERLINK("https://pbs.twimg.com/media/FAVSXNoVUAAg5G4.jpg")</f>
        <v>https://pbs.twimg.com/media/FAVSXNoVUAAg5G4.jpg</v>
      </c>
      <c r="V1242" s="85" t="str">
        <f>HYPERLINK("https://pbs.twimg.com/media/FAVSXNoVUAAg5G4.jpg")</f>
        <v>https://pbs.twimg.com/media/FAVSXNoVUAAg5G4.jpg</v>
      </c>
      <c r="W1242" s="83">
        <v>44467.026585648149</v>
      </c>
      <c r="X1242" s="89">
        <v>44467</v>
      </c>
      <c r="Y1242" s="87" t="s">
        <v>2636</v>
      </c>
      <c r="Z1242" s="85" t="str">
        <f>HYPERLINK("https://twitter.com/satpasmetrojaya/status/1442649829000179714")</f>
        <v>https://twitter.com/satpasmetrojaya/status/1442649829000179714</v>
      </c>
      <c r="AA1242" s="81"/>
      <c r="AB1242" s="81"/>
      <c r="AC1242" s="87" t="s">
        <v>3564</v>
      </c>
      <c r="AD1242" s="81"/>
      <c r="AE1242" s="81" t="b">
        <v>0</v>
      </c>
      <c r="AF1242" s="81">
        <v>0</v>
      </c>
      <c r="AG1242" s="87" t="s">
        <v>3875</v>
      </c>
      <c r="AH1242" s="81" t="b">
        <v>0</v>
      </c>
      <c r="AI1242" s="81" t="s">
        <v>4092</v>
      </c>
      <c r="AJ1242" s="81"/>
      <c r="AK1242" s="87" t="s">
        <v>3875</v>
      </c>
      <c r="AL1242" s="81" t="b">
        <v>0</v>
      </c>
      <c r="AM1242" s="81">
        <v>0</v>
      </c>
      <c r="AN1242" s="87" t="s">
        <v>3875</v>
      </c>
      <c r="AO1242" s="87" t="s">
        <v>4109</v>
      </c>
      <c r="AP1242" s="81" t="b">
        <v>0</v>
      </c>
      <c r="AQ1242" s="87" t="s">
        <v>3564</v>
      </c>
      <c r="AR1242" s="81" t="s">
        <v>179</v>
      </c>
      <c r="AS1242" s="81">
        <v>0</v>
      </c>
      <c r="AT1242" s="81">
        <v>0</v>
      </c>
      <c r="AU1242" s="81"/>
      <c r="AV1242" s="81"/>
      <c r="AW1242" s="81"/>
      <c r="AX1242" s="81"/>
      <c r="AY1242" s="81"/>
      <c r="AZ1242" s="81"/>
      <c r="BA1242" s="81"/>
      <c r="BB1242" s="81"/>
    </row>
    <row r="1243" spans="1:54" x14ac:dyDescent="0.35">
      <c r="A1243" s="66" t="s">
        <v>965</v>
      </c>
      <c r="B1243" s="66" t="s">
        <v>965</v>
      </c>
      <c r="C1243" s="67"/>
      <c r="D1243" s="68"/>
      <c r="E1243" s="69"/>
      <c r="F1243" s="70"/>
      <c r="G1243" s="67"/>
      <c r="H1243" s="71"/>
      <c r="I1243" s="72"/>
      <c r="J1243" s="72"/>
      <c r="K1243" s="36"/>
      <c r="L1243" s="79"/>
      <c r="M1243" s="79"/>
      <c r="N1243" s="74"/>
      <c r="O1243" s="81" t="s">
        <v>179</v>
      </c>
      <c r="P1243" s="83">
        <v>44459.024768518517</v>
      </c>
      <c r="Q1243" s="81" t="s">
        <v>1680</v>
      </c>
      <c r="R1243" s="85" t="str">
        <f>HYPERLINK("https://ntmcpolri.info/lokasi-layanan-sim-keliling-jakarta-20-september-2021/")</f>
        <v>https://ntmcpolri.info/lokasi-layanan-sim-keliling-jakarta-20-september-2021/</v>
      </c>
      <c r="S1243" s="81" t="s">
        <v>1755</v>
      </c>
      <c r="T1243" s="81"/>
      <c r="U1243" s="81"/>
      <c r="V1243" s="85" t="str">
        <f>HYPERLINK("https://pbs.twimg.com/profile_images/1309333317771165702/FYVW43Lp_normal.jpg")</f>
        <v>https://pbs.twimg.com/profile_images/1309333317771165702/FYVW43Lp_normal.jpg</v>
      </c>
      <c r="W1243" s="83">
        <v>44459.024768518517</v>
      </c>
      <c r="X1243" s="89">
        <v>44459</v>
      </c>
      <c r="Y1243" s="87" t="s">
        <v>2637</v>
      </c>
      <c r="Z1243" s="85" t="str">
        <f>HYPERLINK("https://twitter.com/ntmc_info/status/1439750071302512641")</f>
        <v>https://twitter.com/ntmc_info/status/1439750071302512641</v>
      </c>
      <c r="AA1243" s="81"/>
      <c r="AB1243" s="81"/>
      <c r="AC1243" s="87" t="s">
        <v>3565</v>
      </c>
      <c r="AD1243" s="81"/>
      <c r="AE1243" s="81" t="b">
        <v>0</v>
      </c>
      <c r="AF1243" s="81">
        <v>0</v>
      </c>
      <c r="AG1243" s="87" t="s">
        <v>3875</v>
      </c>
      <c r="AH1243" s="81" t="b">
        <v>0</v>
      </c>
      <c r="AI1243" s="81" t="s">
        <v>4092</v>
      </c>
      <c r="AJ1243" s="81"/>
      <c r="AK1243" s="87" t="s">
        <v>3875</v>
      </c>
      <c r="AL1243" s="81" t="b">
        <v>0</v>
      </c>
      <c r="AM1243" s="81">
        <v>0</v>
      </c>
      <c r="AN1243" s="87" t="s">
        <v>3875</v>
      </c>
      <c r="AO1243" s="87" t="s">
        <v>4111</v>
      </c>
      <c r="AP1243" s="81" t="b">
        <v>0</v>
      </c>
      <c r="AQ1243" s="87" t="s">
        <v>3565</v>
      </c>
      <c r="AR1243" s="81" t="s">
        <v>179</v>
      </c>
      <c r="AS1243" s="81">
        <v>0</v>
      </c>
      <c r="AT1243" s="81">
        <v>0</v>
      </c>
      <c r="AU1243" s="81"/>
      <c r="AV1243" s="81"/>
      <c r="AW1243" s="81"/>
      <c r="AX1243" s="81"/>
      <c r="AY1243" s="81"/>
      <c r="AZ1243" s="81"/>
      <c r="BA1243" s="81"/>
      <c r="BB1243" s="81"/>
    </row>
    <row r="1244" spans="1:54" x14ac:dyDescent="0.35">
      <c r="A1244" s="66" t="s">
        <v>965</v>
      </c>
      <c r="B1244" s="66" t="s">
        <v>965</v>
      </c>
      <c r="C1244" s="67"/>
      <c r="D1244" s="68"/>
      <c r="E1244" s="69"/>
      <c r="F1244" s="70"/>
      <c r="G1244" s="67"/>
      <c r="H1244" s="71"/>
      <c r="I1244" s="72"/>
      <c r="J1244" s="72"/>
      <c r="K1244" s="36"/>
      <c r="L1244" s="79"/>
      <c r="M1244" s="79"/>
      <c r="N1244" s="74"/>
      <c r="O1244" s="81" t="s">
        <v>179</v>
      </c>
      <c r="P1244" s="83">
        <v>44460.012708333335</v>
      </c>
      <c r="Q1244" s="81" t="s">
        <v>1681</v>
      </c>
      <c r="R1244" s="85" t="str">
        <f>HYPERLINK("https://ntmcpolri.info/berikut-lokasi-layanan-sim-keliling-jakarta-21-september-2021/")</f>
        <v>https://ntmcpolri.info/berikut-lokasi-layanan-sim-keliling-jakarta-21-september-2021/</v>
      </c>
      <c r="S1244" s="81" t="s">
        <v>1755</v>
      </c>
      <c r="T1244" s="81"/>
      <c r="U1244" s="81"/>
      <c r="V1244" s="85" t="str">
        <f>HYPERLINK("https://pbs.twimg.com/profile_images/1309333317771165702/FYVW43Lp_normal.jpg")</f>
        <v>https://pbs.twimg.com/profile_images/1309333317771165702/FYVW43Lp_normal.jpg</v>
      </c>
      <c r="W1244" s="83">
        <v>44460.012708333335</v>
      </c>
      <c r="X1244" s="89">
        <v>44460</v>
      </c>
      <c r="Y1244" s="87" t="s">
        <v>2638</v>
      </c>
      <c r="Z1244" s="85" t="str">
        <f>HYPERLINK("https://twitter.com/ntmc_info/status/1440108088086786058")</f>
        <v>https://twitter.com/ntmc_info/status/1440108088086786058</v>
      </c>
      <c r="AA1244" s="81"/>
      <c r="AB1244" s="81"/>
      <c r="AC1244" s="87" t="s">
        <v>3566</v>
      </c>
      <c r="AD1244" s="81"/>
      <c r="AE1244" s="81" t="b">
        <v>0</v>
      </c>
      <c r="AF1244" s="81">
        <v>0</v>
      </c>
      <c r="AG1244" s="87" t="s">
        <v>3875</v>
      </c>
      <c r="AH1244" s="81" t="b">
        <v>0</v>
      </c>
      <c r="AI1244" s="81" t="s">
        <v>4092</v>
      </c>
      <c r="AJ1244" s="81"/>
      <c r="AK1244" s="87" t="s">
        <v>3875</v>
      </c>
      <c r="AL1244" s="81" t="b">
        <v>0</v>
      </c>
      <c r="AM1244" s="81">
        <v>0</v>
      </c>
      <c r="AN1244" s="87" t="s">
        <v>3875</v>
      </c>
      <c r="AO1244" s="87" t="s">
        <v>4109</v>
      </c>
      <c r="AP1244" s="81" t="b">
        <v>0</v>
      </c>
      <c r="AQ1244" s="87" t="s">
        <v>3566</v>
      </c>
      <c r="AR1244" s="81" t="s">
        <v>179</v>
      </c>
      <c r="AS1244" s="81">
        <v>0</v>
      </c>
      <c r="AT1244" s="81">
        <v>0</v>
      </c>
      <c r="AU1244" s="81"/>
      <c r="AV1244" s="81"/>
      <c r="AW1244" s="81"/>
      <c r="AX1244" s="81"/>
      <c r="AY1244" s="81"/>
      <c r="AZ1244" s="81"/>
      <c r="BA1244" s="81"/>
      <c r="BB1244" s="81"/>
    </row>
    <row r="1245" spans="1:54" x14ac:dyDescent="0.35">
      <c r="A1245" s="66" t="s">
        <v>965</v>
      </c>
      <c r="B1245" s="66" t="s">
        <v>965</v>
      </c>
      <c r="C1245" s="67"/>
      <c r="D1245" s="68"/>
      <c r="E1245" s="69"/>
      <c r="F1245" s="70"/>
      <c r="G1245" s="67"/>
      <c r="H1245" s="71"/>
      <c r="I1245" s="72"/>
      <c r="J1245" s="72"/>
      <c r="K1245" s="36"/>
      <c r="L1245" s="79"/>
      <c r="M1245" s="79"/>
      <c r="N1245" s="74"/>
      <c r="O1245" s="81" t="s">
        <v>179</v>
      </c>
      <c r="P1245" s="83">
        <v>44461.000949074078</v>
      </c>
      <c r="Q1245" s="81" t="s">
        <v>1682</v>
      </c>
      <c r="R1245" s="85" t="str">
        <f>HYPERLINK("https://ntmcpolri.info/berikut-lokasi-layanan-sim-keliling-jakarta-22-september-2021/")</f>
        <v>https://ntmcpolri.info/berikut-lokasi-layanan-sim-keliling-jakarta-22-september-2021/</v>
      </c>
      <c r="S1245" s="81" t="s">
        <v>1755</v>
      </c>
      <c r="T1245" s="81"/>
      <c r="U1245" s="81"/>
      <c r="V1245" s="85" t="str">
        <f>HYPERLINK("https://pbs.twimg.com/profile_images/1309333317771165702/FYVW43Lp_normal.jpg")</f>
        <v>https://pbs.twimg.com/profile_images/1309333317771165702/FYVW43Lp_normal.jpg</v>
      </c>
      <c r="W1245" s="83">
        <v>44461.000949074078</v>
      </c>
      <c r="X1245" s="89">
        <v>44461</v>
      </c>
      <c r="Y1245" s="87" t="s">
        <v>2639</v>
      </c>
      <c r="Z1245" s="85" t="str">
        <f>HYPERLINK("https://twitter.com/ntmc_info/status/1440466212589228032")</f>
        <v>https://twitter.com/ntmc_info/status/1440466212589228032</v>
      </c>
      <c r="AA1245" s="81"/>
      <c r="AB1245" s="81"/>
      <c r="AC1245" s="87" t="s">
        <v>3567</v>
      </c>
      <c r="AD1245" s="81"/>
      <c r="AE1245" s="81" t="b">
        <v>0</v>
      </c>
      <c r="AF1245" s="81">
        <v>0</v>
      </c>
      <c r="AG1245" s="87" t="s">
        <v>3875</v>
      </c>
      <c r="AH1245" s="81" t="b">
        <v>0</v>
      </c>
      <c r="AI1245" s="81" t="s">
        <v>4092</v>
      </c>
      <c r="AJ1245" s="81"/>
      <c r="AK1245" s="87" t="s">
        <v>3875</v>
      </c>
      <c r="AL1245" s="81" t="b">
        <v>0</v>
      </c>
      <c r="AM1245" s="81">
        <v>0</v>
      </c>
      <c r="AN1245" s="87" t="s">
        <v>3875</v>
      </c>
      <c r="AO1245" s="87" t="s">
        <v>4111</v>
      </c>
      <c r="AP1245" s="81" t="b">
        <v>0</v>
      </c>
      <c r="AQ1245" s="87" t="s">
        <v>3567</v>
      </c>
      <c r="AR1245" s="81" t="s">
        <v>179</v>
      </c>
      <c r="AS1245" s="81">
        <v>0</v>
      </c>
      <c r="AT1245" s="81">
        <v>0</v>
      </c>
      <c r="AU1245" s="81"/>
      <c r="AV1245" s="81"/>
      <c r="AW1245" s="81"/>
      <c r="AX1245" s="81"/>
      <c r="AY1245" s="81"/>
      <c r="AZ1245" s="81"/>
      <c r="BA1245" s="81"/>
      <c r="BB1245" s="81"/>
    </row>
    <row r="1246" spans="1:54" x14ac:dyDescent="0.35">
      <c r="A1246" s="66" t="s">
        <v>965</v>
      </c>
      <c r="B1246" s="66" t="s">
        <v>965</v>
      </c>
      <c r="C1246" s="67"/>
      <c r="D1246" s="68"/>
      <c r="E1246" s="69"/>
      <c r="F1246" s="70"/>
      <c r="G1246" s="67"/>
      <c r="H1246" s="71"/>
      <c r="I1246" s="72"/>
      <c r="J1246" s="72"/>
      <c r="K1246" s="36"/>
      <c r="L1246" s="79"/>
      <c r="M1246" s="79"/>
      <c r="N1246" s="74"/>
      <c r="O1246" s="81" t="s">
        <v>179</v>
      </c>
      <c r="P1246" s="83">
        <v>44462.066261574073</v>
      </c>
      <c r="Q1246" s="81" t="s">
        <v>1683</v>
      </c>
      <c r="R1246" s="85" t="str">
        <f>HYPERLINK("https://ntmcpolri.info/lokasi-layanan-sim-keliling-jakarta-23-september-2021/")</f>
        <v>https://ntmcpolri.info/lokasi-layanan-sim-keliling-jakarta-23-september-2021/</v>
      </c>
      <c r="S1246" s="81" t="s">
        <v>1755</v>
      </c>
      <c r="T1246" s="81"/>
      <c r="U1246" s="81"/>
      <c r="V1246" s="85" t="str">
        <f>HYPERLINK("https://pbs.twimg.com/profile_images/1309333317771165702/FYVW43Lp_normal.jpg")</f>
        <v>https://pbs.twimg.com/profile_images/1309333317771165702/FYVW43Lp_normal.jpg</v>
      </c>
      <c r="W1246" s="83">
        <v>44462.066261574073</v>
      </c>
      <c r="X1246" s="89">
        <v>44462</v>
      </c>
      <c r="Y1246" s="87" t="s">
        <v>2640</v>
      </c>
      <c r="Z1246" s="85" t="str">
        <f>HYPERLINK("https://twitter.com/ntmc_info/status/1440852267943403522")</f>
        <v>https://twitter.com/ntmc_info/status/1440852267943403522</v>
      </c>
      <c r="AA1246" s="81"/>
      <c r="AB1246" s="81"/>
      <c r="AC1246" s="87" t="s">
        <v>3568</v>
      </c>
      <c r="AD1246" s="81"/>
      <c r="AE1246" s="81" t="b">
        <v>0</v>
      </c>
      <c r="AF1246" s="81">
        <v>0</v>
      </c>
      <c r="AG1246" s="87" t="s">
        <v>3875</v>
      </c>
      <c r="AH1246" s="81" t="b">
        <v>0</v>
      </c>
      <c r="AI1246" s="81" t="s">
        <v>4092</v>
      </c>
      <c r="AJ1246" s="81"/>
      <c r="AK1246" s="87" t="s">
        <v>3875</v>
      </c>
      <c r="AL1246" s="81" t="b">
        <v>0</v>
      </c>
      <c r="AM1246" s="81">
        <v>0</v>
      </c>
      <c r="AN1246" s="87" t="s">
        <v>3875</v>
      </c>
      <c r="AO1246" s="87" t="s">
        <v>4111</v>
      </c>
      <c r="AP1246" s="81" t="b">
        <v>0</v>
      </c>
      <c r="AQ1246" s="87" t="s">
        <v>3568</v>
      </c>
      <c r="AR1246" s="81" t="s">
        <v>179</v>
      </c>
      <c r="AS1246" s="81">
        <v>0</v>
      </c>
      <c r="AT1246" s="81">
        <v>0</v>
      </c>
      <c r="AU1246" s="81"/>
      <c r="AV1246" s="81"/>
      <c r="AW1246" s="81"/>
      <c r="AX1246" s="81"/>
      <c r="AY1246" s="81"/>
      <c r="AZ1246" s="81"/>
      <c r="BA1246" s="81"/>
      <c r="BB1246" s="81"/>
    </row>
    <row r="1247" spans="1:54" x14ac:dyDescent="0.35">
      <c r="A1247" s="66" t="s">
        <v>965</v>
      </c>
      <c r="B1247" s="66" t="s">
        <v>965</v>
      </c>
      <c r="C1247" s="67"/>
      <c r="D1247" s="68"/>
      <c r="E1247" s="69"/>
      <c r="F1247" s="70"/>
      <c r="G1247" s="67"/>
      <c r="H1247" s="71"/>
      <c r="I1247" s="72"/>
      <c r="J1247" s="72"/>
      <c r="K1247" s="36"/>
      <c r="L1247" s="79"/>
      <c r="M1247" s="79"/>
      <c r="N1247" s="74"/>
      <c r="O1247" s="81" t="s">
        <v>179</v>
      </c>
      <c r="P1247" s="83">
        <v>44463.019166666665</v>
      </c>
      <c r="Q1247" s="81" t="s">
        <v>1684</v>
      </c>
      <c r="R1247" s="85" t="str">
        <f>HYPERLINK("https://ntmcpolri.info/lokasi-layanan-sim-keliling-jakarta-24-september-2021/")</f>
        <v>https://ntmcpolri.info/lokasi-layanan-sim-keliling-jakarta-24-september-2021/</v>
      </c>
      <c r="S1247" s="81" t="s">
        <v>1755</v>
      </c>
      <c r="T1247" s="81"/>
      <c r="U1247" s="81"/>
      <c r="V1247" s="85" t="str">
        <f>HYPERLINK("https://pbs.twimg.com/profile_images/1309333317771165702/FYVW43Lp_normal.jpg")</f>
        <v>https://pbs.twimg.com/profile_images/1309333317771165702/FYVW43Lp_normal.jpg</v>
      </c>
      <c r="W1247" s="83">
        <v>44463.019166666665</v>
      </c>
      <c r="X1247" s="89">
        <v>44463</v>
      </c>
      <c r="Y1247" s="87" t="s">
        <v>2641</v>
      </c>
      <c r="Z1247" s="85" t="str">
        <f>HYPERLINK("https://twitter.com/ntmc_info/status/1441197591262158848")</f>
        <v>https://twitter.com/ntmc_info/status/1441197591262158848</v>
      </c>
      <c r="AA1247" s="81"/>
      <c r="AB1247" s="81"/>
      <c r="AC1247" s="87" t="s">
        <v>3569</v>
      </c>
      <c r="AD1247" s="81"/>
      <c r="AE1247" s="81" t="b">
        <v>0</v>
      </c>
      <c r="AF1247" s="81">
        <v>0</v>
      </c>
      <c r="AG1247" s="87" t="s">
        <v>3875</v>
      </c>
      <c r="AH1247" s="81" t="b">
        <v>0</v>
      </c>
      <c r="AI1247" s="81" t="s">
        <v>4092</v>
      </c>
      <c r="AJ1247" s="81"/>
      <c r="AK1247" s="87" t="s">
        <v>3875</v>
      </c>
      <c r="AL1247" s="81" t="b">
        <v>0</v>
      </c>
      <c r="AM1247" s="81">
        <v>0</v>
      </c>
      <c r="AN1247" s="87" t="s">
        <v>3875</v>
      </c>
      <c r="AO1247" s="87" t="s">
        <v>4111</v>
      </c>
      <c r="AP1247" s="81" t="b">
        <v>0</v>
      </c>
      <c r="AQ1247" s="87" t="s">
        <v>3569</v>
      </c>
      <c r="AR1247" s="81" t="s">
        <v>179</v>
      </c>
      <c r="AS1247" s="81">
        <v>0</v>
      </c>
      <c r="AT1247" s="81">
        <v>0</v>
      </c>
      <c r="AU1247" s="81"/>
      <c r="AV1247" s="81"/>
      <c r="AW1247" s="81"/>
      <c r="AX1247" s="81"/>
      <c r="AY1247" s="81"/>
      <c r="AZ1247" s="81"/>
      <c r="BA1247" s="81"/>
      <c r="BB1247" s="81"/>
    </row>
    <row r="1248" spans="1:54" x14ac:dyDescent="0.35">
      <c r="A1248" s="66" t="s">
        <v>965</v>
      </c>
      <c r="B1248" s="66" t="s">
        <v>965</v>
      </c>
      <c r="C1248" s="67"/>
      <c r="D1248" s="68"/>
      <c r="E1248" s="69"/>
      <c r="F1248" s="70"/>
      <c r="G1248" s="67"/>
      <c r="H1248" s="71"/>
      <c r="I1248" s="72"/>
      <c r="J1248" s="72"/>
      <c r="K1248" s="36"/>
      <c r="L1248" s="79"/>
      <c r="M1248" s="79"/>
      <c r="N1248" s="74"/>
      <c r="O1248" s="81" t="s">
        <v>179</v>
      </c>
      <c r="P1248" s="83">
        <v>44464.038888888892</v>
      </c>
      <c r="Q1248" s="81" t="s">
        <v>1685</v>
      </c>
      <c r="R1248" s="85" t="str">
        <f>HYPERLINK("https://ntmcpolri.info/berikut-lokasi-layanan-sim-keliling-jakarta-25-september-2021/")</f>
        <v>https://ntmcpolri.info/berikut-lokasi-layanan-sim-keliling-jakarta-25-september-2021/</v>
      </c>
      <c r="S1248" s="81" t="s">
        <v>1755</v>
      </c>
      <c r="T1248" s="81"/>
      <c r="U1248" s="81"/>
      <c r="V1248" s="85" t="str">
        <f>HYPERLINK("https://pbs.twimg.com/profile_images/1309333317771165702/FYVW43Lp_normal.jpg")</f>
        <v>https://pbs.twimg.com/profile_images/1309333317771165702/FYVW43Lp_normal.jpg</v>
      </c>
      <c r="W1248" s="83">
        <v>44464.038888888892</v>
      </c>
      <c r="X1248" s="89">
        <v>44464</v>
      </c>
      <c r="Y1248" s="87" t="s">
        <v>2268</v>
      </c>
      <c r="Z1248" s="85" t="str">
        <f>HYPERLINK("https://twitter.com/ntmc_info/status/1441567124095262722")</f>
        <v>https://twitter.com/ntmc_info/status/1441567124095262722</v>
      </c>
      <c r="AA1248" s="81"/>
      <c r="AB1248" s="81"/>
      <c r="AC1248" s="87" t="s">
        <v>3570</v>
      </c>
      <c r="AD1248" s="81"/>
      <c r="AE1248" s="81" t="b">
        <v>0</v>
      </c>
      <c r="AF1248" s="81">
        <v>0</v>
      </c>
      <c r="AG1248" s="87" t="s">
        <v>3875</v>
      </c>
      <c r="AH1248" s="81" t="b">
        <v>0</v>
      </c>
      <c r="AI1248" s="81" t="s">
        <v>4092</v>
      </c>
      <c r="AJ1248" s="81"/>
      <c r="AK1248" s="87" t="s">
        <v>3875</v>
      </c>
      <c r="AL1248" s="81" t="b">
        <v>0</v>
      </c>
      <c r="AM1248" s="81">
        <v>0</v>
      </c>
      <c r="AN1248" s="87" t="s">
        <v>3875</v>
      </c>
      <c r="AO1248" s="87" t="s">
        <v>4109</v>
      </c>
      <c r="AP1248" s="81" t="b">
        <v>0</v>
      </c>
      <c r="AQ1248" s="87" t="s">
        <v>3570</v>
      </c>
      <c r="AR1248" s="81" t="s">
        <v>179</v>
      </c>
      <c r="AS1248" s="81">
        <v>0</v>
      </c>
      <c r="AT1248" s="81">
        <v>0</v>
      </c>
      <c r="AU1248" s="81"/>
      <c r="AV1248" s="81"/>
      <c r="AW1248" s="81"/>
      <c r="AX1248" s="81"/>
      <c r="AY1248" s="81"/>
      <c r="AZ1248" s="81"/>
      <c r="BA1248" s="81"/>
      <c r="BB1248" s="81"/>
    </row>
    <row r="1249" spans="1:54" x14ac:dyDescent="0.35">
      <c r="A1249" s="66" t="s">
        <v>965</v>
      </c>
      <c r="B1249" s="66" t="s">
        <v>965</v>
      </c>
      <c r="C1249" s="67"/>
      <c r="D1249" s="68"/>
      <c r="E1249" s="69"/>
      <c r="F1249" s="70"/>
      <c r="G1249" s="67"/>
      <c r="H1249" s="71"/>
      <c r="I1249" s="72"/>
      <c r="J1249" s="72"/>
      <c r="K1249" s="36"/>
      <c r="L1249" s="79"/>
      <c r="M1249" s="79"/>
      <c r="N1249" s="74"/>
      <c r="O1249" s="81" t="s">
        <v>179</v>
      </c>
      <c r="P1249" s="83">
        <v>44466.012916666667</v>
      </c>
      <c r="Q1249" s="81" t="s">
        <v>1686</v>
      </c>
      <c r="R1249" s="85" t="str">
        <f>HYPERLINK("https://ntmcpolri.info/lokasi-layanan-sim-keliling-jakarta-27-september-2021/")</f>
        <v>https://ntmcpolri.info/lokasi-layanan-sim-keliling-jakarta-27-september-2021/</v>
      </c>
      <c r="S1249" s="81" t="s">
        <v>1755</v>
      </c>
      <c r="T1249" s="81"/>
      <c r="U1249" s="81"/>
      <c r="V1249" s="85" t="str">
        <f>HYPERLINK("https://pbs.twimg.com/profile_images/1309333317771165702/FYVW43Lp_normal.jpg")</f>
        <v>https://pbs.twimg.com/profile_images/1309333317771165702/FYVW43Lp_normal.jpg</v>
      </c>
      <c r="W1249" s="83">
        <v>44466.012916666667</v>
      </c>
      <c r="X1249" s="89">
        <v>44466</v>
      </c>
      <c r="Y1249" s="87" t="s">
        <v>2642</v>
      </c>
      <c r="Z1249" s="85" t="str">
        <f>HYPERLINK("https://twitter.com/ntmc_info/status/1442282491335745536")</f>
        <v>https://twitter.com/ntmc_info/status/1442282491335745536</v>
      </c>
      <c r="AA1249" s="81"/>
      <c r="AB1249" s="81"/>
      <c r="AC1249" s="87" t="s">
        <v>3571</v>
      </c>
      <c r="AD1249" s="81"/>
      <c r="AE1249" s="81" t="b">
        <v>0</v>
      </c>
      <c r="AF1249" s="81">
        <v>0</v>
      </c>
      <c r="AG1249" s="87" t="s">
        <v>3875</v>
      </c>
      <c r="AH1249" s="81" t="b">
        <v>0</v>
      </c>
      <c r="AI1249" s="81" t="s">
        <v>4092</v>
      </c>
      <c r="AJ1249" s="81"/>
      <c r="AK1249" s="87" t="s">
        <v>3875</v>
      </c>
      <c r="AL1249" s="81" t="b">
        <v>0</v>
      </c>
      <c r="AM1249" s="81">
        <v>0</v>
      </c>
      <c r="AN1249" s="87" t="s">
        <v>3875</v>
      </c>
      <c r="AO1249" s="87" t="s">
        <v>4111</v>
      </c>
      <c r="AP1249" s="81" t="b">
        <v>0</v>
      </c>
      <c r="AQ1249" s="87" t="s">
        <v>3571</v>
      </c>
      <c r="AR1249" s="81" t="s">
        <v>179</v>
      </c>
      <c r="AS1249" s="81">
        <v>0</v>
      </c>
      <c r="AT1249" s="81">
        <v>0</v>
      </c>
      <c r="AU1249" s="81"/>
      <c r="AV1249" s="81"/>
      <c r="AW1249" s="81"/>
      <c r="AX1249" s="81"/>
      <c r="AY1249" s="81"/>
      <c r="AZ1249" s="81"/>
      <c r="BA1249" s="81"/>
      <c r="BB1249" s="81"/>
    </row>
    <row r="1250" spans="1:54" x14ac:dyDescent="0.35">
      <c r="A1250" s="66" t="s">
        <v>965</v>
      </c>
      <c r="B1250" s="66" t="s">
        <v>965</v>
      </c>
      <c r="C1250" s="67"/>
      <c r="D1250" s="68"/>
      <c r="E1250" s="69"/>
      <c r="F1250" s="70"/>
      <c r="G1250" s="67"/>
      <c r="H1250" s="71"/>
      <c r="I1250" s="72"/>
      <c r="J1250" s="72"/>
      <c r="K1250" s="36"/>
      <c r="L1250" s="79"/>
      <c r="M1250" s="79"/>
      <c r="N1250" s="74"/>
      <c r="O1250" s="81" t="s">
        <v>179</v>
      </c>
      <c r="P1250" s="83">
        <v>44467.036307870374</v>
      </c>
      <c r="Q1250" s="81" t="s">
        <v>1687</v>
      </c>
      <c r="R1250" s="85" t="str">
        <f>HYPERLINK("https://ntmcpolri.info/berikut-lokasi-layanan-sim-keliling-jakarta-28-september-2021/")</f>
        <v>https://ntmcpolri.info/berikut-lokasi-layanan-sim-keliling-jakarta-28-september-2021/</v>
      </c>
      <c r="S1250" s="81" t="s">
        <v>1755</v>
      </c>
      <c r="T1250" s="81"/>
      <c r="U1250" s="81"/>
      <c r="V1250" s="85" t="str">
        <f>HYPERLINK("https://pbs.twimg.com/profile_images/1309333317771165702/FYVW43Lp_normal.jpg")</f>
        <v>https://pbs.twimg.com/profile_images/1309333317771165702/FYVW43Lp_normal.jpg</v>
      </c>
      <c r="W1250" s="83">
        <v>44467.036307870374</v>
      </c>
      <c r="X1250" s="89">
        <v>44467</v>
      </c>
      <c r="Y1250" s="87" t="s">
        <v>2643</v>
      </c>
      <c r="Z1250" s="85" t="str">
        <f>HYPERLINK("https://twitter.com/ntmc_info/status/1442653354547576832")</f>
        <v>https://twitter.com/ntmc_info/status/1442653354547576832</v>
      </c>
      <c r="AA1250" s="81"/>
      <c r="AB1250" s="81"/>
      <c r="AC1250" s="87" t="s">
        <v>3572</v>
      </c>
      <c r="AD1250" s="81"/>
      <c r="AE1250" s="81" t="b">
        <v>0</v>
      </c>
      <c r="AF1250" s="81">
        <v>0</v>
      </c>
      <c r="AG1250" s="87" t="s">
        <v>3875</v>
      </c>
      <c r="AH1250" s="81" t="b">
        <v>0</v>
      </c>
      <c r="AI1250" s="81" t="s">
        <v>4092</v>
      </c>
      <c r="AJ1250" s="81"/>
      <c r="AK1250" s="87" t="s">
        <v>3875</v>
      </c>
      <c r="AL1250" s="81" t="b">
        <v>0</v>
      </c>
      <c r="AM1250" s="81">
        <v>0</v>
      </c>
      <c r="AN1250" s="87" t="s">
        <v>3875</v>
      </c>
      <c r="AO1250" s="87" t="s">
        <v>4111</v>
      </c>
      <c r="AP1250" s="81" t="b">
        <v>0</v>
      </c>
      <c r="AQ1250" s="87" t="s">
        <v>3572</v>
      </c>
      <c r="AR1250" s="81" t="s">
        <v>179</v>
      </c>
      <c r="AS1250" s="81">
        <v>0</v>
      </c>
      <c r="AT1250" s="81">
        <v>0</v>
      </c>
      <c r="AU1250" s="81"/>
      <c r="AV1250" s="81"/>
      <c r="AW1250" s="81"/>
      <c r="AX1250" s="81"/>
      <c r="AY1250" s="81"/>
      <c r="AZ1250" s="81"/>
      <c r="BA1250" s="81"/>
      <c r="BB1250" s="81"/>
    </row>
    <row r="1251" spans="1:54" x14ac:dyDescent="0.35">
      <c r="A1251" s="66" t="s">
        <v>966</v>
      </c>
      <c r="B1251" s="66" t="s">
        <v>966</v>
      </c>
      <c r="C1251" s="67"/>
      <c r="D1251" s="68"/>
      <c r="E1251" s="69"/>
      <c r="F1251" s="70"/>
      <c r="G1251" s="67"/>
      <c r="H1251" s="71"/>
      <c r="I1251" s="72"/>
      <c r="J1251" s="72"/>
      <c r="K1251" s="36"/>
      <c r="L1251" s="79"/>
      <c r="M1251" s="79"/>
      <c r="N1251" s="74"/>
      <c r="O1251" s="81" t="s">
        <v>179</v>
      </c>
      <c r="P1251" s="83">
        <v>44458.104699074072</v>
      </c>
      <c r="Q1251" s="81" t="s">
        <v>1688</v>
      </c>
      <c r="R1251" s="81" t="s">
        <v>1730</v>
      </c>
      <c r="S1251" s="81" t="s">
        <v>1756</v>
      </c>
      <c r="T1251" s="81"/>
      <c r="U1251" s="81"/>
      <c r="V1251" s="85" t="str">
        <f>HYPERLINK("https://pbs.twimg.com/profile_images/1045532153419685888/tI5IrzoY_normal.jpg")</f>
        <v>https://pbs.twimg.com/profile_images/1045532153419685888/tI5IrzoY_normal.jpg</v>
      </c>
      <c r="W1251" s="83">
        <v>44458.104699074072</v>
      </c>
      <c r="X1251" s="89">
        <v>44458</v>
      </c>
      <c r="Y1251" s="87" t="s">
        <v>2644</v>
      </c>
      <c r="Z1251" s="85" t="str">
        <f>HYPERLINK("https://twitter.com/openkerja/status/1439416646339219462")</f>
        <v>https://twitter.com/openkerja/status/1439416646339219462</v>
      </c>
      <c r="AA1251" s="81"/>
      <c r="AB1251" s="81"/>
      <c r="AC1251" s="87" t="s">
        <v>3573</v>
      </c>
      <c r="AD1251" s="81"/>
      <c r="AE1251" s="81" t="b">
        <v>0</v>
      </c>
      <c r="AF1251" s="81">
        <v>0</v>
      </c>
      <c r="AG1251" s="87" t="s">
        <v>3875</v>
      </c>
      <c r="AH1251" s="81" t="b">
        <v>0</v>
      </c>
      <c r="AI1251" s="81" t="s">
        <v>4092</v>
      </c>
      <c r="AJ1251" s="81"/>
      <c r="AK1251" s="87" t="s">
        <v>3875</v>
      </c>
      <c r="AL1251" s="81" t="b">
        <v>0</v>
      </c>
      <c r="AM1251" s="81">
        <v>0</v>
      </c>
      <c r="AN1251" s="87" t="s">
        <v>3875</v>
      </c>
      <c r="AO1251" s="87" t="s">
        <v>4109</v>
      </c>
      <c r="AP1251" s="81" t="b">
        <v>0</v>
      </c>
      <c r="AQ1251" s="87" t="s">
        <v>3573</v>
      </c>
      <c r="AR1251" s="81" t="s">
        <v>179</v>
      </c>
      <c r="AS1251" s="81">
        <v>0</v>
      </c>
      <c r="AT1251" s="81">
        <v>0</v>
      </c>
      <c r="AU1251" s="81"/>
      <c r="AV1251" s="81"/>
      <c r="AW1251" s="81"/>
      <c r="AX1251" s="81"/>
      <c r="AY1251" s="81"/>
      <c r="AZ1251" s="81"/>
      <c r="BA1251" s="81"/>
      <c r="BB1251" s="81"/>
    </row>
    <row r="1252" spans="1:54" x14ac:dyDescent="0.35">
      <c r="A1252" s="66" t="s">
        <v>966</v>
      </c>
      <c r="B1252" s="66" t="s">
        <v>966</v>
      </c>
      <c r="C1252" s="67"/>
      <c r="D1252" s="68"/>
      <c r="E1252" s="69"/>
      <c r="F1252" s="70"/>
      <c r="G1252" s="67"/>
      <c r="H1252" s="71"/>
      <c r="I1252" s="72"/>
      <c r="J1252" s="72"/>
      <c r="K1252" s="36"/>
      <c r="L1252" s="79"/>
      <c r="M1252" s="79"/>
      <c r="N1252" s="74"/>
      <c r="O1252" s="81" t="s">
        <v>179</v>
      </c>
      <c r="P1252" s="83">
        <v>44461.540289351855</v>
      </c>
      <c r="Q1252" s="81" t="s">
        <v>1689</v>
      </c>
      <c r="R1252" s="81" t="s">
        <v>1730</v>
      </c>
      <c r="S1252" s="81" t="s">
        <v>1756</v>
      </c>
      <c r="T1252" s="81"/>
      <c r="U1252" s="81"/>
      <c r="V1252" s="85" t="str">
        <f>HYPERLINK("https://pbs.twimg.com/profile_images/1045532153419685888/tI5IrzoY_normal.jpg")</f>
        <v>https://pbs.twimg.com/profile_images/1045532153419685888/tI5IrzoY_normal.jpg</v>
      </c>
      <c r="W1252" s="83">
        <v>44461.540289351855</v>
      </c>
      <c r="X1252" s="89">
        <v>44461</v>
      </c>
      <c r="Y1252" s="87" t="s">
        <v>2645</v>
      </c>
      <c r="Z1252" s="85" t="str">
        <f>HYPERLINK("https://twitter.com/openkerja/status/1440661663921831936")</f>
        <v>https://twitter.com/openkerja/status/1440661663921831936</v>
      </c>
      <c r="AA1252" s="81"/>
      <c r="AB1252" s="81"/>
      <c r="AC1252" s="87" t="s">
        <v>3574</v>
      </c>
      <c r="AD1252" s="81"/>
      <c r="AE1252" s="81" t="b">
        <v>0</v>
      </c>
      <c r="AF1252" s="81">
        <v>0</v>
      </c>
      <c r="AG1252" s="87" t="s">
        <v>3875</v>
      </c>
      <c r="AH1252" s="81" t="b">
        <v>0</v>
      </c>
      <c r="AI1252" s="81" t="s">
        <v>4092</v>
      </c>
      <c r="AJ1252" s="81"/>
      <c r="AK1252" s="87" t="s">
        <v>3875</v>
      </c>
      <c r="AL1252" s="81" t="b">
        <v>0</v>
      </c>
      <c r="AM1252" s="81">
        <v>0</v>
      </c>
      <c r="AN1252" s="87" t="s">
        <v>3875</v>
      </c>
      <c r="AO1252" s="87" t="s">
        <v>4109</v>
      </c>
      <c r="AP1252" s="81" t="b">
        <v>0</v>
      </c>
      <c r="AQ1252" s="87" t="s">
        <v>3574</v>
      </c>
      <c r="AR1252" s="81" t="s">
        <v>179</v>
      </c>
      <c r="AS1252" s="81">
        <v>0</v>
      </c>
      <c r="AT1252" s="81">
        <v>0</v>
      </c>
      <c r="AU1252" s="81"/>
      <c r="AV1252" s="81"/>
      <c r="AW1252" s="81"/>
      <c r="AX1252" s="81"/>
      <c r="AY1252" s="81"/>
      <c r="AZ1252" s="81"/>
      <c r="BA1252" s="81"/>
      <c r="BB1252" s="81"/>
    </row>
    <row r="1253" spans="1:54" x14ac:dyDescent="0.35">
      <c r="A1253" s="66" t="s">
        <v>966</v>
      </c>
      <c r="B1253" s="66" t="s">
        <v>966</v>
      </c>
      <c r="C1253" s="67"/>
      <c r="D1253" s="68"/>
      <c r="E1253" s="69"/>
      <c r="F1253" s="70"/>
      <c r="G1253" s="67"/>
      <c r="H1253" s="71"/>
      <c r="I1253" s="72"/>
      <c r="J1253" s="72"/>
      <c r="K1253" s="36"/>
      <c r="L1253" s="79"/>
      <c r="M1253" s="79"/>
      <c r="N1253" s="74"/>
      <c r="O1253" s="81" t="s">
        <v>179</v>
      </c>
      <c r="P1253" s="83">
        <v>44467.044861111113</v>
      </c>
      <c r="Q1253" s="81" t="s">
        <v>1690</v>
      </c>
      <c r="R1253" s="81" t="s">
        <v>1730</v>
      </c>
      <c r="S1253" s="81" t="s">
        <v>1756</v>
      </c>
      <c r="T1253" s="81"/>
      <c r="U1253" s="81"/>
      <c r="V1253" s="85" t="str">
        <f>HYPERLINK("https://pbs.twimg.com/profile_images/1045532153419685888/tI5IrzoY_normal.jpg")</f>
        <v>https://pbs.twimg.com/profile_images/1045532153419685888/tI5IrzoY_normal.jpg</v>
      </c>
      <c r="W1253" s="83">
        <v>44467.044861111113</v>
      </c>
      <c r="X1253" s="89">
        <v>44467</v>
      </c>
      <c r="Y1253" s="87" t="s">
        <v>2646</v>
      </c>
      <c r="Z1253" s="85" t="str">
        <f>HYPERLINK("https://twitter.com/openkerja/status/1442656454612111365")</f>
        <v>https://twitter.com/openkerja/status/1442656454612111365</v>
      </c>
      <c r="AA1253" s="81"/>
      <c r="AB1253" s="81"/>
      <c r="AC1253" s="87" t="s">
        <v>3575</v>
      </c>
      <c r="AD1253" s="81"/>
      <c r="AE1253" s="81" t="b">
        <v>0</v>
      </c>
      <c r="AF1253" s="81">
        <v>0</v>
      </c>
      <c r="AG1253" s="87" t="s">
        <v>3875</v>
      </c>
      <c r="AH1253" s="81" t="b">
        <v>0</v>
      </c>
      <c r="AI1253" s="81" t="s">
        <v>4092</v>
      </c>
      <c r="AJ1253" s="81"/>
      <c r="AK1253" s="87" t="s">
        <v>3875</v>
      </c>
      <c r="AL1253" s="81" t="b">
        <v>0</v>
      </c>
      <c r="AM1253" s="81">
        <v>0</v>
      </c>
      <c r="AN1253" s="87" t="s">
        <v>3875</v>
      </c>
      <c r="AO1253" s="87" t="s">
        <v>4109</v>
      </c>
      <c r="AP1253" s="81" t="b">
        <v>0</v>
      </c>
      <c r="AQ1253" s="87" t="s">
        <v>3575</v>
      </c>
      <c r="AR1253" s="81" t="s">
        <v>179</v>
      </c>
      <c r="AS1253" s="81">
        <v>0</v>
      </c>
      <c r="AT1253" s="81">
        <v>0</v>
      </c>
      <c r="AU1253" s="81"/>
      <c r="AV1253" s="81"/>
      <c r="AW1253" s="81"/>
      <c r="AX1253" s="81"/>
      <c r="AY1253" s="81"/>
      <c r="AZ1253" s="81"/>
      <c r="BA1253" s="81"/>
      <c r="BB1253" s="81"/>
    </row>
    <row r="1254" spans="1:54" x14ac:dyDescent="0.35">
      <c r="A1254" s="66" t="s">
        <v>967</v>
      </c>
      <c r="B1254" s="66" t="s">
        <v>1032</v>
      </c>
      <c r="C1254" s="67"/>
      <c r="D1254" s="68"/>
      <c r="E1254" s="69"/>
      <c r="F1254" s="70"/>
      <c r="G1254" s="67"/>
      <c r="H1254" s="71"/>
      <c r="I1254" s="72"/>
      <c r="J1254" s="72"/>
      <c r="K1254" s="36"/>
      <c r="L1254" s="79"/>
      <c r="M1254" s="79"/>
      <c r="N1254" s="74"/>
      <c r="O1254" s="81" t="s">
        <v>1208</v>
      </c>
      <c r="P1254" s="83">
        <v>44467.046053240738</v>
      </c>
      <c r="Q1254" s="81" t="s">
        <v>1691</v>
      </c>
      <c r="R1254" s="81"/>
      <c r="S1254" s="81"/>
      <c r="T1254" s="81"/>
      <c r="U1254" s="81"/>
      <c r="V1254" s="85" t="str">
        <f>HYPERLINK("https://pbs.twimg.com/profile_images/1431114466331009026/5TOVbNFH_normal.jpg")</f>
        <v>https://pbs.twimg.com/profile_images/1431114466331009026/5TOVbNFH_normal.jpg</v>
      </c>
      <c r="W1254" s="83">
        <v>44467.046053240738</v>
      </c>
      <c r="X1254" s="89">
        <v>44467</v>
      </c>
      <c r="Y1254" s="87" t="s">
        <v>2647</v>
      </c>
      <c r="Z1254" s="85" t="str">
        <f>HYPERLINK("https://twitter.com/peninggidosa/status/1442656886319292422")</f>
        <v>https://twitter.com/peninggidosa/status/1442656886319292422</v>
      </c>
      <c r="AA1254" s="81"/>
      <c r="AB1254" s="81"/>
      <c r="AC1254" s="87" t="s">
        <v>3576</v>
      </c>
      <c r="AD1254" s="87" t="s">
        <v>3864</v>
      </c>
      <c r="AE1254" s="81" t="b">
        <v>0</v>
      </c>
      <c r="AF1254" s="81">
        <v>0</v>
      </c>
      <c r="AG1254" s="87" t="s">
        <v>3912</v>
      </c>
      <c r="AH1254" s="81" t="b">
        <v>0</v>
      </c>
      <c r="AI1254" s="81" t="s">
        <v>4092</v>
      </c>
      <c r="AJ1254" s="81"/>
      <c r="AK1254" s="87" t="s">
        <v>3875</v>
      </c>
      <c r="AL1254" s="81" t="b">
        <v>0</v>
      </c>
      <c r="AM1254" s="81">
        <v>0</v>
      </c>
      <c r="AN1254" s="87" t="s">
        <v>3875</v>
      </c>
      <c r="AO1254" s="87" t="s">
        <v>4111</v>
      </c>
      <c r="AP1254" s="81" t="b">
        <v>0</v>
      </c>
      <c r="AQ1254" s="87" t="s">
        <v>3864</v>
      </c>
      <c r="AR1254" s="81" t="s">
        <v>179</v>
      </c>
      <c r="AS1254" s="81">
        <v>0</v>
      </c>
      <c r="AT1254" s="81">
        <v>0</v>
      </c>
      <c r="AU1254" s="81"/>
      <c r="AV1254" s="81"/>
      <c r="AW1254" s="81"/>
      <c r="AX1254" s="81"/>
      <c r="AY1254" s="81"/>
      <c r="AZ1254" s="81"/>
      <c r="BA1254" s="81"/>
      <c r="BB1254" s="81"/>
    </row>
    <row r="1255" spans="1:54" x14ac:dyDescent="0.35">
      <c r="A1255" s="66" t="s">
        <v>968</v>
      </c>
      <c r="B1255" s="66" t="s">
        <v>968</v>
      </c>
      <c r="C1255" s="67"/>
      <c r="D1255" s="68"/>
      <c r="E1255" s="69"/>
      <c r="F1255" s="70"/>
      <c r="G1255" s="67"/>
      <c r="H1255" s="71"/>
      <c r="I1255" s="72"/>
      <c r="J1255" s="72"/>
      <c r="K1255" s="36"/>
      <c r="L1255" s="79"/>
      <c r="M1255" s="79"/>
      <c r="N1255" s="74"/>
      <c r="O1255" s="81" t="s">
        <v>179</v>
      </c>
      <c r="P1255" s="83">
        <v>44467.051064814812</v>
      </c>
      <c r="Q1255" s="81" t="s">
        <v>1692</v>
      </c>
      <c r="R1255" s="81"/>
      <c r="S1255" s="81"/>
      <c r="T1255" s="81"/>
      <c r="U1255" s="81"/>
      <c r="V1255" s="85" t="str">
        <f>HYPERLINK("https://pbs.twimg.com/profile_images/1400316561982824448/GI53rZTE_normal.jpg")</f>
        <v>https://pbs.twimg.com/profile_images/1400316561982824448/GI53rZTE_normal.jpg</v>
      </c>
      <c r="W1255" s="83">
        <v>44467.051064814812</v>
      </c>
      <c r="X1255" s="89">
        <v>44467</v>
      </c>
      <c r="Y1255" s="87" t="s">
        <v>2648</v>
      </c>
      <c r="Z1255" s="85" t="str">
        <f>HYPERLINK("https://twitter.com/sange_bo/status/1442658703774142467")</f>
        <v>https://twitter.com/sange_bo/status/1442658703774142467</v>
      </c>
      <c r="AA1255" s="81"/>
      <c r="AB1255" s="81"/>
      <c r="AC1255" s="87" t="s">
        <v>3577</v>
      </c>
      <c r="AD1255" s="81"/>
      <c r="AE1255" s="81" t="b">
        <v>0</v>
      </c>
      <c r="AF1255" s="81">
        <v>0</v>
      </c>
      <c r="AG1255" s="87" t="s">
        <v>3875</v>
      </c>
      <c r="AH1255" s="81" t="b">
        <v>0</v>
      </c>
      <c r="AI1255" s="81" t="s">
        <v>4092</v>
      </c>
      <c r="AJ1255" s="81"/>
      <c r="AK1255" s="87" t="s">
        <v>3875</v>
      </c>
      <c r="AL1255" s="81" t="b">
        <v>0</v>
      </c>
      <c r="AM1255" s="81">
        <v>0</v>
      </c>
      <c r="AN1255" s="87" t="s">
        <v>3875</v>
      </c>
      <c r="AO1255" s="87" t="s">
        <v>4116</v>
      </c>
      <c r="AP1255" s="81" t="b">
        <v>0</v>
      </c>
      <c r="AQ1255" s="87" t="s">
        <v>3577</v>
      </c>
      <c r="AR1255" s="81" t="s">
        <v>179</v>
      </c>
      <c r="AS1255" s="81">
        <v>0</v>
      </c>
      <c r="AT1255" s="81">
        <v>0</v>
      </c>
      <c r="AU1255" s="81"/>
      <c r="AV1255" s="81"/>
      <c r="AW1255" s="81"/>
      <c r="AX1255" s="81"/>
      <c r="AY1255" s="81"/>
      <c r="AZ1255" s="81"/>
      <c r="BA1255" s="81"/>
      <c r="BB1255" s="81"/>
    </row>
    <row r="1256" spans="1:54" x14ac:dyDescent="0.35">
      <c r="A1256" s="66" t="s">
        <v>969</v>
      </c>
      <c r="B1256" s="66" t="s">
        <v>969</v>
      </c>
      <c r="C1256" s="67"/>
      <c r="D1256" s="68"/>
      <c r="E1256" s="69"/>
      <c r="F1256" s="70"/>
      <c r="G1256" s="67"/>
      <c r="H1256" s="71"/>
      <c r="I1256" s="72"/>
      <c r="J1256" s="72"/>
      <c r="K1256" s="36"/>
      <c r="L1256" s="79"/>
      <c r="M1256" s="79"/>
      <c r="N1256" s="74"/>
      <c r="O1256" s="81" t="s">
        <v>179</v>
      </c>
      <c r="P1256" s="83">
        <v>44467.056203703702</v>
      </c>
      <c r="Q1256" s="81" t="s">
        <v>1693</v>
      </c>
      <c r="R1256" s="81"/>
      <c r="S1256" s="81"/>
      <c r="T1256" s="81"/>
      <c r="U1256" s="81"/>
      <c r="V1256" s="85" t="str">
        <f>HYPERLINK("https://pbs.twimg.com/profile_images/1442000029997092865/YTX_f4DV_normal.jpg")</f>
        <v>https://pbs.twimg.com/profile_images/1442000029997092865/YTX_f4DV_normal.jpg</v>
      </c>
      <c r="W1256" s="83">
        <v>44467.056203703702</v>
      </c>
      <c r="X1256" s="89">
        <v>44467</v>
      </c>
      <c r="Y1256" s="87" t="s">
        <v>2649</v>
      </c>
      <c r="Z1256" s="85" t="str">
        <f>HYPERLINK("https://twitter.com/candyyupiii/status/1442660565894057987")</f>
        <v>https://twitter.com/candyyupiii/status/1442660565894057987</v>
      </c>
      <c r="AA1256" s="81"/>
      <c r="AB1256" s="81"/>
      <c r="AC1256" s="87" t="s">
        <v>3578</v>
      </c>
      <c r="AD1256" s="81"/>
      <c r="AE1256" s="81" t="b">
        <v>0</v>
      </c>
      <c r="AF1256" s="81">
        <v>0</v>
      </c>
      <c r="AG1256" s="87" t="s">
        <v>3875</v>
      </c>
      <c r="AH1256" s="81" t="b">
        <v>0</v>
      </c>
      <c r="AI1256" s="81" t="s">
        <v>4092</v>
      </c>
      <c r="AJ1256" s="81"/>
      <c r="AK1256" s="87" t="s">
        <v>3875</v>
      </c>
      <c r="AL1256" s="81" t="b">
        <v>0</v>
      </c>
      <c r="AM1256" s="81">
        <v>0</v>
      </c>
      <c r="AN1256" s="87" t="s">
        <v>3875</v>
      </c>
      <c r="AO1256" s="87" t="s">
        <v>4109</v>
      </c>
      <c r="AP1256" s="81" t="b">
        <v>0</v>
      </c>
      <c r="AQ1256" s="87" t="s">
        <v>3578</v>
      </c>
      <c r="AR1256" s="81" t="s">
        <v>179</v>
      </c>
      <c r="AS1256" s="81">
        <v>0</v>
      </c>
      <c r="AT1256" s="81">
        <v>0</v>
      </c>
      <c r="AU1256" s="81"/>
      <c r="AV1256" s="81"/>
      <c r="AW1256" s="81"/>
      <c r="AX1256" s="81"/>
      <c r="AY1256" s="81"/>
      <c r="AZ1256" s="81"/>
      <c r="BA1256" s="81"/>
      <c r="BB1256" s="81"/>
    </row>
    <row r="1257" spans="1:54" x14ac:dyDescent="0.35">
      <c r="A1257" s="66" t="s">
        <v>970</v>
      </c>
      <c r="B1257" s="66" t="s">
        <v>970</v>
      </c>
      <c r="C1257" s="67"/>
      <c r="D1257" s="68"/>
      <c r="E1257" s="69"/>
      <c r="F1257" s="70"/>
      <c r="G1257" s="67"/>
      <c r="H1257" s="71"/>
      <c r="I1257" s="72"/>
      <c r="J1257" s="72"/>
      <c r="K1257" s="36"/>
      <c r="L1257" s="79"/>
      <c r="M1257" s="79"/>
      <c r="N1257" s="74"/>
      <c r="O1257" s="81" t="s">
        <v>179</v>
      </c>
      <c r="P1257" s="83">
        <v>44457.832280092596</v>
      </c>
      <c r="Q1257" s="81" t="s">
        <v>1694</v>
      </c>
      <c r="R1257" s="81"/>
      <c r="S1257" s="81"/>
      <c r="T1257" s="81"/>
      <c r="U1257" s="81"/>
      <c r="V1257" s="85" t="str">
        <f>HYPERLINK("https://pbs.twimg.com/profile_images/3036631203/9404d83a3202d44a4fcbbb75b2bd6b81_normal.jpeg")</f>
        <v>https://pbs.twimg.com/profile_images/3036631203/9404d83a3202d44a4fcbbb75b2bd6b81_normal.jpeg</v>
      </c>
      <c r="W1257" s="83">
        <v>44457.832280092596</v>
      </c>
      <c r="X1257" s="89">
        <v>44457</v>
      </c>
      <c r="Y1257" s="87" t="s">
        <v>2650</v>
      </c>
      <c r="Z1257" s="85" t="str">
        <f>HYPERLINK("https://twitter.com/yeppeomikki/status/1439317925601579011")</f>
        <v>https://twitter.com/yeppeomikki/status/1439317925601579011</v>
      </c>
      <c r="AA1257" s="81"/>
      <c r="AB1257" s="81"/>
      <c r="AC1257" s="87" t="s">
        <v>3579</v>
      </c>
      <c r="AD1257" s="81"/>
      <c r="AE1257" s="81" t="b">
        <v>0</v>
      </c>
      <c r="AF1257" s="81">
        <v>0</v>
      </c>
      <c r="AG1257" s="87" t="s">
        <v>3875</v>
      </c>
      <c r="AH1257" s="81" t="b">
        <v>0</v>
      </c>
      <c r="AI1257" s="81" t="s">
        <v>4092</v>
      </c>
      <c r="AJ1257" s="81"/>
      <c r="AK1257" s="87" t="s">
        <v>3875</v>
      </c>
      <c r="AL1257" s="81" t="b">
        <v>0</v>
      </c>
      <c r="AM1257" s="81">
        <v>0</v>
      </c>
      <c r="AN1257" s="87" t="s">
        <v>3875</v>
      </c>
      <c r="AO1257" s="87" t="s">
        <v>4116</v>
      </c>
      <c r="AP1257" s="81" t="b">
        <v>0</v>
      </c>
      <c r="AQ1257" s="87" t="s">
        <v>3579</v>
      </c>
      <c r="AR1257" s="81" t="s">
        <v>179</v>
      </c>
      <c r="AS1257" s="81">
        <v>0</v>
      </c>
      <c r="AT1257" s="81">
        <v>0</v>
      </c>
      <c r="AU1257" s="81"/>
      <c r="AV1257" s="81"/>
      <c r="AW1257" s="81"/>
      <c r="AX1257" s="81"/>
      <c r="AY1257" s="81"/>
      <c r="AZ1257" s="81"/>
      <c r="BA1257" s="81"/>
      <c r="BB1257" s="81"/>
    </row>
    <row r="1258" spans="1:54" x14ac:dyDescent="0.35">
      <c r="A1258" s="66" t="s">
        <v>970</v>
      </c>
      <c r="B1258" s="66" t="s">
        <v>970</v>
      </c>
      <c r="C1258" s="67"/>
      <c r="D1258" s="68"/>
      <c r="E1258" s="69"/>
      <c r="F1258" s="70"/>
      <c r="G1258" s="67"/>
      <c r="H1258" s="71"/>
      <c r="I1258" s="72"/>
      <c r="J1258" s="72"/>
      <c r="K1258" s="36"/>
      <c r="L1258" s="79"/>
      <c r="M1258" s="79"/>
      <c r="N1258" s="74"/>
      <c r="O1258" s="81" t="s">
        <v>179</v>
      </c>
      <c r="P1258" s="83">
        <v>44458.207349537035</v>
      </c>
      <c r="Q1258" s="81" t="s">
        <v>1695</v>
      </c>
      <c r="R1258" s="81"/>
      <c r="S1258" s="81"/>
      <c r="T1258" s="81"/>
      <c r="U1258" s="81"/>
      <c r="V1258" s="85" t="str">
        <f>HYPERLINK("https://pbs.twimg.com/profile_images/3036631203/9404d83a3202d44a4fcbbb75b2bd6b81_normal.jpeg")</f>
        <v>https://pbs.twimg.com/profile_images/3036631203/9404d83a3202d44a4fcbbb75b2bd6b81_normal.jpeg</v>
      </c>
      <c r="W1258" s="83">
        <v>44458.207349537035</v>
      </c>
      <c r="X1258" s="89">
        <v>44458</v>
      </c>
      <c r="Y1258" s="87" t="s">
        <v>2651</v>
      </c>
      <c r="Z1258" s="85" t="str">
        <f>HYPERLINK("https://twitter.com/yeppeomikki/status/1439453847840182275")</f>
        <v>https://twitter.com/yeppeomikki/status/1439453847840182275</v>
      </c>
      <c r="AA1258" s="81"/>
      <c r="AB1258" s="81"/>
      <c r="AC1258" s="87" t="s">
        <v>3580</v>
      </c>
      <c r="AD1258" s="81"/>
      <c r="AE1258" s="81" t="b">
        <v>0</v>
      </c>
      <c r="AF1258" s="81">
        <v>0</v>
      </c>
      <c r="AG1258" s="87" t="s">
        <v>3875</v>
      </c>
      <c r="AH1258" s="81" t="b">
        <v>0</v>
      </c>
      <c r="AI1258" s="81" t="s">
        <v>4092</v>
      </c>
      <c r="AJ1258" s="81"/>
      <c r="AK1258" s="87" t="s">
        <v>3875</v>
      </c>
      <c r="AL1258" s="81" t="b">
        <v>0</v>
      </c>
      <c r="AM1258" s="81">
        <v>0</v>
      </c>
      <c r="AN1258" s="87" t="s">
        <v>3875</v>
      </c>
      <c r="AO1258" s="87" t="s">
        <v>4116</v>
      </c>
      <c r="AP1258" s="81" t="b">
        <v>0</v>
      </c>
      <c r="AQ1258" s="87" t="s">
        <v>3580</v>
      </c>
      <c r="AR1258" s="81" t="s">
        <v>179</v>
      </c>
      <c r="AS1258" s="81">
        <v>0</v>
      </c>
      <c r="AT1258" s="81">
        <v>0</v>
      </c>
      <c r="AU1258" s="81"/>
      <c r="AV1258" s="81"/>
      <c r="AW1258" s="81"/>
      <c r="AX1258" s="81"/>
      <c r="AY1258" s="81"/>
      <c r="AZ1258" s="81"/>
      <c r="BA1258" s="81"/>
      <c r="BB1258" s="81"/>
    </row>
    <row r="1259" spans="1:54" x14ac:dyDescent="0.35">
      <c r="A1259" s="66" t="s">
        <v>970</v>
      </c>
      <c r="B1259" s="66" t="s">
        <v>970</v>
      </c>
      <c r="C1259" s="67"/>
      <c r="D1259" s="68"/>
      <c r="E1259" s="69"/>
      <c r="F1259" s="70"/>
      <c r="G1259" s="67"/>
      <c r="H1259" s="71"/>
      <c r="I1259" s="72"/>
      <c r="J1259" s="72"/>
      <c r="K1259" s="36"/>
      <c r="L1259" s="79"/>
      <c r="M1259" s="79"/>
      <c r="N1259" s="74"/>
      <c r="O1259" s="81" t="s">
        <v>179</v>
      </c>
      <c r="P1259" s="83">
        <v>44458.603414351855</v>
      </c>
      <c r="Q1259" s="81" t="s">
        <v>1694</v>
      </c>
      <c r="R1259" s="81"/>
      <c r="S1259" s="81"/>
      <c r="T1259" s="81"/>
      <c r="U1259" s="81"/>
      <c r="V1259" s="85" t="str">
        <f>HYPERLINK("https://pbs.twimg.com/profile_images/3036631203/9404d83a3202d44a4fcbbb75b2bd6b81_normal.jpeg")</f>
        <v>https://pbs.twimg.com/profile_images/3036631203/9404d83a3202d44a4fcbbb75b2bd6b81_normal.jpeg</v>
      </c>
      <c r="W1259" s="83">
        <v>44458.603414351855</v>
      </c>
      <c r="X1259" s="89">
        <v>44458</v>
      </c>
      <c r="Y1259" s="87" t="s">
        <v>2652</v>
      </c>
      <c r="Z1259" s="85" t="str">
        <f>HYPERLINK("https://twitter.com/yeppeomikki/status/1439597375660564498")</f>
        <v>https://twitter.com/yeppeomikki/status/1439597375660564498</v>
      </c>
      <c r="AA1259" s="81"/>
      <c r="AB1259" s="81"/>
      <c r="AC1259" s="87" t="s">
        <v>3581</v>
      </c>
      <c r="AD1259" s="81"/>
      <c r="AE1259" s="81" t="b">
        <v>0</v>
      </c>
      <c r="AF1259" s="81">
        <v>0</v>
      </c>
      <c r="AG1259" s="87" t="s">
        <v>3875</v>
      </c>
      <c r="AH1259" s="81" t="b">
        <v>0</v>
      </c>
      <c r="AI1259" s="81" t="s">
        <v>4092</v>
      </c>
      <c r="AJ1259" s="81"/>
      <c r="AK1259" s="87" t="s">
        <v>3875</v>
      </c>
      <c r="AL1259" s="81" t="b">
        <v>0</v>
      </c>
      <c r="AM1259" s="81">
        <v>0</v>
      </c>
      <c r="AN1259" s="87" t="s">
        <v>3875</v>
      </c>
      <c r="AO1259" s="87" t="s">
        <v>4116</v>
      </c>
      <c r="AP1259" s="81" t="b">
        <v>0</v>
      </c>
      <c r="AQ1259" s="87" t="s">
        <v>3581</v>
      </c>
      <c r="AR1259" s="81" t="s">
        <v>179</v>
      </c>
      <c r="AS1259" s="81">
        <v>0</v>
      </c>
      <c r="AT1259" s="81">
        <v>0</v>
      </c>
      <c r="AU1259" s="81"/>
      <c r="AV1259" s="81"/>
      <c r="AW1259" s="81"/>
      <c r="AX1259" s="81"/>
      <c r="AY1259" s="81"/>
      <c r="AZ1259" s="81"/>
      <c r="BA1259" s="81"/>
      <c r="BB1259" s="81"/>
    </row>
    <row r="1260" spans="1:54" x14ac:dyDescent="0.35">
      <c r="A1260" s="66" t="s">
        <v>970</v>
      </c>
      <c r="B1260" s="66" t="s">
        <v>970</v>
      </c>
      <c r="C1260" s="67"/>
      <c r="D1260" s="68"/>
      <c r="E1260" s="69"/>
      <c r="F1260" s="70"/>
      <c r="G1260" s="67"/>
      <c r="H1260" s="71"/>
      <c r="I1260" s="72"/>
      <c r="J1260" s="72"/>
      <c r="K1260" s="36"/>
      <c r="L1260" s="79"/>
      <c r="M1260" s="79"/>
      <c r="N1260" s="74"/>
      <c r="O1260" s="81" t="s">
        <v>179</v>
      </c>
      <c r="P1260" s="83">
        <v>44458.978298611109</v>
      </c>
      <c r="Q1260" s="81" t="s">
        <v>1695</v>
      </c>
      <c r="R1260" s="81"/>
      <c r="S1260" s="81"/>
      <c r="T1260" s="81"/>
      <c r="U1260" s="81"/>
      <c r="V1260" s="85" t="str">
        <f>HYPERLINK("https://pbs.twimg.com/profile_images/3036631203/9404d83a3202d44a4fcbbb75b2bd6b81_normal.jpeg")</f>
        <v>https://pbs.twimg.com/profile_images/3036631203/9404d83a3202d44a4fcbbb75b2bd6b81_normal.jpeg</v>
      </c>
      <c r="W1260" s="83">
        <v>44458.978298611109</v>
      </c>
      <c r="X1260" s="89">
        <v>44458</v>
      </c>
      <c r="Y1260" s="87" t="s">
        <v>2653</v>
      </c>
      <c r="Z1260" s="85" t="str">
        <f>HYPERLINK("https://twitter.com/yeppeomikki/status/1439733227598475267")</f>
        <v>https://twitter.com/yeppeomikki/status/1439733227598475267</v>
      </c>
      <c r="AA1260" s="81"/>
      <c r="AB1260" s="81"/>
      <c r="AC1260" s="87" t="s">
        <v>3582</v>
      </c>
      <c r="AD1260" s="81"/>
      <c r="AE1260" s="81" t="b">
        <v>0</v>
      </c>
      <c r="AF1260" s="81">
        <v>0</v>
      </c>
      <c r="AG1260" s="87" t="s">
        <v>3875</v>
      </c>
      <c r="AH1260" s="81" t="b">
        <v>0</v>
      </c>
      <c r="AI1260" s="81" t="s">
        <v>4092</v>
      </c>
      <c r="AJ1260" s="81"/>
      <c r="AK1260" s="87" t="s">
        <v>3875</v>
      </c>
      <c r="AL1260" s="81" t="b">
        <v>0</v>
      </c>
      <c r="AM1260" s="81">
        <v>0</v>
      </c>
      <c r="AN1260" s="87" t="s">
        <v>3875</v>
      </c>
      <c r="AO1260" s="87" t="s">
        <v>4116</v>
      </c>
      <c r="AP1260" s="81" t="b">
        <v>0</v>
      </c>
      <c r="AQ1260" s="87" t="s">
        <v>3582</v>
      </c>
      <c r="AR1260" s="81" t="s">
        <v>179</v>
      </c>
      <c r="AS1260" s="81">
        <v>0</v>
      </c>
      <c r="AT1260" s="81">
        <v>0</v>
      </c>
      <c r="AU1260" s="81"/>
      <c r="AV1260" s="81"/>
      <c r="AW1260" s="81"/>
      <c r="AX1260" s="81"/>
      <c r="AY1260" s="81"/>
      <c r="AZ1260" s="81"/>
      <c r="BA1260" s="81"/>
      <c r="BB1260" s="81"/>
    </row>
    <row r="1261" spans="1:54" x14ac:dyDescent="0.35">
      <c r="A1261" s="66" t="s">
        <v>970</v>
      </c>
      <c r="B1261" s="66" t="s">
        <v>970</v>
      </c>
      <c r="C1261" s="67"/>
      <c r="D1261" s="68"/>
      <c r="E1261" s="69"/>
      <c r="F1261" s="70"/>
      <c r="G1261" s="67"/>
      <c r="H1261" s="71"/>
      <c r="I1261" s="72"/>
      <c r="J1261" s="72"/>
      <c r="K1261" s="36"/>
      <c r="L1261" s="79"/>
      <c r="M1261" s="79"/>
      <c r="N1261" s="74"/>
      <c r="O1261" s="81" t="s">
        <v>179</v>
      </c>
      <c r="P1261" s="83">
        <v>44459.374027777776</v>
      </c>
      <c r="Q1261" s="81" t="s">
        <v>1694</v>
      </c>
      <c r="R1261" s="81"/>
      <c r="S1261" s="81"/>
      <c r="T1261" s="81"/>
      <c r="U1261" s="81"/>
      <c r="V1261" s="85" t="str">
        <f>HYPERLINK("https://pbs.twimg.com/profile_images/3036631203/9404d83a3202d44a4fcbbb75b2bd6b81_normal.jpeg")</f>
        <v>https://pbs.twimg.com/profile_images/3036631203/9404d83a3202d44a4fcbbb75b2bd6b81_normal.jpeg</v>
      </c>
      <c r="W1261" s="83">
        <v>44459.374027777776</v>
      </c>
      <c r="X1261" s="89">
        <v>44459</v>
      </c>
      <c r="Y1261" s="87" t="s">
        <v>2654</v>
      </c>
      <c r="Z1261" s="85" t="str">
        <f>HYPERLINK("https://twitter.com/yeppeomikki/status/1439876635436613638")</f>
        <v>https://twitter.com/yeppeomikki/status/1439876635436613638</v>
      </c>
      <c r="AA1261" s="81"/>
      <c r="AB1261" s="81"/>
      <c r="AC1261" s="87" t="s">
        <v>3583</v>
      </c>
      <c r="AD1261" s="81"/>
      <c r="AE1261" s="81" t="b">
        <v>0</v>
      </c>
      <c r="AF1261" s="81">
        <v>0</v>
      </c>
      <c r="AG1261" s="87" t="s">
        <v>3875</v>
      </c>
      <c r="AH1261" s="81" t="b">
        <v>0</v>
      </c>
      <c r="AI1261" s="81" t="s">
        <v>4092</v>
      </c>
      <c r="AJ1261" s="81"/>
      <c r="AK1261" s="87" t="s">
        <v>3875</v>
      </c>
      <c r="AL1261" s="81" t="b">
        <v>0</v>
      </c>
      <c r="AM1261" s="81">
        <v>0</v>
      </c>
      <c r="AN1261" s="87" t="s">
        <v>3875</v>
      </c>
      <c r="AO1261" s="87" t="s">
        <v>4116</v>
      </c>
      <c r="AP1261" s="81" t="b">
        <v>0</v>
      </c>
      <c r="AQ1261" s="87" t="s">
        <v>3583</v>
      </c>
      <c r="AR1261" s="81" t="s">
        <v>179</v>
      </c>
      <c r="AS1261" s="81">
        <v>0</v>
      </c>
      <c r="AT1261" s="81">
        <v>0</v>
      </c>
      <c r="AU1261" s="81"/>
      <c r="AV1261" s="81"/>
      <c r="AW1261" s="81"/>
      <c r="AX1261" s="81"/>
      <c r="AY1261" s="81"/>
      <c r="AZ1261" s="81"/>
      <c r="BA1261" s="81"/>
      <c r="BB1261" s="81"/>
    </row>
    <row r="1262" spans="1:54" x14ac:dyDescent="0.35">
      <c r="A1262" s="66" t="s">
        <v>970</v>
      </c>
      <c r="B1262" s="66" t="s">
        <v>970</v>
      </c>
      <c r="C1262" s="67"/>
      <c r="D1262" s="68"/>
      <c r="E1262" s="69"/>
      <c r="F1262" s="70"/>
      <c r="G1262" s="67"/>
      <c r="H1262" s="71"/>
      <c r="I1262" s="72"/>
      <c r="J1262" s="72"/>
      <c r="K1262" s="36"/>
      <c r="L1262" s="79"/>
      <c r="M1262" s="79"/>
      <c r="N1262" s="74"/>
      <c r="O1262" s="81" t="s">
        <v>179</v>
      </c>
      <c r="P1262" s="83">
        <v>44459.74894675926</v>
      </c>
      <c r="Q1262" s="81" t="s">
        <v>1695</v>
      </c>
      <c r="R1262" s="81"/>
      <c r="S1262" s="81"/>
      <c r="T1262" s="81"/>
      <c r="U1262" s="81"/>
      <c r="V1262" s="85" t="str">
        <f>HYPERLINK("https://pbs.twimg.com/profile_images/3036631203/9404d83a3202d44a4fcbbb75b2bd6b81_normal.jpeg")</f>
        <v>https://pbs.twimg.com/profile_images/3036631203/9404d83a3202d44a4fcbbb75b2bd6b81_normal.jpeg</v>
      </c>
      <c r="W1262" s="83">
        <v>44459.74894675926</v>
      </c>
      <c r="X1262" s="89">
        <v>44459</v>
      </c>
      <c r="Y1262" s="87" t="s">
        <v>2655</v>
      </c>
      <c r="Z1262" s="85" t="str">
        <f>HYPERLINK("https://twitter.com/yeppeomikki/status/1440012503413506048")</f>
        <v>https://twitter.com/yeppeomikki/status/1440012503413506048</v>
      </c>
      <c r="AA1262" s="81"/>
      <c r="AB1262" s="81"/>
      <c r="AC1262" s="87" t="s">
        <v>3584</v>
      </c>
      <c r="AD1262" s="81"/>
      <c r="AE1262" s="81" t="b">
        <v>0</v>
      </c>
      <c r="AF1262" s="81">
        <v>0</v>
      </c>
      <c r="AG1262" s="87" t="s">
        <v>3875</v>
      </c>
      <c r="AH1262" s="81" t="b">
        <v>0</v>
      </c>
      <c r="AI1262" s="81" t="s">
        <v>4092</v>
      </c>
      <c r="AJ1262" s="81"/>
      <c r="AK1262" s="87" t="s">
        <v>3875</v>
      </c>
      <c r="AL1262" s="81" t="b">
        <v>0</v>
      </c>
      <c r="AM1262" s="81">
        <v>0</v>
      </c>
      <c r="AN1262" s="87" t="s">
        <v>3875</v>
      </c>
      <c r="AO1262" s="87" t="s">
        <v>4116</v>
      </c>
      <c r="AP1262" s="81" t="b">
        <v>0</v>
      </c>
      <c r="AQ1262" s="87" t="s">
        <v>3584</v>
      </c>
      <c r="AR1262" s="81" t="s">
        <v>179</v>
      </c>
      <c r="AS1262" s="81">
        <v>0</v>
      </c>
      <c r="AT1262" s="81">
        <v>0</v>
      </c>
      <c r="AU1262" s="81"/>
      <c r="AV1262" s="81"/>
      <c r="AW1262" s="81"/>
      <c r="AX1262" s="81"/>
      <c r="AY1262" s="81"/>
      <c r="AZ1262" s="81"/>
      <c r="BA1262" s="81"/>
      <c r="BB1262" s="81"/>
    </row>
    <row r="1263" spans="1:54" x14ac:dyDescent="0.35">
      <c r="A1263" s="66" t="s">
        <v>970</v>
      </c>
      <c r="B1263" s="66" t="s">
        <v>970</v>
      </c>
      <c r="C1263" s="67"/>
      <c r="D1263" s="68"/>
      <c r="E1263" s="69"/>
      <c r="F1263" s="70"/>
      <c r="G1263" s="67"/>
      <c r="H1263" s="71"/>
      <c r="I1263" s="72"/>
      <c r="J1263" s="72"/>
      <c r="K1263" s="36"/>
      <c r="L1263" s="79"/>
      <c r="M1263" s="79"/>
      <c r="N1263" s="74"/>
      <c r="O1263" s="81" t="s">
        <v>179</v>
      </c>
      <c r="P1263" s="83">
        <v>44460.144918981481</v>
      </c>
      <c r="Q1263" s="81" t="s">
        <v>1694</v>
      </c>
      <c r="R1263" s="81"/>
      <c r="S1263" s="81"/>
      <c r="T1263" s="81"/>
      <c r="U1263" s="81"/>
      <c r="V1263" s="85" t="str">
        <f>HYPERLINK("https://pbs.twimg.com/profile_images/3036631203/9404d83a3202d44a4fcbbb75b2bd6b81_normal.jpeg")</f>
        <v>https://pbs.twimg.com/profile_images/3036631203/9404d83a3202d44a4fcbbb75b2bd6b81_normal.jpeg</v>
      </c>
      <c r="W1263" s="83">
        <v>44460.144918981481</v>
      </c>
      <c r="X1263" s="89">
        <v>44460</v>
      </c>
      <c r="Y1263" s="87" t="s">
        <v>2656</v>
      </c>
      <c r="Z1263" s="85" t="str">
        <f>HYPERLINK("https://twitter.com/yeppeomikki/status/1440155998405025796")</f>
        <v>https://twitter.com/yeppeomikki/status/1440155998405025796</v>
      </c>
      <c r="AA1263" s="81"/>
      <c r="AB1263" s="81"/>
      <c r="AC1263" s="87" t="s">
        <v>3585</v>
      </c>
      <c r="AD1263" s="81"/>
      <c r="AE1263" s="81" t="b">
        <v>0</v>
      </c>
      <c r="AF1263" s="81">
        <v>0</v>
      </c>
      <c r="AG1263" s="87" t="s">
        <v>3875</v>
      </c>
      <c r="AH1263" s="81" t="b">
        <v>0</v>
      </c>
      <c r="AI1263" s="81" t="s">
        <v>4092</v>
      </c>
      <c r="AJ1263" s="81"/>
      <c r="AK1263" s="87" t="s">
        <v>3875</v>
      </c>
      <c r="AL1263" s="81" t="b">
        <v>0</v>
      </c>
      <c r="AM1263" s="81">
        <v>0</v>
      </c>
      <c r="AN1263" s="87" t="s">
        <v>3875</v>
      </c>
      <c r="AO1263" s="87" t="s">
        <v>4116</v>
      </c>
      <c r="AP1263" s="81" t="b">
        <v>0</v>
      </c>
      <c r="AQ1263" s="87" t="s">
        <v>3585</v>
      </c>
      <c r="AR1263" s="81" t="s">
        <v>179</v>
      </c>
      <c r="AS1263" s="81">
        <v>0</v>
      </c>
      <c r="AT1263" s="81">
        <v>0</v>
      </c>
      <c r="AU1263" s="81"/>
      <c r="AV1263" s="81"/>
      <c r="AW1263" s="81"/>
      <c r="AX1263" s="81"/>
      <c r="AY1263" s="81"/>
      <c r="AZ1263" s="81"/>
      <c r="BA1263" s="81"/>
      <c r="BB1263" s="81"/>
    </row>
    <row r="1264" spans="1:54" x14ac:dyDescent="0.35">
      <c r="A1264" s="66" t="s">
        <v>970</v>
      </c>
      <c r="B1264" s="66" t="s">
        <v>970</v>
      </c>
      <c r="C1264" s="67"/>
      <c r="D1264" s="68"/>
      <c r="E1264" s="69"/>
      <c r="F1264" s="70"/>
      <c r="G1264" s="67"/>
      <c r="H1264" s="71"/>
      <c r="I1264" s="72"/>
      <c r="J1264" s="72"/>
      <c r="K1264" s="36"/>
      <c r="L1264" s="79"/>
      <c r="M1264" s="79"/>
      <c r="N1264" s="74"/>
      <c r="O1264" s="81" t="s">
        <v>179</v>
      </c>
      <c r="P1264" s="83">
        <v>44460.519907407404</v>
      </c>
      <c r="Q1264" s="81" t="s">
        <v>1695</v>
      </c>
      <c r="R1264" s="81"/>
      <c r="S1264" s="81"/>
      <c r="T1264" s="81"/>
      <c r="U1264" s="81"/>
      <c r="V1264" s="85" t="str">
        <f>HYPERLINK("https://pbs.twimg.com/profile_images/3036631203/9404d83a3202d44a4fcbbb75b2bd6b81_normal.jpeg")</f>
        <v>https://pbs.twimg.com/profile_images/3036631203/9404d83a3202d44a4fcbbb75b2bd6b81_normal.jpeg</v>
      </c>
      <c r="W1264" s="83">
        <v>44460.519907407404</v>
      </c>
      <c r="X1264" s="89">
        <v>44460</v>
      </c>
      <c r="Y1264" s="87" t="s">
        <v>2657</v>
      </c>
      <c r="Z1264" s="85" t="str">
        <f>HYPERLINK("https://twitter.com/yeppeomikki/status/1440291890742525965")</f>
        <v>https://twitter.com/yeppeomikki/status/1440291890742525965</v>
      </c>
      <c r="AA1264" s="81"/>
      <c r="AB1264" s="81"/>
      <c r="AC1264" s="87" t="s">
        <v>3586</v>
      </c>
      <c r="AD1264" s="81"/>
      <c r="AE1264" s="81" t="b">
        <v>0</v>
      </c>
      <c r="AF1264" s="81">
        <v>0</v>
      </c>
      <c r="AG1264" s="87" t="s">
        <v>3875</v>
      </c>
      <c r="AH1264" s="81" t="b">
        <v>0</v>
      </c>
      <c r="AI1264" s="81" t="s">
        <v>4092</v>
      </c>
      <c r="AJ1264" s="81"/>
      <c r="AK1264" s="87" t="s">
        <v>3875</v>
      </c>
      <c r="AL1264" s="81" t="b">
        <v>0</v>
      </c>
      <c r="AM1264" s="81">
        <v>0</v>
      </c>
      <c r="AN1264" s="87" t="s">
        <v>3875</v>
      </c>
      <c r="AO1264" s="87" t="s">
        <v>4116</v>
      </c>
      <c r="AP1264" s="81" t="b">
        <v>0</v>
      </c>
      <c r="AQ1264" s="87" t="s">
        <v>3586</v>
      </c>
      <c r="AR1264" s="81" t="s">
        <v>179</v>
      </c>
      <c r="AS1264" s="81">
        <v>0</v>
      </c>
      <c r="AT1264" s="81">
        <v>0</v>
      </c>
      <c r="AU1264" s="81"/>
      <c r="AV1264" s="81"/>
      <c r="AW1264" s="81"/>
      <c r="AX1264" s="81"/>
      <c r="AY1264" s="81"/>
      <c r="AZ1264" s="81"/>
      <c r="BA1264" s="81"/>
      <c r="BB1264" s="81"/>
    </row>
    <row r="1265" spans="1:54" x14ac:dyDescent="0.35">
      <c r="A1265" s="66" t="s">
        <v>970</v>
      </c>
      <c r="B1265" s="66" t="s">
        <v>970</v>
      </c>
      <c r="C1265" s="67"/>
      <c r="D1265" s="68"/>
      <c r="E1265" s="69"/>
      <c r="F1265" s="70"/>
      <c r="G1265" s="67"/>
      <c r="H1265" s="71"/>
      <c r="I1265" s="72"/>
      <c r="J1265" s="72"/>
      <c r="K1265" s="36"/>
      <c r="L1265" s="79"/>
      <c r="M1265" s="79"/>
      <c r="N1265" s="74"/>
      <c r="O1265" s="81" t="s">
        <v>179</v>
      </c>
      <c r="P1265" s="83">
        <v>44460.915625000001</v>
      </c>
      <c r="Q1265" s="81" t="s">
        <v>1694</v>
      </c>
      <c r="R1265" s="81"/>
      <c r="S1265" s="81"/>
      <c r="T1265" s="81"/>
      <c r="U1265" s="81"/>
      <c r="V1265" s="85" t="str">
        <f>HYPERLINK("https://pbs.twimg.com/profile_images/3036631203/9404d83a3202d44a4fcbbb75b2bd6b81_normal.jpeg")</f>
        <v>https://pbs.twimg.com/profile_images/3036631203/9404d83a3202d44a4fcbbb75b2bd6b81_normal.jpeg</v>
      </c>
      <c r="W1265" s="83">
        <v>44460.915625000001</v>
      </c>
      <c r="X1265" s="89">
        <v>44460</v>
      </c>
      <c r="Y1265" s="87" t="s">
        <v>2658</v>
      </c>
      <c r="Z1265" s="85" t="str">
        <f>HYPERLINK("https://twitter.com/yeppeomikki/status/1440435294679941121")</f>
        <v>https://twitter.com/yeppeomikki/status/1440435294679941121</v>
      </c>
      <c r="AA1265" s="81"/>
      <c r="AB1265" s="81"/>
      <c r="AC1265" s="87" t="s">
        <v>3587</v>
      </c>
      <c r="AD1265" s="81"/>
      <c r="AE1265" s="81" t="b">
        <v>0</v>
      </c>
      <c r="AF1265" s="81">
        <v>0</v>
      </c>
      <c r="AG1265" s="87" t="s">
        <v>3875</v>
      </c>
      <c r="AH1265" s="81" t="b">
        <v>0</v>
      </c>
      <c r="AI1265" s="81" t="s">
        <v>4092</v>
      </c>
      <c r="AJ1265" s="81"/>
      <c r="AK1265" s="87" t="s">
        <v>3875</v>
      </c>
      <c r="AL1265" s="81" t="b">
        <v>0</v>
      </c>
      <c r="AM1265" s="81">
        <v>0</v>
      </c>
      <c r="AN1265" s="87" t="s">
        <v>3875</v>
      </c>
      <c r="AO1265" s="87" t="s">
        <v>4116</v>
      </c>
      <c r="AP1265" s="81" t="b">
        <v>0</v>
      </c>
      <c r="AQ1265" s="87" t="s">
        <v>3587</v>
      </c>
      <c r="AR1265" s="81" t="s">
        <v>179</v>
      </c>
      <c r="AS1265" s="81">
        <v>0</v>
      </c>
      <c r="AT1265" s="81">
        <v>0</v>
      </c>
      <c r="AU1265" s="81"/>
      <c r="AV1265" s="81"/>
      <c r="AW1265" s="81"/>
      <c r="AX1265" s="81"/>
      <c r="AY1265" s="81"/>
      <c r="AZ1265" s="81"/>
      <c r="BA1265" s="81"/>
      <c r="BB1265" s="81"/>
    </row>
    <row r="1266" spans="1:54" x14ac:dyDescent="0.35">
      <c r="A1266" s="66" t="s">
        <v>970</v>
      </c>
      <c r="B1266" s="66" t="s">
        <v>970</v>
      </c>
      <c r="C1266" s="67"/>
      <c r="D1266" s="68"/>
      <c r="E1266" s="69"/>
      <c r="F1266" s="70"/>
      <c r="G1266" s="67"/>
      <c r="H1266" s="71"/>
      <c r="I1266" s="72"/>
      <c r="J1266" s="72"/>
      <c r="K1266" s="36"/>
      <c r="L1266" s="79"/>
      <c r="M1266" s="79"/>
      <c r="N1266" s="74"/>
      <c r="O1266" s="81" t="s">
        <v>179</v>
      </c>
      <c r="P1266" s="83">
        <v>44461.290694444448</v>
      </c>
      <c r="Q1266" s="81" t="s">
        <v>1695</v>
      </c>
      <c r="R1266" s="81"/>
      <c r="S1266" s="81"/>
      <c r="T1266" s="81"/>
      <c r="U1266" s="81"/>
      <c r="V1266" s="85" t="str">
        <f>HYPERLINK("https://pbs.twimg.com/profile_images/3036631203/9404d83a3202d44a4fcbbb75b2bd6b81_normal.jpeg")</f>
        <v>https://pbs.twimg.com/profile_images/3036631203/9404d83a3202d44a4fcbbb75b2bd6b81_normal.jpeg</v>
      </c>
      <c r="W1266" s="83">
        <v>44461.290694444448</v>
      </c>
      <c r="X1266" s="89">
        <v>44461</v>
      </c>
      <c r="Y1266" s="87" t="s">
        <v>2659</v>
      </c>
      <c r="Z1266" s="85" t="str">
        <f>HYPERLINK("https://twitter.com/yeppeomikki/status/1440571212904628230")</f>
        <v>https://twitter.com/yeppeomikki/status/1440571212904628230</v>
      </c>
      <c r="AA1266" s="81"/>
      <c r="AB1266" s="81"/>
      <c r="AC1266" s="87" t="s">
        <v>3588</v>
      </c>
      <c r="AD1266" s="81"/>
      <c r="AE1266" s="81" t="b">
        <v>0</v>
      </c>
      <c r="AF1266" s="81">
        <v>0</v>
      </c>
      <c r="AG1266" s="87" t="s">
        <v>3875</v>
      </c>
      <c r="AH1266" s="81" t="b">
        <v>0</v>
      </c>
      <c r="AI1266" s="81" t="s">
        <v>4092</v>
      </c>
      <c r="AJ1266" s="81"/>
      <c r="AK1266" s="87" t="s">
        <v>3875</v>
      </c>
      <c r="AL1266" s="81" t="b">
        <v>0</v>
      </c>
      <c r="AM1266" s="81">
        <v>0</v>
      </c>
      <c r="AN1266" s="87" t="s">
        <v>3875</v>
      </c>
      <c r="AO1266" s="87" t="s">
        <v>4116</v>
      </c>
      <c r="AP1266" s="81" t="b">
        <v>0</v>
      </c>
      <c r="AQ1266" s="87" t="s">
        <v>3588</v>
      </c>
      <c r="AR1266" s="81" t="s">
        <v>179</v>
      </c>
      <c r="AS1266" s="81">
        <v>0</v>
      </c>
      <c r="AT1266" s="81">
        <v>0</v>
      </c>
      <c r="AU1266" s="81"/>
      <c r="AV1266" s="81"/>
      <c r="AW1266" s="81"/>
      <c r="AX1266" s="81"/>
      <c r="AY1266" s="81"/>
      <c r="AZ1266" s="81"/>
      <c r="BA1266" s="81"/>
      <c r="BB1266" s="81"/>
    </row>
    <row r="1267" spans="1:54" x14ac:dyDescent="0.35">
      <c r="A1267" s="66" t="s">
        <v>970</v>
      </c>
      <c r="B1267" s="66" t="s">
        <v>970</v>
      </c>
      <c r="C1267" s="67"/>
      <c r="D1267" s="68"/>
      <c r="E1267" s="69"/>
      <c r="F1267" s="70"/>
      <c r="G1267" s="67"/>
      <c r="H1267" s="71"/>
      <c r="I1267" s="72"/>
      <c r="J1267" s="72"/>
      <c r="K1267" s="36"/>
      <c r="L1267" s="79"/>
      <c r="M1267" s="79"/>
      <c r="N1267" s="74"/>
      <c r="O1267" s="81" t="s">
        <v>179</v>
      </c>
      <c r="P1267" s="83">
        <v>44461.686481481483</v>
      </c>
      <c r="Q1267" s="81" t="s">
        <v>1694</v>
      </c>
      <c r="R1267" s="81"/>
      <c r="S1267" s="81"/>
      <c r="T1267" s="81"/>
      <c r="U1267" s="81"/>
      <c r="V1267" s="85" t="str">
        <f>HYPERLINK("https://pbs.twimg.com/profile_images/3036631203/9404d83a3202d44a4fcbbb75b2bd6b81_normal.jpeg")</f>
        <v>https://pbs.twimg.com/profile_images/3036631203/9404d83a3202d44a4fcbbb75b2bd6b81_normal.jpeg</v>
      </c>
      <c r="W1267" s="83">
        <v>44461.686481481483</v>
      </c>
      <c r="X1267" s="89">
        <v>44461</v>
      </c>
      <c r="Y1267" s="87" t="s">
        <v>2660</v>
      </c>
      <c r="Z1267" s="85" t="str">
        <f>HYPERLINK("https://twitter.com/yeppeomikki/status/1440714640279814151")</f>
        <v>https://twitter.com/yeppeomikki/status/1440714640279814151</v>
      </c>
      <c r="AA1267" s="81"/>
      <c r="AB1267" s="81"/>
      <c r="AC1267" s="87" t="s">
        <v>3589</v>
      </c>
      <c r="AD1267" s="81"/>
      <c r="AE1267" s="81" t="b">
        <v>0</v>
      </c>
      <c r="AF1267" s="81">
        <v>0</v>
      </c>
      <c r="AG1267" s="87" t="s">
        <v>3875</v>
      </c>
      <c r="AH1267" s="81" t="b">
        <v>0</v>
      </c>
      <c r="AI1267" s="81" t="s">
        <v>4092</v>
      </c>
      <c r="AJ1267" s="81"/>
      <c r="AK1267" s="87" t="s">
        <v>3875</v>
      </c>
      <c r="AL1267" s="81" t="b">
        <v>0</v>
      </c>
      <c r="AM1267" s="81">
        <v>0</v>
      </c>
      <c r="AN1267" s="87" t="s">
        <v>3875</v>
      </c>
      <c r="AO1267" s="87" t="s">
        <v>4116</v>
      </c>
      <c r="AP1267" s="81" t="b">
        <v>0</v>
      </c>
      <c r="AQ1267" s="87" t="s">
        <v>3589</v>
      </c>
      <c r="AR1267" s="81" t="s">
        <v>179</v>
      </c>
      <c r="AS1267" s="81">
        <v>0</v>
      </c>
      <c r="AT1267" s="81">
        <v>0</v>
      </c>
      <c r="AU1267" s="81"/>
      <c r="AV1267" s="81"/>
      <c r="AW1267" s="81"/>
      <c r="AX1267" s="81"/>
      <c r="AY1267" s="81"/>
      <c r="AZ1267" s="81"/>
      <c r="BA1267" s="81"/>
      <c r="BB1267" s="81"/>
    </row>
    <row r="1268" spans="1:54" x14ac:dyDescent="0.35">
      <c r="A1268" s="66" t="s">
        <v>970</v>
      </c>
      <c r="B1268" s="66" t="s">
        <v>970</v>
      </c>
      <c r="C1268" s="67"/>
      <c r="D1268" s="68"/>
      <c r="E1268" s="69"/>
      <c r="F1268" s="70"/>
      <c r="G1268" s="67"/>
      <c r="H1268" s="71"/>
      <c r="I1268" s="72"/>
      <c r="J1268" s="72"/>
      <c r="K1268" s="36"/>
      <c r="L1268" s="79"/>
      <c r="M1268" s="79"/>
      <c r="N1268" s="74"/>
      <c r="O1268" s="81" t="s">
        <v>179</v>
      </c>
      <c r="P1268" s="83">
        <v>44462.061550925922</v>
      </c>
      <c r="Q1268" s="81" t="s">
        <v>1695</v>
      </c>
      <c r="R1268" s="81"/>
      <c r="S1268" s="81"/>
      <c r="T1268" s="81"/>
      <c r="U1268" s="81"/>
      <c r="V1268" s="85" t="str">
        <f>HYPERLINK("https://pbs.twimg.com/profile_images/3036631203/9404d83a3202d44a4fcbbb75b2bd6b81_normal.jpeg")</f>
        <v>https://pbs.twimg.com/profile_images/3036631203/9404d83a3202d44a4fcbbb75b2bd6b81_normal.jpeg</v>
      </c>
      <c r="W1268" s="83">
        <v>44462.061550925922</v>
      </c>
      <c r="X1268" s="89">
        <v>44462</v>
      </c>
      <c r="Y1268" s="87" t="s">
        <v>2661</v>
      </c>
      <c r="Z1268" s="85" t="str">
        <f>HYPERLINK("https://twitter.com/yeppeomikki/status/1440850562266796045")</f>
        <v>https://twitter.com/yeppeomikki/status/1440850562266796045</v>
      </c>
      <c r="AA1268" s="81"/>
      <c r="AB1268" s="81"/>
      <c r="AC1268" s="87" t="s">
        <v>3590</v>
      </c>
      <c r="AD1268" s="81"/>
      <c r="AE1268" s="81" t="b">
        <v>0</v>
      </c>
      <c r="AF1268" s="81">
        <v>0</v>
      </c>
      <c r="AG1268" s="87" t="s">
        <v>3875</v>
      </c>
      <c r="AH1268" s="81" t="b">
        <v>0</v>
      </c>
      <c r="AI1268" s="81" t="s">
        <v>4092</v>
      </c>
      <c r="AJ1268" s="81"/>
      <c r="AK1268" s="87" t="s">
        <v>3875</v>
      </c>
      <c r="AL1268" s="81" t="b">
        <v>0</v>
      </c>
      <c r="AM1268" s="81">
        <v>0</v>
      </c>
      <c r="AN1268" s="87" t="s">
        <v>3875</v>
      </c>
      <c r="AO1268" s="87" t="s">
        <v>4116</v>
      </c>
      <c r="AP1268" s="81" t="b">
        <v>0</v>
      </c>
      <c r="AQ1268" s="87" t="s">
        <v>3590</v>
      </c>
      <c r="AR1268" s="81" t="s">
        <v>179</v>
      </c>
      <c r="AS1268" s="81">
        <v>0</v>
      </c>
      <c r="AT1268" s="81">
        <v>0</v>
      </c>
      <c r="AU1268" s="81"/>
      <c r="AV1268" s="81"/>
      <c r="AW1268" s="81"/>
      <c r="AX1268" s="81"/>
      <c r="AY1268" s="81"/>
      <c r="AZ1268" s="81"/>
      <c r="BA1268" s="81"/>
      <c r="BB1268" s="81"/>
    </row>
    <row r="1269" spans="1:54" x14ac:dyDescent="0.35">
      <c r="A1269" s="66" t="s">
        <v>970</v>
      </c>
      <c r="B1269" s="66" t="s">
        <v>970</v>
      </c>
      <c r="C1269" s="67"/>
      <c r="D1269" s="68"/>
      <c r="E1269" s="69"/>
      <c r="F1269" s="70"/>
      <c r="G1269" s="67"/>
      <c r="H1269" s="71"/>
      <c r="I1269" s="72"/>
      <c r="J1269" s="72"/>
      <c r="K1269" s="36"/>
      <c r="L1269" s="79"/>
      <c r="M1269" s="79"/>
      <c r="N1269" s="74"/>
      <c r="O1269" s="81" t="s">
        <v>179</v>
      </c>
      <c r="P1269" s="83">
        <v>44462.457615740743</v>
      </c>
      <c r="Q1269" s="81" t="s">
        <v>1694</v>
      </c>
      <c r="R1269" s="81"/>
      <c r="S1269" s="81"/>
      <c r="T1269" s="81"/>
      <c r="U1269" s="81"/>
      <c r="V1269" s="85" t="str">
        <f>HYPERLINK("https://pbs.twimg.com/profile_images/3036631203/9404d83a3202d44a4fcbbb75b2bd6b81_normal.jpeg")</f>
        <v>https://pbs.twimg.com/profile_images/3036631203/9404d83a3202d44a4fcbbb75b2bd6b81_normal.jpeg</v>
      </c>
      <c r="W1269" s="83">
        <v>44462.457615740743</v>
      </c>
      <c r="X1269" s="89">
        <v>44462</v>
      </c>
      <c r="Y1269" s="87" t="s">
        <v>2662</v>
      </c>
      <c r="Z1269" s="85" t="str">
        <f>HYPERLINK("https://twitter.com/yeppeomikki/status/1440994091756507140")</f>
        <v>https://twitter.com/yeppeomikki/status/1440994091756507140</v>
      </c>
      <c r="AA1269" s="81"/>
      <c r="AB1269" s="81"/>
      <c r="AC1269" s="87" t="s">
        <v>3591</v>
      </c>
      <c r="AD1269" s="81"/>
      <c r="AE1269" s="81" t="b">
        <v>0</v>
      </c>
      <c r="AF1269" s="81">
        <v>0</v>
      </c>
      <c r="AG1269" s="87" t="s">
        <v>3875</v>
      </c>
      <c r="AH1269" s="81" t="b">
        <v>0</v>
      </c>
      <c r="AI1269" s="81" t="s">
        <v>4092</v>
      </c>
      <c r="AJ1269" s="81"/>
      <c r="AK1269" s="87" t="s">
        <v>3875</v>
      </c>
      <c r="AL1269" s="81" t="b">
        <v>0</v>
      </c>
      <c r="AM1269" s="81">
        <v>0</v>
      </c>
      <c r="AN1269" s="87" t="s">
        <v>3875</v>
      </c>
      <c r="AO1269" s="87" t="s">
        <v>4116</v>
      </c>
      <c r="AP1269" s="81" t="b">
        <v>0</v>
      </c>
      <c r="AQ1269" s="87" t="s">
        <v>3591</v>
      </c>
      <c r="AR1269" s="81" t="s">
        <v>179</v>
      </c>
      <c r="AS1269" s="81">
        <v>0</v>
      </c>
      <c r="AT1269" s="81">
        <v>0</v>
      </c>
      <c r="AU1269" s="81"/>
      <c r="AV1269" s="81"/>
      <c r="AW1269" s="81"/>
      <c r="AX1269" s="81"/>
      <c r="AY1269" s="81"/>
      <c r="AZ1269" s="81"/>
      <c r="BA1269" s="81"/>
      <c r="BB1269" s="81"/>
    </row>
    <row r="1270" spans="1:54" x14ac:dyDescent="0.35">
      <c r="A1270" s="66" t="s">
        <v>970</v>
      </c>
      <c r="B1270" s="66" t="s">
        <v>970</v>
      </c>
      <c r="C1270" s="67"/>
      <c r="D1270" s="68"/>
      <c r="E1270" s="69"/>
      <c r="F1270" s="70"/>
      <c r="G1270" s="67"/>
      <c r="H1270" s="71"/>
      <c r="I1270" s="72"/>
      <c r="J1270" s="72"/>
      <c r="K1270" s="36"/>
      <c r="L1270" s="79"/>
      <c r="M1270" s="79"/>
      <c r="N1270" s="74"/>
      <c r="O1270" s="81" t="s">
        <v>179</v>
      </c>
      <c r="P1270" s="83">
        <v>44462.832499999997</v>
      </c>
      <c r="Q1270" s="81" t="s">
        <v>1695</v>
      </c>
      <c r="R1270" s="81"/>
      <c r="S1270" s="81"/>
      <c r="T1270" s="81"/>
      <c r="U1270" s="81"/>
      <c r="V1270" s="85" t="str">
        <f>HYPERLINK("https://pbs.twimg.com/profile_images/3036631203/9404d83a3202d44a4fcbbb75b2bd6b81_normal.jpeg")</f>
        <v>https://pbs.twimg.com/profile_images/3036631203/9404d83a3202d44a4fcbbb75b2bd6b81_normal.jpeg</v>
      </c>
      <c r="W1270" s="83">
        <v>44462.832499999997</v>
      </c>
      <c r="X1270" s="89">
        <v>44462</v>
      </c>
      <c r="Y1270" s="87" t="s">
        <v>2663</v>
      </c>
      <c r="Z1270" s="85" t="str">
        <f>HYPERLINK("https://twitter.com/yeppeomikki/status/1441129946718474249")</f>
        <v>https://twitter.com/yeppeomikki/status/1441129946718474249</v>
      </c>
      <c r="AA1270" s="81"/>
      <c r="AB1270" s="81"/>
      <c r="AC1270" s="87" t="s">
        <v>3592</v>
      </c>
      <c r="AD1270" s="81"/>
      <c r="AE1270" s="81" t="b">
        <v>0</v>
      </c>
      <c r="AF1270" s="81">
        <v>0</v>
      </c>
      <c r="AG1270" s="87" t="s">
        <v>3875</v>
      </c>
      <c r="AH1270" s="81" t="b">
        <v>0</v>
      </c>
      <c r="AI1270" s="81" t="s">
        <v>4092</v>
      </c>
      <c r="AJ1270" s="81"/>
      <c r="AK1270" s="87" t="s">
        <v>3875</v>
      </c>
      <c r="AL1270" s="81" t="b">
        <v>0</v>
      </c>
      <c r="AM1270" s="81">
        <v>0</v>
      </c>
      <c r="AN1270" s="87" t="s">
        <v>3875</v>
      </c>
      <c r="AO1270" s="87" t="s">
        <v>4116</v>
      </c>
      <c r="AP1270" s="81" t="b">
        <v>0</v>
      </c>
      <c r="AQ1270" s="87" t="s">
        <v>3592</v>
      </c>
      <c r="AR1270" s="81" t="s">
        <v>179</v>
      </c>
      <c r="AS1270" s="81">
        <v>0</v>
      </c>
      <c r="AT1270" s="81">
        <v>0</v>
      </c>
      <c r="AU1270" s="81"/>
      <c r="AV1270" s="81"/>
      <c r="AW1270" s="81"/>
      <c r="AX1270" s="81"/>
      <c r="AY1270" s="81"/>
      <c r="AZ1270" s="81"/>
      <c r="BA1270" s="81"/>
      <c r="BB1270" s="81"/>
    </row>
    <row r="1271" spans="1:54" x14ac:dyDescent="0.35">
      <c r="A1271" s="66" t="s">
        <v>970</v>
      </c>
      <c r="B1271" s="66" t="s">
        <v>970</v>
      </c>
      <c r="C1271" s="67"/>
      <c r="D1271" s="68"/>
      <c r="E1271" s="69"/>
      <c r="F1271" s="70"/>
      <c r="G1271" s="67"/>
      <c r="H1271" s="71"/>
      <c r="I1271" s="72"/>
      <c r="J1271" s="72"/>
      <c r="K1271" s="36"/>
      <c r="L1271" s="79"/>
      <c r="M1271" s="79"/>
      <c r="N1271" s="74"/>
      <c r="O1271" s="81" t="s">
        <v>179</v>
      </c>
      <c r="P1271" s="83">
        <v>44463.228356481479</v>
      </c>
      <c r="Q1271" s="81" t="s">
        <v>1694</v>
      </c>
      <c r="R1271" s="81"/>
      <c r="S1271" s="81"/>
      <c r="T1271" s="81"/>
      <c r="U1271" s="81"/>
      <c r="V1271" s="85" t="str">
        <f>HYPERLINK("https://pbs.twimg.com/profile_images/3036631203/9404d83a3202d44a4fcbbb75b2bd6b81_normal.jpeg")</f>
        <v>https://pbs.twimg.com/profile_images/3036631203/9404d83a3202d44a4fcbbb75b2bd6b81_normal.jpeg</v>
      </c>
      <c r="W1271" s="83">
        <v>44463.228356481479</v>
      </c>
      <c r="X1271" s="89">
        <v>44463</v>
      </c>
      <c r="Y1271" s="87" t="s">
        <v>2664</v>
      </c>
      <c r="Z1271" s="85" t="str">
        <f>HYPERLINK("https://twitter.com/yeppeomikki/status/1441273397871210505")</f>
        <v>https://twitter.com/yeppeomikki/status/1441273397871210505</v>
      </c>
      <c r="AA1271" s="81"/>
      <c r="AB1271" s="81"/>
      <c r="AC1271" s="87" t="s">
        <v>3593</v>
      </c>
      <c r="AD1271" s="81"/>
      <c r="AE1271" s="81" t="b">
        <v>0</v>
      </c>
      <c r="AF1271" s="81">
        <v>0</v>
      </c>
      <c r="AG1271" s="87" t="s">
        <v>3875</v>
      </c>
      <c r="AH1271" s="81" t="b">
        <v>0</v>
      </c>
      <c r="AI1271" s="81" t="s">
        <v>4092</v>
      </c>
      <c r="AJ1271" s="81"/>
      <c r="AK1271" s="87" t="s">
        <v>3875</v>
      </c>
      <c r="AL1271" s="81" t="b">
        <v>0</v>
      </c>
      <c r="AM1271" s="81">
        <v>0</v>
      </c>
      <c r="AN1271" s="87" t="s">
        <v>3875</v>
      </c>
      <c r="AO1271" s="87" t="s">
        <v>4116</v>
      </c>
      <c r="AP1271" s="81" t="b">
        <v>0</v>
      </c>
      <c r="AQ1271" s="87" t="s">
        <v>3593</v>
      </c>
      <c r="AR1271" s="81" t="s">
        <v>179</v>
      </c>
      <c r="AS1271" s="81">
        <v>0</v>
      </c>
      <c r="AT1271" s="81">
        <v>0</v>
      </c>
      <c r="AU1271" s="81"/>
      <c r="AV1271" s="81"/>
      <c r="AW1271" s="81"/>
      <c r="AX1271" s="81"/>
      <c r="AY1271" s="81"/>
      <c r="AZ1271" s="81"/>
      <c r="BA1271" s="81"/>
      <c r="BB1271" s="81"/>
    </row>
    <row r="1272" spans="1:54" x14ac:dyDescent="0.35">
      <c r="A1272" s="66" t="s">
        <v>970</v>
      </c>
      <c r="B1272" s="66" t="s">
        <v>970</v>
      </c>
      <c r="C1272" s="67"/>
      <c r="D1272" s="68"/>
      <c r="E1272" s="69"/>
      <c r="F1272" s="70"/>
      <c r="G1272" s="67"/>
      <c r="H1272" s="71"/>
      <c r="I1272" s="72"/>
      <c r="J1272" s="72"/>
      <c r="K1272" s="36"/>
      <c r="L1272" s="79"/>
      <c r="M1272" s="79"/>
      <c r="N1272" s="74"/>
      <c r="O1272" s="81" t="s">
        <v>179</v>
      </c>
      <c r="P1272" s="83">
        <v>44463.603206018517</v>
      </c>
      <c r="Q1272" s="81" t="s">
        <v>1695</v>
      </c>
      <c r="R1272" s="81"/>
      <c r="S1272" s="81"/>
      <c r="T1272" s="81"/>
      <c r="U1272" s="81"/>
      <c r="V1272" s="85" t="str">
        <f>HYPERLINK("https://pbs.twimg.com/profile_images/3036631203/9404d83a3202d44a4fcbbb75b2bd6b81_normal.jpeg")</f>
        <v>https://pbs.twimg.com/profile_images/3036631203/9404d83a3202d44a4fcbbb75b2bd6b81_normal.jpeg</v>
      </c>
      <c r="W1272" s="83">
        <v>44463.603206018517</v>
      </c>
      <c r="X1272" s="89">
        <v>44463</v>
      </c>
      <c r="Y1272" s="87" t="s">
        <v>2665</v>
      </c>
      <c r="Z1272" s="85" t="str">
        <f>HYPERLINK("https://twitter.com/yeppeomikki/status/1441409241344970761")</f>
        <v>https://twitter.com/yeppeomikki/status/1441409241344970761</v>
      </c>
      <c r="AA1272" s="81"/>
      <c r="AB1272" s="81"/>
      <c r="AC1272" s="87" t="s">
        <v>3594</v>
      </c>
      <c r="AD1272" s="81"/>
      <c r="AE1272" s="81" t="b">
        <v>0</v>
      </c>
      <c r="AF1272" s="81">
        <v>0</v>
      </c>
      <c r="AG1272" s="87" t="s">
        <v>3875</v>
      </c>
      <c r="AH1272" s="81" t="b">
        <v>0</v>
      </c>
      <c r="AI1272" s="81" t="s">
        <v>4092</v>
      </c>
      <c r="AJ1272" s="81"/>
      <c r="AK1272" s="87" t="s">
        <v>3875</v>
      </c>
      <c r="AL1272" s="81" t="b">
        <v>0</v>
      </c>
      <c r="AM1272" s="81">
        <v>0</v>
      </c>
      <c r="AN1272" s="87" t="s">
        <v>3875</v>
      </c>
      <c r="AO1272" s="87" t="s">
        <v>4116</v>
      </c>
      <c r="AP1272" s="81" t="b">
        <v>0</v>
      </c>
      <c r="AQ1272" s="87" t="s">
        <v>3594</v>
      </c>
      <c r="AR1272" s="81" t="s">
        <v>179</v>
      </c>
      <c r="AS1272" s="81">
        <v>0</v>
      </c>
      <c r="AT1272" s="81">
        <v>0</v>
      </c>
      <c r="AU1272" s="81"/>
      <c r="AV1272" s="81"/>
      <c r="AW1272" s="81"/>
      <c r="AX1272" s="81"/>
      <c r="AY1272" s="81"/>
      <c r="AZ1272" s="81"/>
      <c r="BA1272" s="81"/>
      <c r="BB1272" s="81"/>
    </row>
    <row r="1273" spans="1:54" x14ac:dyDescent="0.35">
      <c r="A1273" s="66" t="s">
        <v>970</v>
      </c>
      <c r="B1273" s="66" t="s">
        <v>970</v>
      </c>
      <c r="C1273" s="67"/>
      <c r="D1273" s="68"/>
      <c r="E1273" s="69"/>
      <c r="F1273" s="70"/>
      <c r="G1273" s="67"/>
      <c r="H1273" s="71"/>
      <c r="I1273" s="72"/>
      <c r="J1273" s="72"/>
      <c r="K1273" s="36"/>
      <c r="L1273" s="79"/>
      <c r="M1273" s="79"/>
      <c r="N1273" s="74"/>
      <c r="O1273" s="81" t="s">
        <v>179</v>
      </c>
      <c r="P1273" s="83">
        <v>44463.999236111114</v>
      </c>
      <c r="Q1273" s="81" t="s">
        <v>1694</v>
      </c>
      <c r="R1273" s="81"/>
      <c r="S1273" s="81"/>
      <c r="T1273" s="81"/>
      <c r="U1273" s="81"/>
      <c r="V1273" s="85" t="str">
        <f>HYPERLINK("https://pbs.twimg.com/profile_images/3036631203/9404d83a3202d44a4fcbbb75b2bd6b81_normal.jpeg")</f>
        <v>https://pbs.twimg.com/profile_images/3036631203/9404d83a3202d44a4fcbbb75b2bd6b81_normal.jpeg</v>
      </c>
      <c r="W1273" s="83">
        <v>44463.999236111114</v>
      </c>
      <c r="X1273" s="89">
        <v>44463</v>
      </c>
      <c r="Y1273" s="87" t="s">
        <v>2666</v>
      </c>
      <c r="Z1273" s="85" t="str">
        <f>HYPERLINK("https://twitter.com/yeppeomikki/status/1441552755894538241")</f>
        <v>https://twitter.com/yeppeomikki/status/1441552755894538241</v>
      </c>
      <c r="AA1273" s="81"/>
      <c r="AB1273" s="81"/>
      <c r="AC1273" s="87" t="s">
        <v>3595</v>
      </c>
      <c r="AD1273" s="81"/>
      <c r="AE1273" s="81" t="b">
        <v>0</v>
      </c>
      <c r="AF1273" s="81">
        <v>0</v>
      </c>
      <c r="AG1273" s="87" t="s">
        <v>3875</v>
      </c>
      <c r="AH1273" s="81" t="b">
        <v>0</v>
      </c>
      <c r="AI1273" s="81" t="s">
        <v>4092</v>
      </c>
      <c r="AJ1273" s="81"/>
      <c r="AK1273" s="87" t="s">
        <v>3875</v>
      </c>
      <c r="AL1273" s="81" t="b">
        <v>0</v>
      </c>
      <c r="AM1273" s="81">
        <v>0</v>
      </c>
      <c r="AN1273" s="87" t="s">
        <v>3875</v>
      </c>
      <c r="AO1273" s="87" t="s">
        <v>4116</v>
      </c>
      <c r="AP1273" s="81" t="b">
        <v>0</v>
      </c>
      <c r="AQ1273" s="87" t="s">
        <v>3595</v>
      </c>
      <c r="AR1273" s="81" t="s">
        <v>179</v>
      </c>
      <c r="AS1273" s="81">
        <v>0</v>
      </c>
      <c r="AT1273" s="81">
        <v>0</v>
      </c>
      <c r="AU1273" s="81"/>
      <c r="AV1273" s="81"/>
      <c r="AW1273" s="81"/>
      <c r="AX1273" s="81"/>
      <c r="AY1273" s="81"/>
      <c r="AZ1273" s="81"/>
      <c r="BA1273" s="81"/>
      <c r="BB1273" s="81"/>
    </row>
    <row r="1274" spans="1:54" x14ac:dyDescent="0.35">
      <c r="A1274" s="66" t="s">
        <v>970</v>
      </c>
      <c r="B1274" s="66" t="s">
        <v>970</v>
      </c>
      <c r="C1274" s="67"/>
      <c r="D1274" s="68"/>
      <c r="E1274" s="69"/>
      <c r="F1274" s="70"/>
      <c r="G1274" s="67"/>
      <c r="H1274" s="71"/>
      <c r="I1274" s="72"/>
      <c r="J1274" s="72"/>
      <c r="K1274" s="36"/>
      <c r="L1274" s="79"/>
      <c r="M1274" s="79"/>
      <c r="N1274" s="74"/>
      <c r="O1274" s="81" t="s">
        <v>179</v>
      </c>
      <c r="P1274" s="83">
        <v>44464.374062499999</v>
      </c>
      <c r="Q1274" s="81" t="s">
        <v>1695</v>
      </c>
      <c r="R1274" s="81"/>
      <c r="S1274" s="81"/>
      <c r="T1274" s="81"/>
      <c r="U1274" s="81"/>
      <c r="V1274" s="85" t="str">
        <f>HYPERLINK("https://pbs.twimg.com/profile_images/3036631203/9404d83a3202d44a4fcbbb75b2bd6b81_normal.jpeg")</f>
        <v>https://pbs.twimg.com/profile_images/3036631203/9404d83a3202d44a4fcbbb75b2bd6b81_normal.jpeg</v>
      </c>
      <c r="W1274" s="83">
        <v>44464.374062499999</v>
      </c>
      <c r="X1274" s="89">
        <v>44464</v>
      </c>
      <c r="Y1274" s="87" t="s">
        <v>2667</v>
      </c>
      <c r="Z1274" s="85" t="str">
        <f>HYPERLINK("https://twitter.com/yeppeomikki/status/1441688590405156870")</f>
        <v>https://twitter.com/yeppeomikki/status/1441688590405156870</v>
      </c>
      <c r="AA1274" s="81"/>
      <c r="AB1274" s="81"/>
      <c r="AC1274" s="87" t="s">
        <v>3596</v>
      </c>
      <c r="AD1274" s="81"/>
      <c r="AE1274" s="81" t="b">
        <v>0</v>
      </c>
      <c r="AF1274" s="81">
        <v>0</v>
      </c>
      <c r="AG1274" s="87" t="s">
        <v>3875</v>
      </c>
      <c r="AH1274" s="81" t="b">
        <v>0</v>
      </c>
      <c r="AI1274" s="81" t="s">
        <v>4092</v>
      </c>
      <c r="AJ1274" s="81"/>
      <c r="AK1274" s="87" t="s">
        <v>3875</v>
      </c>
      <c r="AL1274" s="81" t="b">
        <v>0</v>
      </c>
      <c r="AM1274" s="81">
        <v>0</v>
      </c>
      <c r="AN1274" s="87" t="s">
        <v>3875</v>
      </c>
      <c r="AO1274" s="87" t="s">
        <v>4116</v>
      </c>
      <c r="AP1274" s="81" t="b">
        <v>0</v>
      </c>
      <c r="AQ1274" s="87" t="s">
        <v>3596</v>
      </c>
      <c r="AR1274" s="81" t="s">
        <v>179</v>
      </c>
      <c r="AS1274" s="81">
        <v>0</v>
      </c>
      <c r="AT1274" s="81">
        <v>0</v>
      </c>
      <c r="AU1274" s="81"/>
      <c r="AV1274" s="81"/>
      <c r="AW1274" s="81"/>
      <c r="AX1274" s="81"/>
      <c r="AY1274" s="81"/>
      <c r="AZ1274" s="81"/>
      <c r="BA1274" s="81"/>
      <c r="BB1274" s="81"/>
    </row>
    <row r="1275" spans="1:54" x14ac:dyDescent="0.35">
      <c r="A1275" s="66" t="s">
        <v>970</v>
      </c>
      <c r="B1275" s="66" t="s">
        <v>970</v>
      </c>
      <c r="C1275" s="67"/>
      <c r="D1275" s="68"/>
      <c r="E1275" s="69"/>
      <c r="F1275" s="70"/>
      <c r="G1275" s="67"/>
      <c r="H1275" s="71"/>
      <c r="I1275" s="72"/>
      <c r="J1275" s="72"/>
      <c r="K1275" s="36"/>
      <c r="L1275" s="79"/>
      <c r="M1275" s="79"/>
      <c r="N1275" s="74"/>
      <c r="O1275" s="81" t="s">
        <v>179</v>
      </c>
      <c r="P1275" s="83">
        <v>44464.769652777781</v>
      </c>
      <c r="Q1275" s="81" t="s">
        <v>1694</v>
      </c>
      <c r="R1275" s="81"/>
      <c r="S1275" s="81"/>
      <c r="T1275" s="81"/>
      <c r="U1275" s="81"/>
      <c r="V1275" s="85" t="str">
        <f>HYPERLINK("https://pbs.twimg.com/profile_images/3036631203/9404d83a3202d44a4fcbbb75b2bd6b81_normal.jpeg")</f>
        <v>https://pbs.twimg.com/profile_images/3036631203/9404d83a3202d44a4fcbbb75b2bd6b81_normal.jpeg</v>
      </c>
      <c r="W1275" s="83">
        <v>44464.769652777781</v>
      </c>
      <c r="X1275" s="89">
        <v>44464</v>
      </c>
      <c r="Y1275" s="87" t="s">
        <v>2668</v>
      </c>
      <c r="Z1275" s="85" t="str">
        <f>HYPERLINK("https://twitter.com/yeppeomikki/status/1441831944140963847")</f>
        <v>https://twitter.com/yeppeomikki/status/1441831944140963847</v>
      </c>
      <c r="AA1275" s="81"/>
      <c r="AB1275" s="81"/>
      <c r="AC1275" s="87" t="s">
        <v>3597</v>
      </c>
      <c r="AD1275" s="81"/>
      <c r="AE1275" s="81" t="b">
        <v>0</v>
      </c>
      <c r="AF1275" s="81">
        <v>0</v>
      </c>
      <c r="AG1275" s="87" t="s">
        <v>3875</v>
      </c>
      <c r="AH1275" s="81" t="b">
        <v>0</v>
      </c>
      <c r="AI1275" s="81" t="s">
        <v>4092</v>
      </c>
      <c r="AJ1275" s="81"/>
      <c r="AK1275" s="87" t="s">
        <v>3875</v>
      </c>
      <c r="AL1275" s="81" t="b">
        <v>0</v>
      </c>
      <c r="AM1275" s="81">
        <v>0</v>
      </c>
      <c r="AN1275" s="87" t="s">
        <v>3875</v>
      </c>
      <c r="AO1275" s="87" t="s">
        <v>4116</v>
      </c>
      <c r="AP1275" s="81" t="b">
        <v>0</v>
      </c>
      <c r="AQ1275" s="87" t="s">
        <v>3597</v>
      </c>
      <c r="AR1275" s="81" t="s">
        <v>179</v>
      </c>
      <c r="AS1275" s="81">
        <v>0</v>
      </c>
      <c r="AT1275" s="81">
        <v>0</v>
      </c>
      <c r="AU1275" s="81"/>
      <c r="AV1275" s="81"/>
      <c r="AW1275" s="81"/>
      <c r="AX1275" s="81"/>
      <c r="AY1275" s="81"/>
      <c r="AZ1275" s="81"/>
      <c r="BA1275" s="81"/>
      <c r="BB1275" s="81"/>
    </row>
    <row r="1276" spans="1:54" x14ac:dyDescent="0.35">
      <c r="A1276" s="66" t="s">
        <v>970</v>
      </c>
      <c r="B1276" s="66" t="s">
        <v>970</v>
      </c>
      <c r="C1276" s="67"/>
      <c r="D1276" s="68"/>
      <c r="E1276" s="69"/>
      <c r="F1276" s="70"/>
      <c r="G1276" s="67"/>
      <c r="H1276" s="71"/>
      <c r="I1276" s="72"/>
      <c r="J1276" s="72"/>
      <c r="K1276" s="36"/>
      <c r="L1276" s="79"/>
      <c r="M1276" s="79"/>
      <c r="N1276" s="74"/>
      <c r="O1276" s="81" t="s">
        <v>179</v>
      </c>
      <c r="P1276" s="83">
        <v>44465.144965277781</v>
      </c>
      <c r="Q1276" s="81" t="s">
        <v>1695</v>
      </c>
      <c r="R1276" s="81"/>
      <c r="S1276" s="81"/>
      <c r="T1276" s="81"/>
      <c r="U1276" s="81"/>
      <c r="V1276" s="85" t="str">
        <f>HYPERLINK("https://pbs.twimg.com/profile_images/3036631203/9404d83a3202d44a4fcbbb75b2bd6b81_normal.jpeg")</f>
        <v>https://pbs.twimg.com/profile_images/3036631203/9404d83a3202d44a4fcbbb75b2bd6b81_normal.jpeg</v>
      </c>
      <c r="W1276" s="83">
        <v>44465.144965277781</v>
      </c>
      <c r="X1276" s="89">
        <v>44465</v>
      </c>
      <c r="Y1276" s="87" t="s">
        <v>2669</v>
      </c>
      <c r="Z1276" s="85" t="str">
        <f>HYPERLINK("https://twitter.com/yeppeomikki/status/1441967953436557314")</f>
        <v>https://twitter.com/yeppeomikki/status/1441967953436557314</v>
      </c>
      <c r="AA1276" s="81"/>
      <c r="AB1276" s="81"/>
      <c r="AC1276" s="87" t="s">
        <v>3598</v>
      </c>
      <c r="AD1276" s="81"/>
      <c r="AE1276" s="81" t="b">
        <v>0</v>
      </c>
      <c r="AF1276" s="81">
        <v>0</v>
      </c>
      <c r="AG1276" s="87" t="s">
        <v>3875</v>
      </c>
      <c r="AH1276" s="81" t="b">
        <v>0</v>
      </c>
      <c r="AI1276" s="81" t="s">
        <v>4092</v>
      </c>
      <c r="AJ1276" s="81"/>
      <c r="AK1276" s="87" t="s">
        <v>3875</v>
      </c>
      <c r="AL1276" s="81" t="b">
        <v>0</v>
      </c>
      <c r="AM1276" s="81">
        <v>0</v>
      </c>
      <c r="AN1276" s="87" t="s">
        <v>3875</v>
      </c>
      <c r="AO1276" s="87" t="s">
        <v>4116</v>
      </c>
      <c r="AP1276" s="81" t="b">
        <v>0</v>
      </c>
      <c r="AQ1276" s="87" t="s">
        <v>3598</v>
      </c>
      <c r="AR1276" s="81" t="s">
        <v>179</v>
      </c>
      <c r="AS1276" s="81">
        <v>0</v>
      </c>
      <c r="AT1276" s="81">
        <v>0</v>
      </c>
      <c r="AU1276" s="81"/>
      <c r="AV1276" s="81"/>
      <c r="AW1276" s="81"/>
      <c r="AX1276" s="81"/>
      <c r="AY1276" s="81"/>
      <c r="AZ1276" s="81"/>
      <c r="BA1276" s="81"/>
      <c r="BB1276" s="81"/>
    </row>
    <row r="1277" spans="1:54" x14ac:dyDescent="0.35">
      <c r="A1277" s="66" t="s">
        <v>970</v>
      </c>
      <c r="B1277" s="66" t="s">
        <v>970</v>
      </c>
      <c r="C1277" s="67"/>
      <c r="D1277" s="68"/>
      <c r="E1277" s="69"/>
      <c r="F1277" s="70"/>
      <c r="G1277" s="67"/>
      <c r="H1277" s="71"/>
      <c r="I1277" s="72"/>
      <c r="J1277" s="72"/>
      <c r="K1277" s="36"/>
      <c r="L1277" s="79"/>
      <c r="M1277" s="79"/>
      <c r="N1277" s="74"/>
      <c r="O1277" s="81" t="s">
        <v>179</v>
      </c>
      <c r="P1277" s="83">
        <v>44465.540868055556</v>
      </c>
      <c r="Q1277" s="81" t="s">
        <v>1694</v>
      </c>
      <c r="R1277" s="81"/>
      <c r="S1277" s="81"/>
      <c r="T1277" s="81"/>
      <c r="U1277" s="81"/>
      <c r="V1277" s="85" t="str">
        <f>HYPERLINK("https://pbs.twimg.com/profile_images/3036631203/9404d83a3202d44a4fcbbb75b2bd6b81_normal.jpeg")</f>
        <v>https://pbs.twimg.com/profile_images/3036631203/9404d83a3202d44a4fcbbb75b2bd6b81_normal.jpeg</v>
      </c>
      <c r="W1277" s="83">
        <v>44465.540868055556</v>
      </c>
      <c r="X1277" s="89">
        <v>44465</v>
      </c>
      <c r="Y1277" s="87" t="s">
        <v>2491</v>
      </c>
      <c r="Z1277" s="85" t="str">
        <f>HYPERLINK("https://twitter.com/yeppeomikki/status/1442111423220371459")</f>
        <v>https://twitter.com/yeppeomikki/status/1442111423220371459</v>
      </c>
      <c r="AA1277" s="81"/>
      <c r="AB1277" s="81"/>
      <c r="AC1277" s="87" t="s">
        <v>3599</v>
      </c>
      <c r="AD1277" s="81"/>
      <c r="AE1277" s="81" t="b">
        <v>0</v>
      </c>
      <c r="AF1277" s="81">
        <v>0</v>
      </c>
      <c r="AG1277" s="87" t="s">
        <v>3875</v>
      </c>
      <c r="AH1277" s="81" t="b">
        <v>0</v>
      </c>
      <c r="AI1277" s="81" t="s">
        <v>4092</v>
      </c>
      <c r="AJ1277" s="81"/>
      <c r="AK1277" s="87" t="s">
        <v>3875</v>
      </c>
      <c r="AL1277" s="81" t="b">
        <v>0</v>
      </c>
      <c r="AM1277" s="81">
        <v>0</v>
      </c>
      <c r="AN1277" s="87" t="s">
        <v>3875</v>
      </c>
      <c r="AO1277" s="87" t="s">
        <v>4116</v>
      </c>
      <c r="AP1277" s="81" t="b">
        <v>0</v>
      </c>
      <c r="AQ1277" s="87" t="s">
        <v>3599</v>
      </c>
      <c r="AR1277" s="81" t="s">
        <v>179</v>
      </c>
      <c r="AS1277" s="81">
        <v>0</v>
      </c>
      <c r="AT1277" s="81">
        <v>0</v>
      </c>
      <c r="AU1277" s="81"/>
      <c r="AV1277" s="81"/>
      <c r="AW1277" s="81"/>
      <c r="AX1277" s="81"/>
      <c r="AY1277" s="81"/>
      <c r="AZ1277" s="81"/>
      <c r="BA1277" s="81"/>
      <c r="BB1277" s="81"/>
    </row>
    <row r="1278" spans="1:54" x14ac:dyDescent="0.35">
      <c r="A1278" s="66" t="s">
        <v>970</v>
      </c>
      <c r="B1278" s="66" t="s">
        <v>970</v>
      </c>
      <c r="C1278" s="67"/>
      <c r="D1278" s="68"/>
      <c r="E1278" s="69"/>
      <c r="F1278" s="70"/>
      <c r="G1278" s="67"/>
      <c r="H1278" s="71"/>
      <c r="I1278" s="72"/>
      <c r="J1278" s="72"/>
      <c r="K1278" s="36"/>
      <c r="L1278" s="79"/>
      <c r="M1278" s="79"/>
      <c r="N1278" s="74"/>
      <c r="O1278" s="81" t="s">
        <v>179</v>
      </c>
      <c r="P1278" s="83">
        <v>44465.915613425925</v>
      </c>
      <c r="Q1278" s="81" t="s">
        <v>1695</v>
      </c>
      <c r="R1278" s="81"/>
      <c r="S1278" s="81"/>
      <c r="T1278" s="81"/>
      <c r="U1278" s="81"/>
      <c r="V1278" s="85" t="str">
        <f>HYPERLINK("https://pbs.twimg.com/profile_images/3036631203/9404d83a3202d44a4fcbbb75b2bd6b81_normal.jpeg")</f>
        <v>https://pbs.twimg.com/profile_images/3036631203/9404d83a3202d44a4fcbbb75b2bd6b81_normal.jpeg</v>
      </c>
      <c r="W1278" s="83">
        <v>44465.915613425925</v>
      </c>
      <c r="X1278" s="89">
        <v>44465</v>
      </c>
      <c r="Y1278" s="87" t="s">
        <v>2670</v>
      </c>
      <c r="Z1278" s="85" t="str">
        <f>HYPERLINK("https://twitter.com/yeppeomikki/status/1442247226890145792")</f>
        <v>https://twitter.com/yeppeomikki/status/1442247226890145792</v>
      </c>
      <c r="AA1278" s="81"/>
      <c r="AB1278" s="81"/>
      <c r="AC1278" s="87" t="s">
        <v>3600</v>
      </c>
      <c r="AD1278" s="81"/>
      <c r="AE1278" s="81" t="b">
        <v>0</v>
      </c>
      <c r="AF1278" s="81">
        <v>0</v>
      </c>
      <c r="AG1278" s="87" t="s">
        <v>3875</v>
      </c>
      <c r="AH1278" s="81" t="b">
        <v>0</v>
      </c>
      <c r="AI1278" s="81" t="s">
        <v>4092</v>
      </c>
      <c r="AJ1278" s="81"/>
      <c r="AK1278" s="87" t="s">
        <v>3875</v>
      </c>
      <c r="AL1278" s="81" t="b">
        <v>0</v>
      </c>
      <c r="AM1278" s="81">
        <v>0</v>
      </c>
      <c r="AN1278" s="87" t="s">
        <v>3875</v>
      </c>
      <c r="AO1278" s="87" t="s">
        <v>4116</v>
      </c>
      <c r="AP1278" s="81" t="b">
        <v>0</v>
      </c>
      <c r="AQ1278" s="87" t="s">
        <v>3600</v>
      </c>
      <c r="AR1278" s="81" t="s">
        <v>179</v>
      </c>
      <c r="AS1278" s="81">
        <v>0</v>
      </c>
      <c r="AT1278" s="81">
        <v>0</v>
      </c>
      <c r="AU1278" s="81"/>
      <c r="AV1278" s="81"/>
      <c r="AW1278" s="81"/>
      <c r="AX1278" s="81"/>
      <c r="AY1278" s="81"/>
      <c r="AZ1278" s="81"/>
      <c r="BA1278" s="81"/>
      <c r="BB1278" s="81"/>
    </row>
    <row r="1279" spans="1:54" x14ac:dyDescent="0.35">
      <c r="A1279" s="66" t="s">
        <v>970</v>
      </c>
      <c r="B1279" s="66" t="s">
        <v>970</v>
      </c>
      <c r="C1279" s="67"/>
      <c r="D1279" s="68"/>
      <c r="E1279" s="69"/>
      <c r="F1279" s="70"/>
      <c r="G1279" s="67"/>
      <c r="H1279" s="71"/>
      <c r="I1279" s="72"/>
      <c r="J1279" s="72"/>
      <c r="K1279" s="36"/>
      <c r="L1279" s="79"/>
      <c r="M1279" s="79"/>
      <c r="N1279" s="74"/>
      <c r="O1279" s="81" t="s">
        <v>179</v>
      </c>
      <c r="P1279" s="83">
        <v>44466.311805555553</v>
      </c>
      <c r="Q1279" s="81" t="s">
        <v>1694</v>
      </c>
      <c r="R1279" s="81"/>
      <c r="S1279" s="81"/>
      <c r="T1279" s="81"/>
      <c r="U1279" s="81"/>
      <c r="V1279" s="85" t="str">
        <f>HYPERLINK("https://pbs.twimg.com/profile_images/3036631203/9404d83a3202d44a4fcbbb75b2bd6b81_normal.jpeg")</f>
        <v>https://pbs.twimg.com/profile_images/3036631203/9404d83a3202d44a4fcbbb75b2bd6b81_normal.jpeg</v>
      </c>
      <c r="W1279" s="83">
        <v>44466.311805555553</v>
      </c>
      <c r="X1279" s="89">
        <v>44466</v>
      </c>
      <c r="Y1279" s="87" t="s">
        <v>2671</v>
      </c>
      <c r="Z1279" s="85" t="str">
        <f>HYPERLINK("https://twitter.com/yeppeomikki/status/1442390804144656388")</f>
        <v>https://twitter.com/yeppeomikki/status/1442390804144656388</v>
      </c>
      <c r="AA1279" s="81"/>
      <c r="AB1279" s="81"/>
      <c r="AC1279" s="87" t="s">
        <v>3601</v>
      </c>
      <c r="AD1279" s="81"/>
      <c r="AE1279" s="81" t="b">
        <v>0</v>
      </c>
      <c r="AF1279" s="81">
        <v>0</v>
      </c>
      <c r="AG1279" s="87" t="s">
        <v>3875</v>
      </c>
      <c r="AH1279" s="81" t="b">
        <v>0</v>
      </c>
      <c r="AI1279" s="81" t="s">
        <v>4092</v>
      </c>
      <c r="AJ1279" s="81"/>
      <c r="AK1279" s="87" t="s">
        <v>3875</v>
      </c>
      <c r="AL1279" s="81" t="b">
        <v>0</v>
      </c>
      <c r="AM1279" s="81">
        <v>0</v>
      </c>
      <c r="AN1279" s="87" t="s">
        <v>3875</v>
      </c>
      <c r="AO1279" s="87" t="s">
        <v>4116</v>
      </c>
      <c r="AP1279" s="81" t="b">
        <v>0</v>
      </c>
      <c r="AQ1279" s="87" t="s">
        <v>3601</v>
      </c>
      <c r="AR1279" s="81" t="s">
        <v>179</v>
      </c>
      <c r="AS1279" s="81">
        <v>0</v>
      </c>
      <c r="AT1279" s="81">
        <v>0</v>
      </c>
      <c r="AU1279" s="81"/>
      <c r="AV1279" s="81"/>
      <c r="AW1279" s="81"/>
      <c r="AX1279" s="81"/>
      <c r="AY1279" s="81"/>
      <c r="AZ1279" s="81"/>
      <c r="BA1279" s="81"/>
      <c r="BB1279" s="81"/>
    </row>
    <row r="1280" spans="1:54" x14ac:dyDescent="0.35">
      <c r="A1280" s="66" t="s">
        <v>970</v>
      </c>
      <c r="B1280" s="66" t="s">
        <v>970</v>
      </c>
      <c r="C1280" s="67"/>
      <c r="D1280" s="68"/>
      <c r="E1280" s="69"/>
      <c r="F1280" s="70"/>
      <c r="G1280" s="67"/>
      <c r="H1280" s="71"/>
      <c r="I1280" s="72"/>
      <c r="J1280" s="72"/>
      <c r="K1280" s="36"/>
      <c r="L1280" s="79"/>
      <c r="M1280" s="79"/>
      <c r="N1280" s="74"/>
      <c r="O1280" s="81" t="s">
        <v>179</v>
      </c>
      <c r="P1280" s="83">
        <v>44466.686550925922</v>
      </c>
      <c r="Q1280" s="81" t="s">
        <v>1695</v>
      </c>
      <c r="R1280" s="81"/>
      <c r="S1280" s="81"/>
      <c r="T1280" s="81"/>
      <c r="U1280" s="81"/>
      <c r="V1280" s="85" t="str">
        <f>HYPERLINK("https://pbs.twimg.com/profile_images/3036631203/9404d83a3202d44a4fcbbb75b2bd6b81_normal.jpeg")</f>
        <v>https://pbs.twimg.com/profile_images/3036631203/9404d83a3202d44a4fcbbb75b2bd6b81_normal.jpeg</v>
      </c>
      <c r="W1280" s="83">
        <v>44466.686550925922</v>
      </c>
      <c r="X1280" s="89">
        <v>44466</v>
      </c>
      <c r="Y1280" s="87" t="s">
        <v>2672</v>
      </c>
      <c r="Z1280" s="85" t="str">
        <f>HYPERLINK("https://twitter.com/yeppeomikki/status/1442526608397520899")</f>
        <v>https://twitter.com/yeppeomikki/status/1442526608397520899</v>
      </c>
      <c r="AA1280" s="81"/>
      <c r="AB1280" s="81"/>
      <c r="AC1280" s="87" t="s">
        <v>3602</v>
      </c>
      <c r="AD1280" s="81"/>
      <c r="AE1280" s="81" t="b">
        <v>0</v>
      </c>
      <c r="AF1280" s="81">
        <v>0</v>
      </c>
      <c r="AG1280" s="87" t="s">
        <v>3875</v>
      </c>
      <c r="AH1280" s="81" t="b">
        <v>0</v>
      </c>
      <c r="AI1280" s="81" t="s">
        <v>4092</v>
      </c>
      <c r="AJ1280" s="81"/>
      <c r="AK1280" s="87" t="s">
        <v>3875</v>
      </c>
      <c r="AL1280" s="81" t="b">
        <v>0</v>
      </c>
      <c r="AM1280" s="81">
        <v>0</v>
      </c>
      <c r="AN1280" s="87" t="s">
        <v>3875</v>
      </c>
      <c r="AO1280" s="87" t="s">
        <v>4116</v>
      </c>
      <c r="AP1280" s="81" t="b">
        <v>0</v>
      </c>
      <c r="AQ1280" s="87" t="s">
        <v>3602</v>
      </c>
      <c r="AR1280" s="81" t="s">
        <v>179</v>
      </c>
      <c r="AS1280" s="81">
        <v>0</v>
      </c>
      <c r="AT1280" s="81">
        <v>0</v>
      </c>
      <c r="AU1280" s="81"/>
      <c r="AV1280" s="81"/>
      <c r="AW1280" s="81"/>
      <c r="AX1280" s="81"/>
      <c r="AY1280" s="81"/>
      <c r="AZ1280" s="81"/>
      <c r="BA1280" s="81"/>
      <c r="BB1280" s="81"/>
    </row>
    <row r="1281" spans="1:54" x14ac:dyDescent="0.35">
      <c r="A1281" s="66" t="s">
        <v>970</v>
      </c>
      <c r="B1281" s="66" t="s">
        <v>970</v>
      </c>
      <c r="C1281" s="67"/>
      <c r="D1281" s="68"/>
      <c r="E1281" s="69"/>
      <c r="F1281" s="70"/>
      <c r="G1281" s="67"/>
      <c r="H1281" s="71"/>
      <c r="I1281" s="72"/>
      <c r="J1281" s="72"/>
      <c r="K1281" s="36"/>
      <c r="L1281" s="79"/>
      <c r="M1281" s="79"/>
      <c r="N1281" s="74"/>
      <c r="O1281" s="81" t="s">
        <v>179</v>
      </c>
      <c r="P1281" s="83">
        <v>44467.082361111112</v>
      </c>
      <c r="Q1281" s="81" t="s">
        <v>1694</v>
      </c>
      <c r="R1281" s="81"/>
      <c r="S1281" s="81"/>
      <c r="T1281" s="81"/>
      <c r="U1281" s="81"/>
      <c r="V1281" s="85" t="str">
        <f>HYPERLINK("https://pbs.twimg.com/profile_images/3036631203/9404d83a3202d44a4fcbbb75b2bd6b81_normal.jpeg")</f>
        <v>https://pbs.twimg.com/profile_images/3036631203/9404d83a3202d44a4fcbbb75b2bd6b81_normal.jpeg</v>
      </c>
      <c r="W1281" s="83">
        <v>44467.082361111112</v>
      </c>
      <c r="X1281" s="89">
        <v>44467</v>
      </c>
      <c r="Y1281" s="87" t="s">
        <v>2673</v>
      </c>
      <c r="Z1281" s="85" t="str">
        <f>HYPERLINK("https://twitter.com/yeppeomikki/status/1442670044501057537")</f>
        <v>https://twitter.com/yeppeomikki/status/1442670044501057537</v>
      </c>
      <c r="AA1281" s="81"/>
      <c r="AB1281" s="81"/>
      <c r="AC1281" s="87" t="s">
        <v>3603</v>
      </c>
      <c r="AD1281" s="81"/>
      <c r="AE1281" s="81" t="b">
        <v>0</v>
      </c>
      <c r="AF1281" s="81">
        <v>0</v>
      </c>
      <c r="AG1281" s="87" t="s">
        <v>3875</v>
      </c>
      <c r="AH1281" s="81" t="b">
        <v>0</v>
      </c>
      <c r="AI1281" s="81" t="s">
        <v>4092</v>
      </c>
      <c r="AJ1281" s="81"/>
      <c r="AK1281" s="87" t="s">
        <v>3875</v>
      </c>
      <c r="AL1281" s="81" t="b">
        <v>0</v>
      </c>
      <c r="AM1281" s="81">
        <v>0</v>
      </c>
      <c r="AN1281" s="87" t="s">
        <v>3875</v>
      </c>
      <c r="AO1281" s="87" t="s">
        <v>4116</v>
      </c>
      <c r="AP1281" s="81" t="b">
        <v>0</v>
      </c>
      <c r="AQ1281" s="87" t="s">
        <v>3603</v>
      </c>
      <c r="AR1281" s="81" t="s">
        <v>179</v>
      </c>
      <c r="AS1281" s="81">
        <v>0</v>
      </c>
      <c r="AT1281" s="81">
        <v>0</v>
      </c>
      <c r="AU1281" s="81"/>
      <c r="AV1281" s="81"/>
      <c r="AW1281" s="81"/>
      <c r="AX1281" s="81"/>
      <c r="AY1281" s="81"/>
      <c r="AZ1281" s="81"/>
      <c r="BA1281" s="81"/>
      <c r="BB1281" s="81"/>
    </row>
    <row r="1282" spans="1:54" x14ac:dyDescent="0.35">
      <c r="A1282" s="66" t="s">
        <v>971</v>
      </c>
      <c r="B1282" s="66" t="s">
        <v>972</v>
      </c>
      <c r="C1282" s="67"/>
      <c r="D1282" s="68"/>
      <c r="E1282" s="69"/>
      <c r="F1282" s="70"/>
      <c r="G1282" s="67"/>
      <c r="H1282" s="71"/>
      <c r="I1282" s="72"/>
      <c r="J1282" s="72"/>
      <c r="K1282" s="36"/>
      <c r="L1282" s="79"/>
      <c r="M1282" s="79"/>
      <c r="N1282" s="74"/>
      <c r="O1282" s="81" t="s">
        <v>1208</v>
      </c>
      <c r="P1282" s="83">
        <v>44466.181307870371</v>
      </c>
      <c r="Q1282" s="81" t="s">
        <v>1696</v>
      </c>
      <c r="R1282" s="81"/>
      <c r="S1282" s="81"/>
      <c r="T1282" s="81"/>
      <c r="U1282" s="81"/>
      <c r="V1282" s="85" t="str">
        <f>HYPERLINK("https://pbs.twimg.com/profile_images/1282901608313925632/_h9Sn5wA_normal.jpg")</f>
        <v>https://pbs.twimg.com/profile_images/1282901608313925632/_h9Sn5wA_normal.jpg</v>
      </c>
      <c r="W1282" s="83">
        <v>44466.181307870371</v>
      </c>
      <c r="X1282" s="89">
        <v>44466</v>
      </c>
      <c r="Y1282" s="87" t="s">
        <v>2674</v>
      </c>
      <c r="Z1282" s="85" t="str">
        <f>HYPERLINK("https://twitter.com/ekiiiiw/status/1442343512905633795")</f>
        <v>https://twitter.com/ekiiiiw/status/1442343512905633795</v>
      </c>
      <c r="AA1282" s="81"/>
      <c r="AB1282" s="81"/>
      <c r="AC1282" s="87" t="s">
        <v>3604</v>
      </c>
      <c r="AD1282" s="87" t="s">
        <v>3865</v>
      </c>
      <c r="AE1282" s="81" t="b">
        <v>0</v>
      </c>
      <c r="AF1282" s="81">
        <v>0</v>
      </c>
      <c r="AG1282" s="87" t="s">
        <v>4081</v>
      </c>
      <c r="AH1282" s="81" t="b">
        <v>0</v>
      </c>
      <c r="AI1282" s="81" t="s">
        <v>4092</v>
      </c>
      <c r="AJ1282" s="81"/>
      <c r="AK1282" s="87" t="s">
        <v>3875</v>
      </c>
      <c r="AL1282" s="81" t="b">
        <v>0</v>
      </c>
      <c r="AM1282" s="81">
        <v>0</v>
      </c>
      <c r="AN1282" s="87" t="s">
        <v>3875</v>
      </c>
      <c r="AO1282" s="87" t="s">
        <v>4109</v>
      </c>
      <c r="AP1282" s="81" t="b">
        <v>0</v>
      </c>
      <c r="AQ1282" s="87" t="s">
        <v>3865</v>
      </c>
      <c r="AR1282" s="81" t="s">
        <v>179</v>
      </c>
      <c r="AS1282" s="81">
        <v>0</v>
      </c>
      <c r="AT1282" s="81">
        <v>0</v>
      </c>
      <c r="AU1282" s="81"/>
      <c r="AV1282" s="81"/>
      <c r="AW1282" s="81"/>
      <c r="AX1282" s="81"/>
      <c r="AY1282" s="81"/>
      <c r="AZ1282" s="81"/>
      <c r="BA1282" s="81"/>
      <c r="BB1282" s="81"/>
    </row>
    <row r="1283" spans="1:54" x14ac:dyDescent="0.35">
      <c r="A1283" s="66" t="s">
        <v>972</v>
      </c>
      <c r="B1283" s="66" t="s">
        <v>971</v>
      </c>
      <c r="C1283" s="67"/>
      <c r="D1283" s="68"/>
      <c r="E1283" s="69"/>
      <c r="F1283" s="70"/>
      <c r="G1283" s="67"/>
      <c r="H1283" s="71"/>
      <c r="I1283" s="72"/>
      <c r="J1283" s="72"/>
      <c r="K1283" s="36"/>
      <c r="L1283" s="79"/>
      <c r="M1283" s="79"/>
      <c r="N1283" s="74"/>
      <c r="O1283" s="81" t="s">
        <v>1208</v>
      </c>
      <c r="P1283" s="83">
        <v>44466.18246527778</v>
      </c>
      <c r="Q1283" s="81" t="s">
        <v>1697</v>
      </c>
      <c r="R1283" s="85" t="str">
        <f>HYPERLINK("https://chat.botika.online/beacukai/0IFusLO")</f>
        <v>https://chat.botika.online/beacukai/0IFusLO</v>
      </c>
      <c r="S1283" s="81" t="s">
        <v>1757</v>
      </c>
      <c r="T1283" s="81"/>
      <c r="U1283" s="81"/>
      <c r="V1283" s="85" t="str">
        <f>HYPERLINK("https://pbs.twimg.com/profile_images/813703989061558273/pSVNdrgA_normal.jpg")</f>
        <v>https://pbs.twimg.com/profile_images/813703989061558273/pSVNdrgA_normal.jpg</v>
      </c>
      <c r="W1283" s="83">
        <v>44466.18246527778</v>
      </c>
      <c r="X1283" s="89">
        <v>44466</v>
      </c>
      <c r="Y1283" s="87" t="s">
        <v>2675</v>
      </c>
      <c r="Z1283" s="85" t="str">
        <f>HYPERLINK("https://twitter.com/bravobeacukai/status/1442343933791465473")</f>
        <v>https://twitter.com/bravobeacukai/status/1442343933791465473</v>
      </c>
      <c r="AA1283" s="81"/>
      <c r="AB1283" s="81"/>
      <c r="AC1283" s="87" t="s">
        <v>3605</v>
      </c>
      <c r="AD1283" s="87" t="s">
        <v>3604</v>
      </c>
      <c r="AE1283" s="81" t="b">
        <v>0</v>
      </c>
      <c r="AF1283" s="81">
        <v>0</v>
      </c>
      <c r="AG1283" s="87" t="s">
        <v>4082</v>
      </c>
      <c r="AH1283" s="81" t="b">
        <v>0</v>
      </c>
      <c r="AI1283" s="81" t="s">
        <v>4092</v>
      </c>
      <c r="AJ1283" s="81"/>
      <c r="AK1283" s="87" t="s">
        <v>3875</v>
      </c>
      <c r="AL1283" s="81" t="b">
        <v>0</v>
      </c>
      <c r="AM1283" s="81">
        <v>0</v>
      </c>
      <c r="AN1283" s="87" t="s">
        <v>3875</v>
      </c>
      <c r="AO1283" s="87" t="s">
        <v>4124</v>
      </c>
      <c r="AP1283" s="81" t="b">
        <v>0</v>
      </c>
      <c r="AQ1283" s="87" t="s">
        <v>3604</v>
      </c>
      <c r="AR1283" s="81" t="s">
        <v>179</v>
      </c>
      <c r="AS1283" s="81">
        <v>0</v>
      </c>
      <c r="AT1283" s="81">
        <v>0</v>
      </c>
      <c r="AU1283" s="81"/>
      <c r="AV1283" s="81"/>
      <c r="AW1283" s="81"/>
      <c r="AX1283" s="81"/>
      <c r="AY1283" s="81"/>
      <c r="AZ1283" s="81"/>
      <c r="BA1283" s="81"/>
      <c r="BB1283" s="81"/>
    </row>
    <row r="1284" spans="1:54" x14ac:dyDescent="0.35">
      <c r="A1284" s="66" t="s">
        <v>973</v>
      </c>
      <c r="B1284" s="66" t="s">
        <v>972</v>
      </c>
      <c r="C1284" s="67"/>
      <c r="D1284" s="68"/>
      <c r="E1284" s="69"/>
      <c r="F1284" s="70"/>
      <c r="G1284" s="67"/>
      <c r="H1284" s="71"/>
      <c r="I1284" s="72"/>
      <c r="J1284" s="72"/>
      <c r="K1284" s="36"/>
      <c r="L1284" s="79"/>
      <c r="M1284" s="79"/>
      <c r="N1284" s="74"/>
      <c r="O1284" s="81" t="s">
        <v>1208</v>
      </c>
      <c r="P1284" s="83">
        <v>44467.082268518519</v>
      </c>
      <c r="Q1284" s="81" t="s">
        <v>1698</v>
      </c>
      <c r="R1284" s="81"/>
      <c r="S1284" s="81"/>
      <c r="T1284" s="81"/>
      <c r="U1284" s="81"/>
      <c r="V1284" s="85" t="str">
        <f>HYPERLINK("https://pbs.twimg.com/profile_images/1440728638370959362/t6lbkuQu_normal.jpg")</f>
        <v>https://pbs.twimg.com/profile_images/1440728638370959362/t6lbkuQu_normal.jpg</v>
      </c>
      <c r="W1284" s="83">
        <v>44467.082268518519</v>
      </c>
      <c r="X1284" s="89">
        <v>44467</v>
      </c>
      <c r="Y1284" s="87" t="s">
        <v>2676</v>
      </c>
      <c r="Z1284" s="85" t="str">
        <f>HYPERLINK("https://twitter.com/for__dy/status/1442670010342658051")</f>
        <v>https://twitter.com/for__dy/status/1442670010342658051</v>
      </c>
      <c r="AA1284" s="81"/>
      <c r="AB1284" s="81"/>
      <c r="AC1284" s="87" t="s">
        <v>3606</v>
      </c>
      <c r="AD1284" s="87" t="s">
        <v>3866</v>
      </c>
      <c r="AE1284" s="81" t="b">
        <v>0</v>
      </c>
      <c r="AF1284" s="81">
        <v>0</v>
      </c>
      <c r="AG1284" s="87" t="s">
        <v>4083</v>
      </c>
      <c r="AH1284" s="81" t="b">
        <v>0</v>
      </c>
      <c r="AI1284" s="81" t="s">
        <v>4092</v>
      </c>
      <c r="AJ1284" s="81"/>
      <c r="AK1284" s="87" t="s">
        <v>3875</v>
      </c>
      <c r="AL1284" s="81" t="b">
        <v>0</v>
      </c>
      <c r="AM1284" s="81">
        <v>0</v>
      </c>
      <c r="AN1284" s="87" t="s">
        <v>3875</v>
      </c>
      <c r="AO1284" s="87" t="s">
        <v>4110</v>
      </c>
      <c r="AP1284" s="81" t="b">
        <v>0</v>
      </c>
      <c r="AQ1284" s="87" t="s">
        <v>3866</v>
      </c>
      <c r="AR1284" s="81" t="s">
        <v>179</v>
      </c>
      <c r="AS1284" s="81">
        <v>0</v>
      </c>
      <c r="AT1284" s="81">
        <v>0</v>
      </c>
      <c r="AU1284" s="81"/>
      <c r="AV1284" s="81"/>
      <c r="AW1284" s="81"/>
      <c r="AX1284" s="81"/>
      <c r="AY1284" s="81"/>
      <c r="AZ1284" s="81"/>
      <c r="BA1284" s="81"/>
      <c r="BB1284" s="81"/>
    </row>
    <row r="1285" spans="1:54" x14ac:dyDescent="0.35">
      <c r="A1285" s="66" t="s">
        <v>972</v>
      </c>
      <c r="B1285" s="66" t="s">
        <v>973</v>
      </c>
      <c r="C1285" s="67"/>
      <c r="D1285" s="68"/>
      <c r="E1285" s="69"/>
      <c r="F1285" s="70"/>
      <c r="G1285" s="67"/>
      <c r="H1285" s="71"/>
      <c r="I1285" s="72"/>
      <c r="J1285" s="72"/>
      <c r="K1285" s="36"/>
      <c r="L1285" s="79"/>
      <c r="M1285" s="79"/>
      <c r="N1285" s="74"/>
      <c r="O1285" s="81" t="s">
        <v>1208</v>
      </c>
      <c r="P1285" s="83">
        <v>44467.084652777776</v>
      </c>
      <c r="Q1285" s="81" t="s">
        <v>1699</v>
      </c>
      <c r="R1285" s="81"/>
      <c r="S1285" s="81"/>
      <c r="T1285" s="81"/>
      <c r="U1285" s="81"/>
      <c r="V1285" s="85" t="str">
        <f>HYPERLINK("https://pbs.twimg.com/profile_images/813703989061558273/pSVNdrgA_normal.jpg")</f>
        <v>https://pbs.twimg.com/profile_images/813703989061558273/pSVNdrgA_normal.jpg</v>
      </c>
      <c r="W1285" s="83">
        <v>44467.084652777776</v>
      </c>
      <c r="X1285" s="89">
        <v>44467</v>
      </c>
      <c r="Y1285" s="87" t="s">
        <v>2677</v>
      </c>
      <c r="Z1285" s="85" t="str">
        <f>HYPERLINK("https://twitter.com/bravobeacukai/status/1442670871802306560")</f>
        <v>https://twitter.com/bravobeacukai/status/1442670871802306560</v>
      </c>
      <c r="AA1285" s="81"/>
      <c r="AB1285" s="81"/>
      <c r="AC1285" s="87" t="s">
        <v>3607</v>
      </c>
      <c r="AD1285" s="87" t="s">
        <v>3606</v>
      </c>
      <c r="AE1285" s="81" t="b">
        <v>0</v>
      </c>
      <c r="AF1285" s="81">
        <v>0</v>
      </c>
      <c r="AG1285" s="87" t="s">
        <v>4083</v>
      </c>
      <c r="AH1285" s="81" t="b">
        <v>0</v>
      </c>
      <c r="AI1285" s="81" t="s">
        <v>4092</v>
      </c>
      <c r="AJ1285" s="81"/>
      <c r="AK1285" s="87" t="s">
        <v>3875</v>
      </c>
      <c r="AL1285" s="81" t="b">
        <v>0</v>
      </c>
      <c r="AM1285" s="81">
        <v>0</v>
      </c>
      <c r="AN1285" s="87" t="s">
        <v>3875</v>
      </c>
      <c r="AO1285" s="87" t="s">
        <v>4124</v>
      </c>
      <c r="AP1285" s="81" t="b">
        <v>0</v>
      </c>
      <c r="AQ1285" s="87" t="s">
        <v>3606</v>
      </c>
      <c r="AR1285" s="81" t="s">
        <v>179</v>
      </c>
      <c r="AS1285" s="81">
        <v>0</v>
      </c>
      <c r="AT1285" s="81">
        <v>0</v>
      </c>
      <c r="AU1285" s="81"/>
      <c r="AV1285" s="81"/>
      <c r="AW1285" s="81"/>
      <c r="AX1285" s="81"/>
      <c r="AY1285" s="81"/>
      <c r="AZ1285" s="81"/>
      <c r="BA1285" s="81"/>
      <c r="BB1285" s="81"/>
    </row>
    <row r="1286" spans="1:54" x14ac:dyDescent="0.35">
      <c r="A1286" s="66" t="s">
        <v>974</v>
      </c>
      <c r="B1286" s="66" t="s">
        <v>1196</v>
      </c>
      <c r="C1286" s="67"/>
      <c r="D1286" s="68"/>
      <c r="E1286" s="69"/>
      <c r="F1286" s="70"/>
      <c r="G1286" s="67"/>
      <c r="H1286" s="71"/>
      <c r="I1286" s="72"/>
      <c r="J1286" s="72"/>
      <c r="K1286" s="36"/>
      <c r="L1286" s="79"/>
      <c r="M1286" s="79"/>
      <c r="N1286" s="74"/>
      <c r="O1286" s="81" t="s">
        <v>1206</v>
      </c>
      <c r="P1286" s="83">
        <v>44462.081747685188</v>
      </c>
      <c r="Q1286" s="81" t="s">
        <v>1700</v>
      </c>
      <c r="R1286" s="81"/>
      <c r="S1286" s="81"/>
      <c r="T1286" s="81"/>
      <c r="U1286" s="81"/>
      <c r="V1286" s="85" t="str">
        <f>HYPERLINK("https://pbs.twimg.com/profile_images/1323835481730162691/2IFgKzHd_normal.jpg")</f>
        <v>https://pbs.twimg.com/profile_images/1323835481730162691/2IFgKzHd_normal.jpg</v>
      </c>
      <c r="W1286" s="83">
        <v>44462.081747685188</v>
      </c>
      <c r="X1286" s="89">
        <v>44462</v>
      </c>
      <c r="Y1286" s="87" t="s">
        <v>2678</v>
      </c>
      <c r="Z1286" s="85" t="str">
        <f>HYPERLINK("https://twitter.com/penggariskala/status/1440857881830518787")</f>
        <v>https://twitter.com/penggariskala/status/1440857881830518787</v>
      </c>
      <c r="AA1286" s="81"/>
      <c r="AB1286" s="81"/>
      <c r="AC1286" s="87" t="s">
        <v>3608</v>
      </c>
      <c r="AD1286" s="87" t="s">
        <v>3867</v>
      </c>
      <c r="AE1286" s="81" t="b">
        <v>0</v>
      </c>
      <c r="AF1286" s="81">
        <v>1</v>
      </c>
      <c r="AG1286" s="87" t="s">
        <v>4084</v>
      </c>
      <c r="AH1286" s="81" t="b">
        <v>0</v>
      </c>
      <c r="AI1286" s="81" t="s">
        <v>4092</v>
      </c>
      <c r="AJ1286" s="81"/>
      <c r="AK1286" s="87" t="s">
        <v>3875</v>
      </c>
      <c r="AL1286" s="81" t="b">
        <v>0</v>
      </c>
      <c r="AM1286" s="81">
        <v>0</v>
      </c>
      <c r="AN1286" s="87" t="s">
        <v>3875</v>
      </c>
      <c r="AO1286" s="87" t="s">
        <v>4109</v>
      </c>
      <c r="AP1286" s="81" t="b">
        <v>0</v>
      </c>
      <c r="AQ1286" s="87" t="s">
        <v>3867</v>
      </c>
      <c r="AR1286" s="81" t="s">
        <v>179</v>
      </c>
      <c r="AS1286" s="81">
        <v>0</v>
      </c>
      <c r="AT1286" s="81">
        <v>0</v>
      </c>
      <c r="AU1286" s="81"/>
      <c r="AV1286" s="81"/>
      <c r="AW1286" s="81"/>
      <c r="AX1286" s="81"/>
      <c r="AY1286" s="81"/>
      <c r="AZ1286" s="81"/>
      <c r="BA1286" s="81"/>
      <c r="BB1286" s="81"/>
    </row>
    <row r="1287" spans="1:54" x14ac:dyDescent="0.35">
      <c r="A1287" s="66" t="s">
        <v>974</v>
      </c>
      <c r="B1287" s="66" t="s">
        <v>1197</v>
      </c>
      <c r="C1287" s="67"/>
      <c r="D1287" s="68"/>
      <c r="E1287" s="69"/>
      <c r="F1287" s="70"/>
      <c r="G1287" s="67"/>
      <c r="H1287" s="71"/>
      <c r="I1287" s="72"/>
      <c r="J1287" s="72"/>
      <c r="K1287" s="36"/>
      <c r="L1287" s="79"/>
      <c r="M1287" s="79"/>
      <c r="N1287" s="74"/>
      <c r="O1287" s="81" t="s">
        <v>1208</v>
      </c>
      <c r="P1287" s="83">
        <v>44462.081747685188</v>
      </c>
      <c r="Q1287" s="81" t="s">
        <v>1700</v>
      </c>
      <c r="R1287" s="81"/>
      <c r="S1287" s="81"/>
      <c r="T1287" s="81"/>
      <c r="U1287" s="81"/>
      <c r="V1287" s="85" t="str">
        <f>HYPERLINK("https://pbs.twimg.com/profile_images/1323835481730162691/2IFgKzHd_normal.jpg")</f>
        <v>https://pbs.twimg.com/profile_images/1323835481730162691/2IFgKzHd_normal.jpg</v>
      </c>
      <c r="W1287" s="83">
        <v>44462.081747685188</v>
      </c>
      <c r="X1287" s="89">
        <v>44462</v>
      </c>
      <c r="Y1287" s="87" t="s">
        <v>2678</v>
      </c>
      <c r="Z1287" s="85" t="str">
        <f>HYPERLINK("https://twitter.com/penggariskala/status/1440857881830518787")</f>
        <v>https://twitter.com/penggariskala/status/1440857881830518787</v>
      </c>
      <c r="AA1287" s="81"/>
      <c r="AB1287" s="81"/>
      <c r="AC1287" s="87" t="s">
        <v>3608</v>
      </c>
      <c r="AD1287" s="87" t="s">
        <v>3867</v>
      </c>
      <c r="AE1287" s="81" t="b">
        <v>0</v>
      </c>
      <c r="AF1287" s="81">
        <v>1</v>
      </c>
      <c r="AG1287" s="87" t="s">
        <v>4084</v>
      </c>
      <c r="AH1287" s="81" t="b">
        <v>0</v>
      </c>
      <c r="AI1287" s="81" t="s">
        <v>4092</v>
      </c>
      <c r="AJ1287" s="81"/>
      <c r="AK1287" s="87" t="s">
        <v>3875</v>
      </c>
      <c r="AL1287" s="81" t="b">
        <v>0</v>
      </c>
      <c r="AM1287" s="81">
        <v>0</v>
      </c>
      <c r="AN1287" s="87" t="s">
        <v>3875</v>
      </c>
      <c r="AO1287" s="87" t="s">
        <v>4109</v>
      </c>
      <c r="AP1287" s="81" t="b">
        <v>0</v>
      </c>
      <c r="AQ1287" s="87" t="s">
        <v>3867</v>
      </c>
      <c r="AR1287" s="81" t="s">
        <v>179</v>
      </c>
      <c r="AS1287" s="81">
        <v>0</v>
      </c>
      <c r="AT1287" s="81">
        <v>0</v>
      </c>
      <c r="AU1287" s="81"/>
      <c r="AV1287" s="81"/>
      <c r="AW1287" s="81"/>
      <c r="AX1287" s="81"/>
      <c r="AY1287" s="81"/>
      <c r="AZ1287" s="81"/>
      <c r="BA1287" s="81"/>
      <c r="BB1287" s="81"/>
    </row>
    <row r="1288" spans="1:54" x14ac:dyDescent="0.35">
      <c r="A1288" s="66" t="s">
        <v>974</v>
      </c>
      <c r="B1288" s="66" t="s">
        <v>1198</v>
      </c>
      <c r="C1288" s="67"/>
      <c r="D1288" s="68"/>
      <c r="E1288" s="69"/>
      <c r="F1288" s="70"/>
      <c r="G1288" s="67"/>
      <c r="H1288" s="71"/>
      <c r="I1288" s="72"/>
      <c r="J1288" s="72"/>
      <c r="K1288" s="36"/>
      <c r="L1288" s="79"/>
      <c r="M1288" s="79"/>
      <c r="N1288" s="74"/>
      <c r="O1288" s="81" t="s">
        <v>1208</v>
      </c>
      <c r="P1288" s="83">
        <v>44467.093206018515</v>
      </c>
      <c r="Q1288" s="81" t="s">
        <v>1701</v>
      </c>
      <c r="R1288" s="81"/>
      <c r="S1288" s="81"/>
      <c r="T1288" s="81"/>
      <c r="U1288" s="81"/>
      <c r="V1288" s="85" t="str">
        <f>HYPERLINK("https://pbs.twimg.com/profile_images/1323835481730162691/2IFgKzHd_normal.jpg")</f>
        <v>https://pbs.twimg.com/profile_images/1323835481730162691/2IFgKzHd_normal.jpg</v>
      </c>
      <c r="W1288" s="83">
        <v>44467.093206018515</v>
      </c>
      <c r="X1288" s="89">
        <v>44467</v>
      </c>
      <c r="Y1288" s="87" t="s">
        <v>2679</v>
      </c>
      <c r="Z1288" s="85" t="str">
        <f>HYPERLINK("https://twitter.com/penggariskala/status/1442673973917929476")</f>
        <v>https://twitter.com/penggariskala/status/1442673973917929476</v>
      </c>
      <c r="AA1288" s="81"/>
      <c r="AB1288" s="81"/>
      <c r="AC1288" s="87" t="s">
        <v>3609</v>
      </c>
      <c r="AD1288" s="87" t="s">
        <v>3868</v>
      </c>
      <c r="AE1288" s="81" t="b">
        <v>0</v>
      </c>
      <c r="AF1288" s="81">
        <v>0</v>
      </c>
      <c r="AG1288" s="87" t="s">
        <v>4085</v>
      </c>
      <c r="AH1288" s="81" t="b">
        <v>0</v>
      </c>
      <c r="AI1288" s="81" t="s">
        <v>4092</v>
      </c>
      <c r="AJ1288" s="81"/>
      <c r="AK1288" s="87" t="s">
        <v>3875</v>
      </c>
      <c r="AL1288" s="81" t="b">
        <v>0</v>
      </c>
      <c r="AM1288" s="81">
        <v>0</v>
      </c>
      <c r="AN1288" s="87" t="s">
        <v>3875</v>
      </c>
      <c r="AO1288" s="87" t="s">
        <v>4109</v>
      </c>
      <c r="AP1288" s="81" t="b">
        <v>0</v>
      </c>
      <c r="AQ1288" s="87" t="s">
        <v>3868</v>
      </c>
      <c r="AR1288" s="81" t="s">
        <v>179</v>
      </c>
      <c r="AS1288" s="81">
        <v>0</v>
      </c>
      <c r="AT1288" s="81">
        <v>0</v>
      </c>
      <c r="AU1288" s="81"/>
      <c r="AV1288" s="81"/>
      <c r="AW1288" s="81"/>
      <c r="AX1288" s="81"/>
      <c r="AY1288" s="81"/>
      <c r="AZ1288" s="81"/>
      <c r="BA1288" s="81"/>
      <c r="BB1288" s="81"/>
    </row>
    <row r="1289" spans="1:54" x14ac:dyDescent="0.35">
      <c r="A1289" s="66" t="s">
        <v>975</v>
      </c>
      <c r="B1289" s="66" t="s">
        <v>1018</v>
      </c>
      <c r="C1289" s="67"/>
      <c r="D1289" s="68"/>
      <c r="E1289" s="69"/>
      <c r="F1289" s="70"/>
      <c r="G1289" s="67"/>
      <c r="H1289" s="71"/>
      <c r="I1289" s="72"/>
      <c r="J1289" s="72"/>
      <c r="K1289" s="36"/>
      <c r="L1289" s="79"/>
      <c r="M1289" s="79"/>
      <c r="N1289" s="74"/>
      <c r="O1289" s="81" t="s">
        <v>1208</v>
      </c>
      <c r="P1289" s="83">
        <v>44467.095150462963</v>
      </c>
      <c r="Q1289" s="81" t="s">
        <v>1702</v>
      </c>
      <c r="R1289" s="81"/>
      <c r="S1289" s="81"/>
      <c r="T1289" s="81"/>
      <c r="U1289" s="81"/>
      <c r="V1289" s="85" t="str">
        <f>HYPERLINK("https://pbs.twimg.com/profile_images/1415506755375681539/7eWFs4sj_normal.png")</f>
        <v>https://pbs.twimg.com/profile_images/1415506755375681539/7eWFs4sj_normal.png</v>
      </c>
      <c r="W1289" s="83">
        <v>44467.095150462963</v>
      </c>
      <c r="X1289" s="89">
        <v>44467</v>
      </c>
      <c r="Y1289" s="87" t="s">
        <v>2680</v>
      </c>
      <c r="Z1289" s="85" t="str">
        <f>HYPERLINK("https://twitter.com/rroxsky/status/1442674677105659905")</f>
        <v>https://twitter.com/rroxsky/status/1442674677105659905</v>
      </c>
      <c r="AA1289" s="81"/>
      <c r="AB1289" s="81"/>
      <c r="AC1289" s="87" t="s">
        <v>3610</v>
      </c>
      <c r="AD1289" s="87" t="s">
        <v>3869</v>
      </c>
      <c r="AE1289" s="81" t="b">
        <v>0</v>
      </c>
      <c r="AF1289" s="81">
        <v>0</v>
      </c>
      <c r="AG1289" s="87" t="s">
        <v>3909</v>
      </c>
      <c r="AH1289" s="81" t="b">
        <v>0</v>
      </c>
      <c r="AI1289" s="81" t="s">
        <v>4092</v>
      </c>
      <c r="AJ1289" s="81"/>
      <c r="AK1289" s="87" t="s">
        <v>3875</v>
      </c>
      <c r="AL1289" s="81" t="b">
        <v>0</v>
      </c>
      <c r="AM1289" s="81">
        <v>0</v>
      </c>
      <c r="AN1289" s="87" t="s">
        <v>3875</v>
      </c>
      <c r="AO1289" s="87" t="s">
        <v>4110</v>
      </c>
      <c r="AP1289" s="81" t="b">
        <v>0</v>
      </c>
      <c r="AQ1289" s="87" t="s">
        <v>3869</v>
      </c>
      <c r="AR1289" s="81" t="s">
        <v>179</v>
      </c>
      <c r="AS1289" s="81">
        <v>0</v>
      </c>
      <c r="AT1289" s="81">
        <v>0</v>
      </c>
      <c r="AU1289" s="81"/>
      <c r="AV1289" s="81"/>
      <c r="AW1289" s="81"/>
      <c r="AX1289" s="81"/>
      <c r="AY1289" s="81"/>
      <c r="AZ1289" s="81"/>
      <c r="BA1289" s="81"/>
      <c r="BB1289" s="81"/>
    </row>
    <row r="1290" spans="1:54" x14ac:dyDescent="0.35">
      <c r="A1290" s="66" t="s">
        <v>976</v>
      </c>
      <c r="B1290" s="66" t="s">
        <v>976</v>
      </c>
      <c r="C1290" s="67"/>
      <c r="D1290" s="68"/>
      <c r="E1290" s="69"/>
      <c r="F1290" s="70"/>
      <c r="G1290" s="67"/>
      <c r="H1290" s="71"/>
      <c r="I1290" s="72"/>
      <c r="J1290" s="72"/>
      <c r="K1290" s="36"/>
      <c r="L1290" s="79"/>
      <c r="M1290" s="79"/>
      <c r="N1290" s="74"/>
      <c r="O1290" s="81" t="s">
        <v>179</v>
      </c>
      <c r="P1290" s="83">
        <v>44459.069027777776</v>
      </c>
      <c r="Q1290" s="81" t="s">
        <v>1703</v>
      </c>
      <c r="R1290" s="85" t="str">
        <f>HYPERLINK("https://www.google.co.id/maps/place/KANTOR+POS+Karang+Satria/@-6.2306253,107.0272483,17z/data=!3m1!4b1!4m5!3m4!1s0x2e698f5d937e865d:0x33777a34131eba!8m2!3d-6.2306306!4d107.0294423?hl=en&amp;shorturl=1")</f>
        <v>https://www.google.co.id/maps/place/KANTOR+POS+Karang+Satria/@-6.2306253,107.0272483,17z/data=!3m1!4b1!4m5!3m4!1s0x2e698f5d937e865d:0x33777a34131eba!8m2!3d-6.2306306!4d107.0294423?hl=en&amp;shorturl=1</v>
      </c>
      <c r="S1290" s="81" t="s">
        <v>1732</v>
      </c>
      <c r="T1290" s="81"/>
      <c r="U1290" s="85" t="str">
        <f>HYPERLINK("https://pbs.twimg.com/media/E_sTohxUcAYTwoP.jpg")</f>
        <v>https://pbs.twimg.com/media/E_sTohxUcAYTwoP.jpg</v>
      </c>
      <c r="V1290" s="85" t="str">
        <f>HYPERLINK("https://pbs.twimg.com/media/E_sTohxUcAYTwoP.jpg")</f>
        <v>https://pbs.twimg.com/media/E_sTohxUcAYTwoP.jpg</v>
      </c>
      <c r="W1290" s="83">
        <v>44459.069027777776</v>
      </c>
      <c r="X1290" s="89">
        <v>44459</v>
      </c>
      <c r="Y1290" s="87" t="s">
        <v>2681</v>
      </c>
      <c r="Z1290" s="85" t="str">
        <f>HYPERLINK("https://twitter.com/karangpos/status/1439766107355705344")</f>
        <v>https://twitter.com/karangpos/status/1439766107355705344</v>
      </c>
      <c r="AA1290" s="81"/>
      <c r="AB1290" s="81"/>
      <c r="AC1290" s="87" t="s">
        <v>3611</v>
      </c>
      <c r="AD1290" s="81"/>
      <c r="AE1290" s="81" t="b">
        <v>0</v>
      </c>
      <c r="AF1290" s="81">
        <v>0</v>
      </c>
      <c r="AG1290" s="87" t="s">
        <v>3875</v>
      </c>
      <c r="AH1290" s="81" t="b">
        <v>0</v>
      </c>
      <c r="AI1290" s="81" t="s">
        <v>4092</v>
      </c>
      <c r="AJ1290" s="81"/>
      <c r="AK1290" s="87" t="s">
        <v>3875</v>
      </c>
      <c r="AL1290" s="81" t="b">
        <v>0</v>
      </c>
      <c r="AM1290" s="81">
        <v>0</v>
      </c>
      <c r="AN1290" s="87" t="s">
        <v>3875</v>
      </c>
      <c r="AO1290" s="87" t="s">
        <v>4111</v>
      </c>
      <c r="AP1290" s="81" t="b">
        <v>0</v>
      </c>
      <c r="AQ1290" s="87" t="s">
        <v>3611</v>
      </c>
      <c r="AR1290" s="81" t="s">
        <v>179</v>
      </c>
      <c r="AS1290" s="81">
        <v>0</v>
      </c>
      <c r="AT1290" s="81">
        <v>0</v>
      </c>
      <c r="AU1290" s="81"/>
      <c r="AV1290" s="81"/>
      <c r="AW1290" s="81"/>
      <c r="AX1290" s="81"/>
      <c r="AY1290" s="81"/>
      <c r="AZ1290" s="81"/>
      <c r="BA1290" s="81"/>
      <c r="BB1290" s="81"/>
    </row>
    <row r="1291" spans="1:54" x14ac:dyDescent="0.35">
      <c r="A1291" s="66" t="s">
        <v>976</v>
      </c>
      <c r="B1291" s="66" t="s">
        <v>976</v>
      </c>
      <c r="C1291" s="67"/>
      <c r="D1291" s="68"/>
      <c r="E1291" s="69"/>
      <c r="F1291" s="70"/>
      <c r="G1291" s="67"/>
      <c r="H1291" s="71"/>
      <c r="I1291" s="72"/>
      <c r="J1291" s="72"/>
      <c r="K1291" s="36"/>
      <c r="L1291" s="79"/>
      <c r="M1291" s="79"/>
      <c r="N1291" s="74"/>
      <c r="O1291" s="81" t="s">
        <v>179</v>
      </c>
      <c r="P1291" s="83">
        <v>44462.076157407406</v>
      </c>
      <c r="Q1291" s="81" t="s">
        <v>1704</v>
      </c>
      <c r="R1291" s="81"/>
      <c r="S1291" s="81"/>
      <c r="T1291" s="87" t="s">
        <v>1788</v>
      </c>
      <c r="U1291" s="85" t="str">
        <f>HYPERLINK("https://pbs.twimg.com/media/E_7ywZmVEAUoep4.jpg")</f>
        <v>https://pbs.twimg.com/media/E_7ywZmVEAUoep4.jpg</v>
      </c>
      <c r="V1291" s="85" t="str">
        <f>HYPERLINK("https://pbs.twimg.com/media/E_7ywZmVEAUoep4.jpg")</f>
        <v>https://pbs.twimg.com/media/E_7ywZmVEAUoep4.jpg</v>
      </c>
      <c r="W1291" s="83">
        <v>44462.076157407406</v>
      </c>
      <c r="X1291" s="89">
        <v>44462</v>
      </c>
      <c r="Y1291" s="87" t="s">
        <v>2682</v>
      </c>
      <c r="Z1291" s="85" t="str">
        <f>HYPERLINK("https://twitter.com/karangpos/status/1440855854387904514")</f>
        <v>https://twitter.com/karangpos/status/1440855854387904514</v>
      </c>
      <c r="AA1291" s="81"/>
      <c r="AB1291" s="81"/>
      <c r="AC1291" s="87" t="s">
        <v>3612</v>
      </c>
      <c r="AD1291" s="81"/>
      <c r="AE1291" s="81" t="b">
        <v>0</v>
      </c>
      <c r="AF1291" s="81">
        <v>0</v>
      </c>
      <c r="AG1291" s="87" t="s">
        <v>3875</v>
      </c>
      <c r="AH1291" s="81" t="b">
        <v>0</v>
      </c>
      <c r="AI1291" s="81" t="s">
        <v>4092</v>
      </c>
      <c r="AJ1291" s="81"/>
      <c r="AK1291" s="87" t="s">
        <v>3875</v>
      </c>
      <c r="AL1291" s="81" t="b">
        <v>0</v>
      </c>
      <c r="AM1291" s="81">
        <v>0</v>
      </c>
      <c r="AN1291" s="87" t="s">
        <v>3875</v>
      </c>
      <c r="AO1291" s="87" t="s">
        <v>4111</v>
      </c>
      <c r="AP1291" s="81" t="b">
        <v>0</v>
      </c>
      <c r="AQ1291" s="87" t="s">
        <v>3612</v>
      </c>
      <c r="AR1291" s="81" t="s">
        <v>179</v>
      </c>
      <c r="AS1291" s="81">
        <v>0</v>
      </c>
      <c r="AT1291" s="81">
        <v>0</v>
      </c>
      <c r="AU1291" s="81"/>
      <c r="AV1291" s="81"/>
      <c r="AW1291" s="81"/>
      <c r="AX1291" s="81"/>
      <c r="AY1291" s="81"/>
      <c r="AZ1291" s="81"/>
      <c r="BA1291" s="81"/>
      <c r="BB1291" s="81"/>
    </row>
    <row r="1292" spans="1:54" x14ac:dyDescent="0.35">
      <c r="A1292" s="66" t="s">
        <v>976</v>
      </c>
      <c r="B1292" s="66" t="s">
        <v>976</v>
      </c>
      <c r="C1292" s="67"/>
      <c r="D1292" s="68"/>
      <c r="E1292" s="69"/>
      <c r="F1292" s="70"/>
      <c r="G1292" s="67"/>
      <c r="H1292" s="71"/>
      <c r="I1292" s="72"/>
      <c r="J1292" s="72"/>
      <c r="K1292" s="36"/>
      <c r="L1292" s="79"/>
      <c r="M1292" s="79"/>
      <c r="N1292" s="74"/>
      <c r="O1292" s="81" t="s">
        <v>179</v>
      </c>
      <c r="P1292" s="83">
        <v>44466.072627314818</v>
      </c>
      <c r="Q1292" s="81" t="s">
        <v>1705</v>
      </c>
      <c r="R1292" s="81"/>
      <c r="S1292" s="81"/>
      <c r="T1292" s="87" t="s">
        <v>1788</v>
      </c>
      <c r="U1292" s="85" t="str">
        <f>HYPERLINK("https://pbs.twimg.com/media/FAQX9IwVEAQLfN1.jpg")</f>
        <v>https://pbs.twimg.com/media/FAQX9IwVEAQLfN1.jpg</v>
      </c>
      <c r="V1292" s="85" t="str">
        <f>HYPERLINK("https://pbs.twimg.com/media/FAQX9IwVEAQLfN1.jpg")</f>
        <v>https://pbs.twimg.com/media/FAQX9IwVEAQLfN1.jpg</v>
      </c>
      <c r="W1292" s="83">
        <v>44466.072627314818</v>
      </c>
      <c r="X1292" s="89">
        <v>44466</v>
      </c>
      <c r="Y1292" s="87" t="s">
        <v>2683</v>
      </c>
      <c r="Z1292" s="85" t="str">
        <f>HYPERLINK("https://twitter.com/karangpos/status/1442304128147869700")</f>
        <v>https://twitter.com/karangpos/status/1442304128147869700</v>
      </c>
      <c r="AA1292" s="81"/>
      <c r="AB1292" s="81"/>
      <c r="AC1292" s="87" t="s">
        <v>3613</v>
      </c>
      <c r="AD1292" s="81"/>
      <c r="AE1292" s="81" t="b">
        <v>0</v>
      </c>
      <c r="AF1292" s="81">
        <v>0</v>
      </c>
      <c r="AG1292" s="87" t="s">
        <v>3875</v>
      </c>
      <c r="AH1292" s="81" t="b">
        <v>0</v>
      </c>
      <c r="AI1292" s="81" t="s">
        <v>4092</v>
      </c>
      <c r="AJ1292" s="81"/>
      <c r="AK1292" s="87" t="s">
        <v>3875</v>
      </c>
      <c r="AL1292" s="81" t="b">
        <v>0</v>
      </c>
      <c r="AM1292" s="81">
        <v>0</v>
      </c>
      <c r="AN1292" s="87" t="s">
        <v>3875</v>
      </c>
      <c r="AO1292" s="87" t="s">
        <v>4111</v>
      </c>
      <c r="AP1292" s="81" t="b">
        <v>0</v>
      </c>
      <c r="AQ1292" s="87" t="s">
        <v>3613</v>
      </c>
      <c r="AR1292" s="81" t="s">
        <v>179</v>
      </c>
      <c r="AS1292" s="81">
        <v>0</v>
      </c>
      <c r="AT1292" s="81">
        <v>0</v>
      </c>
      <c r="AU1292" s="81"/>
      <c r="AV1292" s="81"/>
      <c r="AW1292" s="81"/>
      <c r="AX1292" s="81"/>
      <c r="AY1292" s="81"/>
      <c r="AZ1292" s="81"/>
      <c r="BA1292" s="81"/>
      <c r="BB1292" s="81"/>
    </row>
    <row r="1293" spans="1:54" x14ac:dyDescent="0.35">
      <c r="A1293" s="66" t="s">
        <v>976</v>
      </c>
      <c r="B1293" s="66" t="s">
        <v>976</v>
      </c>
      <c r="C1293" s="67"/>
      <c r="D1293" s="68"/>
      <c r="E1293" s="69"/>
      <c r="F1293" s="70"/>
      <c r="G1293" s="67"/>
      <c r="H1293" s="71"/>
      <c r="I1293" s="72"/>
      <c r="J1293" s="72"/>
      <c r="K1293" s="36"/>
      <c r="L1293" s="79"/>
      <c r="M1293" s="79"/>
      <c r="N1293" s="74"/>
      <c r="O1293" s="81" t="s">
        <v>179</v>
      </c>
      <c r="P1293" s="83">
        <v>44467.098379629628</v>
      </c>
      <c r="Q1293" s="81" t="s">
        <v>1706</v>
      </c>
      <c r="R1293" s="85" t="str">
        <f>HYPERLINK("https://www.google.co.id/maps/place/KANTOR+POS+Karang+Satria/@-6.2306253,107.0272483,17z/data=!3m1!4b1!4m5!3m4!1s0x2e698f5d937e865d:0x33777a34131eba!8m2!3d-6.2306306!4d107.0294423?hl=en&amp;shorturl=1")</f>
        <v>https://www.google.co.id/maps/place/KANTOR+POS+Karang+Satria/@-6.2306253,107.0272483,17z/data=!3m1!4b1!4m5!3m4!1s0x2e698f5d937e865d:0x33777a34131eba!8m2!3d-6.2306306!4d107.0294423?hl=en&amp;shorturl=1</v>
      </c>
      <c r="S1293" s="81" t="s">
        <v>1732</v>
      </c>
      <c r="T1293" s="81"/>
      <c r="U1293" s="85" t="str">
        <f>HYPERLINK("https://pbs.twimg.com/media/FAVqCJyVkAEQhP6.jpg")</f>
        <v>https://pbs.twimg.com/media/FAVqCJyVkAEQhP6.jpg</v>
      </c>
      <c r="V1293" s="85" t="str">
        <f>HYPERLINK("https://pbs.twimg.com/media/FAVqCJyVkAEQhP6.jpg")</f>
        <v>https://pbs.twimg.com/media/FAVqCJyVkAEQhP6.jpg</v>
      </c>
      <c r="W1293" s="83">
        <v>44467.098379629628</v>
      </c>
      <c r="X1293" s="89">
        <v>44467</v>
      </c>
      <c r="Y1293" s="87" t="s">
        <v>2684</v>
      </c>
      <c r="Z1293" s="85" t="str">
        <f>HYPERLINK("https://twitter.com/karangpos/status/1442675848591515652")</f>
        <v>https://twitter.com/karangpos/status/1442675848591515652</v>
      </c>
      <c r="AA1293" s="81"/>
      <c r="AB1293" s="81"/>
      <c r="AC1293" s="87" t="s">
        <v>3614</v>
      </c>
      <c r="AD1293" s="81"/>
      <c r="AE1293" s="81" t="b">
        <v>0</v>
      </c>
      <c r="AF1293" s="81">
        <v>0</v>
      </c>
      <c r="AG1293" s="87" t="s">
        <v>3875</v>
      </c>
      <c r="AH1293" s="81" t="b">
        <v>0</v>
      </c>
      <c r="AI1293" s="81" t="s">
        <v>4092</v>
      </c>
      <c r="AJ1293" s="81"/>
      <c r="AK1293" s="87" t="s">
        <v>3875</v>
      </c>
      <c r="AL1293" s="81" t="b">
        <v>0</v>
      </c>
      <c r="AM1293" s="81">
        <v>0</v>
      </c>
      <c r="AN1293" s="87" t="s">
        <v>3875</v>
      </c>
      <c r="AO1293" s="87" t="s">
        <v>4111</v>
      </c>
      <c r="AP1293" s="81" t="b">
        <v>0</v>
      </c>
      <c r="AQ1293" s="87" t="s">
        <v>3614</v>
      </c>
      <c r="AR1293" s="81" t="s">
        <v>179</v>
      </c>
      <c r="AS1293" s="81">
        <v>0</v>
      </c>
      <c r="AT1293" s="81">
        <v>0</v>
      </c>
      <c r="AU1293" s="81"/>
      <c r="AV1293" s="81"/>
      <c r="AW1293" s="81"/>
      <c r="AX1293" s="81"/>
      <c r="AY1293" s="81"/>
      <c r="AZ1293" s="81"/>
      <c r="BA1293" s="81"/>
      <c r="BB1293" s="81"/>
    </row>
    <row r="1294" spans="1:54" x14ac:dyDescent="0.35">
      <c r="A1294" s="66" t="s">
        <v>977</v>
      </c>
      <c r="B1294" s="66" t="s">
        <v>1199</v>
      </c>
      <c r="C1294" s="67"/>
      <c r="D1294" s="68"/>
      <c r="E1294" s="69"/>
      <c r="F1294" s="70"/>
      <c r="G1294" s="67"/>
      <c r="H1294" s="71"/>
      <c r="I1294" s="72"/>
      <c r="J1294" s="72"/>
      <c r="K1294" s="36"/>
      <c r="L1294" s="79"/>
      <c r="M1294" s="79"/>
      <c r="N1294" s="74"/>
      <c r="O1294" s="81" t="s">
        <v>1208</v>
      </c>
      <c r="P1294" s="83">
        <v>44467.098912037036</v>
      </c>
      <c r="Q1294" s="81" t="s">
        <v>1707</v>
      </c>
      <c r="R1294" s="81"/>
      <c r="S1294" s="81"/>
      <c r="T1294" s="81"/>
      <c r="U1294" s="81"/>
      <c r="V1294" s="85" t="str">
        <f>HYPERLINK("https://pbs.twimg.com/profile_images/1439236384191963138/PNmsjplz_normal.jpg")</f>
        <v>https://pbs.twimg.com/profile_images/1439236384191963138/PNmsjplz_normal.jpg</v>
      </c>
      <c r="W1294" s="83">
        <v>44467.098912037036</v>
      </c>
      <c r="X1294" s="89">
        <v>44467</v>
      </c>
      <c r="Y1294" s="87" t="s">
        <v>2685</v>
      </c>
      <c r="Z1294" s="85" t="str">
        <f>HYPERLINK("https://twitter.com/_sarcomere/status/1442676042217316353")</f>
        <v>https://twitter.com/_sarcomere/status/1442676042217316353</v>
      </c>
      <c r="AA1294" s="81"/>
      <c r="AB1294" s="81"/>
      <c r="AC1294" s="87" t="s">
        <v>3615</v>
      </c>
      <c r="AD1294" s="87" t="s">
        <v>3870</v>
      </c>
      <c r="AE1294" s="81" t="b">
        <v>0</v>
      </c>
      <c r="AF1294" s="81">
        <v>0</v>
      </c>
      <c r="AG1294" s="87" t="s">
        <v>4086</v>
      </c>
      <c r="AH1294" s="81" t="b">
        <v>0</v>
      </c>
      <c r="AI1294" s="81" t="s">
        <v>4092</v>
      </c>
      <c r="AJ1294" s="81"/>
      <c r="AK1294" s="87" t="s">
        <v>3875</v>
      </c>
      <c r="AL1294" s="81" t="b">
        <v>0</v>
      </c>
      <c r="AM1294" s="81">
        <v>0</v>
      </c>
      <c r="AN1294" s="87" t="s">
        <v>3875</v>
      </c>
      <c r="AO1294" s="87" t="s">
        <v>4111</v>
      </c>
      <c r="AP1294" s="81" t="b">
        <v>0</v>
      </c>
      <c r="AQ1294" s="87" t="s">
        <v>3870</v>
      </c>
      <c r="AR1294" s="81" t="s">
        <v>179</v>
      </c>
      <c r="AS1294" s="81">
        <v>0</v>
      </c>
      <c r="AT1294" s="81">
        <v>0</v>
      </c>
      <c r="AU1294" s="81"/>
      <c r="AV1294" s="81"/>
      <c r="AW1294" s="81"/>
      <c r="AX1294" s="81"/>
      <c r="AY1294" s="81"/>
      <c r="AZ1294" s="81"/>
      <c r="BA1294" s="81"/>
      <c r="BB1294" s="81"/>
    </row>
    <row r="1295" spans="1:54" x14ac:dyDescent="0.35">
      <c r="A1295" s="66" t="s">
        <v>978</v>
      </c>
      <c r="B1295" s="66" t="s">
        <v>1200</v>
      </c>
      <c r="C1295" s="67"/>
      <c r="D1295" s="68"/>
      <c r="E1295" s="69"/>
      <c r="F1295" s="70"/>
      <c r="G1295" s="67"/>
      <c r="H1295" s="71"/>
      <c r="I1295" s="72"/>
      <c r="J1295" s="72"/>
      <c r="K1295" s="36"/>
      <c r="L1295" s="79"/>
      <c r="M1295" s="79"/>
      <c r="N1295" s="74"/>
      <c r="O1295" s="81" t="s">
        <v>1206</v>
      </c>
      <c r="P1295" s="83">
        <v>44467.062361111108</v>
      </c>
      <c r="Q1295" s="81" t="s">
        <v>1708</v>
      </c>
      <c r="R1295" s="81"/>
      <c r="S1295" s="81"/>
      <c r="T1295" s="81"/>
      <c r="U1295" s="81"/>
      <c r="V1295" s="85" t="str">
        <f>HYPERLINK("https://pbs.twimg.com/profile_images/1442101349814919168/LnqIJJYC_normal.jpg")</f>
        <v>https://pbs.twimg.com/profile_images/1442101349814919168/LnqIJJYC_normal.jpg</v>
      </c>
      <c r="W1295" s="83">
        <v>44467.062361111108</v>
      </c>
      <c r="X1295" s="89">
        <v>44467</v>
      </c>
      <c r="Y1295" s="87" t="s">
        <v>2686</v>
      </c>
      <c r="Z1295" s="85" t="str">
        <f>HYPERLINK("https://twitter.com/printsu_k/status/1442662793916805123")</f>
        <v>https://twitter.com/printsu_k/status/1442662793916805123</v>
      </c>
      <c r="AA1295" s="81"/>
      <c r="AB1295" s="81"/>
      <c r="AC1295" s="87" t="s">
        <v>3616</v>
      </c>
      <c r="AD1295" s="81"/>
      <c r="AE1295" s="81" t="b">
        <v>0</v>
      </c>
      <c r="AF1295" s="81">
        <v>1</v>
      </c>
      <c r="AG1295" s="87" t="s">
        <v>3875</v>
      </c>
      <c r="AH1295" s="81" t="b">
        <v>0</v>
      </c>
      <c r="AI1295" s="81" t="s">
        <v>4092</v>
      </c>
      <c r="AJ1295" s="81"/>
      <c r="AK1295" s="87" t="s">
        <v>3875</v>
      </c>
      <c r="AL1295" s="81" t="b">
        <v>0</v>
      </c>
      <c r="AM1295" s="81">
        <v>1</v>
      </c>
      <c r="AN1295" s="87" t="s">
        <v>3875</v>
      </c>
      <c r="AO1295" s="87" t="s">
        <v>4109</v>
      </c>
      <c r="AP1295" s="81" t="b">
        <v>0</v>
      </c>
      <c r="AQ1295" s="87" t="s">
        <v>3616</v>
      </c>
      <c r="AR1295" s="81" t="s">
        <v>179</v>
      </c>
      <c r="AS1295" s="81">
        <v>0</v>
      </c>
      <c r="AT1295" s="81">
        <v>0</v>
      </c>
      <c r="AU1295" s="81"/>
      <c r="AV1295" s="81"/>
      <c r="AW1295" s="81"/>
      <c r="AX1295" s="81"/>
      <c r="AY1295" s="81"/>
      <c r="AZ1295" s="81"/>
      <c r="BA1295" s="81"/>
      <c r="BB1295" s="81"/>
    </row>
    <row r="1296" spans="1:54" x14ac:dyDescent="0.35">
      <c r="A1296" s="66" t="s">
        <v>979</v>
      </c>
      <c r="B1296" s="66" t="s">
        <v>1200</v>
      </c>
      <c r="C1296" s="67"/>
      <c r="D1296" s="68"/>
      <c r="E1296" s="69"/>
      <c r="F1296" s="70"/>
      <c r="G1296" s="67"/>
      <c r="H1296" s="71"/>
      <c r="I1296" s="72"/>
      <c r="J1296" s="72"/>
      <c r="K1296" s="36"/>
      <c r="L1296" s="79"/>
      <c r="M1296" s="79"/>
      <c r="N1296" s="74"/>
      <c r="O1296" s="81" t="s">
        <v>1207</v>
      </c>
      <c r="P1296" s="83">
        <v>44467.103622685187</v>
      </c>
      <c r="Q1296" s="81" t="s">
        <v>1708</v>
      </c>
      <c r="R1296" s="81"/>
      <c r="S1296" s="81"/>
      <c r="T1296" s="81"/>
      <c r="U1296" s="81"/>
      <c r="V1296" s="85" t="str">
        <f>HYPERLINK("https://pbs.twimg.com/profile_images/1224188091721752576/Zg8FRx4L_normal.jpg")</f>
        <v>https://pbs.twimg.com/profile_images/1224188091721752576/Zg8FRx4L_normal.jpg</v>
      </c>
      <c r="W1296" s="83">
        <v>44467.103622685187</v>
      </c>
      <c r="X1296" s="89">
        <v>44467</v>
      </c>
      <c r="Y1296" s="87" t="s">
        <v>2687</v>
      </c>
      <c r="Z1296" s="85" t="str">
        <f>HYPERLINK("https://twitter.com/chscproject/status/1442677749659934722")</f>
        <v>https://twitter.com/chscproject/status/1442677749659934722</v>
      </c>
      <c r="AA1296" s="81"/>
      <c r="AB1296" s="81"/>
      <c r="AC1296" s="87" t="s">
        <v>3617</v>
      </c>
      <c r="AD1296" s="81"/>
      <c r="AE1296" s="81" t="b">
        <v>0</v>
      </c>
      <c r="AF1296" s="81">
        <v>0</v>
      </c>
      <c r="AG1296" s="87" t="s">
        <v>3875</v>
      </c>
      <c r="AH1296" s="81" t="b">
        <v>0</v>
      </c>
      <c r="AI1296" s="81" t="s">
        <v>4092</v>
      </c>
      <c r="AJ1296" s="81"/>
      <c r="AK1296" s="87" t="s">
        <v>3875</v>
      </c>
      <c r="AL1296" s="81" t="b">
        <v>0</v>
      </c>
      <c r="AM1296" s="81">
        <v>1</v>
      </c>
      <c r="AN1296" s="87" t="s">
        <v>3616</v>
      </c>
      <c r="AO1296" s="87" t="s">
        <v>4139</v>
      </c>
      <c r="AP1296" s="81" t="b">
        <v>0</v>
      </c>
      <c r="AQ1296" s="87" t="s">
        <v>3616</v>
      </c>
      <c r="AR1296" s="81" t="s">
        <v>179</v>
      </c>
      <c r="AS1296" s="81">
        <v>0</v>
      </c>
      <c r="AT1296" s="81">
        <v>0</v>
      </c>
      <c r="AU1296" s="81"/>
      <c r="AV1296" s="81"/>
      <c r="AW1296" s="81"/>
      <c r="AX1296" s="81"/>
      <c r="AY1296" s="81"/>
      <c r="AZ1296" s="81"/>
      <c r="BA1296" s="81"/>
      <c r="BB1296" s="81"/>
    </row>
    <row r="1297" spans="1:54" x14ac:dyDescent="0.35">
      <c r="A1297" s="66" t="s">
        <v>979</v>
      </c>
      <c r="B1297" s="66" t="s">
        <v>978</v>
      </c>
      <c r="C1297" s="67"/>
      <c r="D1297" s="68"/>
      <c r="E1297" s="69"/>
      <c r="F1297" s="70"/>
      <c r="G1297" s="67"/>
      <c r="H1297" s="71"/>
      <c r="I1297" s="72"/>
      <c r="J1297" s="72"/>
      <c r="K1297" s="36"/>
      <c r="L1297" s="79"/>
      <c r="M1297" s="79"/>
      <c r="N1297" s="74"/>
      <c r="O1297" s="81" t="s">
        <v>1205</v>
      </c>
      <c r="P1297" s="83">
        <v>44467.103622685187</v>
      </c>
      <c r="Q1297" s="81" t="s">
        <v>1708</v>
      </c>
      <c r="R1297" s="81"/>
      <c r="S1297" s="81"/>
      <c r="T1297" s="81"/>
      <c r="U1297" s="81"/>
      <c r="V1297" s="85" t="str">
        <f>HYPERLINK("https://pbs.twimg.com/profile_images/1224188091721752576/Zg8FRx4L_normal.jpg")</f>
        <v>https://pbs.twimg.com/profile_images/1224188091721752576/Zg8FRx4L_normal.jpg</v>
      </c>
      <c r="W1297" s="83">
        <v>44467.103622685187</v>
      </c>
      <c r="X1297" s="89">
        <v>44467</v>
      </c>
      <c r="Y1297" s="87" t="s">
        <v>2687</v>
      </c>
      <c r="Z1297" s="85" t="str">
        <f>HYPERLINK("https://twitter.com/chscproject/status/1442677749659934722")</f>
        <v>https://twitter.com/chscproject/status/1442677749659934722</v>
      </c>
      <c r="AA1297" s="81"/>
      <c r="AB1297" s="81"/>
      <c r="AC1297" s="87" t="s">
        <v>3617</v>
      </c>
      <c r="AD1297" s="81"/>
      <c r="AE1297" s="81" t="b">
        <v>0</v>
      </c>
      <c r="AF1297" s="81">
        <v>0</v>
      </c>
      <c r="AG1297" s="87" t="s">
        <v>3875</v>
      </c>
      <c r="AH1297" s="81" t="b">
        <v>0</v>
      </c>
      <c r="AI1297" s="81" t="s">
        <v>4092</v>
      </c>
      <c r="AJ1297" s="81"/>
      <c r="AK1297" s="87" t="s">
        <v>3875</v>
      </c>
      <c r="AL1297" s="81" t="b">
        <v>0</v>
      </c>
      <c r="AM1297" s="81">
        <v>1</v>
      </c>
      <c r="AN1297" s="87" t="s">
        <v>3616</v>
      </c>
      <c r="AO1297" s="87" t="s">
        <v>4139</v>
      </c>
      <c r="AP1297" s="81" t="b">
        <v>0</v>
      </c>
      <c r="AQ1297" s="87" t="s">
        <v>3616</v>
      </c>
      <c r="AR1297" s="81" t="s">
        <v>179</v>
      </c>
      <c r="AS1297" s="81">
        <v>0</v>
      </c>
      <c r="AT1297" s="81">
        <v>0</v>
      </c>
      <c r="AU1297" s="81"/>
      <c r="AV1297" s="81"/>
      <c r="AW1297" s="81"/>
      <c r="AX1297" s="81"/>
      <c r="AY1297" s="81"/>
      <c r="AZ1297" s="81"/>
      <c r="BA1297" s="81"/>
      <c r="BB1297" s="81"/>
    </row>
    <row r="1298" spans="1:54" x14ac:dyDescent="0.35">
      <c r="A1298" s="66" t="s">
        <v>980</v>
      </c>
      <c r="B1298" s="66" t="s">
        <v>1018</v>
      </c>
      <c r="C1298" s="67"/>
      <c r="D1298" s="68"/>
      <c r="E1298" s="69"/>
      <c r="F1298" s="70"/>
      <c r="G1298" s="67"/>
      <c r="H1298" s="71"/>
      <c r="I1298" s="72"/>
      <c r="J1298" s="72"/>
      <c r="K1298" s="36"/>
      <c r="L1298" s="79"/>
      <c r="M1298" s="79"/>
      <c r="N1298" s="74"/>
      <c r="O1298" s="81" t="s">
        <v>1206</v>
      </c>
      <c r="P1298" s="83">
        <v>44467.111921296295</v>
      </c>
      <c r="Q1298" s="81" t="s">
        <v>1709</v>
      </c>
      <c r="R1298" s="81"/>
      <c r="S1298" s="81"/>
      <c r="T1298" s="81"/>
      <c r="U1298" s="81"/>
      <c r="V1298" s="85" t="str">
        <f>HYPERLINK("https://pbs.twimg.com/profile_images/1428709889350672387/Zabalhzh_normal.jpg")</f>
        <v>https://pbs.twimg.com/profile_images/1428709889350672387/Zabalhzh_normal.jpg</v>
      </c>
      <c r="W1298" s="83">
        <v>44467.111921296295</v>
      </c>
      <c r="X1298" s="89">
        <v>44467</v>
      </c>
      <c r="Y1298" s="87" t="s">
        <v>2688</v>
      </c>
      <c r="Z1298" s="85" t="str">
        <f>HYPERLINK("https://twitter.com/xuxilion_/status/1442680756426313730")</f>
        <v>https://twitter.com/xuxilion_/status/1442680756426313730</v>
      </c>
      <c r="AA1298" s="81"/>
      <c r="AB1298" s="81"/>
      <c r="AC1298" s="87" t="s">
        <v>3618</v>
      </c>
      <c r="AD1298" s="87" t="s">
        <v>3871</v>
      </c>
      <c r="AE1298" s="81" t="b">
        <v>0</v>
      </c>
      <c r="AF1298" s="81">
        <v>0</v>
      </c>
      <c r="AG1298" s="87" t="s">
        <v>4087</v>
      </c>
      <c r="AH1298" s="81" t="b">
        <v>0</v>
      </c>
      <c r="AI1298" s="81" t="s">
        <v>4092</v>
      </c>
      <c r="AJ1298" s="81"/>
      <c r="AK1298" s="87" t="s">
        <v>3875</v>
      </c>
      <c r="AL1298" s="81" t="b">
        <v>0</v>
      </c>
      <c r="AM1298" s="81">
        <v>0</v>
      </c>
      <c r="AN1298" s="87" t="s">
        <v>3875</v>
      </c>
      <c r="AO1298" s="87" t="s">
        <v>4109</v>
      </c>
      <c r="AP1298" s="81" t="b">
        <v>0</v>
      </c>
      <c r="AQ1298" s="87" t="s">
        <v>3871</v>
      </c>
      <c r="AR1298" s="81" t="s">
        <v>179</v>
      </c>
      <c r="AS1298" s="81">
        <v>0</v>
      </c>
      <c r="AT1298" s="81">
        <v>0</v>
      </c>
      <c r="AU1298" s="81"/>
      <c r="AV1298" s="81"/>
      <c r="AW1298" s="81"/>
      <c r="AX1298" s="81"/>
      <c r="AY1298" s="81"/>
      <c r="AZ1298" s="81"/>
      <c r="BA1298" s="81"/>
      <c r="BB1298" s="81"/>
    </row>
    <row r="1299" spans="1:54" x14ac:dyDescent="0.35">
      <c r="A1299" s="66" t="s">
        <v>980</v>
      </c>
      <c r="B1299" s="66" t="s">
        <v>1201</v>
      </c>
      <c r="C1299" s="67"/>
      <c r="D1299" s="68"/>
      <c r="E1299" s="69"/>
      <c r="F1299" s="70"/>
      <c r="G1299" s="67"/>
      <c r="H1299" s="71"/>
      <c r="I1299" s="72"/>
      <c r="J1299" s="72"/>
      <c r="K1299" s="36"/>
      <c r="L1299" s="79"/>
      <c r="M1299" s="79"/>
      <c r="N1299" s="74"/>
      <c r="O1299" s="81" t="s">
        <v>1208</v>
      </c>
      <c r="P1299" s="83">
        <v>44467.111921296295</v>
      </c>
      <c r="Q1299" s="81" t="s">
        <v>1709</v>
      </c>
      <c r="R1299" s="81"/>
      <c r="S1299" s="81"/>
      <c r="T1299" s="81"/>
      <c r="U1299" s="81"/>
      <c r="V1299" s="85" t="str">
        <f>HYPERLINK("https://pbs.twimg.com/profile_images/1428709889350672387/Zabalhzh_normal.jpg")</f>
        <v>https://pbs.twimg.com/profile_images/1428709889350672387/Zabalhzh_normal.jpg</v>
      </c>
      <c r="W1299" s="83">
        <v>44467.111921296295</v>
      </c>
      <c r="X1299" s="89">
        <v>44467</v>
      </c>
      <c r="Y1299" s="87" t="s">
        <v>2688</v>
      </c>
      <c r="Z1299" s="85" t="str">
        <f>HYPERLINK("https://twitter.com/xuxilion_/status/1442680756426313730")</f>
        <v>https://twitter.com/xuxilion_/status/1442680756426313730</v>
      </c>
      <c r="AA1299" s="81"/>
      <c r="AB1299" s="81"/>
      <c r="AC1299" s="87" t="s">
        <v>3618</v>
      </c>
      <c r="AD1299" s="87" t="s">
        <v>3871</v>
      </c>
      <c r="AE1299" s="81" t="b">
        <v>0</v>
      </c>
      <c r="AF1299" s="81">
        <v>0</v>
      </c>
      <c r="AG1299" s="87" t="s">
        <v>4087</v>
      </c>
      <c r="AH1299" s="81" t="b">
        <v>0</v>
      </c>
      <c r="AI1299" s="81" t="s">
        <v>4092</v>
      </c>
      <c r="AJ1299" s="81"/>
      <c r="AK1299" s="87" t="s">
        <v>3875</v>
      </c>
      <c r="AL1299" s="81" t="b">
        <v>0</v>
      </c>
      <c r="AM1299" s="81">
        <v>0</v>
      </c>
      <c r="AN1299" s="87" t="s">
        <v>3875</v>
      </c>
      <c r="AO1299" s="87" t="s">
        <v>4109</v>
      </c>
      <c r="AP1299" s="81" t="b">
        <v>0</v>
      </c>
      <c r="AQ1299" s="87" t="s">
        <v>3871</v>
      </c>
      <c r="AR1299" s="81" t="s">
        <v>179</v>
      </c>
      <c r="AS1299" s="81">
        <v>0</v>
      </c>
      <c r="AT1299" s="81">
        <v>0</v>
      </c>
      <c r="AU1299" s="81"/>
      <c r="AV1299" s="81"/>
      <c r="AW1299" s="81"/>
      <c r="AX1299" s="81"/>
      <c r="AY1299" s="81"/>
      <c r="AZ1299" s="81"/>
      <c r="BA1299" s="81"/>
      <c r="BB1299" s="81"/>
    </row>
    <row r="1300" spans="1:54" x14ac:dyDescent="0.35">
      <c r="A1300" s="66" t="s">
        <v>981</v>
      </c>
      <c r="B1300" s="66" t="s">
        <v>981</v>
      </c>
      <c r="C1300" s="67"/>
      <c r="D1300" s="68"/>
      <c r="E1300" s="69"/>
      <c r="F1300" s="70"/>
      <c r="G1300" s="67"/>
      <c r="H1300" s="71"/>
      <c r="I1300" s="72"/>
      <c r="J1300" s="72"/>
      <c r="K1300" s="36"/>
      <c r="L1300" s="79"/>
      <c r="M1300" s="79"/>
      <c r="N1300" s="74"/>
      <c r="O1300" s="81" t="s">
        <v>179</v>
      </c>
      <c r="P1300" s="83">
        <v>44458.997777777775</v>
      </c>
      <c r="Q1300" s="81" t="s">
        <v>1269</v>
      </c>
      <c r="R1300" s="81"/>
      <c r="S1300" s="81"/>
      <c r="T1300" s="87" t="s">
        <v>1761</v>
      </c>
      <c r="U1300" s="85" t="str">
        <f>HYPERLINK("https://pbs.twimg.com/media/E_r8KZzVcAMmGuJ.jpg")</f>
        <v>https://pbs.twimg.com/media/E_r8KZzVcAMmGuJ.jpg</v>
      </c>
      <c r="V1300" s="85" t="str">
        <f>HYPERLINK("https://pbs.twimg.com/media/E_r8KZzVcAMmGuJ.jpg")</f>
        <v>https://pbs.twimg.com/media/E_r8KZzVcAMmGuJ.jpg</v>
      </c>
      <c r="W1300" s="83">
        <v>44458.997777777775</v>
      </c>
      <c r="X1300" s="89">
        <v>44458</v>
      </c>
      <c r="Y1300" s="87" t="s">
        <v>2689</v>
      </c>
      <c r="Z1300" s="85" t="str">
        <f>HYPERLINK("https://twitter.com/tmcpoldametro/status/1439740288725962757")</f>
        <v>https://twitter.com/tmcpoldametro/status/1439740288725962757</v>
      </c>
      <c r="AA1300" s="81"/>
      <c r="AB1300" s="81"/>
      <c r="AC1300" s="87" t="s">
        <v>3619</v>
      </c>
      <c r="AD1300" s="81"/>
      <c r="AE1300" s="81" t="b">
        <v>0</v>
      </c>
      <c r="AF1300" s="81">
        <v>7</v>
      </c>
      <c r="AG1300" s="87" t="s">
        <v>3875</v>
      </c>
      <c r="AH1300" s="81" t="b">
        <v>0</v>
      </c>
      <c r="AI1300" s="81" t="s">
        <v>4092</v>
      </c>
      <c r="AJ1300" s="81"/>
      <c r="AK1300" s="87" t="s">
        <v>3875</v>
      </c>
      <c r="AL1300" s="81" t="b">
        <v>0</v>
      </c>
      <c r="AM1300" s="81">
        <v>5</v>
      </c>
      <c r="AN1300" s="87" t="s">
        <v>3875</v>
      </c>
      <c r="AO1300" s="87" t="s">
        <v>4109</v>
      </c>
      <c r="AP1300" s="81" t="b">
        <v>0</v>
      </c>
      <c r="AQ1300" s="87" t="s">
        <v>3619</v>
      </c>
      <c r="AR1300" s="81" t="s">
        <v>179</v>
      </c>
      <c r="AS1300" s="81">
        <v>0</v>
      </c>
      <c r="AT1300" s="81">
        <v>0</v>
      </c>
      <c r="AU1300" s="81"/>
      <c r="AV1300" s="81"/>
      <c r="AW1300" s="81"/>
      <c r="AX1300" s="81"/>
      <c r="AY1300" s="81"/>
      <c r="AZ1300" s="81"/>
      <c r="BA1300" s="81"/>
      <c r="BB1300" s="81"/>
    </row>
    <row r="1301" spans="1:54" x14ac:dyDescent="0.35">
      <c r="A1301" s="66" t="s">
        <v>981</v>
      </c>
      <c r="B1301" s="66" t="s">
        <v>981</v>
      </c>
      <c r="C1301" s="67"/>
      <c r="D1301" s="68"/>
      <c r="E1301" s="69"/>
      <c r="F1301" s="70"/>
      <c r="G1301" s="67"/>
      <c r="H1301" s="71"/>
      <c r="I1301" s="72"/>
      <c r="J1301" s="72"/>
      <c r="K1301" s="36"/>
      <c r="L1301" s="79"/>
      <c r="M1301" s="79"/>
      <c r="N1301" s="74"/>
      <c r="O1301" s="81" t="s">
        <v>179</v>
      </c>
      <c r="P1301" s="83">
        <v>44459.95239583333</v>
      </c>
      <c r="Q1301" s="81" t="s">
        <v>1322</v>
      </c>
      <c r="R1301" s="81"/>
      <c r="S1301" s="81"/>
      <c r="T1301" s="87" t="s">
        <v>1761</v>
      </c>
      <c r="U1301" s="85" t="str">
        <f>HYPERLINK("https://pbs.twimg.com/media/E_w2xwgUcAcN61c.jpg")</f>
        <v>https://pbs.twimg.com/media/E_w2xwgUcAcN61c.jpg</v>
      </c>
      <c r="V1301" s="85" t="str">
        <f>HYPERLINK("https://pbs.twimg.com/media/E_w2xwgUcAcN61c.jpg")</f>
        <v>https://pbs.twimg.com/media/E_w2xwgUcAcN61c.jpg</v>
      </c>
      <c r="W1301" s="83">
        <v>44459.95239583333</v>
      </c>
      <c r="X1301" s="89">
        <v>44459</v>
      </c>
      <c r="Y1301" s="87" t="s">
        <v>2690</v>
      </c>
      <c r="Z1301" s="85" t="str">
        <f>HYPERLINK("https://twitter.com/tmcpoldametro/status/1440086230226505732")</f>
        <v>https://twitter.com/tmcpoldametro/status/1440086230226505732</v>
      </c>
      <c r="AA1301" s="81"/>
      <c r="AB1301" s="81"/>
      <c r="AC1301" s="87" t="s">
        <v>3620</v>
      </c>
      <c r="AD1301" s="81"/>
      <c r="AE1301" s="81" t="b">
        <v>0</v>
      </c>
      <c r="AF1301" s="81">
        <v>9</v>
      </c>
      <c r="AG1301" s="87" t="s">
        <v>3875</v>
      </c>
      <c r="AH1301" s="81" t="b">
        <v>0</v>
      </c>
      <c r="AI1301" s="81" t="s">
        <v>4092</v>
      </c>
      <c r="AJ1301" s="81"/>
      <c r="AK1301" s="87" t="s">
        <v>3875</v>
      </c>
      <c r="AL1301" s="81" t="b">
        <v>0</v>
      </c>
      <c r="AM1301" s="81">
        <v>5</v>
      </c>
      <c r="AN1301" s="87" t="s">
        <v>3875</v>
      </c>
      <c r="AO1301" s="87" t="s">
        <v>4124</v>
      </c>
      <c r="AP1301" s="81" t="b">
        <v>0</v>
      </c>
      <c r="AQ1301" s="87" t="s">
        <v>3620</v>
      </c>
      <c r="AR1301" s="81" t="s">
        <v>179</v>
      </c>
      <c r="AS1301" s="81">
        <v>0</v>
      </c>
      <c r="AT1301" s="81">
        <v>0</v>
      </c>
      <c r="AU1301" s="81"/>
      <c r="AV1301" s="81"/>
      <c r="AW1301" s="81"/>
      <c r="AX1301" s="81"/>
      <c r="AY1301" s="81"/>
      <c r="AZ1301" s="81"/>
      <c r="BA1301" s="81"/>
      <c r="BB1301" s="81"/>
    </row>
    <row r="1302" spans="1:54" x14ac:dyDescent="0.35">
      <c r="A1302" s="66" t="s">
        <v>981</v>
      </c>
      <c r="B1302" s="66" t="s">
        <v>981</v>
      </c>
      <c r="C1302" s="67"/>
      <c r="D1302" s="68"/>
      <c r="E1302" s="69"/>
      <c r="F1302" s="70"/>
      <c r="G1302" s="67"/>
      <c r="H1302" s="71"/>
      <c r="I1302" s="72"/>
      <c r="J1302" s="72"/>
      <c r="K1302" s="36"/>
      <c r="L1302" s="79"/>
      <c r="M1302" s="79"/>
      <c r="N1302" s="74"/>
      <c r="O1302" s="81" t="s">
        <v>179</v>
      </c>
      <c r="P1302" s="83">
        <v>44460.9690162037</v>
      </c>
      <c r="Q1302" s="81" t="s">
        <v>1370</v>
      </c>
      <c r="R1302" s="81"/>
      <c r="S1302" s="81"/>
      <c r="T1302" s="87" t="s">
        <v>1761</v>
      </c>
      <c r="U1302" s="85" t="str">
        <f>HYPERLINK("https://pbs.twimg.com/media/E_2F2szVgAAqDwo.jpg")</f>
        <v>https://pbs.twimg.com/media/E_2F2szVgAAqDwo.jpg</v>
      </c>
      <c r="V1302" s="85" t="str">
        <f>HYPERLINK("https://pbs.twimg.com/media/E_2F2szVgAAqDwo.jpg")</f>
        <v>https://pbs.twimg.com/media/E_2F2szVgAAqDwo.jpg</v>
      </c>
      <c r="W1302" s="83">
        <v>44460.9690162037</v>
      </c>
      <c r="X1302" s="89">
        <v>44460</v>
      </c>
      <c r="Y1302" s="87" t="s">
        <v>2691</v>
      </c>
      <c r="Z1302" s="85" t="str">
        <f>HYPERLINK("https://twitter.com/tmcpoldametro/status/1440454643054645253")</f>
        <v>https://twitter.com/tmcpoldametro/status/1440454643054645253</v>
      </c>
      <c r="AA1302" s="81"/>
      <c r="AB1302" s="81"/>
      <c r="AC1302" s="87" t="s">
        <v>3621</v>
      </c>
      <c r="AD1302" s="81"/>
      <c r="AE1302" s="81" t="b">
        <v>0</v>
      </c>
      <c r="AF1302" s="81">
        <v>8</v>
      </c>
      <c r="AG1302" s="87" t="s">
        <v>3875</v>
      </c>
      <c r="AH1302" s="81" t="b">
        <v>0</v>
      </c>
      <c r="AI1302" s="81" t="s">
        <v>4092</v>
      </c>
      <c r="AJ1302" s="81"/>
      <c r="AK1302" s="87" t="s">
        <v>3875</v>
      </c>
      <c r="AL1302" s="81" t="b">
        <v>0</v>
      </c>
      <c r="AM1302" s="81">
        <v>3</v>
      </c>
      <c r="AN1302" s="87" t="s">
        <v>3875</v>
      </c>
      <c r="AO1302" s="87" t="s">
        <v>4124</v>
      </c>
      <c r="AP1302" s="81" t="b">
        <v>0</v>
      </c>
      <c r="AQ1302" s="87" t="s">
        <v>3621</v>
      </c>
      <c r="AR1302" s="81" t="s">
        <v>179</v>
      </c>
      <c r="AS1302" s="81">
        <v>0</v>
      </c>
      <c r="AT1302" s="81">
        <v>0</v>
      </c>
      <c r="AU1302" s="81"/>
      <c r="AV1302" s="81"/>
      <c r="AW1302" s="81"/>
      <c r="AX1302" s="81"/>
      <c r="AY1302" s="81"/>
      <c r="AZ1302" s="81"/>
      <c r="BA1302" s="81"/>
      <c r="BB1302" s="81"/>
    </row>
    <row r="1303" spans="1:54" x14ac:dyDescent="0.35">
      <c r="A1303" s="66" t="s">
        <v>981</v>
      </c>
      <c r="B1303" s="66" t="s">
        <v>981</v>
      </c>
      <c r="C1303" s="67"/>
      <c r="D1303" s="68"/>
      <c r="E1303" s="69"/>
      <c r="F1303" s="70"/>
      <c r="G1303" s="67"/>
      <c r="H1303" s="71"/>
      <c r="I1303" s="72"/>
      <c r="J1303" s="72"/>
      <c r="K1303" s="36"/>
      <c r="L1303" s="79"/>
      <c r="M1303" s="79"/>
      <c r="N1303" s="74"/>
      <c r="O1303" s="81" t="s">
        <v>179</v>
      </c>
      <c r="P1303" s="83">
        <v>44461.980856481481</v>
      </c>
      <c r="Q1303" s="81" t="s">
        <v>1423</v>
      </c>
      <c r="R1303" s="81"/>
      <c r="S1303" s="81"/>
      <c r="T1303" s="87" t="s">
        <v>1761</v>
      </c>
      <c r="U1303" s="85" t="str">
        <f>HYPERLINK("https://pbs.twimg.com/media/E_7TTslUcAUqXs5.jpg")</f>
        <v>https://pbs.twimg.com/media/E_7TTslUcAUqXs5.jpg</v>
      </c>
      <c r="V1303" s="85" t="str">
        <f>HYPERLINK("https://pbs.twimg.com/media/E_7TTslUcAUqXs5.jpg")</f>
        <v>https://pbs.twimg.com/media/E_7TTslUcAUqXs5.jpg</v>
      </c>
      <c r="W1303" s="83">
        <v>44461.980856481481</v>
      </c>
      <c r="X1303" s="89">
        <v>44461</v>
      </c>
      <c r="Y1303" s="87" t="s">
        <v>2692</v>
      </c>
      <c r="Z1303" s="85" t="str">
        <f>HYPERLINK("https://twitter.com/tmcpoldametro/status/1440821318971052032")</f>
        <v>https://twitter.com/tmcpoldametro/status/1440821318971052032</v>
      </c>
      <c r="AA1303" s="81"/>
      <c r="AB1303" s="81"/>
      <c r="AC1303" s="87" t="s">
        <v>3622</v>
      </c>
      <c r="AD1303" s="81"/>
      <c r="AE1303" s="81" t="b">
        <v>0</v>
      </c>
      <c r="AF1303" s="81">
        <v>4</v>
      </c>
      <c r="AG1303" s="87" t="s">
        <v>3875</v>
      </c>
      <c r="AH1303" s="81" t="b">
        <v>0</v>
      </c>
      <c r="AI1303" s="81" t="s">
        <v>4092</v>
      </c>
      <c r="AJ1303" s="81"/>
      <c r="AK1303" s="87" t="s">
        <v>3875</v>
      </c>
      <c r="AL1303" s="81" t="b">
        <v>0</v>
      </c>
      <c r="AM1303" s="81">
        <v>2</v>
      </c>
      <c r="AN1303" s="87" t="s">
        <v>3875</v>
      </c>
      <c r="AO1303" s="87" t="s">
        <v>4124</v>
      </c>
      <c r="AP1303" s="81" t="b">
        <v>0</v>
      </c>
      <c r="AQ1303" s="87" t="s">
        <v>3622</v>
      </c>
      <c r="AR1303" s="81" t="s">
        <v>179</v>
      </c>
      <c r="AS1303" s="81">
        <v>0</v>
      </c>
      <c r="AT1303" s="81">
        <v>0</v>
      </c>
      <c r="AU1303" s="81"/>
      <c r="AV1303" s="81"/>
      <c r="AW1303" s="81"/>
      <c r="AX1303" s="81"/>
      <c r="AY1303" s="81"/>
      <c r="AZ1303" s="81"/>
      <c r="BA1303" s="81"/>
      <c r="BB1303" s="81"/>
    </row>
    <row r="1304" spans="1:54" x14ac:dyDescent="0.35">
      <c r="A1304" s="66" t="s">
        <v>981</v>
      </c>
      <c r="B1304" s="66" t="s">
        <v>981</v>
      </c>
      <c r="C1304" s="67"/>
      <c r="D1304" s="68"/>
      <c r="E1304" s="69"/>
      <c r="F1304" s="70"/>
      <c r="G1304" s="67"/>
      <c r="H1304" s="71"/>
      <c r="I1304" s="72"/>
      <c r="J1304" s="72"/>
      <c r="K1304" s="36"/>
      <c r="L1304" s="79"/>
      <c r="M1304" s="79"/>
      <c r="N1304" s="74"/>
      <c r="O1304" s="81" t="s">
        <v>179</v>
      </c>
      <c r="P1304" s="83">
        <v>44462.950428240743</v>
      </c>
      <c r="Q1304" s="81" t="s">
        <v>1663</v>
      </c>
      <c r="R1304" s="81"/>
      <c r="S1304" s="81"/>
      <c r="T1304" s="87" t="s">
        <v>1761</v>
      </c>
      <c r="U1304" s="85" t="str">
        <f>HYPERLINK("https://pbs.twimg.com/media/FAAS6FnUcAEsaxu.jpg")</f>
        <v>https://pbs.twimg.com/media/FAAS6FnUcAEsaxu.jpg</v>
      </c>
      <c r="V1304" s="85" t="str">
        <f>HYPERLINK("https://pbs.twimg.com/media/FAAS6FnUcAEsaxu.jpg")</f>
        <v>https://pbs.twimg.com/media/FAAS6FnUcAEsaxu.jpg</v>
      </c>
      <c r="W1304" s="83">
        <v>44462.950428240743</v>
      </c>
      <c r="X1304" s="89">
        <v>44462</v>
      </c>
      <c r="Y1304" s="87" t="s">
        <v>2693</v>
      </c>
      <c r="Z1304" s="85" t="str">
        <f>HYPERLINK("https://twitter.com/tmcpoldametro/status/1441172679222972419")</f>
        <v>https://twitter.com/tmcpoldametro/status/1441172679222972419</v>
      </c>
      <c r="AA1304" s="81"/>
      <c r="AB1304" s="81"/>
      <c r="AC1304" s="87" t="s">
        <v>3623</v>
      </c>
      <c r="AD1304" s="81"/>
      <c r="AE1304" s="81" t="b">
        <v>0</v>
      </c>
      <c r="AF1304" s="81">
        <v>6</v>
      </c>
      <c r="AG1304" s="87" t="s">
        <v>3875</v>
      </c>
      <c r="AH1304" s="81" t="b">
        <v>0</v>
      </c>
      <c r="AI1304" s="81" t="s">
        <v>4092</v>
      </c>
      <c r="AJ1304" s="81"/>
      <c r="AK1304" s="87" t="s">
        <v>3875</v>
      </c>
      <c r="AL1304" s="81" t="b">
        <v>0</v>
      </c>
      <c r="AM1304" s="81">
        <v>2</v>
      </c>
      <c r="AN1304" s="87" t="s">
        <v>3875</v>
      </c>
      <c r="AO1304" s="87" t="s">
        <v>4124</v>
      </c>
      <c r="AP1304" s="81" t="b">
        <v>0</v>
      </c>
      <c r="AQ1304" s="87" t="s">
        <v>3623</v>
      </c>
      <c r="AR1304" s="81" t="s">
        <v>179</v>
      </c>
      <c r="AS1304" s="81">
        <v>0</v>
      </c>
      <c r="AT1304" s="81">
        <v>0</v>
      </c>
      <c r="AU1304" s="81"/>
      <c r="AV1304" s="81"/>
      <c r="AW1304" s="81"/>
      <c r="AX1304" s="81"/>
      <c r="AY1304" s="81"/>
      <c r="AZ1304" s="81"/>
      <c r="BA1304" s="81"/>
      <c r="BB1304" s="81"/>
    </row>
    <row r="1305" spans="1:54" x14ac:dyDescent="0.35">
      <c r="A1305" s="66" t="s">
        <v>981</v>
      </c>
      <c r="B1305" s="66" t="s">
        <v>981</v>
      </c>
      <c r="C1305" s="67"/>
      <c r="D1305" s="68"/>
      <c r="E1305" s="69"/>
      <c r="F1305" s="70"/>
      <c r="G1305" s="67"/>
      <c r="H1305" s="71"/>
      <c r="I1305" s="72"/>
      <c r="J1305" s="72"/>
      <c r="K1305" s="36"/>
      <c r="L1305" s="79"/>
      <c r="M1305" s="79"/>
      <c r="N1305" s="74"/>
      <c r="O1305" s="81" t="s">
        <v>179</v>
      </c>
      <c r="P1305" s="83">
        <v>44463.977847222224</v>
      </c>
      <c r="Q1305" s="81" t="s">
        <v>1511</v>
      </c>
      <c r="R1305" s="81"/>
      <c r="S1305" s="81"/>
      <c r="T1305" s="87" t="s">
        <v>1761</v>
      </c>
      <c r="U1305" s="85" t="str">
        <f>HYPERLINK("https://pbs.twimg.com/media/FAFli1WVcAUQZZc.jpg")</f>
        <v>https://pbs.twimg.com/media/FAFli1WVcAUQZZc.jpg</v>
      </c>
      <c r="V1305" s="85" t="str">
        <f>HYPERLINK("https://pbs.twimg.com/media/FAFli1WVcAUQZZc.jpg")</f>
        <v>https://pbs.twimg.com/media/FAFli1WVcAUQZZc.jpg</v>
      </c>
      <c r="W1305" s="83">
        <v>44463.977847222224</v>
      </c>
      <c r="X1305" s="89">
        <v>44463</v>
      </c>
      <c r="Y1305" s="87" t="s">
        <v>2694</v>
      </c>
      <c r="Z1305" s="85" t="str">
        <f>HYPERLINK("https://twitter.com/tmcpoldametro/status/1441545006943072257")</f>
        <v>https://twitter.com/tmcpoldametro/status/1441545006943072257</v>
      </c>
      <c r="AA1305" s="81"/>
      <c r="AB1305" s="81"/>
      <c r="AC1305" s="87" t="s">
        <v>3624</v>
      </c>
      <c r="AD1305" s="81"/>
      <c r="AE1305" s="81" t="b">
        <v>0</v>
      </c>
      <c r="AF1305" s="81">
        <v>10</v>
      </c>
      <c r="AG1305" s="87" t="s">
        <v>3875</v>
      </c>
      <c r="AH1305" s="81" t="b">
        <v>0</v>
      </c>
      <c r="AI1305" s="81" t="s">
        <v>4092</v>
      </c>
      <c r="AJ1305" s="81"/>
      <c r="AK1305" s="87" t="s">
        <v>3875</v>
      </c>
      <c r="AL1305" s="81" t="b">
        <v>0</v>
      </c>
      <c r="AM1305" s="81">
        <v>3</v>
      </c>
      <c r="AN1305" s="87" t="s">
        <v>3875</v>
      </c>
      <c r="AO1305" s="87" t="s">
        <v>4109</v>
      </c>
      <c r="AP1305" s="81" t="b">
        <v>0</v>
      </c>
      <c r="AQ1305" s="87" t="s">
        <v>3624</v>
      </c>
      <c r="AR1305" s="81" t="s">
        <v>179</v>
      </c>
      <c r="AS1305" s="81">
        <v>0</v>
      </c>
      <c r="AT1305" s="81">
        <v>0</v>
      </c>
      <c r="AU1305" s="81"/>
      <c r="AV1305" s="81"/>
      <c r="AW1305" s="81"/>
      <c r="AX1305" s="81"/>
      <c r="AY1305" s="81"/>
      <c r="AZ1305" s="81"/>
      <c r="BA1305" s="81"/>
      <c r="BB1305" s="81"/>
    </row>
    <row r="1306" spans="1:54" x14ac:dyDescent="0.35">
      <c r="A1306" s="66" t="s">
        <v>981</v>
      </c>
      <c r="B1306" s="66" t="s">
        <v>981</v>
      </c>
      <c r="C1306" s="67"/>
      <c r="D1306" s="68"/>
      <c r="E1306" s="69"/>
      <c r="F1306" s="70"/>
      <c r="G1306" s="67"/>
      <c r="H1306" s="71"/>
      <c r="I1306" s="72"/>
      <c r="J1306" s="72"/>
      <c r="K1306" s="36"/>
      <c r="L1306" s="79"/>
      <c r="M1306" s="79"/>
      <c r="N1306" s="74"/>
      <c r="O1306" s="81" t="s">
        <v>179</v>
      </c>
      <c r="P1306" s="83">
        <v>44465.952349537038</v>
      </c>
      <c r="Q1306" s="81" t="s">
        <v>1576</v>
      </c>
      <c r="R1306" s="81"/>
      <c r="S1306" s="81"/>
      <c r="T1306" s="87" t="s">
        <v>1761</v>
      </c>
      <c r="U1306" s="85" t="str">
        <f>HYPERLINK("https://pbs.twimg.com/media/FAPwTs6VcAE_0ZE.jpg")</f>
        <v>https://pbs.twimg.com/media/FAPwTs6VcAE_0ZE.jpg</v>
      </c>
      <c r="V1306" s="85" t="str">
        <f>HYPERLINK("https://pbs.twimg.com/media/FAPwTs6VcAE_0ZE.jpg")</f>
        <v>https://pbs.twimg.com/media/FAPwTs6VcAE_0ZE.jpg</v>
      </c>
      <c r="W1306" s="83">
        <v>44465.952349537038</v>
      </c>
      <c r="X1306" s="89">
        <v>44465</v>
      </c>
      <c r="Y1306" s="87" t="s">
        <v>2695</v>
      </c>
      <c r="Z1306" s="85" t="str">
        <f>HYPERLINK("https://twitter.com/tmcpoldametro/status/1442260542031216642")</f>
        <v>https://twitter.com/tmcpoldametro/status/1442260542031216642</v>
      </c>
      <c r="AA1306" s="81"/>
      <c r="AB1306" s="81"/>
      <c r="AC1306" s="87" t="s">
        <v>3625</v>
      </c>
      <c r="AD1306" s="81"/>
      <c r="AE1306" s="81" t="b">
        <v>0</v>
      </c>
      <c r="AF1306" s="81">
        <v>7</v>
      </c>
      <c r="AG1306" s="87" t="s">
        <v>3875</v>
      </c>
      <c r="AH1306" s="81" t="b">
        <v>0</v>
      </c>
      <c r="AI1306" s="81" t="s">
        <v>4092</v>
      </c>
      <c r="AJ1306" s="81"/>
      <c r="AK1306" s="87" t="s">
        <v>3875</v>
      </c>
      <c r="AL1306" s="81" t="b">
        <v>0</v>
      </c>
      <c r="AM1306" s="81">
        <v>2</v>
      </c>
      <c r="AN1306" s="87" t="s">
        <v>3875</v>
      </c>
      <c r="AO1306" s="87" t="s">
        <v>4124</v>
      </c>
      <c r="AP1306" s="81" t="b">
        <v>0</v>
      </c>
      <c r="AQ1306" s="87" t="s">
        <v>3625</v>
      </c>
      <c r="AR1306" s="81" t="s">
        <v>179</v>
      </c>
      <c r="AS1306" s="81">
        <v>0</v>
      </c>
      <c r="AT1306" s="81">
        <v>0</v>
      </c>
      <c r="AU1306" s="81"/>
      <c r="AV1306" s="81"/>
      <c r="AW1306" s="81"/>
      <c r="AX1306" s="81"/>
      <c r="AY1306" s="81"/>
      <c r="AZ1306" s="81"/>
      <c r="BA1306" s="81"/>
      <c r="BB1306" s="81"/>
    </row>
    <row r="1307" spans="1:54" x14ac:dyDescent="0.35">
      <c r="A1307" s="66" t="s">
        <v>981</v>
      </c>
      <c r="B1307" s="66" t="s">
        <v>981</v>
      </c>
      <c r="C1307" s="67"/>
      <c r="D1307" s="68"/>
      <c r="E1307" s="69"/>
      <c r="F1307" s="70"/>
      <c r="G1307" s="67"/>
      <c r="H1307" s="71"/>
      <c r="I1307" s="72"/>
      <c r="J1307" s="72"/>
      <c r="K1307" s="36"/>
      <c r="L1307" s="79"/>
      <c r="M1307" s="79"/>
      <c r="N1307" s="74"/>
      <c r="O1307" s="81" t="s">
        <v>179</v>
      </c>
      <c r="P1307" s="83">
        <v>44466.999212962961</v>
      </c>
      <c r="Q1307" s="81" t="s">
        <v>1662</v>
      </c>
      <c r="R1307" s="81"/>
      <c r="S1307" s="81"/>
      <c r="T1307" s="87" t="s">
        <v>1761</v>
      </c>
      <c r="U1307" s="85" t="str">
        <f>HYPERLINK("https://pbs.twimg.com/media/FAVJMbIVQAEDPMG.jpg")</f>
        <v>https://pbs.twimg.com/media/FAVJMbIVQAEDPMG.jpg</v>
      </c>
      <c r="V1307" s="85" t="str">
        <f>HYPERLINK("https://pbs.twimg.com/media/FAVJMbIVQAEDPMG.jpg")</f>
        <v>https://pbs.twimg.com/media/FAVJMbIVQAEDPMG.jpg</v>
      </c>
      <c r="W1307" s="83">
        <v>44466.999212962961</v>
      </c>
      <c r="X1307" s="89">
        <v>44466</v>
      </c>
      <c r="Y1307" s="87" t="s">
        <v>2696</v>
      </c>
      <c r="Z1307" s="85" t="str">
        <f>HYPERLINK("https://twitter.com/tmcpoldametro/status/1442639912298156037")</f>
        <v>https://twitter.com/tmcpoldametro/status/1442639912298156037</v>
      </c>
      <c r="AA1307" s="81"/>
      <c r="AB1307" s="81"/>
      <c r="AC1307" s="87" t="s">
        <v>3626</v>
      </c>
      <c r="AD1307" s="81"/>
      <c r="AE1307" s="81" t="b">
        <v>0</v>
      </c>
      <c r="AF1307" s="81">
        <v>9</v>
      </c>
      <c r="AG1307" s="87" t="s">
        <v>3875</v>
      </c>
      <c r="AH1307" s="81" t="b">
        <v>0</v>
      </c>
      <c r="AI1307" s="81" t="s">
        <v>4092</v>
      </c>
      <c r="AJ1307" s="81"/>
      <c r="AK1307" s="87" t="s">
        <v>3875</v>
      </c>
      <c r="AL1307" s="81" t="b">
        <v>0</v>
      </c>
      <c r="AM1307" s="81">
        <v>4</v>
      </c>
      <c r="AN1307" s="87" t="s">
        <v>3875</v>
      </c>
      <c r="AO1307" s="87" t="s">
        <v>4124</v>
      </c>
      <c r="AP1307" s="81" t="b">
        <v>0</v>
      </c>
      <c r="AQ1307" s="87" t="s">
        <v>3626</v>
      </c>
      <c r="AR1307" s="81" t="s">
        <v>179</v>
      </c>
      <c r="AS1307" s="81">
        <v>0</v>
      </c>
      <c r="AT1307" s="81">
        <v>0</v>
      </c>
      <c r="AU1307" s="81"/>
      <c r="AV1307" s="81"/>
      <c r="AW1307" s="81"/>
      <c r="AX1307" s="81"/>
      <c r="AY1307" s="81"/>
      <c r="AZ1307" s="81"/>
      <c r="BA1307" s="81"/>
      <c r="BB1307" s="81"/>
    </row>
    <row r="1308" spans="1:54" x14ac:dyDescent="0.35">
      <c r="A1308" s="66" t="s">
        <v>982</v>
      </c>
      <c r="B1308" s="66" t="s">
        <v>981</v>
      </c>
      <c r="C1308" s="67"/>
      <c r="D1308" s="68"/>
      <c r="E1308" s="69"/>
      <c r="F1308" s="70"/>
      <c r="G1308" s="67"/>
      <c r="H1308" s="71"/>
      <c r="I1308" s="72"/>
      <c r="J1308" s="72"/>
      <c r="K1308" s="36"/>
      <c r="L1308" s="79"/>
      <c r="M1308" s="79"/>
      <c r="N1308" s="74"/>
      <c r="O1308" s="81" t="s">
        <v>1205</v>
      </c>
      <c r="P1308" s="83">
        <v>44459.973368055558</v>
      </c>
      <c r="Q1308" s="81" t="s">
        <v>1322</v>
      </c>
      <c r="R1308" s="81"/>
      <c r="S1308" s="81"/>
      <c r="T1308" s="87" t="s">
        <v>1761</v>
      </c>
      <c r="U1308" s="85" t="str">
        <f>HYPERLINK("https://pbs.twimg.com/media/E_w2xwgUcAcN61c.jpg")</f>
        <v>https://pbs.twimg.com/media/E_w2xwgUcAcN61c.jpg</v>
      </c>
      <c r="V1308" s="85" t="str">
        <f>HYPERLINK("https://pbs.twimg.com/media/E_w2xwgUcAcN61c.jpg")</f>
        <v>https://pbs.twimg.com/media/E_w2xwgUcAcN61c.jpg</v>
      </c>
      <c r="W1308" s="83">
        <v>44459.973368055558</v>
      </c>
      <c r="X1308" s="89">
        <v>44459</v>
      </c>
      <c r="Y1308" s="87" t="s">
        <v>2697</v>
      </c>
      <c r="Z1308" s="85" t="str">
        <f>HYPERLINK("https://twitter.com/laskarnasbung/status/1440093831643295747")</f>
        <v>https://twitter.com/laskarnasbung/status/1440093831643295747</v>
      </c>
      <c r="AA1308" s="81"/>
      <c r="AB1308" s="81"/>
      <c r="AC1308" s="87" t="s">
        <v>3627</v>
      </c>
      <c r="AD1308" s="81"/>
      <c r="AE1308" s="81" t="b">
        <v>0</v>
      </c>
      <c r="AF1308" s="81">
        <v>0</v>
      </c>
      <c r="AG1308" s="87" t="s">
        <v>3875</v>
      </c>
      <c r="AH1308" s="81" t="b">
        <v>0</v>
      </c>
      <c r="AI1308" s="81" t="s">
        <v>4092</v>
      </c>
      <c r="AJ1308" s="81"/>
      <c r="AK1308" s="87" t="s">
        <v>3875</v>
      </c>
      <c r="AL1308" s="81" t="b">
        <v>0</v>
      </c>
      <c r="AM1308" s="81">
        <v>5</v>
      </c>
      <c r="AN1308" s="87" t="s">
        <v>3620</v>
      </c>
      <c r="AO1308" s="87" t="s">
        <v>4109</v>
      </c>
      <c r="AP1308" s="81" t="b">
        <v>0</v>
      </c>
      <c r="AQ1308" s="87" t="s">
        <v>3620</v>
      </c>
      <c r="AR1308" s="81" t="s">
        <v>179</v>
      </c>
      <c r="AS1308" s="81">
        <v>0</v>
      </c>
      <c r="AT1308" s="81">
        <v>0</v>
      </c>
      <c r="AU1308" s="81"/>
      <c r="AV1308" s="81"/>
      <c r="AW1308" s="81"/>
      <c r="AX1308" s="81"/>
      <c r="AY1308" s="81"/>
      <c r="AZ1308" s="81"/>
      <c r="BA1308" s="81"/>
      <c r="BB1308" s="81"/>
    </row>
    <row r="1309" spans="1:54" x14ac:dyDescent="0.35">
      <c r="A1309" s="66" t="s">
        <v>982</v>
      </c>
      <c r="B1309" s="66" t="s">
        <v>981</v>
      </c>
      <c r="C1309" s="67"/>
      <c r="D1309" s="68"/>
      <c r="E1309" s="69"/>
      <c r="F1309" s="70"/>
      <c r="G1309" s="67"/>
      <c r="H1309" s="71"/>
      <c r="I1309" s="72"/>
      <c r="J1309" s="72"/>
      <c r="K1309" s="36"/>
      <c r="L1309" s="79"/>
      <c r="M1309" s="79"/>
      <c r="N1309" s="74"/>
      <c r="O1309" s="81" t="s">
        <v>1205</v>
      </c>
      <c r="P1309" s="83">
        <v>44464.067800925928</v>
      </c>
      <c r="Q1309" s="81" t="s">
        <v>1511</v>
      </c>
      <c r="R1309" s="81"/>
      <c r="S1309" s="81"/>
      <c r="T1309" s="87" t="s">
        <v>1761</v>
      </c>
      <c r="U1309" s="85" t="str">
        <f>HYPERLINK("https://pbs.twimg.com/media/FAFli1WVcAUQZZc.jpg")</f>
        <v>https://pbs.twimg.com/media/FAFli1WVcAUQZZc.jpg</v>
      </c>
      <c r="V1309" s="85" t="str">
        <f>HYPERLINK("https://pbs.twimg.com/media/FAFli1WVcAUQZZc.jpg")</f>
        <v>https://pbs.twimg.com/media/FAFli1WVcAUQZZc.jpg</v>
      </c>
      <c r="W1309" s="83">
        <v>44464.067800925928</v>
      </c>
      <c r="X1309" s="89">
        <v>44464</v>
      </c>
      <c r="Y1309" s="87" t="s">
        <v>2698</v>
      </c>
      <c r="Z1309" s="85" t="str">
        <f>HYPERLINK("https://twitter.com/laskarnasbung/status/1441577602703974402")</f>
        <v>https://twitter.com/laskarnasbung/status/1441577602703974402</v>
      </c>
      <c r="AA1309" s="81"/>
      <c r="AB1309" s="81"/>
      <c r="AC1309" s="87" t="s">
        <v>3628</v>
      </c>
      <c r="AD1309" s="81"/>
      <c r="AE1309" s="81" t="b">
        <v>0</v>
      </c>
      <c r="AF1309" s="81">
        <v>0</v>
      </c>
      <c r="AG1309" s="87" t="s">
        <v>3875</v>
      </c>
      <c r="AH1309" s="81" t="b">
        <v>0</v>
      </c>
      <c r="AI1309" s="81" t="s">
        <v>4092</v>
      </c>
      <c r="AJ1309" s="81"/>
      <c r="AK1309" s="87" t="s">
        <v>3875</v>
      </c>
      <c r="AL1309" s="81" t="b">
        <v>0</v>
      </c>
      <c r="AM1309" s="81">
        <v>3</v>
      </c>
      <c r="AN1309" s="87" t="s">
        <v>3624</v>
      </c>
      <c r="AO1309" s="87" t="s">
        <v>4109</v>
      </c>
      <c r="AP1309" s="81" t="b">
        <v>0</v>
      </c>
      <c r="AQ1309" s="87" t="s">
        <v>3624</v>
      </c>
      <c r="AR1309" s="81" t="s">
        <v>179</v>
      </c>
      <c r="AS1309" s="81">
        <v>0</v>
      </c>
      <c r="AT1309" s="81">
        <v>0</v>
      </c>
      <c r="AU1309" s="81"/>
      <c r="AV1309" s="81"/>
      <c r="AW1309" s="81"/>
      <c r="AX1309" s="81"/>
      <c r="AY1309" s="81"/>
      <c r="AZ1309" s="81"/>
      <c r="BA1309" s="81"/>
      <c r="BB1309" s="81"/>
    </row>
    <row r="1310" spans="1:54" x14ac:dyDescent="0.35">
      <c r="A1310" s="66" t="s">
        <v>982</v>
      </c>
      <c r="B1310" s="66" t="s">
        <v>981</v>
      </c>
      <c r="C1310" s="67"/>
      <c r="D1310" s="68"/>
      <c r="E1310" s="69"/>
      <c r="F1310" s="70"/>
      <c r="G1310" s="67"/>
      <c r="H1310" s="71"/>
      <c r="I1310" s="72"/>
      <c r="J1310" s="72"/>
      <c r="K1310" s="36"/>
      <c r="L1310" s="79"/>
      <c r="M1310" s="79"/>
      <c r="N1310" s="74"/>
      <c r="O1310" s="81" t="s">
        <v>1205</v>
      </c>
      <c r="P1310" s="83">
        <v>44467.141180555554</v>
      </c>
      <c r="Q1310" s="81" t="s">
        <v>1662</v>
      </c>
      <c r="R1310" s="81"/>
      <c r="S1310" s="81"/>
      <c r="T1310" s="87" t="s">
        <v>1761</v>
      </c>
      <c r="U1310" s="85" t="str">
        <f>HYPERLINK("https://pbs.twimg.com/media/FAVJMbIVQAEDPMG.jpg")</f>
        <v>https://pbs.twimg.com/media/FAVJMbIVQAEDPMG.jpg</v>
      </c>
      <c r="V1310" s="85" t="str">
        <f>HYPERLINK("https://pbs.twimg.com/media/FAVJMbIVQAEDPMG.jpg")</f>
        <v>https://pbs.twimg.com/media/FAVJMbIVQAEDPMG.jpg</v>
      </c>
      <c r="W1310" s="83">
        <v>44467.141180555554</v>
      </c>
      <c r="X1310" s="89">
        <v>44467</v>
      </c>
      <c r="Y1310" s="87" t="s">
        <v>2699</v>
      </c>
      <c r="Z1310" s="85" t="str">
        <f>HYPERLINK("https://twitter.com/laskarnasbung/status/1442691358691524620")</f>
        <v>https://twitter.com/laskarnasbung/status/1442691358691524620</v>
      </c>
      <c r="AA1310" s="81"/>
      <c r="AB1310" s="81"/>
      <c r="AC1310" s="87" t="s">
        <v>3629</v>
      </c>
      <c r="AD1310" s="81"/>
      <c r="AE1310" s="81" t="b">
        <v>0</v>
      </c>
      <c r="AF1310" s="81">
        <v>0</v>
      </c>
      <c r="AG1310" s="87" t="s">
        <v>3875</v>
      </c>
      <c r="AH1310" s="81" t="b">
        <v>0</v>
      </c>
      <c r="AI1310" s="81" t="s">
        <v>4092</v>
      </c>
      <c r="AJ1310" s="81"/>
      <c r="AK1310" s="87" t="s">
        <v>3875</v>
      </c>
      <c r="AL1310" s="81" t="b">
        <v>0</v>
      </c>
      <c r="AM1310" s="81">
        <v>4</v>
      </c>
      <c r="AN1310" s="87" t="s">
        <v>3626</v>
      </c>
      <c r="AO1310" s="87" t="s">
        <v>4109</v>
      </c>
      <c r="AP1310" s="81" t="b">
        <v>0</v>
      </c>
      <c r="AQ1310" s="87" t="s">
        <v>3626</v>
      </c>
      <c r="AR1310" s="81" t="s">
        <v>179</v>
      </c>
      <c r="AS1310" s="81">
        <v>0</v>
      </c>
      <c r="AT1310" s="81">
        <v>0</v>
      </c>
      <c r="AU1310" s="81"/>
      <c r="AV1310" s="81"/>
      <c r="AW1310" s="81"/>
      <c r="AX1310" s="81"/>
      <c r="AY1310" s="81"/>
      <c r="AZ1310" s="81"/>
      <c r="BA1310" s="81"/>
      <c r="BB1310" s="81"/>
    </row>
    <row r="1311" spans="1:54" x14ac:dyDescent="0.35">
      <c r="A1311" s="66" t="s">
        <v>983</v>
      </c>
      <c r="B1311" s="66" t="s">
        <v>983</v>
      </c>
      <c r="C1311" s="67"/>
      <c r="D1311" s="68"/>
      <c r="E1311" s="69"/>
      <c r="F1311" s="70"/>
      <c r="G1311" s="67"/>
      <c r="H1311" s="71"/>
      <c r="I1311" s="72"/>
      <c r="J1311" s="72"/>
      <c r="K1311" s="36"/>
      <c r="L1311" s="79"/>
      <c r="M1311" s="79"/>
      <c r="N1311" s="74"/>
      <c r="O1311" s="81" t="s">
        <v>179</v>
      </c>
      <c r="P1311" s="83">
        <v>44467.154282407406</v>
      </c>
      <c r="Q1311" s="81" t="s">
        <v>1710</v>
      </c>
      <c r="R1311" s="81"/>
      <c r="S1311" s="81"/>
      <c r="T1311" s="81"/>
      <c r="U1311" s="85" t="str">
        <f>HYPERLINK("https://pbs.twimg.com/media/FAV8P1ZVIAkE8UX.jpg")</f>
        <v>https://pbs.twimg.com/media/FAV8P1ZVIAkE8UX.jpg</v>
      </c>
      <c r="V1311" s="85" t="str">
        <f>HYPERLINK("https://pbs.twimg.com/media/FAV8P1ZVIAkE8UX.jpg")</f>
        <v>https://pbs.twimg.com/media/FAV8P1ZVIAkE8UX.jpg</v>
      </c>
      <c r="W1311" s="83">
        <v>44467.154282407406</v>
      </c>
      <c r="X1311" s="89">
        <v>44467</v>
      </c>
      <c r="Y1311" s="87" t="s">
        <v>2700</v>
      </c>
      <c r="Z1311" s="85" t="str">
        <f>HYPERLINK("https://twitter.com/atcs_samarinda/status/1442696107637690370")</f>
        <v>https://twitter.com/atcs_samarinda/status/1442696107637690370</v>
      </c>
      <c r="AA1311" s="81"/>
      <c r="AB1311" s="81"/>
      <c r="AC1311" s="87" t="s">
        <v>3630</v>
      </c>
      <c r="AD1311" s="81"/>
      <c r="AE1311" s="81" t="b">
        <v>0</v>
      </c>
      <c r="AF1311" s="81">
        <v>0</v>
      </c>
      <c r="AG1311" s="87" t="s">
        <v>3875</v>
      </c>
      <c r="AH1311" s="81" t="b">
        <v>0</v>
      </c>
      <c r="AI1311" s="81" t="s">
        <v>4092</v>
      </c>
      <c r="AJ1311" s="81"/>
      <c r="AK1311" s="87" t="s">
        <v>3875</v>
      </c>
      <c r="AL1311" s="81" t="b">
        <v>0</v>
      </c>
      <c r="AM1311" s="81">
        <v>0</v>
      </c>
      <c r="AN1311" s="87" t="s">
        <v>3875</v>
      </c>
      <c r="AO1311" s="87" t="s">
        <v>4111</v>
      </c>
      <c r="AP1311" s="81" t="b">
        <v>0</v>
      </c>
      <c r="AQ1311" s="87" t="s">
        <v>3630</v>
      </c>
      <c r="AR1311" s="81" t="s">
        <v>179</v>
      </c>
      <c r="AS1311" s="81">
        <v>0</v>
      </c>
      <c r="AT1311" s="81">
        <v>0</v>
      </c>
      <c r="AU1311" s="81"/>
      <c r="AV1311" s="81"/>
      <c r="AW1311" s="81"/>
      <c r="AX1311" s="81"/>
      <c r="AY1311" s="81"/>
      <c r="AZ1311" s="81"/>
      <c r="BA1311" s="81"/>
      <c r="BB1311" s="81"/>
    </row>
    <row r="1312" spans="1:54" x14ac:dyDescent="0.35">
      <c r="A1312" s="66" t="s">
        <v>984</v>
      </c>
      <c r="B1312" s="66" t="s">
        <v>1202</v>
      </c>
      <c r="C1312" s="67"/>
      <c r="D1312" s="68"/>
      <c r="E1312" s="69"/>
      <c r="F1312" s="70"/>
      <c r="G1312" s="67"/>
      <c r="H1312" s="71"/>
      <c r="I1312" s="72"/>
      <c r="J1312" s="72"/>
      <c r="K1312" s="36"/>
      <c r="L1312" s="79"/>
      <c r="M1312" s="79"/>
      <c r="N1312" s="74"/>
      <c r="O1312" s="81" t="s">
        <v>1208</v>
      </c>
      <c r="P1312" s="83">
        <v>44467.164178240739</v>
      </c>
      <c r="Q1312" s="81" t="s">
        <v>1711</v>
      </c>
      <c r="R1312" s="81"/>
      <c r="S1312" s="81"/>
      <c r="T1312" s="81"/>
      <c r="U1312" s="81"/>
      <c r="V1312" s="85" t="str">
        <f>HYPERLINK("https://pbs.twimg.com/profile_images/1442340843226951682/IExh8XWv_normal.jpg")</f>
        <v>https://pbs.twimg.com/profile_images/1442340843226951682/IExh8XWv_normal.jpg</v>
      </c>
      <c r="W1312" s="83">
        <v>44467.164178240739</v>
      </c>
      <c r="X1312" s="89">
        <v>44467</v>
      </c>
      <c r="Y1312" s="87" t="s">
        <v>2701</v>
      </c>
      <c r="Z1312" s="85" t="str">
        <f>HYPERLINK("https://twitter.com/athreksa/status/1442699694342225925")</f>
        <v>https://twitter.com/athreksa/status/1442699694342225925</v>
      </c>
      <c r="AA1312" s="81"/>
      <c r="AB1312" s="81"/>
      <c r="AC1312" s="87" t="s">
        <v>3631</v>
      </c>
      <c r="AD1312" s="87" t="s">
        <v>3872</v>
      </c>
      <c r="AE1312" s="81" t="b">
        <v>0</v>
      </c>
      <c r="AF1312" s="81">
        <v>0</v>
      </c>
      <c r="AG1312" s="87" t="s">
        <v>4088</v>
      </c>
      <c r="AH1312" s="81" t="b">
        <v>0</v>
      </c>
      <c r="AI1312" s="81" t="s">
        <v>4092</v>
      </c>
      <c r="AJ1312" s="81"/>
      <c r="AK1312" s="87" t="s">
        <v>3875</v>
      </c>
      <c r="AL1312" s="81" t="b">
        <v>0</v>
      </c>
      <c r="AM1312" s="81">
        <v>0</v>
      </c>
      <c r="AN1312" s="87" t="s">
        <v>3875</v>
      </c>
      <c r="AO1312" s="87" t="s">
        <v>4109</v>
      </c>
      <c r="AP1312" s="81" t="b">
        <v>0</v>
      </c>
      <c r="AQ1312" s="87" t="s">
        <v>3872</v>
      </c>
      <c r="AR1312" s="81" t="s">
        <v>179</v>
      </c>
      <c r="AS1312" s="81">
        <v>0</v>
      </c>
      <c r="AT1312" s="81">
        <v>0</v>
      </c>
      <c r="AU1312" s="81"/>
      <c r="AV1312" s="81"/>
      <c r="AW1312" s="81"/>
      <c r="AX1312" s="81"/>
      <c r="AY1312" s="81"/>
      <c r="AZ1312" s="81"/>
      <c r="BA1312" s="81"/>
      <c r="BB1312" s="81"/>
    </row>
    <row r="1313" spans="1:54" x14ac:dyDescent="0.35">
      <c r="A1313" s="66" t="s">
        <v>985</v>
      </c>
      <c r="B1313" s="66" t="s">
        <v>1203</v>
      </c>
      <c r="C1313" s="67"/>
      <c r="D1313" s="68"/>
      <c r="E1313" s="69"/>
      <c r="F1313" s="70"/>
      <c r="G1313" s="67"/>
      <c r="H1313" s="71"/>
      <c r="I1313" s="72"/>
      <c r="J1313" s="72"/>
      <c r="K1313" s="36"/>
      <c r="L1313" s="79"/>
      <c r="M1313" s="79"/>
      <c r="N1313" s="74"/>
      <c r="O1313" s="81" t="s">
        <v>1208</v>
      </c>
      <c r="P1313" s="83">
        <v>44467.165266203701</v>
      </c>
      <c r="Q1313" s="81" t="s">
        <v>1712</v>
      </c>
      <c r="R1313" s="81"/>
      <c r="S1313" s="81"/>
      <c r="T1313" s="81"/>
      <c r="U1313" s="81"/>
      <c r="V1313" s="85" t="str">
        <f>HYPERLINK("https://pbs.twimg.com/profile_images/1427684967656558593/wS5esZLi_normal.jpg")</f>
        <v>https://pbs.twimg.com/profile_images/1427684967656558593/wS5esZLi_normal.jpg</v>
      </c>
      <c r="W1313" s="83">
        <v>44467.165266203701</v>
      </c>
      <c r="X1313" s="89">
        <v>44467</v>
      </c>
      <c r="Y1313" s="87" t="s">
        <v>2702</v>
      </c>
      <c r="Z1313" s="85" t="str">
        <f>HYPERLINK("https://twitter.com/ckurnia_k/status/1442700085981179905")</f>
        <v>https://twitter.com/ckurnia_k/status/1442700085981179905</v>
      </c>
      <c r="AA1313" s="81"/>
      <c r="AB1313" s="81"/>
      <c r="AC1313" s="87" t="s">
        <v>3632</v>
      </c>
      <c r="AD1313" s="87" t="s">
        <v>3873</v>
      </c>
      <c r="AE1313" s="81" t="b">
        <v>0</v>
      </c>
      <c r="AF1313" s="81">
        <v>0</v>
      </c>
      <c r="AG1313" s="87" t="s">
        <v>4089</v>
      </c>
      <c r="AH1313" s="81" t="b">
        <v>0</v>
      </c>
      <c r="AI1313" s="81" t="s">
        <v>4092</v>
      </c>
      <c r="AJ1313" s="81"/>
      <c r="AK1313" s="87" t="s">
        <v>3875</v>
      </c>
      <c r="AL1313" s="81" t="b">
        <v>0</v>
      </c>
      <c r="AM1313" s="81">
        <v>0</v>
      </c>
      <c r="AN1313" s="87" t="s">
        <v>3875</v>
      </c>
      <c r="AO1313" s="87" t="s">
        <v>4109</v>
      </c>
      <c r="AP1313" s="81" t="b">
        <v>0</v>
      </c>
      <c r="AQ1313" s="87" t="s">
        <v>3873</v>
      </c>
      <c r="AR1313" s="81" t="s">
        <v>179</v>
      </c>
      <c r="AS1313" s="81">
        <v>0</v>
      </c>
      <c r="AT1313" s="81">
        <v>0</v>
      </c>
      <c r="AU1313" s="81"/>
      <c r="AV1313" s="81"/>
      <c r="AW1313" s="81"/>
      <c r="AX1313" s="81"/>
      <c r="AY1313" s="81"/>
      <c r="AZ1313" s="81"/>
      <c r="BA1313" s="81"/>
      <c r="BB1313" s="81"/>
    </row>
    <row r="1314" spans="1:54" x14ac:dyDescent="0.35">
      <c r="A1314" s="66" t="s">
        <v>986</v>
      </c>
      <c r="B1314" s="66" t="s">
        <v>986</v>
      </c>
      <c r="C1314" s="67"/>
      <c r="D1314" s="68"/>
      <c r="E1314" s="69"/>
      <c r="F1314" s="70"/>
      <c r="G1314" s="67"/>
      <c r="H1314" s="71"/>
      <c r="I1314" s="72"/>
      <c r="J1314" s="72"/>
      <c r="K1314" s="36"/>
      <c r="L1314" s="79"/>
      <c r="M1314" s="79"/>
      <c r="N1314" s="74"/>
      <c r="O1314" s="81" t="s">
        <v>179</v>
      </c>
      <c r="P1314" s="83">
        <v>44467.18440972222</v>
      </c>
      <c r="Q1314" s="81" t="s">
        <v>1713</v>
      </c>
      <c r="R1314" s="81"/>
      <c r="S1314" s="81"/>
      <c r="T1314" s="87" t="s">
        <v>1789</v>
      </c>
      <c r="U1314" s="85" t="str">
        <f>HYPERLINK("https://pbs.twimg.com/media/FAWGY4wUcAUZGrM.jpg")</f>
        <v>https://pbs.twimg.com/media/FAWGY4wUcAUZGrM.jpg</v>
      </c>
      <c r="V1314" s="85" t="str">
        <f>HYPERLINK("https://pbs.twimg.com/media/FAWGY4wUcAUZGrM.jpg")</f>
        <v>https://pbs.twimg.com/media/FAWGY4wUcAUZGrM.jpg</v>
      </c>
      <c r="W1314" s="83">
        <v>44467.18440972222</v>
      </c>
      <c r="X1314" s="89">
        <v>44467</v>
      </c>
      <c r="Y1314" s="87" t="s">
        <v>2703</v>
      </c>
      <c r="Z1314" s="85" t="str">
        <f>HYPERLINK("https://twitter.com/almashumorg/status/1442707024337268736")</f>
        <v>https://twitter.com/almashumorg/status/1442707024337268736</v>
      </c>
      <c r="AA1314" s="81"/>
      <c r="AB1314" s="81"/>
      <c r="AC1314" s="87" t="s">
        <v>3633</v>
      </c>
      <c r="AD1314" s="81"/>
      <c r="AE1314" s="81" t="b">
        <v>0</v>
      </c>
      <c r="AF1314" s="81">
        <v>0</v>
      </c>
      <c r="AG1314" s="87" t="s">
        <v>3875</v>
      </c>
      <c r="AH1314" s="81" t="b">
        <v>0</v>
      </c>
      <c r="AI1314" s="81" t="s">
        <v>4092</v>
      </c>
      <c r="AJ1314" s="81"/>
      <c r="AK1314" s="87" t="s">
        <v>3875</v>
      </c>
      <c r="AL1314" s="81" t="b">
        <v>0</v>
      </c>
      <c r="AM1314" s="81">
        <v>0</v>
      </c>
      <c r="AN1314" s="87" t="s">
        <v>3875</v>
      </c>
      <c r="AO1314" s="87" t="s">
        <v>4109</v>
      </c>
      <c r="AP1314" s="81" t="b">
        <v>0</v>
      </c>
      <c r="AQ1314" s="87" t="s">
        <v>3633</v>
      </c>
      <c r="AR1314" s="81" t="s">
        <v>179</v>
      </c>
      <c r="AS1314" s="81">
        <v>0</v>
      </c>
      <c r="AT1314" s="81">
        <v>0</v>
      </c>
      <c r="AU1314" s="81"/>
      <c r="AV1314" s="81"/>
      <c r="AW1314" s="81"/>
      <c r="AX1314" s="81"/>
      <c r="AY1314" s="81"/>
      <c r="AZ1314" s="81"/>
      <c r="BA1314" s="81"/>
      <c r="BB1314" s="81"/>
    </row>
    <row r="1315" spans="1:54" x14ac:dyDescent="0.35">
      <c r="A1315" s="66" t="s">
        <v>987</v>
      </c>
      <c r="B1315" s="66" t="s">
        <v>987</v>
      </c>
      <c r="C1315" s="67"/>
      <c r="D1315" s="68"/>
      <c r="E1315" s="69"/>
      <c r="F1315" s="70"/>
      <c r="G1315" s="67"/>
      <c r="H1315" s="71"/>
      <c r="I1315" s="72"/>
      <c r="J1315" s="72"/>
      <c r="K1315" s="36"/>
      <c r="L1315" s="79"/>
      <c r="M1315" s="79"/>
      <c r="N1315" s="74"/>
      <c r="O1315" s="81" t="s">
        <v>179</v>
      </c>
      <c r="P1315" s="83">
        <v>44467.221215277779</v>
      </c>
      <c r="Q1315" s="81" t="s">
        <v>1714</v>
      </c>
      <c r="R1315" s="81"/>
      <c r="S1315" s="81"/>
      <c r="T1315" s="81"/>
      <c r="U1315" s="85" t="str">
        <f>HYPERLINK("https://pbs.twimg.com/media/FAWShHrVgAMe8qJ.jpg")</f>
        <v>https://pbs.twimg.com/media/FAWShHrVgAMe8qJ.jpg</v>
      </c>
      <c r="V1315" s="85" t="str">
        <f>HYPERLINK("https://pbs.twimg.com/media/FAWShHrVgAMe8qJ.jpg")</f>
        <v>https://pbs.twimg.com/media/FAWShHrVgAMe8qJ.jpg</v>
      </c>
      <c r="W1315" s="83">
        <v>44467.221215277779</v>
      </c>
      <c r="X1315" s="89">
        <v>44467</v>
      </c>
      <c r="Y1315" s="87" t="s">
        <v>2704</v>
      </c>
      <c r="Z1315" s="85" t="str">
        <f>HYPERLINK("https://twitter.com/natcha_jong/status/1442720361217290240")</f>
        <v>https://twitter.com/natcha_jong/status/1442720361217290240</v>
      </c>
      <c r="AA1315" s="81"/>
      <c r="AB1315" s="81"/>
      <c r="AC1315" s="87" t="s">
        <v>3634</v>
      </c>
      <c r="AD1315" s="81"/>
      <c r="AE1315" s="81" t="b">
        <v>0</v>
      </c>
      <c r="AF1315" s="81">
        <v>0</v>
      </c>
      <c r="AG1315" s="87" t="s">
        <v>3875</v>
      </c>
      <c r="AH1315" s="81" t="b">
        <v>0</v>
      </c>
      <c r="AI1315" s="81" t="s">
        <v>4092</v>
      </c>
      <c r="AJ1315" s="81"/>
      <c r="AK1315" s="87" t="s">
        <v>3875</v>
      </c>
      <c r="AL1315" s="81" t="b">
        <v>0</v>
      </c>
      <c r="AM1315" s="81">
        <v>0</v>
      </c>
      <c r="AN1315" s="87" t="s">
        <v>3875</v>
      </c>
      <c r="AO1315" s="87" t="s">
        <v>4110</v>
      </c>
      <c r="AP1315" s="81" t="b">
        <v>0</v>
      </c>
      <c r="AQ1315" s="87" t="s">
        <v>3634</v>
      </c>
      <c r="AR1315" s="81" t="s">
        <v>179</v>
      </c>
      <c r="AS1315" s="81">
        <v>0</v>
      </c>
      <c r="AT1315" s="81">
        <v>0</v>
      </c>
      <c r="AU1315" s="81"/>
      <c r="AV1315" s="81"/>
      <c r="AW1315" s="81"/>
      <c r="AX1315" s="81"/>
      <c r="AY1315" s="81"/>
      <c r="AZ1315" s="81"/>
      <c r="BA1315" s="81"/>
      <c r="BB1315" s="81"/>
    </row>
    <row r="1316" spans="1:54" x14ac:dyDescent="0.35">
      <c r="A1316" s="66" t="s">
        <v>988</v>
      </c>
      <c r="B1316" s="66" t="s">
        <v>989</v>
      </c>
      <c r="C1316" s="67"/>
      <c r="D1316" s="68"/>
      <c r="E1316" s="69"/>
      <c r="F1316" s="70"/>
      <c r="G1316" s="67"/>
      <c r="H1316" s="71"/>
      <c r="I1316" s="72"/>
      <c r="J1316" s="72"/>
      <c r="K1316" s="36"/>
      <c r="L1316" s="79"/>
      <c r="M1316" s="79"/>
      <c r="N1316" s="74"/>
      <c r="O1316" s="81" t="s">
        <v>1206</v>
      </c>
      <c r="P1316" s="83">
        <v>44467.221851851849</v>
      </c>
      <c r="Q1316" s="81" t="s">
        <v>1715</v>
      </c>
      <c r="R1316" s="85" t="str">
        <f>HYPERLINK("https://twitter.com/jogjafood/status/1442720222851608576")</f>
        <v>https://twitter.com/jogjafood/status/1442720222851608576</v>
      </c>
      <c r="S1316" s="81" t="s">
        <v>1731</v>
      </c>
      <c r="T1316" s="81"/>
      <c r="U1316" s="81"/>
      <c r="V1316" s="85" t="str">
        <f>HYPERLINK("https://pbs.twimg.com/profile_images/550290774579896320/acKuYMO3_normal.jpeg")</f>
        <v>https://pbs.twimg.com/profile_images/550290774579896320/acKuYMO3_normal.jpeg</v>
      </c>
      <c r="W1316" s="83">
        <v>44467.221851851849</v>
      </c>
      <c r="X1316" s="89">
        <v>44467</v>
      </c>
      <c r="Y1316" s="87" t="s">
        <v>2705</v>
      </c>
      <c r="Z1316" s="85" t="str">
        <f>HYPERLINK("https://twitter.com/dzunotnewacc/status/1442720591493021696")</f>
        <v>https://twitter.com/dzunotnewacc/status/1442720591493021696</v>
      </c>
      <c r="AA1316" s="81"/>
      <c r="AB1316" s="81"/>
      <c r="AC1316" s="87" t="s">
        <v>3635</v>
      </c>
      <c r="AD1316" s="81"/>
      <c r="AE1316" s="81" t="b">
        <v>0</v>
      </c>
      <c r="AF1316" s="81">
        <v>0</v>
      </c>
      <c r="AG1316" s="87" t="s">
        <v>3875</v>
      </c>
      <c r="AH1316" s="81" t="b">
        <v>1</v>
      </c>
      <c r="AI1316" s="81" t="s">
        <v>4092</v>
      </c>
      <c r="AJ1316" s="81"/>
      <c r="AK1316" s="87" t="s">
        <v>4108</v>
      </c>
      <c r="AL1316" s="81" t="b">
        <v>0</v>
      </c>
      <c r="AM1316" s="81">
        <v>0</v>
      </c>
      <c r="AN1316" s="87" t="s">
        <v>3875</v>
      </c>
      <c r="AO1316" s="87" t="s">
        <v>4110</v>
      </c>
      <c r="AP1316" s="81" t="b">
        <v>0</v>
      </c>
      <c r="AQ1316" s="87" t="s">
        <v>3635</v>
      </c>
      <c r="AR1316" s="81" t="s">
        <v>179</v>
      </c>
      <c r="AS1316" s="81">
        <v>0</v>
      </c>
      <c r="AT1316" s="81">
        <v>0</v>
      </c>
      <c r="AU1316" s="81"/>
      <c r="AV1316" s="81"/>
      <c r="AW1316" s="81"/>
      <c r="AX1316" s="81"/>
      <c r="AY1316" s="81"/>
      <c r="AZ1316" s="81"/>
      <c r="BA1316" s="81"/>
      <c r="BB1316" s="81"/>
    </row>
    <row r="1317" spans="1:54" x14ac:dyDescent="0.35">
      <c r="A1317" s="66" t="s">
        <v>989</v>
      </c>
      <c r="B1317" s="66" t="s">
        <v>988</v>
      </c>
      <c r="C1317" s="67"/>
      <c r="D1317" s="68"/>
      <c r="E1317" s="69"/>
      <c r="F1317" s="70"/>
      <c r="G1317" s="67"/>
      <c r="H1317" s="71"/>
      <c r="I1317" s="72"/>
      <c r="J1317" s="72"/>
      <c r="K1317" s="36"/>
      <c r="L1317" s="79"/>
      <c r="M1317" s="79"/>
      <c r="N1317" s="74"/>
      <c r="O1317" s="81" t="s">
        <v>1208</v>
      </c>
      <c r="P1317" s="83">
        <v>44467.22556712963</v>
      </c>
      <c r="Q1317" s="81" t="s">
        <v>1716</v>
      </c>
      <c r="R1317" s="81"/>
      <c r="S1317" s="81"/>
      <c r="T1317" s="81"/>
      <c r="U1317" s="81"/>
      <c r="V1317" s="85" t="str">
        <f>HYPERLINK("https://pbs.twimg.com/profile_images/1436571630902284289/ciC4LI3k_normal.jpg")</f>
        <v>https://pbs.twimg.com/profile_images/1436571630902284289/ciC4LI3k_normal.jpg</v>
      </c>
      <c r="W1317" s="83">
        <v>44467.22556712963</v>
      </c>
      <c r="X1317" s="89">
        <v>44467</v>
      </c>
      <c r="Y1317" s="87" t="s">
        <v>2706</v>
      </c>
      <c r="Z1317" s="85" t="str">
        <f>HYPERLINK("https://twitter.com/mathildanita/status/1442721938963501056")</f>
        <v>https://twitter.com/mathildanita/status/1442721938963501056</v>
      </c>
      <c r="AA1317" s="81"/>
      <c r="AB1317" s="81"/>
      <c r="AC1317" s="87" t="s">
        <v>3636</v>
      </c>
      <c r="AD1317" s="87" t="s">
        <v>3635</v>
      </c>
      <c r="AE1317" s="81" t="b">
        <v>0</v>
      </c>
      <c r="AF1317" s="81">
        <v>0</v>
      </c>
      <c r="AG1317" s="87" t="s">
        <v>4090</v>
      </c>
      <c r="AH1317" s="81" t="b">
        <v>0</v>
      </c>
      <c r="AI1317" s="81" t="s">
        <v>4092</v>
      </c>
      <c r="AJ1317" s="81"/>
      <c r="AK1317" s="87" t="s">
        <v>3875</v>
      </c>
      <c r="AL1317" s="81" t="b">
        <v>0</v>
      </c>
      <c r="AM1317" s="81">
        <v>0</v>
      </c>
      <c r="AN1317" s="87" t="s">
        <v>3875</v>
      </c>
      <c r="AO1317" s="87" t="s">
        <v>4111</v>
      </c>
      <c r="AP1317" s="81" t="b">
        <v>0</v>
      </c>
      <c r="AQ1317" s="87" t="s">
        <v>3635</v>
      </c>
      <c r="AR1317" s="81" t="s">
        <v>179</v>
      </c>
      <c r="AS1317" s="81">
        <v>0</v>
      </c>
      <c r="AT1317" s="81">
        <v>0</v>
      </c>
      <c r="AU1317" s="81"/>
      <c r="AV1317" s="81"/>
      <c r="AW1317" s="81"/>
      <c r="AX1317" s="81"/>
      <c r="AY1317" s="81"/>
      <c r="AZ1317" s="81"/>
      <c r="BA1317" s="81"/>
      <c r="BB1317" s="81"/>
    </row>
    <row r="1318" spans="1:54" x14ac:dyDescent="0.35">
      <c r="A1318" s="66" t="s">
        <v>990</v>
      </c>
      <c r="B1318" s="66" t="s">
        <v>1204</v>
      </c>
      <c r="C1318" s="67"/>
      <c r="D1318" s="68"/>
      <c r="E1318" s="69"/>
      <c r="F1318" s="70"/>
      <c r="G1318" s="67"/>
      <c r="H1318" s="71"/>
      <c r="I1318" s="72"/>
      <c r="J1318" s="72"/>
      <c r="K1318" s="36"/>
      <c r="L1318" s="79"/>
      <c r="M1318" s="79"/>
      <c r="N1318" s="74"/>
      <c r="O1318" s="81" t="s">
        <v>1208</v>
      </c>
      <c r="P1318" s="83">
        <v>44467.22828703704</v>
      </c>
      <c r="Q1318" s="81" t="s">
        <v>1717</v>
      </c>
      <c r="R1318" s="81"/>
      <c r="S1318" s="81"/>
      <c r="T1318" s="81"/>
      <c r="U1318" s="81"/>
      <c r="V1318" s="85" t="str">
        <f>HYPERLINK("https://pbs.twimg.com/profile_images/1307739037084446720/sf0ubTyy_normal.jpg")</f>
        <v>https://pbs.twimg.com/profile_images/1307739037084446720/sf0ubTyy_normal.jpg</v>
      </c>
      <c r="W1318" s="83">
        <v>44467.22828703704</v>
      </c>
      <c r="X1318" s="89">
        <v>44467</v>
      </c>
      <c r="Y1318" s="87" t="s">
        <v>2707</v>
      </c>
      <c r="Z1318" s="85" t="str">
        <f>HYPERLINK("https://twitter.com/caaankk/status/1442722924037689345")</f>
        <v>https://twitter.com/caaankk/status/1442722924037689345</v>
      </c>
      <c r="AA1318" s="81"/>
      <c r="AB1318" s="81"/>
      <c r="AC1318" s="87" t="s">
        <v>3637</v>
      </c>
      <c r="AD1318" s="87" t="s">
        <v>3874</v>
      </c>
      <c r="AE1318" s="81" t="b">
        <v>0</v>
      </c>
      <c r="AF1318" s="81">
        <v>0</v>
      </c>
      <c r="AG1318" s="87" t="s">
        <v>4091</v>
      </c>
      <c r="AH1318" s="81" t="b">
        <v>0</v>
      </c>
      <c r="AI1318" s="81" t="s">
        <v>4092</v>
      </c>
      <c r="AJ1318" s="81"/>
      <c r="AK1318" s="87" t="s">
        <v>3875</v>
      </c>
      <c r="AL1318" s="81" t="b">
        <v>0</v>
      </c>
      <c r="AM1318" s="81">
        <v>0</v>
      </c>
      <c r="AN1318" s="87" t="s">
        <v>3875</v>
      </c>
      <c r="AO1318" s="87" t="s">
        <v>4109</v>
      </c>
      <c r="AP1318" s="81" t="b">
        <v>0</v>
      </c>
      <c r="AQ1318" s="87" t="s">
        <v>3874</v>
      </c>
      <c r="AR1318" s="81" t="s">
        <v>179</v>
      </c>
      <c r="AS1318" s="81">
        <v>0</v>
      </c>
      <c r="AT1318" s="81">
        <v>0</v>
      </c>
      <c r="AU1318" s="81"/>
      <c r="AV1318" s="81"/>
      <c r="AW1318" s="81"/>
      <c r="AX1318" s="81"/>
      <c r="AY1318" s="81"/>
      <c r="AZ1318" s="81"/>
      <c r="BA1318" s="81"/>
      <c r="BB1318" s="81"/>
    </row>
    <row r="1319" spans="1:54" x14ac:dyDescent="0.35">
      <c r="A1319" s="66" t="s">
        <v>991</v>
      </c>
      <c r="B1319" s="66" t="s">
        <v>991</v>
      </c>
      <c r="C1319" s="67"/>
      <c r="D1319" s="68"/>
      <c r="E1319" s="69"/>
      <c r="F1319" s="70"/>
      <c r="G1319" s="67"/>
      <c r="H1319" s="71"/>
      <c r="I1319" s="72"/>
      <c r="J1319" s="72"/>
      <c r="K1319" s="36"/>
      <c r="L1319" s="79"/>
      <c r="M1319" s="79"/>
      <c r="N1319" s="74"/>
      <c r="O1319" s="81" t="s">
        <v>179</v>
      </c>
      <c r="P1319" s="83">
        <v>44467.231736111113</v>
      </c>
      <c r="Q1319" s="81" t="s">
        <v>1718</v>
      </c>
      <c r="R1319" s="81"/>
      <c r="S1319" s="81"/>
      <c r="T1319" s="81"/>
      <c r="U1319" s="85" t="str">
        <f>HYPERLINK("https://pbs.twimg.com/media/FAWV_HUVIAEXG_e.jpg")</f>
        <v>https://pbs.twimg.com/media/FAWV_HUVIAEXG_e.jpg</v>
      </c>
      <c r="V1319" s="85" t="str">
        <f>HYPERLINK("https://pbs.twimg.com/media/FAWV_HUVIAEXG_e.jpg")</f>
        <v>https://pbs.twimg.com/media/FAWV_HUVIAEXG_e.jpg</v>
      </c>
      <c r="W1319" s="83">
        <v>44467.231736111113</v>
      </c>
      <c r="X1319" s="89">
        <v>44467</v>
      </c>
      <c r="Y1319" s="87" t="s">
        <v>2708</v>
      </c>
      <c r="Z1319" s="85" t="str">
        <f>HYPERLINK("https://twitter.com/pendimbm/status/1442724174913441796")</f>
        <v>https://twitter.com/pendimbm/status/1442724174913441796</v>
      </c>
      <c r="AA1319" s="81"/>
      <c r="AB1319" s="81"/>
      <c r="AC1319" s="87" t="s">
        <v>3638</v>
      </c>
      <c r="AD1319" s="81"/>
      <c r="AE1319" s="81" t="b">
        <v>0</v>
      </c>
      <c r="AF1319" s="81">
        <v>0</v>
      </c>
      <c r="AG1319" s="87" t="s">
        <v>3875</v>
      </c>
      <c r="AH1319" s="81" t="b">
        <v>0</v>
      </c>
      <c r="AI1319" s="81" t="s">
        <v>4092</v>
      </c>
      <c r="AJ1319" s="81"/>
      <c r="AK1319" s="87" t="s">
        <v>3875</v>
      </c>
      <c r="AL1319" s="81" t="b">
        <v>0</v>
      </c>
      <c r="AM1319" s="81">
        <v>0</v>
      </c>
      <c r="AN1319" s="87" t="s">
        <v>3875</v>
      </c>
      <c r="AO1319" s="87" t="s">
        <v>4109</v>
      </c>
      <c r="AP1319" s="81" t="b">
        <v>0</v>
      </c>
      <c r="AQ1319" s="87" t="s">
        <v>3638</v>
      </c>
      <c r="AR1319" s="81" t="s">
        <v>179</v>
      </c>
      <c r="AS1319" s="81">
        <v>0</v>
      </c>
      <c r="AT1319" s="81">
        <v>0</v>
      </c>
      <c r="AU1319" s="81"/>
      <c r="AV1319" s="81"/>
      <c r="AW1319" s="81"/>
      <c r="AX1319" s="81"/>
      <c r="AY1319" s="81"/>
      <c r="AZ1319" s="81"/>
      <c r="BA1319" s="81"/>
      <c r="BB1319" s="81"/>
    </row>
    <row r="1320" spans="1:54" x14ac:dyDescent="0.35">
      <c r="A1320" s="66" t="s">
        <v>992</v>
      </c>
      <c r="B1320" s="66" t="s">
        <v>992</v>
      </c>
      <c r="C1320" s="67"/>
      <c r="D1320" s="68"/>
      <c r="E1320" s="69"/>
      <c r="F1320" s="70"/>
      <c r="G1320" s="67"/>
      <c r="H1320" s="71"/>
      <c r="I1320" s="72"/>
      <c r="J1320" s="72"/>
      <c r="K1320" s="36"/>
      <c r="L1320" s="79"/>
      <c r="M1320" s="79"/>
      <c r="N1320" s="74"/>
      <c r="O1320" s="81" t="s">
        <v>179</v>
      </c>
      <c r="P1320" s="83">
        <v>44467.232233796298</v>
      </c>
      <c r="Q1320" s="81" t="s">
        <v>1719</v>
      </c>
      <c r="R1320" s="81"/>
      <c r="S1320" s="81"/>
      <c r="T1320" s="81"/>
      <c r="U1320" s="81"/>
      <c r="V1320" s="85" t="str">
        <f>HYPERLINK("https://pbs.twimg.com/profile_images/1440626758512885770/VaaFBQfU_normal.jpg")</f>
        <v>https://pbs.twimg.com/profile_images/1440626758512885770/VaaFBQfU_normal.jpg</v>
      </c>
      <c r="W1320" s="83">
        <v>44467.232233796298</v>
      </c>
      <c r="X1320" s="89">
        <v>44467</v>
      </c>
      <c r="Y1320" s="87" t="s">
        <v>2709</v>
      </c>
      <c r="Z1320" s="85" t="str">
        <f>HYPERLINK("https://twitter.com/sgrskless/status/1442724356338032644")</f>
        <v>https://twitter.com/sgrskless/status/1442724356338032644</v>
      </c>
      <c r="AA1320" s="81"/>
      <c r="AB1320" s="81"/>
      <c r="AC1320" s="87" t="s">
        <v>3639</v>
      </c>
      <c r="AD1320" s="81"/>
      <c r="AE1320" s="81" t="b">
        <v>0</v>
      </c>
      <c r="AF1320" s="81">
        <v>0</v>
      </c>
      <c r="AG1320" s="87" t="s">
        <v>3875</v>
      </c>
      <c r="AH1320" s="81" t="b">
        <v>0</v>
      </c>
      <c r="AI1320" s="81" t="s">
        <v>4092</v>
      </c>
      <c r="AJ1320" s="81"/>
      <c r="AK1320" s="87" t="s">
        <v>3875</v>
      </c>
      <c r="AL1320" s="81" t="b">
        <v>0</v>
      </c>
      <c r="AM1320" s="81">
        <v>0</v>
      </c>
      <c r="AN1320" s="87" t="s">
        <v>3875</v>
      </c>
      <c r="AO1320" s="87" t="s">
        <v>4109</v>
      </c>
      <c r="AP1320" s="81" t="b">
        <v>0</v>
      </c>
      <c r="AQ1320" s="87" t="s">
        <v>3639</v>
      </c>
      <c r="AR1320" s="81" t="s">
        <v>179</v>
      </c>
      <c r="AS1320" s="81">
        <v>0</v>
      </c>
      <c r="AT1320" s="81">
        <v>0</v>
      </c>
      <c r="AU1320" s="81"/>
      <c r="AV1320" s="81"/>
      <c r="AW1320" s="81"/>
      <c r="AX1320" s="81"/>
      <c r="AY1320" s="81"/>
      <c r="AZ1320" s="81"/>
      <c r="BA1320" s="81"/>
      <c r="BB1320" s="81"/>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320"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320" xr:uid="{00000000-0002-0000-0000-000001000000}"/>
    <dataValidation allowBlank="1" showErrorMessage="1" sqref="N2:N1320"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320"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320" xr:uid="{00000000-0002-0000-0000-000004000000}"/>
    <dataValidation allowBlank="1" showInputMessage="1" promptTitle="Edge Color" prompt="To select an optional edge color, right-click and select Select Color on the right-click menu." sqref="C3:C1320" xr:uid="{00000000-0002-0000-0000-000005000000}"/>
    <dataValidation allowBlank="1" showInputMessage="1" errorTitle="Invalid Edge Width" error="The optional edge width must be a whole number between 1 and 10." promptTitle="Edge Width" prompt="Enter an optional edge width between 1 and 10." sqref="D3:D1320"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1320"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320" xr:uid="{00000000-0002-0000-0000-000008000000}">
      <formula1>ValidEdgeVisibilities</formula1>
    </dataValidation>
    <dataValidation allowBlank="1" showInputMessage="1" showErrorMessage="1" promptTitle="Vertex 1 Name" prompt="Enter the name of the edge's first vertex." sqref="A3:A1320" xr:uid="{00000000-0002-0000-0000-000009000000}"/>
    <dataValidation allowBlank="1" showInputMessage="1" showErrorMessage="1" promptTitle="Vertex 2 Name" prompt="Enter the name of the edge's second vertex." sqref="B3:B1320"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1320"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320"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320"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E990"/>
  <sheetViews>
    <sheetView workbookViewId="0">
      <pane xSplit="1" ySplit="2" topLeftCell="AS3" activePane="bottomRight" state="frozen"/>
      <selection pane="topRight" activeCell="B1" sqref="B1"/>
      <selection pane="bottomLeft" activeCell="A3" sqref="A3"/>
      <selection pane="bottomRight" activeCell="A3" sqref="A3"/>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hidden="1" customWidth="1"/>
    <col min="19" max="19" width="9.26953125" hidden="1" customWidth="1"/>
    <col min="20" max="20" width="9.54296875" hidden="1" customWidth="1"/>
    <col min="21" max="23" width="14.26953125" hidden="1" customWidth="1"/>
    <col min="24" max="24" width="11.81640625" hidden="1" customWidth="1"/>
    <col min="25" max="25" width="14.453125" hidden="1" customWidth="1"/>
    <col min="26" max="26" width="18.26953125" hidden="1" customWidth="1"/>
    <col min="27" max="27" width="5" style="3" hidden="1" customWidth="1"/>
    <col min="28" max="28" width="16" style="3" hidden="1" customWidth="1"/>
    <col min="29" max="29" width="16" style="6" bestFit="1" customWidth="1"/>
    <col min="30" max="30" width="8" style="2" bestFit="1" customWidth="1"/>
    <col min="31" max="31" width="9.1796875" style="3" bestFit="1" customWidth="1"/>
    <col min="32" max="32" width="10.6328125" style="3" bestFit="1" customWidth="1"/>
    <col min="33" max="33" width="11.08984375" style="3" bestFit="1" customWidth="1"/>
    <col min="34" max="34" width="9" style="3" bestFit="1" customWidth="1"/>
    <col min="35" max="35" width="8.81640625" bestFit="1" customWidth="1"/>
    <col min="36" max="36" width="16.81640625" bestFit="1" customWidth="1"/>
    <col min="37" max="37" width="12.54296875" bestFit="1" customWidth="1"/>
    <col min="38" max="38" width="10.08984375" bestFit="1" customWidth="1"/>
    <col min="39" max="39" width="7" bestFit="1" customWidth="1"/>
    <col min="40" max="40" width="7.6328125" bestFit="1" customWidth="1"/>
    <col min="41" max="41" width="15.36328125" bestFit="1" customWidth="1"/>
    <col min="42" max="42" width="12" bestFit="1" customWidth="1"/>
    <col min="43" max="43" width="9.6328125" bestFit="1" customWidth="1"/>
    <col min="44" max="44" width="15.54296875" bestFit="1" customWidth="1"/>
    <col min="45" max="45" width="9.81640625" bestFit="1" customWidth="1"/>
    <col min="46" max="46" width="10.90625" bestFit="1" customWidth="1"/>
    <col min="47" max="47" width="8.36328125" bestFit="1" customWidth="1"/>
    <col min="48" max="48" width="19.36328125" bestFit="1" customWidth="1"/>
    <col min="49" max="49" width="9.54296875" bestFit="1" customWidth="1"/>
    <col min="50" max="51" width="15.36328125" bestFit="1" customWidth="1"/>
    <col min="52" max="52" width="14.36328125" bestFit="1" customWidth="1"/>
  </cols>
  <sheetData>
    <row r="1" spans="1:57" x14ac:dyDescent="0.3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57" ht="30" customHeight="1" x14ac:dyDescent="0.3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4163</v>
      </c>
      <c r="AE2" s="13" t="s">
        <v>4164</v>
      </c>
      <c r="AF2" s="13" t="s">
        <v>4165</v>
      </c>
      <c r="AG2" s="13" t="s">
        <v>4166</v>
      </c>
      <c r="AH2" s="13" t="s">
        <v>4167</v>
      </c>
      <c r="AI2" s="13" t="s">
        <v>4168</v>
      </c>
      <c r="AJ2" s="13" t="s">
        <v>4169</v>
      </c>
      <c r="AK2" s="13" t="s">
        <v>4170</v>
      </c>
      <c r="AL2" s="13" t="s">
        <v>4171</v>
      </c>
      <c r="AM2" s="13" t="s">
        <v>4172</v>
      </c>
      <c r="AN2" s="13" t="s">
        <v>4173</v>
      </c>
      <c r="AO2" s="13" t="s">
        <v>4174</v>
      </c>
      <c r="AP2" s="13" t="s">
        <v>4175</v>
      </c>
      <c r="AQ2" s="13" t="s">
        <v>4176</v>
      </c>
      <c r="AR2" s="13" t="s">
        <v>4177</v>
      </c>
      <c r="AS2" s="13" t="s">
        <v>4178</v>
      </c>
      <c r="AT2" s="13" t="s">
        <v>197</v>
      </c>
      <c r="AU2" s="13" t="s">
        <v>4179</v>
      </c>
      <c r="AV2" s="13" t="s">
        <v>4180</v>
      </c>
      <c r="AW2" s="13" t="s">
        <v>4181</v>
      </c>
      <c r="AX2" s="13" t="s">
        <v>4182</v>
      </c>
      <c r="AY2" s="13" t="s">
        <v>4183</v>
      </c>
      <c r="AZ2" s="13" t="s">
        <v>4184</v>
      </c>
      <c r="BA2" s="3"/>
      <c r="BB2" s="3"/>
    </row>
    <row r="3" spans="1:57" ht="15" customHeight="1" x14ac:dyDescent="0.35">
      <c r="A3" s="66" t="s">
        <v>993</v>
      </c>
      <c r="B3" s="67"/>
      <c r="C3" s="67"/>
      <c r="D3" s="68"/>
      <c r="E3" s="70"/>
      <c r="F3" s="106" t="str">
        <f>HYPERLINK("https://pbs.twimg.com/profile_images/1103610784930619393/Sr97_Oib_normal.jpg")</f>
        <v>https://pbs.twimg.com/profile_images/1103610784930619393/Sr97_Oib_normal.jpg</v>
      </c>
      <c r="G3" s="67"/>
      <c r="H3" s="71"/>
      <c r="I3" s="72"/>
      <c r="J3" s="72"/>
      <c r="K3" s="71" t="s">
        <v>8161</v>
      </c>
      <c r="L3" s="75"/>
      <c r="M3" s="76"/>
      <c r="N3" s="76"/>
      <c r="O3" s="77"/>
      <c r="P3" s="78"/>
      <c r="Q3" s="78"/>
      <c r="R3" s="50"/>
      <c r="S3" s="50"/>
      <c r="T3" s="50"/>
      <c r="U3" s="50"/>
      <c r="V3" s="51"/>
      <c r="W3" s="51"/>
      <c r="X3" s="52"/>
      <c r="Y3" s="51"/>
      <c r="Z3" s="51"/>
      <c r="AA3" s="73"/>
      <c r="AB3" s="73"/>
      <c r="AC3" s="74"/>
      <c r="AD3" s="80" t="s">
        <v>5154</v>
      </c>
      <c r="AE3" s="86" t="s">
        <v>5928</v>
      </c>
      <c r="AF3" s="80">
        <v>7285</v>
      </c>
      <c r="AG3" s="80">
        <v>6640</v>
      </c>
      <c r="AH3" s="80">
        <v>52715</v>
      </c>
      <c r="AI3" s="80">
        <v>10119</v>
      </c>
      <c r="AJ3" s="80"/>
      <c r="AK3" s="80" t="s">
        <v>6756</v>
      </c>
      <c r="AL3" s="80"/>
      <c r="AM3" s="84" t="str">
        <f>HYPERLINK("https://t.co/c1AQYmjySe")</f>
        <v>https://t.co/c1AQYmjySe</v>
      </c>
      <c r="AN3" s="80"/>
      <c r="AO3" s="82">
        <v>40488.335798611108</v>
      </c>
      <c r="AP3" s="84" t="str">
        <f>HYPERLINK("https://pbs.twimg.com/profile_banners/212506085/1551956187")</f>
        <v>https://pbs.twimg.com/profile_banners/212506085/1551956187</v>
      </c>
      <c r="AQ3" s="80" t="b">
        <v>0</v>
      </c>
      <c r="AR3" s="80" t="b">
        <v>0</v>
      </c>
      <c r="AS3" s="80" t="b">
        <v>1</v>
      </c>
      <c r="AT3" s="80"/>
      <c r="AU3" s="80">
        <v>23</v>
      </c>
      <c r="AV3" s="84" t="str">
        <f>HYPERLINK("https://abs.twimg.com/images/themes/theme12/bg.gif")</f>
        <v>https://abs.twimg.com/images/themes/theme12/bg.gif</v>
      </c>
      <c r="AW3" s="80" t="b">
        <v>0</v>
      </c>
      <c r="AX3" s="80" t="s">
        <v>7173</v>
      </c>
      <c r="AY3" s="84" t="str">
        <f>HYPERLINK("https://twitter.com/mamavanenbas")</f>
        <v>https://twitter.com/mamavanenbas</v>
      </c>
      <c r="AZ3" s="80" t="s">
        <v>66</v>
      </c>
      <c r="BA3" s="3"/>
      <c r="BB3" s="3"/>
    </row>
    <row r="4" spans="1:57" x14ac:dyDescent="0.35">
      <c r="A4" s="66" t="s">
        <v>217</v>
      </c>
      <c r="B4" s="67"/>
      <c r="C4" s="67"/>
      <c r="D4" s="68"/>
      <c r="E4" s="70"/>
      <c r="F4" s="106" t="str">
        <f>HYPERLINK("https://pbs.twimg.com/profile_images/1379940782132453376/WAPxRo-5_normal.jpg")</f>
        <v>https://pbs.twimg.com/profile_images/1379940782132453376/WAPxRo-5_normal.jpg</v>
      </c>
      <c r="G4" s="67"/>
      <c r="H4" s="71"/>
      <c r="I4" s="72"/>
      <c r="J4" s="72"/>
      <c r="K4" s="71" t="s">
        <v>7174</v>
      </c>
      <c r="L4" s="75"/>
      <c r="M4" s="76"/>
      <c r="N4" s="76"/>
      <c r="O4" s="77"/>
      <c r="P4" s="78"/>
      <c r="Q4" s="78"/>
      <c r="R4" s="90"/>
      <c r="S4" s="90"/>
      <c r="T4" s="90"/>
      <c r="U4" s="90"/>
      <c r="V4" s="52"/>
      <c r="W4" s="52"/>
      <c r="X4" s="52"/>
      <c r="Y4" s="52"/>
      <c r="Z4" s="51"/>
      <c r="AA4" s="73"/>
      <c r="AB4" s="73"/>
      <c r="AC4" s="74"/>
      <c r="AD4" s="80" t="s">
        <v>4185</v>
      </c>
      <c r="AE4" s="86" t="s">
        <v>5155</v>
      </c>
      <c r="AF4" s="80">
        <v>131</v>
      </c>
      <c r="AG4" s="80">
        <v>351</v>
      </c>
      <c r="AH4" s="80">
        <v>12875</v>
      </c>
      <c r="AI4" s="80">
        <v>260</v>
      </c>
      <c r="AJ4" s="80"/>
      <c r="AK4" s="80" t="s">
        <v>5929</v>
      </c>
      <c r="AL4" s="80" t="s">
        <v>6757</v>
      </c>
      <c r="AM4" s="80"/>
      <c r="AN4" s="80"/>
      <c r="AO4" s="82">
        <v>40709.103414351855</v>
      </c>
      <c r="AP4" s="84" t="str">
        <f>HYPERLINK("https://pbs.twimg.com/profile_banners/317534678/1523408463")</f>
        <v>https://pbs.twimg.com/profile_banners/317534678/1523408463</v>
      </c>
      <c r="AQ4" s="80" t="b">
        <v>0</v>
      </c>
      <c r="AR4" s="80" t="b">
        <v>0</v>
      </c>
      <c r="AS4" s="80" t="b">
        <v>1</v>
      </c>
      <c r="AT4" s="80"/>
      <c r="AU4" s="80">
        <v>2</v>
      </c>
      <c r="AV4" s="84" t="str">
        <f>HYPERLINK("https://abs.twimg.com/images/themes/theme1/bg.png")</f>
        <v>https://abs.twimg.com/images/themes/theme1/bg.png</v>
      </c>
      <c r="AW4" s="80" t="b">
        <v>0</v>
      </c>
      <c r="AX4" s="80" t="s">
        <v>7173</v>
      </c>
      <c r="AY4" s="84" t="str">
        <f>HYPERLINK("https://twitter.com/tigre12capitale")</f>
        <v>https://twitter.com/tigre12capitale</v>
      </c>
      <c r="AZ4" s="80" t="s">
        <v>66</v>
      </c>
      <c r="BA4" s="2"/>
      <c r="BB4" s="3"/>
      <c r="BC4" s="3"/>
      <c r="BD4" s="3"/>
      <c r="BE4" s="3"/>
    </row>
    <row r="5" spans="1:57" x14ac:dyDescent="0.35">
      <c r="A5" s="66" t="s">
        <v>285</v>
      </c>
      <c r="B5" s="67"/>
      <c r="C5" s="67"/>
      <c r="D5" s="68"/>
      <c r="E5" s="70"/>
      <c r="F5" s="106" t="str">
        <f>HYPERLINK("https://pbs.twimg.com/profile_images/1380559316999008259/YCIKEY2t_normal.jpg")</f>
        <v>https://pbs.twimg.com/profile_images/1380559316999008259/YCIKEY2t_normal.jpg</v>
      </c>
      <c r="G5" s="67"/>
      <c r="H5" s="71"/>
      <c r="I5" s="72"/>
      <c r="J5" s="72"/>
      <c r="K5" s="71" t="s">
        <v>7175</v>
      </c>
      <c r="L5" s="75"/>
      <c r="M5" s="76"/>
      <c r="N5" s="76"/>
      <c r="O5" s="77"/>
      <c r="P5" s="78"/>
      <c r="Q5" s="78"/>
      <c r="R5" s="90"/>
      <c r="S5" s="90"/>
      <c r="T5" s="90"/>
      <c r="U5" s="90"/>
      <c r="V5" s="52"/>
      <c r="W5" s="52"/>
      <c r="X5" s="52"/>
      <c r="Y5" s="52"/>
      <c r="Z5" s="51"/>
      <c r="AA5" s="73"/>
      <c r="AB5" s="73"/>
      <c r="AC5" s="74"/>
      <c r="AD5" s="80" t="s">
        <v>4186</v>
      </c>
      <c r="AE5" s="86" t="s">
        <v>3907</v>
      </c>
      <c r="AF5" s="80">
        <v>396</v>
      </c>
      <c r="AG5" s="80">
        <v>1684237</v>
      </c>
      <c r="AH5" s="80">
        <v>94791</v>
      </c>
      <c r="AI5" s="80">
        <v>2663</v>
      </c>
      <c r="AJ5" s="80"/>
      <c r="AK5" s="80" t="s">
        <v>5930</v>
      </c>
      <c r="AL5" s="80" t="s">
        <v>4145</v>
      </c>
      <c r="AM5" s="84" t="str">
        <f>HYPERLINK("https://t.co/MpOck8Jo8A")</f>
        <v>https://t.co/MpOck8Jo8A</v>
      </c>
      <c r="AN5" s="80"/>
      <c r="AO5" s="82">
        <v>39946.144930555558</v>
      </c>
      <c r="AP5" s="84" t="str">
        <f>HYPERLINK("https://pbs.twimg.com/profile_banners/39677695/1577850879")</f>
        <v>https://pbs.twimg.com/profile_banners/39677695/1577850879</v>
      </c>
      <c r="AQ5" s="80" t="b">
        <v>0</v>
      </c>
      <c r="AR5" s="80" t="b">
        <v>0</v>
      </c>
      <c r="AS5" s="80" t="b">
        <v>0</v>
      </c>
      <c r="AT5" s="80"/>
      <c r="AU5" s="80">
        <v>1627</v>
      </c>
      <c r="AV5" s="84" t="str">
        <f>HYPERLINK("https://abs.twimg.com/images/themes/theme1/bg.png")</f>
        <v>https://abs.twimg.com/images/themes/theme1/bg.png</v>
      </c>
      <c r="AW5" s="80" t="b">
        <v>1</v>
      </c>
      <c r="AX5" s="80" t="s">
        <v>7173</v>
      </c>
      <c r="AY5" s="84" t="str">
        <f>HYPERLINK("https://twitter.com/gnfi")</f>
        <v>https://twitter.com/gnfi</v>
      </c>
      <c r="AZ5" s="80" t="s">
        <v>66</v>
      </c>
      <c r="BA5" s="2"/>
      <c r="BB5" s="3"/>
      <c r="BC5" s="3"/>
      <c r="BD5" s="3"/>
      <c r="BE5" s="3"/>
    </row>
    <row r="6" spans="1:57" x14ac:dyDescent="0.35">
      <c r="A6" s="66" t="s">
        <v>218</v>
      </c>
      <c r="B6" s="67"/>
      <c r="C6" s="67"/>
      <c r="D6" s="68"/>
      <c r="E6" s="70"/>
      <c r="F6" s="106" t="str">
        <f>HYPERLINK("https://pbs.twimg.com/profile_images/1363454089988689922/Lj7MTGRr_normal.jpg")</f>
        <v>https://pbs.twimg.com/profile_images/1363454089988689922/Lj7MTGRr_normal.jpg</v>
      </c>
      <c r="G6" s="67"/>
      <c r="H6" s="71"/>
      <c r="I6" s="72"/>
      <c r="J6" s="72"/>
      <c r="K6" s="71" t="s">
        <v>7176</v>
      </c>
      <c r="L6" s="75"/>
      <c r="M6" s="76"/>
      <c r="N6" s="76"/>
      <c r="O6" s="77"/>
      <c r="P6" s="78"/>
      <c r="Q6" s="78"/>
      <c r="R6" s="90"/>
      <c r="S6" s="90"/>
      <c r="T6" s="90"/>
      <c r="U6" s="90"/>
      <c r="V6" s="52"/>
      <c r="W6" s="52"/>
      <c r="X6" s="52"/>
      <c r="Y6" s="52"/>
      <c r="Z6" s="51"/>
      <c r="AA6" s="73"/>
      <c r="AB6" s="73"/>
      <c r="AC6" s="74"/>
      <c r="AD6" s="80" t="s">
        <v>4187</v>
      </c>
      <c r="AE6" s="86" t="s">
        <v>3876</v>
      </c>
      <c r="AF6" s="80">
        <v>535</v>
      </c>
      <c r="AG6" s="80">
        <v>945</v>
      </c>
      <c r="AH6" s="80">
        <v>73998</v>
      </c>
      <c r="AI6" s="80">
        <v>1146</v>
      </c>
      <c r="AJ6" s="80"/>
      <c r="AK6" s="80"/>
      <c r="AL6" s="80" t="s">
        <v>6758</v>
      </c>
      <c r="AM6" s="84" t="str">
        <f>HYPERLINK("https://t.co/wU3nh465Vw")</f>
        <v>https://t.co/wU3nh465Vw</v>
      </c>
      <c r="AN6" s="80"/>
      <c r="AO6" s="82">
        <v>39951.587777777779</v>
      </c>
      <c r="AP6" s="84" t="str">
        <f>HYPERLINK("https://pbs.twimg.com/profile_banners/40879209/1590938972")</f>
        <v>https://pbs.twimg.com/profile_banners/40879209/1590938972</v>
      </c>
      <c r="AQ6" s="80" t="b">
        <v>1</v>
      </c>
      <c r="AR6" s="80" t="b">
        <v>0</v>
      </c>
      <c r="AS6" s="80" t="b">
        <v>1</v>
      </c>
      <c r="AT6" s="80"/>
      <c r="AU6" s="80">
        <v>4</v>
      </c>
      <c r="AV6" s="84" t="str">
        <f>HYPERLINK("https://abs.twimg.com/images/themes/theme1/bg.png")</f>
        <v>https://abs.twimg.com/images/themes/theme1/bg.png</v>
      </c>
      <c r="AW6" s="80" t="b">
        <v>0</v>
      </c>
      <c r="AX6" s="80" t="s">
        <v>7173</v>
      </c>
      <c r="AY6" s="84" t="str">
        <f>HYPERLINK("https://twitter.com/naila0125")</f>
        <v>https://twitter.com/naila0125</v>
      </c>
      <c r="AZ6" s="80" t="s">
        <v>66</v>
      </c>
      <c r="BA6" s="2"/>
      <c r="BB6" s="3"/>
      <c r="BC6" s="3"/>
      <c r="BD6" s="3"/>
      <c r="BE6" s="3"/>
    </row>
    <row r="7" spans="1:57" x14ac:dyDescent="0.35">
      <c r="A7" s="66" t="s">
        <v>219</v>
      </c>
      <c r="B7" s="67"/>
      <c r="C7" s="67"/>
      <c r="D7" s="68"/>
      <c r="E7" s="70"/>
      <c r="F7" s="106" t="str">
        <f>HYPERLINK("https://pbs.twimg.com/profile_images/1420426693294968832/rM1Fg8jX_normal.jpg")</f>
        <v>https://pbs.twimg.com/profile_images/1420426693294968832/rM1Fg8jX_normal.jpg</v>
      </c>
      <c r="G7" s="67"/>
      <c r="H7" s="71"/>
      <c r="I7" s="72"/>
      <c r="J7" s="72"/>
      <c r="K7" s="71" t="s">
        <v>7177</v>
      </c>
      <c r="L7" s="75"/>
      <c r="M7" s="76"/>
      <c r="N7" s="76"/>
      <c r="O7" s="77"/>
      <c r="P7" s="78"/>
      <c r="Q7" s="78"/>
      <c r="R7" s="90"/>
      <c r="S7" s="90"/>
      <c r="T7" s="90"/>
      <c r="U7" s="90"/>
      <c r="V7" s="52"/>
      <c r="W7" s="52"/>
      <c r="X7" s="52"/>
      <c r="Y7" s="52"/>
      <c r="Z7" s="51"/>
      <c r="AA7" s="73"/>
      <c r="AB7" s="73"/>
      <c r="AC7" s="74"/>
      <c r="AD7" s="80" t="s">
        <v>4188</v>
      </c>
      <c r="AE7" s="86" t="s">
        <v>5156</v>
      </c>
      <c r="AF7" s="80">
        <v>799</v>
      </c>
      <c r="AG7" s="80">
        <v>722</v>
      </c>
      <c r="AH7" s="80">
        <v>5701</v>
      </c>
      <c r="AI7" s="80">
        <v>406</v>
      </c>
      <c r="AJ7" s="80"/>
      <c r="AK7" s="80" t="s">
        <v>5931</v>
      </c>
      <c r="AL7" s="80"/>
      <c r="AM7" s="80"/>
      <c r="AN7" s="80"/>
      <c r="AO7" s="82">
        <v>44101.474768518521</v>
      </c>
      <c r="AP7" s="84" t="str">
        <f>HYPERLINK("https://pbs.twimg.com/profile_banners/1310178245069819904/1609845612")</f>
        <v>https://pbs.twimg.com/profile_banners/1310178245069819904/1609845612</v>
      </c>
      <c r="AQ7" s="80" t="b">
        <v>1</v>
      </c>
      <c r="AR7" s="80" t="b">
        <v>0</v>
      </c>
      <c r="AS7" s="80" t="b">
        <v>0</v>
      </c>
      <c r="AT7" s="80"/>
      <c r="AU7" s="80">
        <v>1</v>
      </c>
      <c r="AV7" s="80"/>
      <c r="AW7" s="80" t="b">
        <v>0</v>
      </c>
      <c r="AX7" s="80" t="s">
        <v>7173</v>
      </c>
      <c r="AY7" s="84" t="str">
        <f>HYPERLINK("https://twitter.com/aliahali79")</f>
        <v>https://twitter.com/aliahali79</v>
      </c>
      <c r="AZ7" s="80" t="s">
        <v>66</v>
      </c>
      <c r="BA7" s="2"/>
      <c r="BB7" s="3"/>
      <c r="BC7" s="3"/>
      <c r="BD7" s="3"/>
      <c r="BE7" s="3"/>
    </row>
    <row r="8" spans="1:57" x14ac:dyDescent="0.35">
      <c r="A8" s="66" t="s">
        <v>220</v>
      </c>
      <c r="B8" s="67"/>
      <c r="C8" s="67"/>
      <c r="D8" s="68"/>
      <c r="E8" s="70"/>
      <c r="F8" s="106" t="str">
        <f>HYPERLINK("https://pbs.twimg.com/profile_images/1347686961109090309/tt1neO_L_normal.jpg")</f>
        <v>https://pbs.twimg.com/profile_images/1347686961109090309/tt1neO_L_normal.jpg</v>
      </c>
      <c r="G8" s="67"/>
      <c r="H8" s="71"/>
      <c r="I8" s="72"/>
      <c r="J8" s="72"/>
      <c r="K8" s="71" t="s">
        <v>7178</v>
      </c>
      <c r="L8" s="75"/>
      <c r="M8" s="76"/>
      <c r="N8" s="76"/>
      <c r="O8" s="77"/>
      <c r="P8" s="78"/>
      <c r="Q8" s="78"/>
      <c r="R8" s="90"/>
      <c r="S8" s="90"/>
      <c r="T8" s="90"/>
      <c r="U8" s="90"/>
      <c r="V8" s="52"/>
      <c r="W8" s="52"/>
      <c r="X8" s="52"/>
      <c r="Y8" s="52"/>
      <c r="Z8" s="51"/>
      <c r="AA8" s="73"/>
      <c r="AB8" s="73"/>
      <c r="AC8" s="74"/>
      <c r="AD8" s="80" t="s">
        <v>4189</v>
      </c>
      <c r="AE8" s="86" t="s">
        <v>5157</v>
      </c>
      <c r="AF8" s="80">
        <v>660</v>
      </c>
      <c r="AG8" s="80">
        <v>454</v>
      </c>
      <c r="AH8" s="80">
        <v>36938</v>
      </c>
      <c r="AI8" s="80">
        <v>778</v>
      </c>
      <c r="AJ8" s="80"/>
      <c r="AK8" s="80" t="s">
        <v>5932</v>
      </c>
      <c r="AL8" s="80"/>
      <c r="AM8" s="80"/>
      <c r="AN8" s="80"/>
      <c r="AO8" s="82">
        <v>40081.305034722223</v>
      </c>
      <c r="AP8" s="84" t="str">
        <f>HYPERLINK("https://pbs.twimg.com/profile_banners/77158111/1500728779")</f>
        <v>https://pbs.twimg.com/profile_banners/77158111/1500728779</v>
      </c>
      <c r="AQ8" s="80" t="b">
        <v>0</v>
      </c>
      <c r="AR8" s="80" t="b">
        <v>0</v>
      </c>
      <c r="AS8" s="80" t="b">
        <v>1</v>
      </c>
      <c r="AT8" s="80"/>
      <c r="AU8" s="80">
        <v>1</v>
      </c>
      <c r="AV8" s="84" t="str">
        <f>HYPERLINK("https://abs.twimg.com/images/themes/theme15/bg.png")</f>
        <v>https://abs.twimg.com/images/themes/theme15/bg.png</v>
      </c>
      <c r="AW8" s="80" t="b">
        <v>0</v>
      </c>
      <c r="AX8" s="80" t="s">
        <v>7173</v>
      </c>
      <c r="AY8" s="84" t="str">
        <f>HYPERLINK("https://twitter.com/saya_icul")</f>
        <v>https://twitter.com/saya_icul</v>
      </c>
      <c r="AZ8" s="80" t="s">
        <v>66</v>
      </c>
      <c r="BA8" s="2"/>
      <c r="BB8" s="3"/>
      <c r="BC8" s="3"/>
      <c r="BD8" s="3"/>
      <c r="BE8" s="3"/>
    </row>
    <row r="9" spans="1:57" x14ac:dyDescent="0.35">
      <c r="A9" s="66" t="s">
        <v>221</v>
      </c>
      <c r="B9" s="67"/>
      <c r="C9" s="67"/>
      <c r="D9" s="68"/>
      <c r="E9" s="70"/>
      <c r="F9" s="106" t="str">
        <f>HYPERLINK("https://pbs.twimg.com/profile_images/1253844631583772672/tJ3w5smY_normal.jpg")</f>
        <v>https://pbs.twimg.com/profile_images/1253844631583772672/tJ3w5smY_normal.jpg</v>
      </c>
      <c r="G9" s="67"/>
      <c r="H9" s="71"/>
      <c r="I9" s="72"/>
      <c r="J9" s="72"/>
      <c r="K9" s="71" t="s">
        <v>7179</v>
      </c>
      <c r="L9" s="75"/>
      <c r="M9" s="76"/>
      <c r="N9" s="76"/>
      <c r="O9" s="77"/>
      <c r="P9" s="78"/>
      <c r="Q9" s="78"/>
      <c r="R9" s="90"/>
      <c r="S9" s="90"/>
      <c r="T9" s="90"/>
      <c r="U9" s="90"/>
      <c r="V9" s="52"/>
      <c r="W9" s="52"/>
      <c r="X9" s="52"/>
      <c r="Y9" s="52"/>
      <c r="Z9" s="51"/>
      <c r="AA9" s="73"/>
      <c r="AB9" s="73"/>
      <c r="AC9" s="74"/>
      <c r="AD9" s="80" t="s">
        <v>4190</v>
      </c>
      <c r="AE9" s="86" t="s">
        <v>5158</v>
      </c>
      <c r="AF9" s="80">
        <v>4966</v>
      </c>
      <c r="AG9" s="80">
        <v>290</v>
      </c>
      <c r="AH9" s="80">
        <v>5809</v>
      </c>
      <c r="AI9" s="80">
        <v>7227</v>
      </c>
      <c r="AJ9" s="80"/>
      <c r="AK9" s="80" t="s">
        <v>5933</v>
      </c>
      <c r="AL9" s="80"/>
      <c r="AM9" s="80"/>
      <c r="AN9" s="80"/>
      <c r="AO9" s="82">
        <v>40091.461562500001</v>
      </c>
      <c r="AP9" s="84" t="str">
        <f>HYPERLINK("https://pbs.twimg.com/profile_banners/79994419/1574140650")</f>
        <v>https://pbs.twimg.com/profile_banners/79994419/1574140650</v>
      </c>
      <c r="AQ9" s="80" t="b">
        <v>1</v>
      </c>
      <c r="AR9" s="80" t="b">
        <v>0</v>
      </c>
      <c r="AS9" s="80" t="b">
        <v>0</v>
      </c>
      <c r="AT9" s="80"/>
      <c r="AU9" s="80">
        <v>0</v>
      </c>
      <c r="AV9" s="84" t="str">
        <f>HYPERLINK("https://abs.twimg.com/images/themes/theme1/bg.png")</f>
        <v>https://abs.twimg.com/images/themes/theme1/bg.png</v>
      </c>
      <c r="AW9" s="80" t="b">
        <v>0</v>
      </c>
      <c r="AX9" s="80" t="s">
        <v>7173</v>
      </c>
      <c r="AY9" s="84" t="str">
        <f>HYPERLINK("https://twitter.com/berd_die")</f>
        <v>https://twitter.com/berd_die</v>
      </c>
      <c r="AZ9" s="80" t="s">
        <v>66</v>
      </c>
      <c r="BA9" s="2"/>
      <c r="BB9" s="3"/>
      <c r="BC9" s="3"/>
      <c r="BD9" s="3"/>
      <c r="BE9" s="3"/>
    </row>
    <row r="10" spans="1:57" x14ac:dyDescent="0.35">
      <c r="A10" s="66" t="s">
        <v>833</v>
      </c>
      <c r="B10" s="67"/>
      <c r="C10" s="67"/>
      <c r="D10" s="68"/>
      <c r="E10" s="70"/>
      <c r="F10" s="106" t="str">
        <f>HYPERLINK("https://pbs.twimg.com/profile_images/562881254257733632/fGW5UJtf_normal.jpeg")</f>
        <v>https://pbs.twimg.com/profile_images/562881254257733632/fGW5UJtf_normal.jpeg</v>
      </c>
      <c r="G10" s="67"/>
      <c r="H10" s="71"/>
      <c r="I10" s="72"/>
      <c r="J10" s="72"/>
      <c r="K10" s="71" t="s">
        <v>7180</v>
      </c>
      <c r="L10" s="75"/>
      <c r="M10" s="76"/>
      <c r="N10" s="76"/>
      <c r="O10" s="77"/>
      <c r="P10" s="78"/>
      <c r="Q10" s="78"/>
      <c r="R10" s="90"/>
      <c r="S10" s="90"/>
      <c r="T10" s="90"/>
      <c r="U10" s="90"/>
      <c r="V10" s="52"/>
      <c r="W10" s="52"/>
      <c r="X10" s="52"/>
      <c r="Y10" s="52"/>
      <c r="Z10" s="51"/>
      <c r="AA10" s="73"/>
      <c r="AB10" s="73"/>
      <c r="AC10" s="74"/>
      <c r="AD10" s="80" t="s">
        <v>4191</v>
      </c>
      <c r="AE10" s="86" t="s">
        <v>5159</v>
      </c>
      <c r="AF10" s="80">
        <v>2</v>
      </c>
      <c r="AG10" s="80">
        <v>234962</v>
      </c>
      <c r="AH10" s="80">
        <v>88927</v>
      </c>
      <c r="AI10" s="80">
        <v>729</v>
      </c>
      <c r="AJ10" s="80"/>
      <c r="AK10" s="80" t="s">
        <v>5934</v>
      </c>
      <c r="AL10" s="80" t="s">
        <v>4145</v>
      </c>
      <c r="AM10" s="84" t="str">
        <f>HYPERLINK("https://t.co/Mr7WzaS8Dj")</f>
        <v>https://t.co/Mr7WzaS8Dj</v>
      </c>
      <c r="AN10" s="80"/>
      <c r="AO10" s="82">
        <v>40961.685347222221</v>
      </c>
      <c r="AP10" s="84" t="str">
        <f>HYPERLINK("https://pbs.twimg.com/profile_banners/499917610/1461064526")</f>
        <v>https://pbs.twimg.com/profile_banners/499917610/1461064526</v>
      </c>
      <c r="AQ10" s="80" t="b">
        <v>0</v>
      </c>
      <c r="AR10" s="80" t="b">
        <v>0</v>
      </c>
      <c r="AS10" s="80" t="b">
        <v>1</v>
      </c>
      <c r="AT10" s="80"/>
      <c r="AU10" s="80">
        <v>324</v>
      </c>
      <c r="AV10" s="84" t="str">
        <f>HYPERLINK("https://abs.twimg.com/images/themes/theme14/bg.gif")</f>
        <v>https://abs.twimg.com/images/themes/theme14/bg.gif</v>
      </c>
      <c r="AW10" s="80" t="b">
        <v>0</v>
      </c>
      <c r="AX10" s="80" t="s">
        <v>7173</v>
      </c>
      <c r="AY10" s="84" t="str">
        <f>HYPERLINK("https://twitter.com/sentraloker")</f>
        <v>https://twitter.com/sentraloker</v>
      </c>
      <c r="AZ10" s="80" t="s">
        <v>66</v>
      </c>
      <c r="BA10" s="2"/>
      <c r="BB10" s="3"/>
      <c r="BC10" s="3"/>
      <c r="BD10" s="3"/>
      <c r="BE10" s="3"/>
    </row>
    <row r="11" spans="1:57" x14ac:dyDescent="0.35">
      <c r="A11" s="66" t="s">
        <v>222</v>
      </c>
      <c r="B11" s="67"/>
      <c r="C11" s="67"/>
      <c r="D11" s="68"/>
      <c r="E11" s="70"/>
      <c r="F11" s="106" t="str">
        <f>HYPERLINK("https://pbs.twimg.com/profile_images/1417436733579296769/fZ74nlPG_normal.jpg")</f>
        <v>https://pbs.twimg.com/profile_images/1417436733579296769/fZ74nlPG_normal.jpg</v>
      </c>
      <c r="G11" s="67"/>
      <c r="H11" s="71"/>
      <c r="I11" s="72"/>
      <c r="J11" s="72"/>
      <c r="K11" s="71" t="s">
        <v>7181</v>
      </c>
      <c r="L11" s="75"/>
      <c r="M11" s="76"/>
      <c r="N11" s="76"/>
      <c r="O11" s="77"/>
      <c r="P11" s="78"/>
      <c r="Q11" s="78"/>
      <c r="R11" s="90"/>
      <c r="S11" s="90"/>
      <c r="T11" s="90"/>
      <c r="U11" s="90"/>
      <c r="V11" s="52"/>
      <c r="W11" s="52"/>
      <c r="X11" s="52"/>
      <c r="Y11" s="52"/>
      <c r="Z11" s="51"/>
      <c r="AA11" s="73"/>
      <c r="AB11" s="73"/>
      <c r="AC11" s="74"/>
      <c r="AD11" s="80" t="s">
        <v>4192</v>
      </c>
      <c r="AE11" s="86" t="s">
        <v>5160</v>
      </c>
      <c r="AF11" s="80">
        <v>1077</v>
      </c>
      <c r="AG11" s="80">
        <v>12697</v>
      </c>
      <c r="AH11" s="80">
        <v>62658</v>
      </c>
      <c r="AI11" s="80">
        <v>2189</v>
      </c>
      <c r="AJ11" s="80"/>
      <c r="AK11" s="80" t="s">
        <v>5935</v>
      </c>
      <c r="AL11" s="80" t="s">
        <v>6759</v>
      </c>
      <c r="AM11" s="84" t="str">
        <f>HYPERLINK("https://t.co/wN0LAMz52T")</f>
        <v>https://t.co/wN0LAMz52T</v>
      </c>
      <c r="AN11" s="80"/>
      <c r="AO11" s="82">
        <v>40097.133530092593</v>
      </c>
      <c r="AP11" s="84" t="str">
        <f>HYPERLINK("https://pbs.twimg.com/profile_banners/81503165/1578577504")</f>
        <v>https://pbs.twimg.com/profile_banners/81503165/1578577504</v>
      </c>
      <c r="AQ11" s="80" t="b">
        <v>0</v>
      </c>
      <c r="AR11" s="80" t="b">
        <v>0</v>
      </c>
      <c r="AS11" s="80" t="b">
        <v>1</v>
      </c>
      <c r="AT11" s="80"/>
      <c r="AU11" s="80">
        <v>30</v>
      </c>
      <c r="AV11" s="84" t="str">
        <f>HYPERLINK("https://abs.twimg.com/images/themes/theme5/bg.gif")</f>
        <v>https://abs.twimg.com/images/themes/theme5/bg.gif</v>
      </c>
      <c r="AW11" s="80" t="b">
        <v>0</v>
      </c>
      <c r="AX11" s="80" t="s">
        <v>7173</v>
      </c>
      <c r="AY11" s="84" t="str">
        <f>HYPERLINK("https://twitter.com/kenndaru")</f>
        <v>https://twitter.com/kenndaru</v>
      </c>
      <c r="AZ11" s="80" t="s">
        <v>66</v>
      </c>
      <c r="BA11" s="2"/>
      <c r="BB11" s="3"/>
      <c r="BC11" s="3"/>
      <c r="BD11" s="3"/>
      <c r="BE11" s="3"/>
    </row>
    <row r="12" spans="1:57" x14ac:dyDescent="0.35">
      <c r="A12" s="66" t="s">
        <v>994</v>
      </c>
      <c r="B12" s="67"/>
      <c r="C12" s="67"/>
      <c r="D12" s="68"/>
      <c r="E12" s="70"/>
      <c r="F12" s="106" t="str">
        <f>HYPERLINK("https://pbs.twimg.com/profile_images/1396014238166970374/h-1ctoQO_normal.jpg")</f>
        <v>https://pbs.twimg.com/profile_images/1396014238166970374/h-1ctoQO_normal.jpg</v>
      </c>
      <c r="G12" s="67"/>
      <c r="H12" s="71"/>
      <c r="I12" s="72"/>
      <c r="J12" s="72"/>
      <c r="K12" s="71" t="s">
        <v>7182</v>
      </c>
      <c r="L12" s="75"/>
      <c r="M12" s="76"/>
      <c r="N12" s="76"/>
      <c r="O12" s="77"/>
      <c r="P12" s="78"/>
      <c r="Q12" s="78"/>
      <c r="R12" s="90"/>
      <c r="S12" s="90"/>
      <c r="T12" s="90"/>
      <c r="U12" s="90"/>
      <c r="V12" s="52"/>
      <c r="W12" s="52"/>
      <c r="X12" s="52"/>
      <c r="Y12" s="52"/>
      <c r="Z12" s="51"/>
      <c r="AA12" s="73"/>
      <c r="AB12" s="73"/>
      <c r="AC12" s="74"/>
      <c r="AD12" s="80" t="s">
        <v>4193</v>
      </c>
      <c r="AE12" s="86" t="s">
        <v>5161</v>
      </c>
      <c r="AF12" s="80">
        <v>2224</v>
      </c>
      <c r="AG12" s="80">
        <v>51118</v>
      </c>
      <c r="AH12" s="80">
        <v>191617</v>
      </c>
      <c r="AI12" s="80">
        <v>2412</v>
      </c>
      <c r="AJ12" s="80"/>
      <c r="AK12" s="80" t="s">
        <v>5936</v>
      </c>
      <c r="AL12" s="80" t="s">
        <v>6760</v>
      </c>
      <c r="AM12" s="84" t="str">
        <f>HYPERLINK("https://t.co/jXEWCmr9jq")</f>
        <v>https://t.co/jXEWCmr9jq</v>
      </c>
      <c r="AN12" s="80"/>
      <c r="AO12" s="82">
        <v>40553.068784722222</v>
      </c>
      <c r="AP12" s="84" t="str">
        <f>HYPERLINK("https://pbs.twimg.com/profile_banners/236200461/1429352290")</f>
        <v>https://pbs.twimg.com/profile_banners/236200461/1429352290</v>
      </c>
      <c r="AQ12" s="80" t="b">
        <v>1</v>
      </c>
      <c r="AR12" s="80" t="b">
        <v>0</v>
      </c>
      <c r="AS12" s="80" t="b">
        <v>0</v>
      </c>
      <c r="AT12" s="80"/>
      <c r="AU12" s="80">
        <v>88</v>
      </c>
      <c r="AV12" s="84" t="str">
        <f>HYPERLINK("https://abs.twimg.com/images/themes/theme1/bg.png")</f>
        <v>https://abs.twimg.com/images/themes/theme1/bg.png</v>
      </c>
      <c r="AW12" s="80" t="b">
        <v>0</v>
      </c>
      <c r="AX12" s="80" t="s">
        <v>7173</v>
      </c>
      <c r="AY12" s="84" t="str">
        <f>HYPERLINK("https://twitter.com/kokokdirgantoro")</f>
        <v>https://twitter.com/kokokdirgantoro</v>
      </c>
      <c r="AZ12" s="80" t="s">
        <v>65</v>
      </c>
      <c r="BA12" s="2"/>
      <c r="BB12" s="3"/>
      <c r="BC12" s="3"/>
      <c r="BD12" s="3"/>
      <c r="BE12" s="3"/>
    </row>
    <row r="13" spans="1:57" x14ac:dyDescent="0.35">
      <c r="A13" s="66" t="s">
        <v>223</v>
      </c>
      <c r="B13" s="67"/>
      <c r="C13" s="67"/>
      <c r="D13" s="68"/>
      <c r="E13" s="70"/>
      <c r="F13" s="106" t="str">
        <f>HYPERLINK("https://pbs.twimg.com/profile_images/1411258979607478272/TTv-QObM_normal.jpg")</f>
        <v>https://pbs.twimg.com/profile_images/1411258979607478272/TTv-QObM_normal.jpg</v>
      </c>
      <c r="G13" s="67"/>
      <c r="H13" s="71"/>
      <c r="I13" s="72"/>
      <c r="J13" s="72"/>
      <c r="K13" s="71" t="s">
        <v>7183</v>
      </c>
      <c r="L13" s="75"/>
      <c r="M13" s="76"/>
      <c r="N13" s="76"/>
      <c r="O13" s="77"/>
      <c r="P13" s="78"/>
      <c r="Q13" s="78"/>
      <c r="R13" s="90"/>
      <c r="S13" s="90"/>
      <c r="T13" s="90"/>
      <c r="U13" s="90"/>
      <c r="V13" s="52"/>
      <c r="W13" s="52"/>
      <c r="X13" s="52"/>
      <c r="Y13" s="52"/>
      <c r="Z13" s="51"/>
      <c r="AA13" s="73"/>
      <c r="AB13" s="73"/>
      <c r="AC13" s="74"/>
      <c r="AD13" s="80" t="s">
        <v>4194</v>
      </c>
      <c r="AE13" s="86" t="s">
        <v>3877</v>
      </c>
      <c r="AF13" s="80">
        <v>480</v>
      </c>
      <c r="AG13" s="80">
        <v>484</v>
      </c>
      <c r="AH13" s="80">
        <v>61877</v>
      </c>
      <c r="AI13" s="80">
        <v>2599</v>
      </c>
      <c r="AJ13" s="80"/>
      <c r="AK13" s="80" t="s">
        <v>5937</v>
      </c>
      <c r="AL13" s="80" t="s">
        <v>6761</v>
      </c>
      <c r="AM13" s="80"/>
      <c r="AN13" s="80"/>
      <c r="AO13" s="82">
        <v>42012.260717592595</v>
      </c>
      <c r="AP13" s="84" t="str">
        <f>HYPERLINK("https://pbs.twimg.com/profile_banners/2965263818/1608166459")</f>
        <v>https://pbs.twimg.com/profile_banners/2965263818/1608166459</v>
      </c>
      <c r="AQ13" s="80" t="b">
        <v>0</v>
      </c>
      <c r="AR13" s="80" t="b">
        <v>0</v>
      </c>
      <c r="AS13" s="80" t="b">
        <v>1</v>
      </c>
      <c r="AT13" s="80"/>
      <c r="AU13" s="80">
        <v>15</v>
      </c>
      <c r="AV13" s="84" t="str">
        <f>HYPERLINK("https://abs.twimg.com/images/themes/theme19/bg.gif")</f>
        <v>https://abs.twimg.com/images/themes/theme19/bg.gif</v>
      </c>
      <c r="AW13" s="80" t="b">
        <v>0</v>
      </c>
      <c r="AX13" s="80" t="s">
        <v>7173</v>
      </c>
      <c r="AY13" s="84" t="str">
        <f>HYPERLINK("https://twitter.com/netijencupu")</f>
        <v>https://twitter.com/netijencupu</v>
      </c>
      <c r="AZ13" s="80" t="s">
        <v>66</v>
      </c>
      <c r="BA13" s="2"/>
      <c r="BB13" s="3"/>
      <c r="BC13" s="3"/>
      <c r="BD13" s="3"/>
      <c r="BE13" s="3"/>
    </row>
    <row r="14" spans="1:57" x14ac:dyDescent="0.35">
      <c r="A14" s="66" t="s">
        <v>224</v>
      </c>
      <c r="B14" s="67"/>
      <c r="C14" s="67"/>
      <c r="D14" s="68"/>
      <c r="E14" s="70"/>
      <c r="F14" s="106" t="str">
        <f>HYPERLINK("https://pbs.twimg.com/profile_images/1434015629137248257/TNuQDA8M_normal.jpg")</f>
        <v>https://pbs.twimg.com/profile_images/1434015629137248257/TNuQDA8M_normal.jpg</v>
      </c>
      <c r="G14" s="67"/>
      <c r="H14" s="71"/>
      <c r="I14" s="72"/>
      <c r="J14" s="72"/>
      <c r="K14" s="71" t="s">
        <v>7184</v>
      </c>
      <c r="L14" s="75"/>
      <c r="M14" s="76"/>
      <c r="N14" s="76"/>
      <c r="O14" s="77"/>
      <c r="P14" s="78"/>
      <c r="Q14" s="78"/>
      <c r="R14" s="90"/>
      <c r="S14" s="90"/>
      <c r="T14" s="90"/>
      <c r="U14" s="90"/>
      <c r="V14" s="52"/>
      <c r="W14" s="52"/>
      <c r="X14" s="52"/>
      <c r="Y14" s="52"/>
      <c r="Z14" s="51"/>
      <c r="AA14" s="73"/>
      <c r="AB14" s="73"/>
      <c r="AC14" s="74"/>
      <c r="AD14" s="80" t="s">
        <v>4195</v>
      </c>
      <c r="AE14" s="86" t="s">
        <v>5162</v>
      </c>
      <c r="AF14" s="80">
        <v>1826</v>
      </c>
      <c r="AG14" s="80">
        <v>2491</v>
      </c>
      <c r="AH14" s="80">
        <v>39155</v>
      </c>
      <c r="AI14" s="80">
        <v>71988</v>
      </c>
      <c r="AJ14" s="80"/>
      <c r="AK14" s="80" t="s">
        <v>5938</v>
      </c>
      <c r="AL14" s="80" t="s">
        <v>6762</v>
      </c>
      <c r="AM14" s="84" t="str">
        <f>HYPERLINK("https://t.co/DwlYD2SvNl")</f>
        <v>https://t.co/DwlYD2SvNl</v>
      </c>
      <c r="AN14" s="80"/>
      <c r="AO14" s="82">
        <v>43552.315358796295</v>
      </c>
      <c r="AP14" s="84" t="str">
        <f>HYPERLINK("https://pbs.twimg.com/profile_banners/1111169582406893569/1611138070")</f>
        <v>https://pbs.twimg.com/profile_banners/1111169582406893569/1611138070</v>
      </c>
      <c r="AQ14" s="80" t="b">
        <v>0</v>
      </c>
      <c r="AR14" s="80" t="b">
        <v>0</v>
      </c>
      <c r="AS14" s="80" t="b">
        <v>1</v>
      </c>
      <c r="AT14" s="80"/>
      <c r="AU14" s="80">
        <v>2</v>
      </c>
      <c r="AV14" s="84" t="str">
        <f>HYPERLINK("https://abs.twimg.com/images/themes/theme1/bg.png")</f>
        <v>https://abs.twimg.com/images/themes/theme1/bg.png</v>
      </c>
      <c r="AW14" s="80" t="b">
        <v>0</v>
      </c>
      <c r="AX14" s="80" t="s">
        <v>7173</v>
      </c>
      <c r="AY14" s="84" t="str">
        <f>HYPERLINK("https://twitter.com/redvelvetice14")</f>
        <v>https://twitter.com/redvelvetice14</v>
      </c>
      <c r="AZ14" s="80" t="s">
        <v>66</v>
      </c>
      <c r="BA14" s="2"/>
      <c r="BB14" s="3"/>
      <c r="BC14" s="3"/>
      <c r="BD14" s="3"/>
      <c r="BE14" s="3"/>
    </row>
    <row r="15" spans="1:57" x14ac:dyDescent="0.35">
      <c r="A15" s="66" t="s">
        <v>225</v>
      </c>
      <c r="B15" s="67"/>
      <c r="C15" s="67"/>
      <c r="D15" s="68"/>
      <c r="E15" s="70"/>
      <c r="F15" s="106" t="str">
        <f>HYPERLINK("https://pbs.twimg.com/profile_images/1442017957123481607/uKEOnfzB_normal.jpg")</f>
        <v>https://pbs.twimg.com/profile_images/1442017957123481607/uKEOnfzB_normal.jpg</v>
      </c>
      <c r="G15" s="67"/>
      <c r="H15" s="71"/>
      <c r="I15" s="72"/>
      <c r="J15" s="72"/>
      <c r="K15" s="71" t="s">
        <v>7185</v>
      </c>
      <c r="L15" s="75"/>
      <c r="M15" s="76"/>
      <c r="N15" s="76"/>
      <c r="O15" s="77"/>
      <c r="P15" s="78"/>
      <c r="Q15" s="78"/>
      <c r="R15" s="90"/>
      <c r="S15" s="90"/>
      <c r="T15" s="90"/>
      <c r="U15" s="90"/>
      <c r="V15" s="52"/>
      <c r="W15" s="52"/>
      <c r="X15" s="52"/>
      <c r="Y15" s="52"/>
      <c r="Z15" s="51"/>
      <c r="AA15" s="73"/>
      <c r="AB15" s="73"/>
      <c r="AC15" s="74"/>
      <c r="AD15" s="80" t="s">
        <v>4196</v>
      </c>
      <c r="AE15" s="86" t="s">
        <v>5163</v>
      </c>
      <c r="AF15" s="80">
        <v>2088</v>
      </c>
      <c r="AG15" s="80">
        <v>3183</v>
      </c>
      <c r="AH15" s="80">
        <v>17914</v>
      </c>
      <c r="AI15" s="80">
        <v>7012</v>
      </c>
      <c r="AJ15" s="80"/>
      <c r="AK15" s="80" t="s">
        <v>5939</v>
      </c>
      <c r="AL15" s="80" t="s">
        <v>6763</v>
      </c>
      <c r="AM15" s="84" t="str">
        <f>HYPERLINK("https://t.co/qGpQKaZKAE")</f>
        <v>https://t.co/qGpQKaZKAE</v>
      </c>
      <c r="AN15" s="80"/>
      <c r="AO15" s="82">
        <v>44070.533912037034</v>
      </c>
      <c r="AP15" s="84" t="str">
        <f>HYPERLINK("https://pbs.twimg.com/profile_banners/1298965664233791490/1632742128")</f>
        <v>https://pbs.twimg.com/profile_banners/1298965664233791490/1632742128</v>
      </c>
      <c r="AQ15" s="80" t="b">
        <v>1</v>
      </c>
      <c r="AR15" s="80" t="b">
        <v>0</v>
      </c>
      <c r="AS15" s="80" t="b">
        <v>1</v>
      </c>
      <c r="AT15" s="80"/>
      <c r="AU15" s="80">
        <v>0</v>
      </c>
      <c r="AV15" s="80"/>
      <c r="AW15" s="80" t="b">
        <v>0</v>
      </c>
      <c r="AX15" s="80" t="s">
        <v>7173</v>
      </c>
      <c r="AY15" s="84" t="str">
        <f>HYPERLINK("https://twitter.com/asubangetyaa")</f>
        <v>https://twitter.com/asubangetyaa</v>
      </c>
      <c r="AZ15" s="80" t="s">
        <v>66</v>
      </c>
      <c r="BA15" s="2"/>
      <c r="BB15" s="3"/>
      <c r="BC15" s="3"/>
      <c r="BD15" s="3"/>
      <c r="BE15" s="3"/>
    </row>
    <row r="16" spans="1:57" x14ac:dyDescent="0.35">
      <c r="A16" s="66" t="s">
        <v>226</v>
      </c>
      <c r="B16" s="67"/>
      <c r="C16" s="67"/>
      <c r="D16" s="68"/>
      <c r="E16" s="70"/>
      <c r="F16" s="106" t="str">
        <f>HYPERLINK("https://pbs.twimg.com/profile_images/1429220866223603712/jLhS6On8_normal.jpg")</f>
        <v>https://pbs.twimg.com/profile_images/1429220866223603712/jLhS6On8_normal.jpg</v>
      </c>
      <c r="G16" s="67"/>
      <c r="H16" s="71"/>
      <c r="I16" s="72"/>
      <c r="J16" s="72"/>
      <c r="K16" s="71" t="s">
        <v>7186</v>
      </c>
      <c r="L16" s="75"/>
      <c r="M16" s="76"/>
      <c r="N16" s="76"/>
      <c r="O16" s="77"/>
      <c r="P16" s="78"/>
      <c r="Q16" s="78"/>
      <c r="R16" s="90"/>
      <c r="S16" s="90"/>
      <c r="T16" s="90"/>
      <c r="U16" s="90"/>
      <c r="V16" s="52"/>
      <c r="W16" s="52"/>
      <c r="X16" s="52"/>
      <c r="Y16" s="52"/>
      <c r="Z16" s="51"/>
      <c r="AA16" s="73"/>
      <c r="AB16" s="73"/>
      <c r="AC16" s="74"/>
      <c r="AD16" s="80" t="s">
        <v>4197</v>
      </c>
      <c r="AE16" s="86" t="s">
        <v>5164</v>
      </c>
      <c r="AF16" s="80">
        <v>4117</v>
      </c>
      <c r="AG16" s="80">
        <v>9944</v>
      </c>
      <c r="AH16" s="80">
        <v>195262</v>
      </c>
      <c r="AI16" s="80">
        <v>355614</v>
      </c>
      <c r="AJ16" s="80"/>
      <c r="AK16" s="80" t="s">
        <v>5940</v>
      </c>
      <c r="AL16" s="80" t="s">
        <v>4145</v>
      </c>
      <c r="AM16" s="80"/>
      <c r="AN16" s="80"/>
      <c r="AO16" s="82">
        <v>41701.6252662037</v>
      </c>
      <c r="AP16" s="84" t="str">
        <f>HYPERLINK("https://pbs.twimg.com/profile_banners/2370540182/1610624979")</f>
        <v>https://pbs.twimg.com/profile_banners/2370540182/1610624979</v>
      </c>
      <c r="AQ16" s="80" t="b">
        <v>1</v>
      </c>
      <c r="AR16" s="80" t="b">
        <v>0</v>
      </c>
      <c r="AS16" s="80" t="b">
        <v>1</v>
      </c>
      <c r="AT16" s="80"/>
      <c r="AU16" s="80">
        <v>1</v>
      </c>
      <c r="AV16" s="84" t="str">
        <f>HYPERLINK("https://abs.twimg.com/images/themes/theme1/bg.png")</f>
        <v>https://abs.twimg.com/images/themes/theme1/bg.png</v>
      </c>
      <c r="AW16" s="80" t="b">
        <v>0</v>
      </c>
      <c r="AX16" s="80" t="s">
        <v>7173</v>
      </c>
      <c r="AY16" s="84" t="str">
        <f>HYPERLINK("https://twitter.com/mamiaaja")</f>
        <v>https://twitter.com/mamiaaja</v>
      </c>
      <c r="AZ16" s="80" t="s">
        <v>66</v>
      </c>
      <c r="BA16" s="2"/>
      <c r="BB16" s="3"/>
      <c r="BC16" s="3"/>
      <c r="BD16" s="3"/>
      <c r="BE16" s="3"/>
    </row>
    <row r="17" spans="1:57" x14ac:dyDescent="0.35">
      <c r="A17" s="66" t="s">
        <v>227</v>
      </c>
      <c r="B17" s="67"/>
      <c r="C17" s="67"/>
      <c r="D17" s="68"/>
      <c r="E17" s="70"/>
      <c r="F17" s="106" t="str">
        <f>HYPERLINK("https://pbs.twimg.com/profile_images/1441921140381794309/eYfg2mGw_normal.jpg")</f>
        <v>https://pbs.twimg.com/profile_images/1441921140381794309/eYfg2mGw_normal.jpg</v>
      </c>
      <c r="G17" s="67"/>
      <c r="H17" s="71"/>
      <c r="I17" s="72"/>
      <c r="J17" s="72"/>
      <c r="K17" s="71" t="s">
        <v>7187</v>
      </c>
      <c r="L17" s="75"/>
      <c r="M17" s="76"/>
      <c r="N17" s="76"/>
      <c r="O17" s="77"/>
      <c r="P17" s="78"/>
      <c r="Q17" s="78"/>
      <c r="R17" s="90"/>
      <c r="S17" s="90"/>
      <c r="T17" s="90"/>
      <c r="U17" s="90"/>
      <c r="V17" s="52"/>
      <c r="W17" s="52"/>
      <c r="X17" s="52"/>
      <c r="Y17" s="52"/>
      <c r="Z17" s="51"/>
      <c r="AA17" s="73"/>
      <c r="AB17" s="73"/>
      <c r="AC17" s="74"/>
      <c r="AD17" s="80" t="s">
        <v>4198</v>
      </c>
      <c r="AE17" s="86" t="s">
        <v>5165</v>
      </c>
      <c r="AF17" s="80">
        <v>996</v>
      </c>
      <c r="AG17" s="80">
        <v>1587</v>
      </c>
      <c r="AH17" s="80">
        <v>8577</v>
      </c>
      <c r="AI17" s="80">
        <v>10075</v>
      </c>
      <c r="AJ17" s="80"/>
      <c r="AK17" s="80" t="s">
        <v>5941</v>
      </c>
      <c r="AL17" s="80" t="s">
        <v>6764</v>
      </c>
      <c r="AM17" s="80"/>
      <c r="AN17" s="80"/>
      <c r="AO17" s="82">
        <v>44189.48196759259</v>
      </c>
      <c r="AP17" s="84" t="str">
        <f>HYPERLINK("https://pbs.twimg.com/profile_banners/1342070942281809920/1623714214")</f>
        <v>https://pbs.twimg.com/profile_banners/1342070942281809920/1623714214</v>
      </c>
      <c r="AQ17" s="80" t="b">
        <v>1</v>
      </c>
      <c r="AR17" s="80" t="b">
        <v>0</v>
      </c>
      <c r="AS17" s="80" t="b">
        <v>1</v>
      </c>
      <c r="AT17" s="80"/>
      <c r="AU17" s="80">
        <v>0</v>
      </c>
      <c r="AV17" s="80"/>
      <c r="AW17" s="80" t="b">
        <v>0</v>
      </c>
      <c r="AX17" s="80" t="s">
        <v>7173</v>
      </c>
      <c r="AY17" s="84" t="str">
        <f>HYPERLINK("https://twitter.com/galaxydeah")</f>
        <v>https://twitter.com/galaxydeah</v>
      </c>
      <c r="AZ17" s="80" t="s">
        <v>66</v>
      </c>
      <c r="BA17" s="2"/>
      <c r="BB17" s="3"/>
      <c r="BC17" s="3"/>
      <c r="BD17" s="3"/>
      <c r="BE17" s="3"/>
    </row>
    <row r="18" spans="1:57" x14ac:dyDescent="0.35">
      <c r="A18" s="66" t="s">
        <v>228</v>
      </c>
      <c r="B18" s="67"/>
      <c r="C18" s="67"/>
      <c r="D18" s="68"/>
      <c r="E18" s="70"/>
      <c r="F18" s="106" t="str">
        <f>HYPERLINK("https://pbs.twimg.com/profile_images/1431531298770731010/joVkc-EU_normal.jpg")</f>
        <v>https://pbs.twimg.com/profile_images/1431531298770731010/joVkc-EU_normal.jpg</v>
      </c>
      <c r="G18" s="67"/>
      <c r="H18" s="71"/>
      <c r="I18" s="72"/>
      <c r="J18" s="72"/>
      <c r="K18" s="71" t="s">
        <v>7188</v>
      </c>
      <c r="L18" s="75"/>
      <c r="M18" s="76"/>
      <c r="N18" s="76"/>
      <c r="O18" s="77"/>
      <c r="P18" s="78"/>
      <c r="Q18" s="78"/>
      <c r="R18" s="90"/>
      <c r="S18" s="90"/>
      <c r="T18" s="90"/>
      <c r="U18" s="90"/>
      <c r="V18" s="52"/>
      <c r="W18" s="52"/>
      <c r="X18" s="52"/>
      <c r="Y18" s="52"/>
      <c r="Z18" s="51"/>
      <c r="AA18" s="73"/>
      <c r="AB18" s="73"/>
      <c r="AC18" s="74"/>
      <c r="AD18" s="80" t="s">
        <v>4199</v>
      </c>
      <c r="AE18" s="86" t="s">
        <v>5166</v>
      </c>
      <c r="AF18" s="80">
        <v>439</v>
      </c>
      <c r="AG18" s="80">
        <v>429</v>
      </c>
      <c r="AH18" s="80">
        <v>518</v>
      </c>
      <c r="AI18" s="80">
        <v>197</v>
      </c>
      <c r="AJ18" s="80"/>
      <c r="AK18" s="80" t="s">
        <v>5942</v>
      </c>
      <c r="AL18" s="80" t="s">
        <v>6765</v>
      </c>
      <c r="AM18" s="84" t="str">
        <f>HYPERLINK("https://t.co/D4O5bidxGI")</f>
        <v>https://t.co/D4O5bidxGI</v>
      </c>
      <c r="AN18" s="80"/>
      <c r="AO18" s="82">
        <v>44407.260428240741</v>
      </c>
      <c r="AP18" s="84" t="str">
        <f>HYPERLINK("https://pbs.twimg.com/profile_banners/1420991242498842625/1632647720")</f>
        <v>https://pbs.twimg.com/profile_banners/1420991242498842625/1632647720</v>
      </c>
      <c r="AQ18" s="80" t="b">
        <v>1</v>
      </c>
      <c r="AR18" s="80" t="b">
        <v>0</v>
      </c>
      <c r="AS18" s="80" t="b">
        <v>0</v>
      </c>
      <c r="AT18" s="80"/>
      <c r="AU18" s="80">
        <v>0</v>
      </c>
      <c r="AV18" s="80"/>
      <c r="AW18" s="80" t="b">
        <v>0</v>
      </c>
      <c r="AX18" s="80" t="s">
        <v>7173</v>
      </c>
      <c r="AY18" s="84" t="str">
        <f>HYPERLINK("https://twitter.com/bemaiae")</f>
        <v>https://twitter.com/bemaiae</v>
      </c>
      <c r="AZ18" s="80" t="s">
        <v>66</v>
      </c>
      <c r="BA18" s="2"/>
      <c r="BB18" s="3"/>
      <c r="BC18" s="3"/>
      <c r="BD18" s="3"/>
      <c r="BE18" s="3"/>
    </row>
    <row r="19" spans="1:57" x14ac:dyDescent="0.35">
      <c r="A19" s="66" t="s">
        <v>995</v>
      </c>
      <c r="B19" s="67"/>
      <c r="C19" s="67"/>
      <c r="D19" s="68"/>
      <c r="E19" s="70"/>
      <c r="F19" s="106" t="str">
        <f>HYPERLINK("https://pbs.twimg.com/profile_images/1434029424765136897/DPTzZWJA_normal.jpg")</f>
        <v>https://pbs.twimg.com/profile_images/1434029424765136897/DPTzZWJA_normal.jpg</v>
      </c>
      <c r="G19" s="67"/>
      <c r="H19" s="71"/>
      <c r="I19" s="72"/>
      <c r="J19" s="72"/>
      <c r="K19" s="71" t="s">
        <v>7189</v>
      </c>
      <c r="L19" s="75"/>
      <c r="M19" s="76"/>
      <c r="N19" s="76"/>
      <c r="O19" s="77"/>
      <c r="P19" s="78"/>
      <c r="Q19" s="78"/>
      <c r="R19" s="90"/>
      <c r="S19" s="90"/>
      <c r="T19" s="90"/>
      <c r="U19" s="90"/>
      <c r="V19" s="52"/>
      <c r="W19" s="52"/>
      <c r="X19" s="52"/>
      <c r="Y19" s="52"/>
      <c r="Z19" s="51"/>
      <c r="AA19" s="73"/>
      <c r="AB19" s="73"/>
      <c r="AC19" s="74"/>
      <c r="AD19" s="80" t="s">
        <v>4200</v>
      </c>
      <c r="AE19" s="86" t="s">
        <v>3878</v>
      </c>
      <c r="AF19" s="80">
        <v>12</v>
      </c>
      <c r="AG19" s="80">
        <v>1</v>
      </c>
      <c r="AH19" s="80">
        <v>31</v>
      </c>
      <c r="AI19" s="80">
        <v>15</v>
      </c>
      <c r="AJ19" s="80"/>
      <c r="AK19" s="80" t="s">
        <v>5943</v>
      </c>
      <c r="AL19" s="80"/>
      <c r="AM19" s="80"/>
      <c r="AN19" s="80"/>
      <c r="AO19" s="82">
        <v>44392.427928240744</v>
      </c>
      <c r="AP19" s="80"/>
      <c r="AQ19" s="80" t="b">
        <v>1</v>
      </c>
      <c r="AR19" s="80" t="b">
        <v>0</v>
      </c>
      <c r="AS19" s="80" t="b">
        <v>0</v>
      </c>
      <c r="AT19" s="80"/>
      <c r="AU19" s="80">
        <v>0</v>
      </c>
      <c r="AV19" s="80"/>
      <c r="AW19" s="80" t="b">
        <v>0</v>
      </c>
      <c r="AX19" s="80" t="s">
        <v>7173</v>
      </c>
      <c r="AY19" s="84" t="str">
        <f>HYPERLINK("https://twitter.com/sellbuytrad3")</f>
        <v>https://twitter.com/sellbuytrad3</v>
      </c>
      <c r="AZ19" s="80" t="s">
        <v>65</v>
      </c>
      <c r="BA19" s="2"/>
      <c r="BB19" s="3"/>
      <c r="BC19" s="3"/>
      <c r="BD19" s="3"/>
      <c r="BE19" s="3"/>
    </row>
    <row r="20" spans="1:57" x14ac:dyDescent="0.35">
      <c r="A20" s="66" t="s">
        <v>229</v>
      </c>
      <c r="B20" s="67"/>
      <c r="C20" s="67"/>
      <c r="D20" s="68"/>
      <c r="E20" s="70"/>
      <c r="F20" s="106" t="str">
        <f>HYPERLINK("https://pbs.twimg.com/profile_images/1424712601749970949/Idj-exi5_normal.jpg")</f>
        <v>https://pbs.twimg.com/profile_images/1424712601749970949/Idj-exi5_normal.jpg</v>
      </c>
      <c r="G20" s="67"/>
      <c r="H20" s="71"/>
      <c r="I20" s="72"/>
      <c r="J20" s="72"/>
      <c r="K20" s="71" t="s">
        <v>7190</v>
      </c>
      <c r="L20" s="75"/>
      <c r="M20" s="76"/>
      <c r="N20" s="76"/>
      <c r="O20" s="77"/>
      <c r="P20" s="78"/>
      <c r="Q20" s="78"/>
      <c r="R20" s="90"/>
      <c r="S20" s="90"/>
      <c r="T20" s="90"/>
      <c r="U20" s="90"/>
      <c r="V20" s="52"/>
      <c r="W20" s="52"/>
      <c r="X20" s="52"/>
      <c r="Y20" s="52"/>
      <c r="Z20" s="51"/>
      <c r="AA20" s="73"/>
      <c r="AB20" s="73"/>
      <c r="AC20" s="74"/>
      <c r="AD20" s="80" t="s">
        <v>4201</v>
      </c>
      <c r="AE20" s="86" t="s">
        <v>5167</v>
      </c>
      <c r="AF20" s="80">
        <v>182</v>
      </c>
      <c r="AG20" s="80">
        <v>903</v>
      </c>
      <c r="AH20" s="80">
        <v>1831</v>
      </c>
      <c r="AI20" s="80">
        <v>95</v>
      </c>
      <c r="AJ20" s="80"/>
      <c r="AK20" s="80"/>
      <c r="AL20" s="80"/>
      <c r="AM20" s="80"/>
      <c r="AN20" s="80"/>
      <c r="AO20" s="82">
        <v>40394.420706018522</v>
      </c>
      <c r="AP20" s="84" t="str">
        <f>HYPERLINK("https://pbs.twimg.com/profile_banners/174604135/1627053803")</f>
        <v>https://pbs.twimg.com/profile_banners/174604135/1627053803</v>
      </c>
      <c r="AQ20" s="80" t="b">
        <v>0</v>
      </c>
      <c r="AR20" s="80" t="b">
        <v>0</v>
      </c>
      <c r="AS20" s="80" t="b">
        <v>1</v>
      </c>
      <c r="AT20" s="80"/>
      <c r="AU20" s="80">
        <v>0</v>
      </c>
      <c r="AV20" s="84" t="str">
        <f>HYPERLINK("https://abs.twimg.com/images/themes/theme1/bg.png")</f>
        <v>https://abs.twimg.com/images/themes/theme1/bg.png</v>
      </c>
      <c r="AW20" s="80" t="b">
        <v>0</v>
      </c>
      <c r="AX20" s="80" t="s">
        <v>7173</v>
      </c>
      <c r="AY20" s="84" t="str">
        <f>HYPERLINK("https://twitter.com/zixmatrix")</f>
        <v>https://twitter.com/zixmatrix</v>
      </c>
      <c r="AZ20" s="80" t="s">
        <v>66</v>
      </c>
      <c r="BA20" s="2"/>
      <c r="BB20" s="3"/>
      <c r="BC20" s="3"/>
      <c r="BD20" s="3"/>
      <c r="BE20" s="3"/>
    </row>
    <row r="21" spans="1:57" x14ac:dyDescent="0.35">
      <c r="A21" s="66" t="s">
        <v>996</v>
      </c>
      <c r="B21" s="67"/>
      <c r="C21" s="67"/>
      <c r="D21" s="68"/>
      <c r="E21" s="70"/>
      <c r="F21" s="106" t="str">
        <f>HYPERLINK("https://pbs.twimg.com/profile_images/1437822992822661120/OnjcJaDv_normal.jpg")</f>
        <v>https://pbs.twimg.com/profile_images/1437822992822661120/OnjcJaDv_normal.jpg</v>
      </c>
      <c r="G21" s="67"/>
      <c r="H21" s="71"/>
      <c r="I21" s="72"/>
      <c r="J21" s="72"/>
      <c r="K21" s="71" t="s">
        <v>7191</v>
      </c>
      <c r="L21" s="75"/>
      <c r="M21" s="76"/>
      <c r="N21" s="76"/>
      <c r="O21" s="77"/>
      <c r="P21" s="78"/>
      <c r="Q21" s="78"/>
      <c r="R21" s="90"/>
      <c r="S21" s="90"/>
      <c r="T21" s="90"/>
      <c r="U21" s="90"/>
      <c r="V21" s="52"/>
      <c r="W21" s="52"/>
      <c r="X21" s="52"/>
      <c r="Y21" s="52"/>
      <c r="Z21" s="51"/>
      <c r="AA21" s="73"/>
      <c r="AB21" s="73"/>
      <c r="AC21" s="74"/>
      <c r="AD21" s="80" t="s">
        <v>4202</v>
      </c>
      <c r="AE21" s="86" t="s">
        <v>5168</v>
      </c>
      <c r="AF21" s="80">
        <v>105275</v>
      </c>
      <c r="AG21" s="80">
        <v>418112</v>
      </c>
      <c r="AH21" s="80">
        <v>372</v>
      </c>
      <c r="AI21" s="80">
        <v>44713</v>
      </c>
      <c r="AJ21" s="80"/>
      <c r="AK21" s="80" t="s">
        <v>5944</v>
      </c>
      <c r="AL21" s="80" t="s">
        <v>6766</v>
      </c>
      <c r="AM21" s="84" t="str">
        <f>HYPERLINK("https://t.co/TcKz3P1SZ1")</f>
        <v>https://t.co/TcKz3P1SZ1</v>
      </c>
      <c r="AN21" s="80"/>
      <c r="AO21" s="82">
        <v>42119.186296296299</v>
      </c>
      <c r="AP21" s="84" t="str">
        <f>HYPERLINK("https://pbs.twimg.com/profile_banners/3171665917/1631348185")</f>
        <v>https://pbs.twimg.com/profile_banners/3171665917/1631348185</v>
      </c>
      <c r="AQ21" s="80" t="b">
        <v>0</v>
      </c>
      <c r="AR21" s="80" t="b">
        <v>0</v>
      </c>
      <c r="AS21" s="80" t="b">
        <v>0</v>
      </c>
      <c r="AT21" s="80"/>
      <c r="AU21" s="80">
        <v>617</v>
      </c>
      <c r="AV21" s="84" t="str">
        <f>HYPERLINK("https://abs.twimg.com/images/themes/theme1/bg.png")</f>
        <v>https://abs.twimg.com/images/themes/theme1/bg.png</v>
      </c>
      <c r="AW21" s="80" t="b">
        <v>0</v>
      </c>
      <c r="AX21" s="80" t="s">
        <v>7173</v>
      </c>
      <c r="AY21" s="84" t="str">
        <f>HYPERLINK("https://twitter.com/unmanfaat")</f>
        <v>https://twitter.com/unmanfaat</v>
      </c>
      <c r="AZ21" s="80" t="s">
        <v>65</v>
      </c>
      <c r="BA21" s="2"/>
      <c r="BB21" s="3"/>
      <c r="BC21" s="3"/>
      <c r="BD21" s="3"/>
      <c r="BE21" s="3"/>
    </row>
    <row r="22" spans="1:57" x14ac:dyDescent="0.35">
      <c r="A22" s="66" t="s">
        <v>230</v>
      </c>
      <c r="B22" s="67"/>
      <c r="C22" s="67"/>
      <c r="D22" s="68"/>
      <c r="E22" s="70"/>
      <c r="F22" s="106" t="str">
        <f>HYPERLINK("https://pbs.twimg.com/profile_images/1431016710216114176/vfI5Xx8U_normal.jpg")</f>
        <v>https://pbs.twimg.com/profile_images/1431016710216114176/vfI5Xx8U_normal.jpg</v>
      </c>
      <c r="G22" s="67"/>
      <c r="H22" s="71"/>
      <c r="I22" s="72"/>
      <c r="J22" s="72"/>
      <c r="K22" s="71" t="s">
        <v>7192</v>
      </c>
      <c r="L22" s="75"/>
      <c r="M22" s="76"/>
      <c r="N22" s="76"/>
      <c r="O22" s="77"/>
      <c r="P22" s="78"/>
      <c r="Q22" s="78"/>
      <c r="R22" s="90"/>
      <c r="S22" s="90"/>
      <c r="T22" s="90"/>
      <c r="U22" s="90"/>
      <c r="V22" s="52"/>
      <c r="W22" s="52"/>
      <c r="X22" s="52"/>
      <c r="Y22" s="52"/>
      <c r="Z22" s="51"/>
      <c r="AA22" s="73"/>
      <c r="AB22" s="73"/>
      <c r="AC22" s="74"/>
      <c r="AD22" s="80" t="s">
        <v>4203</v>
      </c>
      <c r="AE22" s="86" t="s">
        <v>5169</v>
      </c>
      <c r="AF22" s="80">
        <v>641</v>
      </c>
      <c r="AG22" s="80">
        <v>1010</v>
      </c>
      <c r="AH22" s="80">
        <v>43927</v>
      </c>
      <c r="AI22" s="80">
        <v>5336</v>
      </c>
      <c r="AJ22" s="80"/>
      <c r="AK22" s="80"/>
      <c r="AL22" s="80"/>
      <c r="AM22" s="80"/>
      <c r="AN22" s="80"/>
      <c r="AO22" s="82">
        <v>41364.57885416667</v>
      </c>
      <c r="AP22" s="84" t="str">
        <f>HYPERLINK("https://pbs.twimg.com/profile_banners/1318415550/1615333474")</f>
        <v>https://pbs.twimg.com/profile_banners/1318415550/1615333474</v>
      </c>
      <c r="AQ22" s="80" t="b">
        <v>0</v>
      </c>
      <c r="AR22" s="80" t="b">
        <v>0</v>
      </c>
      <c r="AS22" s="80" t="b">
        <v>1</v>
      </c>
      <c r="AT22" s="80"/>
      <c r="AU22" s="80">
        <v>0</v>
      </c>
      <c r="AV22" s="84" t="str">
        <f>HYPERLINK("https://abs.twimg.com/images/themes/theme1/bg.png")</f>
        <v>https://abs.twimg.com/images/themes/theme1/bg.png</v>
      </c>
      <c r="AW22" s="80" t="b">
        <v>0</v>
      </c>
      <c r="AX22" s="80" t="s">
        <v>7173</v>
      </c>
      <c r="AY22" s="84" t="str">
        <f>HYPERLINK("https://twitter.com/agdesayang")</f>
        <v>https://twitter.com/agdesayang</v>
      </c>
      <c r="AZ22" s="80" t="s">
        <v>66</v>
      </c>
      <c r="BA22" s="2"/>
      <c r="BB22" s="3"/>
      <c r="BC22" s="3"/>
      <c r="BD22" s="3"/>
      <c r="BE22" s="3"/>
    </row>
    <row r="23" spans="1:57" x14ac:dyDescent="0.35">
      <c r="A23" s="66" t="s">
        <v>754</v>
      </c>
      <c r="B23" s="67"/>
      <c r="C23" s="67"/>
      <c r="D23" s="68"/>
      <c r="E23" s="70"/>
      <c r="F23" s="106" t="str">
        <f>HYPERLINK("https://pbs.twimg.com/profile_images/1422902722257248259/DGIKPTt8_normal.jpg")</f>
        <v>https://pbs.twimg.com/profile_images/1422902722257248259/DGIKPTt8_normal.jpg</v>
      </c>
      <c r="G23" s="67"/>
      <c r="H23" s="71"/>
      <c r="I23" s="72"/>
      <c r="J23" s="72"/>
      <c r="K23" s="71" t="s">
        <v>7193</v>
      </c>
      <c r="L23" s="75"/>
      <c r="M23" s="76"/>
      <c r="N23" s="76"/>
      <c r="O23" s="77"/>
      <c r="P23" s="78"/>
      <c r="Q23" s="78"/>
      <c r="R23" s="90"/>
      <c r="S23" s="90"/>
      <c r="T23" s="90"/>
      <c r="U23" s="90"/>
      <c r="V23" s="52"/>
      <c r="W23" s="52"/>
      <c r="X23" s="52"/>
      <c r="Y23" s="52"/>
      <c r="Z23" s="51"/>
      <c r="AA23" s="73"/>
      <c r="AB23" s="73"/>
      <c r="AC23" s="74"/>
      <c r="AD23" s="80" t="s">
        <v>4204</v>
      </c>
      <c r="AE23" s="86" t="s">
        <v>3880</v>
      </c>
      <c r="AF23" s="80">
        <v>5345</v>
      </c>
      <c r="AG23" s="80">
        <v>20919</v>
      </c>
      <c r="AH23" s="80">
        <v>235493</v>
      </c>
      <c r="AI23" s="80">
        <v>349</v>
      </c>
      <c r="AJ23" s="80"/>
      <c r="AK23" s="80" t="s">
        <v>5945</v>
      </c>
      <c r="AL23" s="80" t="s">
        <v>6767</v>
      </c>
      <c r="AM23" s="84" t="str">
        <f>HYPERLINK("https://t.co/9j0lkDIsg8")</f>
        <v>https://t.co/9j0lkDIsg8</v>
      </c>
      <c r="AN23" s="80"/>
      <c r="AO23" s="82">
        <v>41244.282754629632</v>
      </c>
      <c r="AP23" s="84" t="str">
        <f>HYPERLINK("https://pbs.twimg.com/profile_banners/981988393/1628081418")</f>
        <v>https://pbs.twimg.com/profile_banners/981988393/1628081418</v>
      </c>
      <c r="AQ23" s="80" t="b">
        <v>0</v>
      </c>
      <c r="AR23" s="80" t="b">
        <v>0</v>
      </c>
      <c r="AS23" s="80" t="b">
        <v>1</v>
      </c>
      <c r="AT23" s="80"/>
      <c r="AU23" s="80">
        <v>149</v>
      </c>
      <c r="AV23" s="84" t="str">
        <f>HYPERLINK("https://abs.twimg.com/images/themes/theme1/bg.png")</f>
        <v>https://abs.twimg.com/images/themes/theme1/bg.png</v>
      </c>
      <c r="AW23" s="80" t="b">
        <v>0</v>
      </c>
      <c r="AX23" s="80" t="s">
        <v>7173</v>
      </c>
      <c r="AY23" s="84" t="str">
        <f>HYPERLINK("https://twitter.com/banjarbase")</f>
        <v>https://twitter.com/banjarbase</v>
      </c>
      <c r="AZ23" s="80" t="s">
        <v>66</v>
      </c>
      <c r="BA23" s="2"/>
      <c r="BB23" s="3"/>
      <c r="BC23" s="3"/>
      <c r="BD23" s="3"/>
      <c r="BE23" s="3"/>
    </row>
    <row r="24" spans="1:57" x14ac:dyDescent="0.35">
      <c r="A24" s="66" t="s">
        <v>231</v>
      </c>
      <c r="B24" s="67"/>
      <c r="C24" s="67"/>
      <c r="D24" s="68"/>
      <c r="E24" s="70"/>
      <c r="F24" s="106" t="str">
        <f>HYPERLINK("https://pbs.twimg.com/profile_images/1389915831539142657/4CpPIpnl_normal.jpg")</f>
        <v>https://pbs.twimg.com/profile_images/1389915831539142657/4CpPIpnl_normal.jpg</v>
      </c>
      <c r="G24" s="67"/>
      <c r="H24" s="71"/>
      <c r="I24" s="72"/>
      <c r="J24" s="72"/>
      <c r="K24" s="71" t="s">
        <v>7194</v>
      </c>
      <c r="L24" s="75"/>
      <c r="M24" s="76"/>
      <c r="N24" s="76"/>
      <c r="O24" s="77"/>
      <c r="P24" s="78"/>
      <c r="Q24" s="78"/>
      <c r="R24" s="90"/>
      <c r="S24" s="90"/>
      <c r="T24" s="90"/>
      <c r="U24" s="90"/>
      <c r="V24" s="52"/>
      <c r="W24" s="52"/>
      <c r="X24" s="52"/>
      <c r="Y24" s="52"/>
      <c r="Z24" s="51"/>
      <c r="AA24" s="73"/>
      <c r="AB24" s="73"/>
      <c r="AC24" s="74"/>
      <c r="AD24" s="80" t="s">
        <v>4205</v>
      </c>
      <c r="AE24" s="86" t="s">
        <v>5170</v>
      </c>
      <c r="AF24" s="80">
        <v>2107</v>
      </c>
      <c r="AG24" s="80">
        <v>2383</v>
      </c>
      <c r="AH24" s="80">
        <v>77892</v>
      </c>
      <c r="AI24" s="80">
        <v>4785</v>
      </c>
      <c r="AJ24" s="80"/>
      <c r="AK24" s="80" t="s">
        <v>5946</v>
      </c>
      <c r="AL24" s="80"/>
      <c r="AM24" s="80"/>
      <c r="AN24" s="80"/>
      <c r="AO24" s="82">
        <v>43590.159351851849</v>
      </c>
      <c r="AP24" s="84" t="str">
        <f>HYPERLINK("https://pbs.twimg.com/profile_banners/1124883783142887427/1617199284")</f>
        <v>https://pbs.twimg.com/profile_banners/1124883783142887427/1617199284</v>
      </c>
      <c r="AQ24" s="80" t="b">
        <v>1</v>
      </c>
      <c r="AR24" s="80" t="b">
        <v>0</v>
      </c>
      <c r="AS24" s="80" t="b">
        <v>1</v>
      </c>
      <c r="AT24" s="80"/>
      <c r="AU24" s="80">
        <v>35</v>
      </c>
      <c r="AV24" s="80"/>
      <c r="AW24" s="80" t="b">
        <v>0</v>
      </c>
      <c r="AX24" s="80" t="s">
        <v>7173</v>
      </c>
      <c r="AY24" s="84" t="str">
        <f>HYPERLINK("https://twitter.com/manusiastress")</f>
        <v>https://twitter.com/manusiastress</v>
      </c>
      <c r="AZ24" s="80" t="s">
        <v>66</v>
      </c>
      <c r="BA24" s="2"/>
      <c r="BB24" s="3"/>
      <c r="BC24" s="3"/>
      <c r="BD24" s="3"/>
      <c r="BE24" s="3"/>
    </row>
    <row r="25" spans="1:57" x14ac:dyDescent="0.35">
      <c r="A25" s="66" t="s">
        <v>997</v>
      </c>
      <c r="B25" s="67"/>
      <c r="C25" s="67"/>
      <c r="D25" s="68"/>
      <c r="E25" s="70"/>
      <c r="F25" s="106" t="str">
        <f>HYPERLINK("https://pbs.twimg.com/profile_images/1442249466409410563/C6_ZPW6M_normal.jpg")</f>
        <v>https://pbs.twimg.com/profile_images/1442249466409410563/C6_ZPW6M_normal.jpg</v>
      </c>
      <c r="G25" s="67"/>
      <c r="H25" s="71"/>
      <c r="I25" s="72"/>
      <c r="J25" s="72"/>
      <c r="K25" s="71" t="s">
        <v>7195</v>
      </c>
      <c r="L25" s="75"/>
      <c r="M25" s="76"/>
      <c r="N25" s="76"/>
      <c r="O25" s="77"/>
      <c r="P25" s="78"/>
      <c r="Q25" s="78"/>
      <c r="R25" s="90"/>
      <c r="S25" s="90"/>
      <c r="T25" s="90"/>
      <c r="U25" s="90"/>
      <c r="V25" s="52"/>
      <c r="W25" s="52"/>
      <c r="X25" s="52"/>
      <c r="Y25" s="52"/>
      <c r="Z25" s="51"/>
      <c r="AA25" s="73"/>
      <c r="AB25" s="73"/>
      <c r="AC25" s="74"/>
      <c r="AD25" s="80" t="s">
        <v>4206</v>
      </c>
      <c r="AE25" s="86" t="s">
        <v>3881</v>
      </c>
      <c r="AF25" s="80">
        <v>891</v>
      </c>
      <c r="AG25" s="80">
        <v>1015</v>
      </c>
      <c r="AH25" s="80">
        <v>20494</v>
      </c>
      <c r="AI25" s="80">
        <v>581</v>
      </c>
      <c r="AJ25" s="80"/>
      <c r="AK25" s="80"/>
      <c r="AL25" s="80" t="s">
        <v>6768</v>
      </c>
      <c r="AM25" s="84" t="str">
        <f>HYPERLINK("https://t.co/pExtAUlc7E")</f>
        <v>https://t.co/pExtAUlc7E</v>
      </c>
      <c r="AN25" s="80"/>
      <c r="AO25" s="82">
        <v>44124.427245370367</v>
      </c>
      <c r="AP25" s="84" t="str">
        <f>HYPERLINK("https://pbs.twimg.com/profile_banners/1318495907856330752/1630617736")</f>
        <v>https://pbs.twimg.com/profile_banners/1318495907856330752/1630617736</v>
      </c>
      <c r="AQ25" s="80" t="b">
        <v>1</v>
      </c>
      <c r="AR25" s="80" t="b">
        <v>0</v>
      </c>
      <c r="AS25" s="80" t="b">
        <v>0</v>
      </c>
      <c r="AT25" s="80"/>
      <c r="AU25" s="80">
        <v>1</v>
      </c>
      <c r="AV25" s="80"/>
      <c r="AW25" s="80" t="b">
        <v>0</v>
      </c>
      <c r="AX25" s="80" t="s">
        <v>7173</v>
      </c>
      <c r="AY25" s="84" t="str">
        <f>HYPERLINK("https://twitter.com/gaungromantis")</f>
        <v>https://twitter.com/gaungromantis</v>
      </c>
      <c r="AZ25" s="80" t="s">
        <v>65</v>
      </c>
      <c r="BA25" s="2"/>
      <c r="BB25" s="3"/>
      <c r="BC25" s="3"/>
      <c r="BD25" s="3"/>
      <c r="BE25" s="3"/>
    </row>
    <row r="26" spans="1:57" x14ac:dyDescent="0.35">
      <c r="A26" s="66" t="s">
        <v>232</v>
      </c>
      <c r="B26" s="67"/>
      <c r="C26" s="67"/>
      <c r="D26" s="68"/>
      <c r="E26" s="70"/>
      <c r="F26" s="106" t="str">
        <f>HYPERLINK("https://pbs.twimg.com/profile_images/989856568106631171/g8Zu64w1_normal.jpg")</f>
        <v>https://pbs.twimg.com/profile_images/989856568106631171/g8Zu64w1_normal.jpg</v>
      </c>
      <c r="G26" s="67"/>
      <c r="H26" s="71"/>
      <c r="I26" s="72"/>
      <c r="J26" s="72"/>
      <c r="K26" s="71" t="s">
        <v>7196</v>
      </c>
      <c r="L26" s="75"/>
      <c r="M26" s="76"/>
      <c r="N26" s="76"/>
      <c r="O26" s="77"/>
      <c r="P26" s="78"/>
      <c r="Q26" s="78"/>
      <c r="R26" s="90"/>
      <c r="S26" s="90"/>
      <c r="T26" s="90"/>
      <c r="U26" s="90"/>
      <c r="V26" s="52"/>
      <c r="W26" s="52"/>
      <c r="X26" s="52"/>
      <c r="Y26" s="52"/>
      <c r="Z26" s="51"/>
      <c r="AA26" s="73"/>
      <c r="AB26" s="73"/>
      <c r="AC26" s="74"/>
      <c r="AD26" s="80" t="s">
        <v>4207</v>
      </c>
      <c r="AE26" s="86" t="s">
        <v>5171</v>
      </c>
      <c r="AF26" s="80">
        <v>316</v>
      </c>
      <c r="AG26" s="80">
        <v>123</v>
      </c>
      <c r="AH26" s="80">
        <v>6397</v>
      </c>
      <c r="AI26" s="80">
        <v>7288</v>
      </c>
      <c r="AJ26" s="80"/>
      <c r="AK26" s="80" t="s">
        <v>5947</v>
      </c>
      <c r="AL26" s="80" t="s">
        <v>4145</v>
      </c>
      <c r="AM26" s="80"/>
      <c r="AN26" s="80"/>
      <c r="AO26" s="82">
        <v>42123.081018518518</v>
      </c>
      <c r="AP26" s="84" t="str">
        <f>HYPERLINK("https://pbs.twimg.com/profile_banners/3178790695/1576380914")</f>
        <v>https://pbs.twimg.com/profile_banners/3178790695/1576380914</v>
      </c>
      <c r="AQ26" s="80" t="b">
        <v>0</v>
      </c>
      <c r="AR26" s="80" t="b">
        <v>0</v>
      </c>
      <c r="AS26" s="80" t="b">
        <v>0</v>
      </c>
      <c r="AT26" s="80"/>
      <c r="AU26" s="80">
        <v>0</v>
      </c>
      <c r="AV26" s="84" t="str">
        <f>HYPERLINK("https://abs.twimg.com/images/themes/theme1/bg.png")</f>
        <v>https://abs.twimg.com/images/themes/theme1/bg.png</v>
      </c>
      <c r="AW26" s="80" t="b">
        <v>0</v>
      </c>
      <c r="AX26" s="80" t="s">
        <v>7173</v>
      </c>
      <c r="AY26" s="84" t="str">
        <f>HYPERLINK("https://twitter.com/benjolbarotho")</f>
        <v>https://twitter.com/benjolbarotho</v>
      </c>
      <c r="AZ26" s="80" t="s">
        <v>66</v>
      </c>
      <c r="BA26" s="2"/>
      <c r="BB26" s="3"/>
      <c r="BC26" s="3"/>
      <c r="BD26" s="3"/>
      <c r="BE26" s="3"/>
    </row>
    <row r="27" spans="1:57" x14ac:dyDescent="0.35">
      <c r="A27" s="66" t="s">
        <v>998</v>
      </c>
      <c r="B27" s="67"/>
      <c r="C27" s="67"/>
      <c r="D27" s="68"/>
      <c r="E27" s="70"/>
      <c r="F27" s="106" t="str">
        <f>HYPERLINK("https://pbs.twimg.com/profile_images/1373430486182240259/fx36N-De_normal.jpg")</f>
        <v>https://pbs.twimg.com/profile_images/1373430486182240259/fx36N-De_normal.jpg</v>
      </c>
      <c r="G27" s="67"/>
      <c r="H27" s="71"/>
      <c r="I27" s="72"/>
      <c r="J27" s="72"/>
      <c r="K27" s="71" t="s">
        <v>7197</v>
      </c>
      <c r="L27" s="75"/>
      <c r="M27" s="76"/>
      <c r="N27" s="76"/>
      <c r="O27" s="77"/>
      <c r="P27" s="78"/>
      <c r="Q27" s="78"/>
      <c r="R27" s="90"/>
      <c r="S27" s="90"/>
      <c r="T27" s="90"/>
      <c r="U27" s="90"/>
      <c r="V27" s="52"/>
      <c r="W27" s="52"/>
      <c r="X27" s="52"/>
      <c r="Y27" s="52"/>
      <c r="Z27" s="51"/>
      <c r="AA27" s="73"/>
      <c r="AB27" s="73"/>
      <c r="AC27" s="74"/>
      <c r="AD27" s="80" t="s">
        <v>4208</v>
      </c>
      <c r="AE27" s="86" t="s">
        <v>3882</v>
      </c>
      <c r="AF27" s="80">
        <v>270</v>
      </c>
      <c r="AG27" s="80">
        <v>6161</v>
      </c>
      <c r="AH27" s="80">
        <v>2987</v>
      </c>
      <c r="AI27" s="80">
        <v>27148</v>
      </c>
      <c r="AJ27" s="80"/>
      <c r="AK27" s="80" t="s">
        <v>5948</v>
      </c>
      <c r="AL27" s="80"/>
      <c r="AM27" s="80"/>
      <c r="AN27" s="80"/>
      <c r="AO27" s="82">
        <v>40168.308009259257</v>
      </c>
      <c r="AP27" s="84" t="str">
        <f>HYPERLINK("https://pbs.twimg.com/profile_banners/98315591/1607854221")</f>
        <v>https://pbs.twimg.com/profile_banners/98315591/1607854221</v>
      </c>
      <c r="AQ27" s="80" t="b">
        <v>0</v>
      </c>
      <c r="AR27" s="80" t="b">
        <v>0</v>
      </c>
      <c r="AS27" s="80" t="b">
        <v>1</v>
      </c>
      <c r="AT27" s="80"/>
      <c r="AU27" s="80">
        <v>3</v>
      </c>
      <c r="AV27" s="84" t="str">
        <f>HYPERLINK("https://abs.twimg.com/images/themes/theme19/bg.gif")</f>
        <v>https://abs.twimg.com/images/themes/theme19/bg.gif</v>
      </c>
      <c r="AW27" s="80" t="b">
        <v>0</v>
      </c>
      <c r="AX27" s="80" t="s">
        <v>7173</v>
      </c>
      <c r="AY27" s="84" t="str">
        <f>HYPERLINK("https://twitter.com/n0n4m3_90")</f>
        <v>https://twitter.com/n0n4m3_90</v>
      </c>
      <c r="AZ27" s="80" t="s">
        <v>65</v>
      </c>
      <c r="BA27" s="2"/>
      <c r="BB27" s="3"/>
      <c r="BC27" s="3"/>
      <c r="BD27" s="3"/>
      <c r="BE27" s="3"/>
    </row>
    <row r="28" spans="1:57" x14ac:dyDescent="0.35">
      <c r="A28" s="66" t="s">
        <v>233</v>
      </c>
      <c r="B28" s="67"/>
      <c r="C28" s="67"/>
      <c r="D28" s="68"/>
      <c r="E28" s="70"/>
      <c r="F28" s="106" t="str">
        <f>HYPERLINK("https://pbs.twimg.com/profile_images/1441760984851365888/fuLZAhp1_normal.jpg")</f>
        <v>https://pbs.twimg.com/profile_images/1441760984851365888/fuLZAhp1_normal.jpg</v>
      </c>
      <c r="G28" s="67"/>
      <c r="H28" s="71"/>
      <c r="I28" s="72"/>
      <c r="J28" s="72"/>
      <c r="K28" s="71" t="s">
        <v>7198</v>
      </c>
      <c r="L28" s="75"/>
      <c r="M28" s="76"/>
      <c r="N28" s="76"/>
      <c r="O28" s="77"/>
      <c r="P28" s="78"/>
      <c r="Q28" s="78"/>
      <c r="R28" s="90"/>
      <c r="S28" s="90"/>
      <c r="T28" s="90"/>
      <c r="U28" s="90"/>
      <c r="V28" s="52"/>
      <c r="W28" s="52"/>
      <c r="X28" s="52"/>
      <c r="Y28" s="52"/>
      <c r="Z28" s="51"/>
      <c r="AA28" s="73"/>
      <c r="AB28" s="73"/>
      <c r="AC28" s="74"/>
      <c r="AD28" s="80" t="s">
        <v>4209</v>
      </c>
      <c r="AE28" s="86" t="s">
        <v>5172</v>
      </c>
      <c r="AF28" s="80">
        <v>434</v>
      </c>
      <c r="AG28" s="80">
        <v>89</v>
      </c>
      <c r="AH28" s="80">
        <v>4449</v>
      </c>
      <c r="AI28" s="80">
        <v>2313</v>
      </c>
      <c r="AJ28" s="80"/>
      <c r="AK28" s="80" t="s">
        <v>5949</v>
      </c>
      <c r="AL28" s="80" t="s">
        <v>6769</v>
      </c>
      <c r="AM28" s="80"/>
      <c r="AN28" s="80"/>
      <c r="AO28" s="82">
        <v>41350.253692129627</v>
      </c>
      <c r="AP28" s="84" t="str">
        <f>HYPERLINK("https://pbs.twimg.com/profile_banners/1274159688/1491749081")</f>
        <v>https://pbs.twimg.com/profile_banners/1274159688/1491749081</v>
      </c>
      <c r="AQ28" s="80" t="b">
        <v>1</v>
      </c>
      <c r="AR28" s="80" t="b">
        <v>0</v>
      </c>
      <c r="AS28" s="80" t="b">
        <v>0</v>
      </c>
      <c r="AT28" s="80"/>
      <c r="AU28" s="80">
        <v>0</v>
      </c>
      <c r="AV28" s="84" t="str">
        <f>HYPERLINK("https://abs.twimg.com/images/themes/theme1/bg.png")</f>
        <v>https://abs.twimg.com/images/themes/theme1/bg.png</v>
      </c>
      <c r="AW28" s="80" t="b">
        <v>0</v>
      </c>
      <c r="AX28" s="80" t="s">
        <v>7173</v>
      </c>
      <c r="AY28" s="84" t="str">
        <f>HYPERLINK("https://twitter.com/edwardus4")</f>
        <v>https://twitter.com/edwardus4</v>
      </c>
      <c r="AZ28" s="80" t="s">
        <v>66</v>
      </c>
      <c r="BA28" s="2"/>
      <c r="BB28" s="3"/>
      <c r="BC28" s="3"/>
      <c r="BD28" s="3"/>
      <c r="BE28" s="3"/>
    </row>
    <row r="29" spans="1:57" x14ac:dyDescent="0.35">
      <c r="A29" s="66" t="s">
        <v>999</v>
      </c>
      <c r="B29" s="67"/>
      <c r="C29" s="67"/>
      <c r="D29" s="68"/>
      <c r="E29" s="70"/>
      <c r="F29" s="106" t="str">
        <f>HYPERLINK("https://pbs.twimg.com/profile_images/1430010331913359374/nLaeE9tG_normal.jpg")</f>
        <v>https://pbs.twimg.com/profile_images/1430010331913359374/nLaeE9tG_normal.jpg</v>
      </c>
      <c r="G29" s="67"/>
      <c r="H29" s="71"/>
      <c r="I29" s="72"/>
      <c r="J29" s="72"/>
      <c r="K29" s="71" t="s">
        <v>7199</v>
      </c>
      <c r="L29" s="75"/>
      <c r="M29" s="76"/>
      <c r="N29" s="76"/>
      <c r="O29" s="77"/>
      <c r="P29" s="78"/>
      <c r="Q29" s="78"/>
      <c r="R29" s="90"/>
      <c r="S29" s="90"/>
      <c r="T29" s="90"/>
      <c r="U29" s="90"/>
      <c r="V29" s="52"/>
      <c r="W29" s="52"/>
      <c r="X29" s="52"/>
      <c r="Y29" s="52"/>
      <c r="Z29" s="51"/>
      <c r="AA29" s="73"/>
      <c r="AB29" s="73"/>
      <c r="AC29" s="74"/>
      <c r="AD29" s="80" t="s">
        <v>4210</v>
      </c>
      <c r="AE29" s="86" t="s">
        <v>3883</v>
      </c>
      <c r="AF29" s="80">
        <v>5</v>
      </c>
      <c r="AG29" s="80">
        <v>46027</v>
      </c>
      <c r="AH29" s="80">
        <v>88609</v>
      </c>
      <c r="AI29" s="80">
        <v>194</v>
      </c>
      <c r="AJ29" s="80"/>
      <c r="AK29" s="80" t="s">
        <v>5950</v>
      </c>
      <c r="AL29" s="80" t="s">
        <v>6770</v>
      </c>
      <c r="AM29" s="84" t="str">
        <f>HYPERLINK("https://t.co/sCzoWoQZ7m")</f>
        <v>https://t.co/sCzoWoQZ7m</v>
      </c>
      <c r="AN29" s="80"/>
      <c r="AO29" s="82">
        <v>42627.146192129629</v>
      </c>
      <c r="AP29" s="84" t="str">
        <f>HYPERLINK("https://pbs.twimg.com/profile_banners/775899503027220480/1621477500")</f>
        <v>https://pbs.twimg.com/profile_banners/775899503027220480/1621477500</v>
      </c>
      <c r="AQ29" s="80" t="b">
        <v>0</v>
      </c>
      <c r="AR29" s="80" t="b">
        <v>0</v>
      </c>
      <c r="AS29" s="80" t="b">
        <v>1</v>
      </c>
      <c r="AT29" s="80"/>
      <c r="AU29" s="80">
        <v>49</v>
      </c>
      <c r="AV29" s="84" t="str">
        <f>HYPERLINK("https://abs.twimg.com/images/themes/theme1/bg.png")</f>
        <v>https://abs.twimg.com/images/themes/theme1/bg.png</v>
      </c>
      <c r="AW29" s="80" t="b">
        <v>1</v>
      </c>
      <c r="AX29" s="80" t="s">
        <v>7173</v>
      </c>
      <c r="AY29" s="84" t="str">
        <f>HYPERLINK("https://twitter.com/ovo_id")</f>
        <v>https://twitter.com/ovo_id</v>
      </c>
      <c r="AZ29" s="80" t="s">
        <v>65</v>
      </c>
      <c r="BA29" s="2"/>
      <c r="BB29" s="3"/>
      <c r="BC29" s="3"/>
      <c r="BD29" s="3"/>
      <c r="BE29" s="3"/>
    </row>
    <row r="30" spans="1:57" x14ac:dyDescent="0.35">
      <c r="A30" s="66" t="s">
        <v>234</v>
      </c>
      <c r="B30" s="67"/>
      <c r="C30" s="67"/>
      <c r="D30" s="68"/>
      <c r="E30" s="70"/>
      <c r="F30" s="106" t="str">
        <f>HYPERLINK("https://pbs.twimg.com/profile_images/1440046962456215556/44AOo8sj_normal.jpg")</f>
        <v>https://pbs.twimg.com/profile_images/1440046962456215556/44AOo8sj_normal.jpg</v>
      </c>
      <c r="G30" s="67"/>
      <c r="H30" s="71"/>
      <c r="I30" s="72"/>
      <c r="J30" s="72"/>
      <c r="K30" s="71" t="s">
        <v>7200</v>
      </c>
      <c r="L30" s="75"/>
      <c r="M30" s="76"/>
      <c r="N30" s="76"/>
      <c r="O30" s="77"/>
      <c r="P30" s="78"/>
      <c r="Q30" s="78"/>
      <c r="R30" s="90"/>
      <c r="S30" s="90"/>
      <c r="T30" s="90"/>
      <c r="U30" s="90"/>
      <c r="V30" s="52"/>
      <c r="W30" s="52"/>
      <c r="X30" s="52"/>
      <c r="Y30" s="52"/>
      <c r="Z30" s="51"/>
      <c r="AA30" s="73"/>
      <c r="AB30" s="73"/>
      <c r="AC30" s="74"/>
      <c r="AD30" s="80" t="s">
        <v>4211</v>
      </c>
      <c r="AE30" s="86" t="s">
        <v>5173</v>
      </c>
      <c r="AF30" s="80">
        <v>3163</v>
      </c>
      <c r="AG30" s="80">
        <v>665</v>
      </c>
      <c r="AH30" s="80">
        <v>10145</v>
      </c>
      <c r="AI30" s="80">
        <v>56647</v>
      </c>
      <c r="AJ30" s="80"/>
      <c r="AK30" s="80"/>
      <c r="AL30" s="80"/>
      <c r="AM30" s="80"/>
      <c r="AN30" s="80"/>
      <c r="AO30" s="82">
        <v>41619.126539351855</v>
      </c>
      <c r="AP30" s="84" t="str">
        <f>HYPERLINK("https://pbs.twimg.com/profile_banners/2240096342/1632414598")</f>
        <v>https://pbs.twimg.com/profile_banners/2240096342/1632414598</v>
      </c>
      <c r="AQ30" s="80" t="b">
        <v>1</v>
      </c>
      <c r="AR30" s="80" t="b">
        <v>0</v>
      </c>
      <c r="AS30" s="80" t="b">
        <v>0</v>
      </c>
      <c r="AT30" s="80"/>
      <c r="AU30" s="80">
        <v>0</v>
      </c>
      <c r="AV30" s="84" t="str">
        <f>HYPERLINK("https://abs.twimg.com/images/themes/theme1/bg.png")</f>
        <v>https://abs.twimg.com/images/themes/theme1/bg.png</v>
      </c>
      <c r="AW30" s="80" t="b">
        <v>0</v>
      </c>
      <c r="AX30" s="80" t="s">
        <v>7173</v>
      </c>
      <c r="AY30" s="84" t="str">
        <f>HYPERLINK("https://twitter.com/metalgarislucu")</f>
        <v>https://twitter.com/metalgarislucu</v>
      </c>
      <c r="AZ30" s="80" t="s">
        <v>66</v>
      </c>
      <c r="BA30" s="2"/>
      <c r="BB30" s="3"/>
      <c r="BC30" s="3"/>
      <c r="BD30" s="3"/>
      <c r="BE30" s="3"/>
    </row>
    <row r="31" spans="1:57" x14ac:dyDescent="0.35">
      <c r="A31" s="66" t="s">
        <v>1000</v>
      </c>
      <c r="B31" s="67"/>
      <c r="C31" s="67"/>
      <c r="D31" s="68"/>
      <c r="E31" s="70"/>
      <c r="F31" s="106" t="str">
        <f>HYPERLINK("https://pbs.twimg.com/profile_images/1429025287543525379/ujNixY6I_normal.jpg")</f>
        <v>https://pbs.twimg.com/profile_images/1429025287543525379/ujNixY6I_normal.jpg</v>
      </c>
      <c r="G31" s="67"/>
      <c r="H31" s="71"/>
      <c r="I31" s="72"/>
      <c r="J31" s="72"/>
      <c r="K31" s="71" t="s">
        <v>7201</v>
      </c>
      <c r="L31" s="75"/>
      <c r="M31" s="76"/>
      <c r="N31" s="76"/>
      <c r="O31" s="77"/>
      <c r="P31" s="78"/>
      <c r="Q31" s="78"/>
      <c r="R31" s="90"/>
      <c r="S31" s="90"/>
      <c r="T31" s="90"/>
      <c r="U31" s="90"/>
      <c r="V31" s="52"/>
      <c r="W31" s="52"/>
      <c r="X31" s="52"/>
      <c r="Y31" s="52"/>
      <c r="Z31" s="51"/>
      <c r="AA31" s="73"/>
      <c r="AB31" s="73"/>
      <c r="AC31" s="74"/>
      <c r="AD31" s="80" t="s">
        <v>4212</v>
      </c>
      <c r="AE31" s="86" t="s">
        <v>3884</v>
      </c>
      <c r="AF31" s="80">
        <v>4765</v>
      </c>
      <c r="AG31" s="80">
        <v>27830</v>
      </c>
      <c r="AH31" s="80">
        <v>21312</v>
      </c>
      <c r="AI31" s="80">
        <v>8739</v>
      </c>
      <c r="AJ31" s="80"/>
      <c r="AK31" s="80"/>
      <c r="AL31" s="80"/>
      <c r="AM31" s="80"/>
      <c r="AN31" s="80"/>
      <c r="AO31" s="82">
        <v>43364.103946759256</v>
      </c>
      <c r="AP31" s="84" t="str">
        <f>HYPERLINK("https://pbs.twimg.com/profile_banners/1042964050257227776/1629741651")</f>
        <v>https://pbs.twimg.com/profile_banners/1042964050257227776/1629741651</v>
      </c>
      <c r="AQ31" s="80" t="b">
        <v>1</v>
      </c>
      <c r="AR31" s="80" t="b">
        <v>0</v>
      </c>
      <c r="AS31" s="80" t="b">
        <v>1</v>
      </c>
      <c r="AT31" s="80"/>
      <c r="AU31" s="80">
        <v>10</v>
      </c>
      <c r="AV31" s="80"/>
      <c r="AW31" s="80" t="b">
        <v>0</v>
      </c>
      <c r="AX31" s="80" t="s">
        <v>7173</v>
      </c>
      <c r="AY31" s="84" t="str">
        <f>HYPERLINK("https://twitter.com/cherysimilikiti")</f>
        <v>https://twitter.com/cherysimilikiti</v>
      </c>
      <c r="AZ31" s="80" t="s">
        <v>65</v>
      </c>
      <c r="BA31" s="2"/>
      <c r="BB31" s="3"/>
      <c r="BC31" s="3"/>
      <c r="BD31" s="3"/>
      <c r="BE31" s="3"/>
    </row>
    <row r="32" spans="1:57" x14ac:dyDescent="0.35">
      <c r="A32" s="66" t="s">
        <v>235</v>
      </c>
      <c r="B32" s="67"/>
      <c r="C32" s="67"/>
      <c r="D32" s="68"/>
      <c r="E32" s="70"/>
      <c r="F32" s="106" t="str">
        <f>HYPERLINK("https://pbs.twimg.com/profile_images/1442349949509722117/97EzwWOs_normal.jpg")</f>
        <v>https://pbs.twimg.com/profile_images/1442349949509722117/97EzwWOs_normal.jpg</v>
      </c>
      <c r="G32" s="67"/>
      <c r="H32" s="71"/>
      <c r="I32" s="72"/>
      <c r="J32" s="72"/>
      <c r="K32" s="71" t="s">
        <v>7202</v>
      </c>
      <c r="L32" s="75"/>
      <c r="M32" s="76"/>
      <c r="N32" s="76"/>
      <c r="O32" s="77"/>
      <c r="P32" s="78"/>
      <c r="Q32" s="78"/>
      <c r="R32" s="90"/>
      <c r="S32" s="90"/>
      <c r="T32" s="90"/>
      <c r="U32" s="90"/>
      <c r="V32" s="52"/>
      <c r="W32" s="52"/>
      <c r="X32" s="52"/>
      <c r="Y32" s="52"/>
      <c r="Z32" s="51"/>
      <c r="AA32" s="73"/>
      <c r="AB32" s="73"/>
      <c r="AC32" s="74"/>
      <c r="AD32" s="80" t="s">
        <v>4213</v>
      </c>
      <c r="AE32" s="86" t="s">
        <v>5174</v>
      </c>
      <c r="AF32" s="80">
        <v>994</v>
      </c>
      <c r="AG32" s="80">
        <v>430</v>
      </c>
      <c r="AH32" s="80">
        <v>3847</v>
      </c>
      <c r="AI32" s="80">
        <v>21158</v>
      </c>
      <c r="AJ32" s="80"/>
      <c r="AK32" s="80"/>
      <c r="AL32" s="80" t="s">
        <v>6767</v>
      </c>
      <c r="AM32" s="84" t="str">
        <f>HYPERLINK("https://t.co/VUplmFWvr8")</f>
        <v>https://t.co/VUplmFWvr8</v>
      </c>
      <c r="AN32" s="80"/>
      <c r="AO32" s="82">
        <v>43528.385231481479</v>
      </c>
      <c r="AP32" s="84" t="str">
        <f>HYPERLINK("https://pbs.twimg.com/profile_banners/1102497591634227201/1632765584")</f>
        <v>https://pbs.twimg.com/profile_banners/1102497591634227201/1632765584</v>
      </c>
      <c r="AQ32" s="80" t="b">
        <v>1</v>
      </c>
      <c r="AR32" s="80" t="b">
        <v>0</v>
      </c>
      <c r="AS32" s="80" t="b">
        <v>1</v>
      </c>
      <c r="AT32" s="80"/>
      <c r="AU32" s="80">
        <v>0</v>
      </c>
      <c r="AV32" s="80"/>
      <c r="AW32" s="80" t="b">
        <v>0</v>
      </c>
      <c r="AX32" s="80" t="s">
        <v>7173</v>
      </c>
      <c r="AY32" s="84" t="str">
        <f>HYPERLINK("https://twitter.com/srynbla")</f>
        <v>https://twitter.com/srynbla</v>
      </c>
      <c r="AZ32" s="80" t="s">
        <v>66</v>
      </c>
      <c r="BA32" s="2"/>
      <c r="BB32" s="3"/>
      <c r="BC32" s="3"/>
      <c r="BD32" s="3"/>
      <c r="BE32" s="3"/>
    </row>
    <row r="33" spans="1:57" x14ac:dyDescent="0.35">
      <c r="A33" s="66" t="s">
        <v>236</v>
      </c>
      <c r="B33" s="67"/>
      <c r="C33" s="67"/>
      <c r="D33" s="68"/>
      <c r="E33" s="70"/>
      <c r="F33" s="106" t="str">
        <f>HYPERLINK("https://pbs.twimg.com/profile_images/1442425533887778821/_iRU9Te-_normal.jpg")</f>
        <v>https://pbs.twimg.com/profile_images/1442425533887778821/_iRU9Te-_normal.jpg</v>
      </c>
      <c r="G33" s="67"/>
      <c r="H33" s="71"/>
      <c r="I33" s="72"/>
      <c r="J33" s="72"/>
      <c r="K33" s="71" t="s">
        <v>7203</v>
      </c>
      <c r="L33" s="75"/>
      <c r="M33" s="76"/>
      <c r="N33" s="76"/>
      <c r="O33" s="77"/>
      <c r="P33" s="78"/>
      <c r="Q33" s="78"/>
      <c r="R33" s="90"/>
      <c r="S33" s="90"/>
      <c r="T33" s="90"/>
      <c r="U33" s="90"/>
      <c r="V33" s="52"/>
      <c r="W33" s="52"/>
      <c r="X33" s="52"/>
      <c r="Y33" s="52"/>
      <c r="Z33" s="51"/>
      <c r="AA33" s="73"/>
      <c r="AB33" s="73"/>
      <c r="AC33" s="74"/>
      <c r="AD33" s="80" t="s">
        <v>4214</v>
      </c>
      <c r="AE33" s="86" t="s">
        <v>5175</v>
      </c>
      <c r="AF33" s="80">
        <v>402</v>
      </c>
      <c r="AG33" s="80">
        <v>266</v>
      </c>
      <c r="AH33" s="80">
        <v>14444</v>
      </c>
      <c r="AI33" s="80">
        <v>23159</v>
      </c>
      <c r="AJ33" s="80"/>
      <c r="AK33" s="80" t="s">
        <v>5951</v>
      </c>
      <c r="AL33" s="80" t="s">
        <v>6771</v>
      </c>
      <c r="AM33" s="84" t="str">
        <f>HYPERLINK("https://t.co/VzaLlbdQSl")</f>
        <v>https://t.co/VzaLlbdQSl</v>
      </c>
      <c r="AN33" s="80"/>
      <c r="AO33" s="82">
        <v>44293.170810185184</v>
      </c>
      <c r="AP33" s="84" t="str">
        <f>HYPERLINK("https://pbs.twimg.com/profile_banners/1379646502956494856/1632735698")</f>
        <v>https://pbs.twimg.com/profile_banners/1379646502956494856/1632735698</v>
      </c>
      <c r="AQ33" s="80" t="b">
        <v>1</v>
      </c>
      <c r="AR33" s="80" t="b">
        <v>0</v>
      </c>
      <c r="AS33" s="80" t="b">
        <v>0</v>
      </c>
      <c r="AT33" s="80"/>
      <c r="AU33" s="80">
        <v>1</v>
      </c>
      <c r="AV33" s="80"/>
      <c r="AW33" s="80" t="b">
        <v>0</v>
      </c>
      <c r="AX33" s="80" t="s">
        <v>7173</v>
      </c>
      <c r="AY33" s="84" t="str">
        <f>HYPERLINK("https://twitter.com/keitsukidate")</f>
        <v>https://twitter.com/keitsukidate</v>
      </c>
      <c r="AZ33" s="80" t="s">
        <v>66</v>
      </c>
      <c r="BA33" s="2"/>
      <c r="BB33" s="3"/>
      <c r="BC33" s="3"/>
      <c r="BD33" s="3"/>
      <c r="BE33" s="3"/>
    </row>
    <row r="34" spans="1:57" x14ac:dyDescent="0.35">
      <c r="A34" s="66" t="s">
        <v>237</v>
      </c>
      <c r="B34" s="67"/>
      <c r="C34" s="67"/>
      <c r="D34" s="68"/>
      <c r="E34" s="70"/>
      <c r="F34" s="106" t="str">
        <f>HYPERLINK("https://pbs.twimg.com/profile_images/1433360433973370884/Zgcl88bb_normal.jpg")</f>
        <v>https://pbs.twimg.com/profile_images/1433360433973370884/Zgcl88bb_normal.jpg</v>
      </c>
      <c r="G34" s="67"/>
      <c r="H34" s="71"/>
      <c r="I34" s="72"/>
      <c r="J34" s="72"/>
      <c r="K34" s="71" t="s">
        <v>7204</v>
      </c>
      <c r="L34" s="75"/>
      <c r="M34" s="76"/>
      <c r="N34" s="76"/>
      <c r="O34" s="77"/>
      <c r="P34" s="78"/>
      <c r="Q34" s="78"/>
      <c r="R34" s="90"/>
      <c r="S34" s="90"/>
      <c r="T34" s="90"/>
      <c r="U34" s="90"/>
      <c r="V34" s="52"/>
      <c r="W34" s="52"/>
      <c r="X34" s="52"/>
      <c r="Y34" s="52"/>
      <c r="Z34" s="51"/>
      <c r="AA34" s="73"/>
      <c r="AB34" s="73"/>
      <c r="AC34" s="74"/>
      <c r="AD34" s="80" t="s">
        <v>4215</v>
      </c>
      <c r="AE34" s="86" t="s">
        <v>5176</v>
      </c>
      <c r="AF34" s="80">
        <v>213</v>
      </c>
      <c r="AG34" s="80">
        <v>141</v>
      </c>
      <c r="AH34" s="80">
        <v>1341</v>
      </c>
      <c r="AI34" s="80">
        <v>58</v>
      </c>
      <c r="AJ34" s="80"/>
      <c r="AK34" s="80" t="s">
        <v>5952</v>
      </c>
      <c r="AL34" s="80" t="s">
        <v>6772</v>
      </c>
      <c r="AM34" s="80"/>
      <c r="AN34" s="80"/>
      <c r="AO34" s="82">
        <v>40064.681817129633</v>
      </c>
      <c r="AP34" s="84" t="str">
        <f>HYPERLINK("https://pbs.twimg.com/profile_banners/72593445/1610733511")</f>
        <v>https://pbs.twimg.com/profile_banners/72593445/1610733511</v>
      </c>
      <c r="AQ34" s="80" t="b">
        <v>0</v>
      </c>
      <c r="AR34" s="80" t="b">
        <v>0</v>
      </c>
      <c r="AS34" s="80" t="b">
        <v>0</v>
      </c>
      <c r="AT34" s="80"/>
      <c r="AU34" s="80">
        <v>0</v>
      </c>
      <c r="AV34" s="84" t="str">
        <f>HYPERLINK("https://abs.twimg.com/images/themes/theme2/bg.gif")</f>
        <v>https://abs.twimg.com/images/themes/theme2/bg.gif</v>
      </c>
      <c r="AW34" s="80" t="b">
        <v>0</v>
      </c>
      <c r="AX34" s="80" t="s">
        <v>7173</v>
      </c>
      <c r="AY34" s="84" t="str">
        <f>HYPERLINK("https://twitter.com/ibnu_dumadi")</f>
        <v>https://twitter.com/ibnu_dumadi</v>
      </c>
      <c r="AZ34" s="80" t="s">
        <v>66</v>
      </c>
      <c r="BA34" s="2"/>
      <c r="BB34" s="3"/>
      <c r="BC34" s="3"/>
      <c r="BD34" s="3"/>
      <c r="BE34" s="3"/>
    </row>
    <row r="35" spans="1:57" x14ac:dyDescent="0.35">
      <c r="A35" s="66" t="s">
        <v>1001</v>
      </c>
      <c r="B35" s="67"/>
      <c r="C35" s="67"/>
      <c r="D35" s="68"/>
      <c r="E35" s="70"/>
      <c r="F35" s="106" t="str">
        <f>HYPERLINK("https://pbs.twimg.com/profile_images/1435960723968970760/4cYRs0FC_normal.jpg")</f>
        <v>https://pbs.twimg.com/profile_images/1435960723968970760/4cYRs0FC_normal.jpg</v>
      </c>
      <c r="G35" s="67"/>
      <c r="H35" s="71"/>
      <c r="I35" s="72"/>
      <c r="J35" s="72"/>
      <c r="K35" s="71" t="s">
        <v>7205</v>
      </c>
      <c r="L35" s="75"/>
      <c r="M35" s="76"/>
      <c r="N35" s="76"/>
      <c r="O35" s="77"/>
      <c r="P35" s="78"/>
      <c r="Q35" s="78"/>
      <c r="R35" s="90"/>
      <c r="S35" s="90"/>
      <c r="T35" s="90"/>
      <c r="U35" s="90"/>
      <c r="V35" s="52"/>
      <c r="W35" s="52"/>
      <c r="X35" s="52"/>
      <c r="Y35" s="52"/>
      <c r="Z35" s="51"/>
      <c r="AA35" s="73"/>
      <c r="AB35" s="73"/>
      <c r="AC35" s="74"/>
      <c r="AD35" s="80" t="s">
        <v>1001</v>
      </c>
      <c r="AE35" s="86" t="s">
        <v>3885</v>
      </c>
      <c r="AF35" s="80">
        <v>30</v>
      </c>
      <c r="AG35" s="80">
        <v>17107533</v>
      </c>
      <c r="AH35" s="80">
        <v>1870766</v>
      </c>
      <c r="AI35" s="80">
        <v>937</v>
      </c>
      <c r="AJ35" s="80"/>
      <c r="AK35" s="80" t="s">
        <v>5953</v>
      </c>
      <c r="AL35" s="80" t="s">
        <v>6773</v>
      </c>
      <c r="AM35" s="84" t="str">
        <f>HYPERLINK("https://t.co/qldGGYWfHu")</f>
        <v>https://t.co/qldGGYWfHu</v>
      </c>
      <c r="AN35" s="80"/>
      <c r="AO35" s="82">
        <v>40052.127141203702</v>
      </c>
      <c r="AP35" s="84" t="str">
        <f>HYPERLINK("https://pbs.twimg.com/profile_banners/69183155/1629263517")</f>
        <v>https://pbs.twimg.com/profile_banners/69183155/1629263517</v>
      </c>
      <c r="AQ35" s="80" t="b">
        <v>0</v>
      </c>
      <c r="AR35" s="80" t="b">
        <v>0</v>
      </c>
      <c r="AS35" s="80" t="b">
        <v>1</v>
      </c>
      <c r="AT35" s="80"/>
      <c r="AU35" s="80">
        <v>13178</v>
      </c>
      <c r="AV35" s="84" t="str">
        <f>HYPERLINK("https://abs.twimg.com/images/themes/theme1/bg.png")</f>
        <v>https://abs.twimg.com/images/themes/theme1/bg.png</v>
      </c>
      <c r="AW35" s="80" t="b">
        <v>1</v>
      </c>
      <c r="AX35" s="80" t="s">
        <v>7173</v>
      </c>
      <c r="AY35" s="84" t="str">
        <f>HYPERLINK("https://twitter.com/detikcom")</f>
        <v>https://twitter.com/detikcom</v>
      </c>
      <c r="AZ35" s="80" t="s">
        <v>65</v>
      </c>
      <c r="BA35" s="2"/>
      <c r="BB35" s="3"/>
      <c r="BC35" s="3"/>
      <c r="BD35" s="3"/>
      <c r="BE35" s="3"/>
    </row>
    <row r="36" spans="1:57" x14ac:dyDescent="0.35">
      <c r="A36" s="66" t="s">
        <v>238</v>
      </c>
      <c r="B36" s="67"/>
      <c r="C36" s="67"/>
      <c r="D36" s="68"/>
      <c r="E36" s="70"/>
      <c r="F36" s="106" t="str">
        <f>HYPERLINK("https://pbs.twimg.com/profile_images/888647610248044544/-rwzns9C_normal.jpg")</f>
        <v>https://pbs.twimg.com/profile_images/888647610248044544/-rwzns9C_normal.jpg</v>
      </c>
      <c r="G36" s="67"/>
      <c r="H36" s="71"/>
      <c r="I36" s="72"/>
      <c r="J36" s="72"/>
      <c r="K36" s="71" t="s">
        <v>7206</v>
      </c>
      <c r="L36" s="75"/>
      <c r="M36" s="76"/>
      <c r="N36" s="76"/>
      <c r="O36" s="77"/>
      <c r="P36" s="78"/>
      <c r="Q36" s="78"/>
      <c r="R36" s="90"/>
      <c r="S36" s="90"/>
      <c r="T36" s="90"/>
      <c r="U36" s="90"/>
      <c r="V36" s="52"/>
      <c r="W36" s="52"/>
      <c r="X36" s="52"/>
      <c r="Y36" s="52"/>
      <c r="Z36" s="51"/>
      <c r="AA36" s="73"/>
      <c r="AB36" s="73"/>
      <c r="AC36" s="74"/>
      <c r="AD36" s="80" t="s">
        <v>238</v>
      </c>
      <c r="AE36" s="86" t="s">
        <v>5177</v>
      </c>
      <c r="AF36" s="80">
        <v>23</v>
      </c>
      <c r="AG36" s="80">
        <v>95</v>
      </c>
      <c r="AH36" s="80">
        <v>13496</v>
      </c>
      <c r="AI36" s="80">
        <v>0</v>
      </c>
      <c r="AJ36" s="80"/>
      <c r="AK36" s="80" t="s">
        <v>5954</v>
      </c>
      <c r="AL36" s="80" t="s">
        <v>6774</v>
      </c>
      <c r="AM36" s="84" t="str">
        <f>HYPERLINK("https://t.co/ptA1hZ2oJP")</f>
        <v>https://t.co/ptA1hZ2oJP</v>
      </c>
      <c r="AN36" s="80"/>
      <c r="AO36" s="82">
        <v>40647.667303240742</v>
      </c>
      <c r="AP36" s="84" t="str">
        <f>HYPERLINK("https://pbs.twimg.com/profile_banners/282125025/1500815896")</f>
        <v>https://pbs.twimg.com/profile_banners/282125025/1500815896</v>
      </c>
      <c r="AQ36" s="80" t="b">
        <v>0</v>
      </c>
      <c r="AR36" s="80" t="b">
        <v>0</v>
      </c>
      <c r="AS36" s="80" t="b">
        <v>1</v>
      </c>
      <c r="AT36" s="80"/>
      <c r="AU36" s="80">
        <v>0</v>
      </c>
      <c r="AV36" s="84" t="str">
        <f>HYPERLINK("https://abs.twimg.com/images/themes/theme1/bg.png")</f>
        <v>https://abs.twimg.com/images/themes/theme1/bg.png</v>
      </c>
      <c r="AW36" s="80" t="b">
        <v>0</v>
      </c>
      <c r="AX36" s="80" t="s">
        <v>7173</v>
      </c>
      <c r="AY36" s="84" t="str">
        <f>HYPERLINK("https://twitter.com/sumselterkini")</f>
        <v>https://twitter.com/sumselterkini</v>
      </c>
      <c r="AZ36" s="80" t="s">
        <v>66</v>
      </c>
      <c r="BA36" s="2"/>
      <c r="BB36" s="3"/>
      <c r="BC36" s="3"/>
      <c r="BD36" s="3"/>
      <c r="BE36" s="3"/>
    </row>
    <row r="37" spans="1:57" x14ac:dyDescent="0.35">
      <c r="A37" s="66" t="s">
        <v>239</v>
      </c>
      <c r="B37" s="67"/>
      <c r="C37" s="67"/>
      <c r="D37" s="68"/>
      <c r="E37" s="70"/>
      <c r="F37" s="106" t="str">
        <f>HYPERLINK("https://pbs.twimg.com/profile_images/1431808661337165832/rNUWsScO_normal.jpg")</f>
        <v>https://pbs.twimg.com/profile_images/1431808661337165832/rNUWsScO_normal.jpg</v>
      </c>
      <c r="G37" s="67"/>
      <c r="H37" s="71"/>
      <c r="I37" s="72"/>
      <c r="J37" s="72"/>
      <c r="K37" s="71" t="s">
        <v>7207</v>
      </c>
      <c r="L37" s="75"/>
      <c r="M37" s="76"/>
      <c r="N37" s="76"/>
      <c r="O37" s="77"/>
      <c r="P37" s="78"/>
      <c r="Q37" s="78"/>
      <c r="R37" s="90"/>
      <c r="S37" s="90"/>
      <c r="T37" s="90"/>
      <c r="U37" s="90"/>
      <c r="V37" s="52"/>
      <c r="W37" s="52"/>
      <c r="X37" s="52"/>
      <c r="Y37" s="52"/>
      <c r="Z37" s="51"/>
      <c r="AA37" s="73"/>
      <c r="AB37" s="73"/>
      <c r="AC37" s="74"/>
      <c r="AD37" s="80" t="s">
        <v>4216</v>
      </c>
      <c r="AE37" s="86" t="s">
        <v>5178</v>
      </c>
      <c r="AF37" s="80">
        <v>781</v>
      </c>
      <c r="AG37" s="80">
        <v>1124</v>
      </c>
      <c r="AH37" s="80">
        <v>5854</v>
      </c>
      <c r="AI37" s="80">
        <v>2059</v>
      </c>
      <c r="AJ37" s="80"/>
      <c r="AK37" s="80" t="s">
        <v>5955</v>
      </c>
      <c r="AL37" s="80" t="s">
        <v>4145</v>
      </c>
      <c r="AM37" s="84" t="str">
        <f>HYPERLINK("https://t.co/aghUNaJEkJ")</f>
        <v>https://t.co/aghUNaJEkJ</v>
      </c>
      <c r="AN37" s="80"/>
      <c r="AO37" s="82">
        <v>43717.651736111111</v>
      </c>
      <c r="AP37" s="84" t="str">
        <f>HYPERLINK("https://pbs.twimg.com/profile_banners/1171085344021696512/1603729278")</f>
        <v>https://pbs.twimg.com/profile_banners/1171085344021696512/1603729278</v>
      </c>
      <c r="AQ37" s="80" t="b">
        <v>1</v>
      </c>
      <c r="AR37" s="80" t="b">
        <v>0</v>
      </c>
      <c r="AS37" s="80" t="b">
        <v>0</v>
      </c>
      <c r="AT37" s="80"/>
      <c r="AU37" s="80">
        <v>0</v>
      </c>
      <c r="AV37" s="80"/>
      <c r="AW37" s="80" t="b">
        <v>0</v>
      </c>
      <c r="AX37" s="80" t="s">
        <v>7173</v>
      </c>
      <c r="AY37" s="84" t="str">
        <f>HYPERLINK("https://twitter.com/dinibaik_aamiin")</f>
        <v>https://twitter.com/dinibaik_aamiin</v>
      </c>
      <c r="AZ37" s="80" t="s">
        <v>66</v>
      </c>
      <c r="BA37" s="2"/>
      <c r="BB37" s="3"/>
      <c r="BC37" s="3"/>
      <c r="BD37" s="3"/>
      <c r="BE37" s="3"/>
    </row>
    <row r="38" spans="1:57" x14ac:dyDescent="0.35">
      <c r="A38" s="66" t="s">
        <v>1002</v>
      </c>
      <c r="B38" s="67"/>
      <c r="C38" s="67"/>
      <c r="D38" s="68"/>
      <c r="E38" s="70"/>
      <c r="F38" s="106" t="str">
        <f>HYPERLINK("https://pbs.twimg.com/profile_images/1433050113807585283/mhGk2_rw_normal.jpg")</f>
        <v>https://pbs.twimg.com/profile_images/1433050113807585283/mhGk2_rw_normal.jpg</v>
      </c>
      <c r="G38" s="67"/>
      <c r="H38" s="71"/>
      <c r="I38" s="72"/>
      <c r="J38" s="72"/>
      <c r="K38" s="71" t="s">
        <v>7208</v>
      </c>
      <c r="L38" s="75"/>
      <c r="M38" s="76"/>
      <c r="N38" s="76"/>
      <c r="O38" s="77"/>
      <c r="P38" s="78"/>
      <c r="Q38" s="78"/>
      <c r="R38" s="90"/>
      <c r="S38" s="90"/>
      <c r="T38" s="90"/>
      <c r="U38" s="90"/>
      <c r="V38" s="52"/>
      <c r="W38" s="52"/>
      <c r="X38" s="52"/>
      <c r="Y38" s="52"/>
      <c r="Z38" s="51"/>
      <c r="AA38" s="73"/>
      <c r="AB38" s="73"/>
      <c r="AC38" s="74"/>
      <c r="AD38" s="80" t="s">
        <v>4217</v>
      </c>
      <c r="AE38" s="86" t="s">
        <v>3886</v>
      </c>
      <c r="AF38" s="80">
        <v>159</v>
      </c>
      <c r="AG38" s="80">
        <v>1245592</v>
      </c>
      <c r="AH38" s="80">
        <v>145366</v>
      </c>
      <c r="AI38" s="80">
        <v>1727</v>
      </c>
      <c r="AJ38" s="80"/>
      <c r="AK38" s="80" t="s">
        <v>5956</v>
      </c>
      <c r="AL38" s="80" t="s">
        <v>6775</v>
      </c>
      <c r="AM38" s="84" t="str">
        <f>HYPERLINK("https://t.co/KsT8l4DbHE")</f>
        <v>https://t.co/KsT8l4DbHE</v>
      </c>
      <c r="AN38" s="80"/>
      <c r="AO38" s="82">
        <v>40822.588009259256</v>
      </c>
      <c r="AP38" s="84" t="str">
        <f>HYPERLINK("https://pbs.twimg.com/profile_banners/385996689/1620996854")</f>
        <v>https://pbs.twimg.com/profile_banners/385996689/1620996854</v>
      </c>
      <c r="AQ38" s="80" t="b">
        <v>0</v>
      </c>
      <c r="AR38" s="80" t="b">
        <v>0</v>
      </c>
      <c r="AS38" s="80" t="b">
        <v>1</v>
      </c>
      <c r="AT38" s="80"/>
      <c r="AU38" s="80">
        <v>601</v>
      </c>
      <c r="AV38" s="84" t="str">
        <f>HYPERLINK("https://abs.twimg.com/images/themes/theme14/bg.gif")</f>
        <v>https://abs.twimg.com/images/themes/theme14/bg.gif</v>
      </c>
      <c r="AW38" s="80" t="b">
        <v>0</v>
      </c>
      <c r="AX38" s="80" t="s">
        <v>7173</v>
      </c>
      <c r="AY38" s="84" t="str">
        <f>HYPERLINK("https://twitter.com/jek___")</f>
        <v>https://twitter.com/jek___</v>
      </c>
      <c r="AZ38" s="80" t="s">
        <v>65</v>
      </c>
      <c r="BA38" s="2"/>
      <c r="BB38" s="3"/>
      <c r="BC38" s="3"/>
      <c r="BD38" s="3"/>
      <c r="BE38" s="3"/>
    </row>
    <row r="39" spans="1:57" x14ac:dyDescent="0.35">
      <c r="A39" s="66" t="s">
        <v>240</v>
      </c>
      <c r="B39" s="67"/>
      <c r="C39" s="67"/>
      <c r="D39" s="68"/>
      <c r="E39" s="70"/>
      <c r="F39" s="106" t="str">
        <f>HYPERLINK("https://pbs.twimg.com/profile_images/1176515060576870400/8uyxBSvG_normal.jpg")</f>
        <v>https://pbs.twimg.com/profile_images/1176515060576870400/8uyxBSvG_normal.jpg</v>
      </c>
      <c r="G39" s="67"/>
      <c r="H39" s="71"/>
      <c r="I39" s="72"/>
      <c r="J39" s="72"/>
      <c r="K39" s="71" t="s">
        <v>7209</v>
      </c>
      <c r="L39" s="75"/>
      <c r="M39" s="76"/>
      <c r="N39" s="76"/>
      <c r="O39" s="77"/>
      <c r="P39" s="78"/>
      <c r="Q39" s="78"/>
      <c r="R39" s="90"/>
      <c r="S39" s="90"/>
      <c r="T39" s="90"/>
      <c r="U39" s="90"/>
      <c r="V39" s="52"/>
      <c r="W39" s="52"/>
      <c r="X39" s="52"/>
      <c r="Y39" s="52"/>
      <c r="Z39" s="51"/>
      <c r="AA39" s="73"/>
      <c r="AB39" s="73"/>
      <c r="AC39" s="74"/>
      <c r="AD39" s="80" t="s">
        <v>4218</v>
      </c>
      <c r="AE39" s="86" t="s">
        <v>5179</v>
      </c>
      <c r="AF39" s="80">
        <v>333</v>
      </c>
      <c r="AG39" s="80">
        <v>140</v>
      </c>
      <c r="AH39" s="80">
        <v>755</v>
      </c>
      <c r="AI39" s="80">
        <v>191</v>
      </c>
      <c r="AJ39" s="80"/>
      <c r="AK39" s="80" t="s">
        <v>5957</v>
      </c>
      <c r="AL39" s="80" t="s">
        <v>6776</v>
      </c>
      <c r="AM39" s="80"/>
      <c r="AN39" s="80"/>
      <c r="AO39" s="82">
        <v>41162.339849537035</v>
      </c>
      <c r="AP39" s="80"/>
      <c r="AQ39" s="80" t="b">
        <v>1</v>
      </c>
      <c r="AR39" s="80" t="b">
        <v>0</v>
      </c>
      <c r="AS39" s="80" t="b">
        <v>1</v>
      </c>
      <c r="AT39" s="80"/>
      <c r="AU39" s="80">
        <v>0</v>
      </c>
      <c r="AV39" s="84" t="str">
        <f>HYPERLINK("https://abs.twimg.com/images/themes/theme1/bg.png")</f>
        <v>https://abs.twimg.com/images/themes/theme1/bg.png</v>
      </c>
      <c r="AW39" s="80" t="b">
        <v>0</v>
      </c>
      <c r="AX39" s="80" t="s">
        <v>7173</v>
      </c>
      <c r="AY39" s="84" t="str">
        <f>HYPERLINK("https://twitter.com/kha_ekha16")</f>
        <v>https://twitter.com/kha_ekha16</v>
      </c>
      <c r="AZ39" s="80" t="s">
        <v>66</v>
      </c>
      <c r="BA39" s="2"/>
      <c r="BB39" s="3"/>
      <c r="BC39" s="3"/>
      <c r="BD39" s="3"/>
      <c r="BE39" s="3"/>
    </row>
    <row r="40" spans="1:57" x14ac:dyDescent="0.35">
      <c r="A40" s="66" t="s">
        <v>241</v>
      </c>
      <c r="B40" s="67"/>
      <c r="C40" s="67"/>
      <c r="D40" s="68"/>
      <c r="E40" s="70"/>
      <c r="F40" s="106" t="str">
        <f>HYPERLINK("https://pbs.twimg.com/profile_images/736890631507693568/EorvFn3R_normal.jpg")</f>
        <v>https://pbs.twimg.com/profile_images/736890631507693568/EorvFn3R_normal.jpg</v>
      </c>
      <c r="G40" s="67"/>
      <c r="H40" s="71"/>
      <c r="I40" s="72"/>
      <c r="J40" s="72"/>
      <c r="K40" s="71" t="s">
        <v>7210</v>
      </c>
      <c r="L40" s="75"/>
      <c r="M40" s="76"/>
      <c r="N40" s="76"/>
      <c r="O40" s="77"/>
      <c r="P40" s="78"/>
      <c r="Q40" s="78"/>
      <c r="R40" s="90"/>
      <c r="S40" s="90"/>
      <c r="T40" s="90"/>
      <c r="U40" s="90"/>
      <c r="V40" s="52"/>
      <c r="W40" s="52"/>
      <c r="X40" s="52"/>
      <c r="Y40" s="52"/>
      <c r="Z40" s="51"/>
      <c r="AA40" s="73"/>
      <c r="AB40" s="73"/>
      <c r="AC40" s="74"/>
      <c r="AD40" s="80" t="s">
        <v>4219</v>
      </c>
      <c r="AE40" s="86" t="s">
        <v>5180</v>
      </c>
      <c r="AF40" s="80">
        <v>121</v>
      </c>
      <c r="AG40" s="80">
        <v>195</v>
      </c>
      <c r="AH40" s="80">
        <v>1877</v>
      </c>
      <c r="AI40" s="80">
        <v>312</v>
      </c>
      <c r="AJ40" s="80"/>
      <c r="AK40" s="80" t="s">
        <v>5958</v>
      </c>
      <c r="AL40" s="80"/>
      <c r="AM40" s="80"/>
      <c r="AN40" s="80"/>
      <c r="AO40" s="82">
        <v>40952.237326388888</v>
      </c>
      <c r="AP40" s="84" t="str">
        <f>HYPERLINK("https://pbs.twimg.com/profile_banners/491037863/1593713715")</f>
        <v>https://pbs.twimg.com/profile_banners/491037863/1593713715</v>
      </c>
      <c r="AQ40" s="80" t="b">
        <v>0</v>
      </c>
      <c r="AR40" s="80" t="b">
        <v>0</v>
      </c>
      <c r="AS40" s="80" t="b">
        <v>1</v>
      </c>
      <c r="AT40" s="80"/>
      <c r="AU40" s="80">
        <v>0</v>
      </c>
      <c r="AV40" s="84" t="str">
        <f>HYPERLINK("https://abs.twimg.com/images/themes/theme1/bg.png")</f>
        <v>https://abs.twimg.com/images/themes/theme1/bg.png</v>
      </c>
      <c r="AW40" s="80" t="b">
        <v>0</v>
      </c>
      <c r="AX40" s="80" t="s">
        <v>7173</v>
      </c>
      <c r="AY40" s="84" t="str">
        <f>HYPERLINK("https://twitter.com/nadyatamara2")</f>
        <v>https://twitter.com/nadyatamara2</v>
      </c>
      <c r="AZ40" s="80" t="s">
        <v>66</v>
      </c>
      <c r="BA40" s="2"/>
      <c r="BB40" s="3"/>
      <c r="BC40" s="3"/>
      <c r="BD40" s="3"/>
      <c r="BE40" s="3"/>
    </row>
    <row r="41" spans="1:57" x14ac:dyDescent="0.35">
      <c r="A41" s="66" t="s">
        <v>242</v>
      </c>
      <c r="B41" s="67"/>
      <c r="C41" s="67"/>
      <c r="D41" s="68"/>
      <c r="E41" s="70"/>
      <c r="F41" s="106" t="str">
        <f>HYPERLINK("https://pbs.twimg.com/profile_images/1414745126480474133/Wfsm2Mjk_normal.jpg")</f>
        <v>https://pbs.twimg.com/profile_images/1414745126480474133/Wfsm2Mjk_normal.jpg</v>
      </c>
      <c r="G41" s="67"/>
      <c r="H41" s="71"/>
      <c r="I41" s="72"/>
      <c r="J41" s="72"/>
      <c r="K41" s="71" t="s">
        <v>7211</v>
      </c>
      <c r="L41" s="75"/>
      <c r="M41" s="76"/>
      <c r="N41" s="76"/>
      <c r="O41" s="77"/>
      <c r="P41" s="78"/>
      <c r="Q41" s="78"/>
      <c r="R41" s="90"/>
      <c r="S41" s="90"/>
      <c r="T41" s="90"/>
      <c r="U41" s="90"/>
      <c r="V41" s="52"/>
      <c r="W41" s="52"/>
      <c r="X41" s="52"/>
      <c r="Y41" s="52"/>
      <c r="Z41" s="51"/>
      <c r="AA41" s="73"/>
      <c r="AB41" s="73"/>
      <c r="AC41" s="74"/>
      <c r="AD41" s="80" t="s">
        <v>4220</v>
      </c>
      <c r="AE41" s="86" t="s">
        <v>5181</v>
      </c>
      <c r="AF41" s="80">
        <v>167</v>
      </c>
      <c r="AG41" s="80">
        <v>344</v>
      </c>
      <c r="AH41" s="80">
        <v>17225</v>
      </c>
      <c r="AI41" s="80">
        <v>120</v>
      </c>
      <c r="AJ41" s="80"/>
      <c r="AK41" s="80" t="s">
        <v>5959</v>
      </c>
      <c r="AL41" s="80" t="s">
        <v>6777</v>
      </c>
      <c r="AM41" s="84" t="str">
        <f>HYPERLINK("https://t.co/7SHJhTyGjm")</f>
        <v>https://t.co/7SHJhTyGjm</v>
      </c>
      <c r="AN41" s="80"/>
      <c r="AO41" s="82">
        <v>41109.805509259262</v>
      </c>
      <c r="AP41" s="84" t="str">
        <f>HYPERLINK("https://pbs.twimg.com/profile_banners/705627337/1413894708")</f>
        <v>https://pbs.twimg.com/profile_banners/705627337/1413894708</v>
      </c>
      <c r="AQ41" s="80" t="b">
        <v>0</v>
      </c>
      <c r="AR41" s="80" t="b">
        <v>0</v>
      </c>
      <c r="AS41" s="80" t="b">
        <v>1</v>
      </c>
      <c r="AT41" s="80"/>
      <c r="AU41" s="80">
        <v>0</v>
      </c>
      <c r="AV41" s="84" t="str">
        <f>HYPERLINK("https://abs.twimg.com/images/themes/theme9/bg.gif")</f>
        <v>https://abs.twimg.com/images/themes/theme9/bg.gif</v>
      </c>
      <c r="AW41" s="80" t="b">
        <v>0</v>
      </c>
      <c r="AX41" s="80" t="s">
        <v>7173</v>
      </c>
      <c r="AY41" s="84" t="str">
        <f>HYPERLINK("https://twitter.com/rezakrisna28")</f>
        <v>https://twitter.com/rezakrisna28</v>
      </c>
      <c r="AZ41" s="80" t="s">
        <v>66</v>
      </c>
      <c r="BA41" s="2"/>
      <c r="BB41" s="3"/>
      <c r="BC41" s="3"/>
      <c r="BD41" s="3"/>
      <c r="BE41" s="3"/>
    </row>
    <row r="42" spans="1:57" x14ac:dyDescent="0.35">
      <c r="A42" s="66" t="s">
        <v>1003</v>
      </c>
      <c r="B42" s="67"/>
      <c r="C42" s="67"/>
      <c r="D42" s="68"/>
      <c r="E42" s="70"/>
      <c r="F42" s="106" t="str">
        <f>HYPERLINK("https://pbs.twimg.com/profile_images/1437731175141810185/FoooZvvR_normal.jpg")</f>
        <v>https://pbs.twimg.com/profile_images/1437731175141810185/FoooZvvR_normal.jpg</v>
      </c>
      <c r="G42" s="67"/>
      <c r="H42" s="71"/>
      <c r="I42" s="72"/>
      <c r="J42" s="72"/>
      <c r="K42" s="71" t="s">
        <v>7212</v>
      </c>
      <c r="L42" s="75"/>
      <c r="M42" s="76"/>
      <c r="N42" s="76"/>
      <c r="O42" s="77"/>
      <c r="P42" s="78"/>
      <c r="Q42" s="78"/>
      <c r="R42" s="90"/>
      <c r="S42" s="90"/>
      <c r="T42" s="90"/>
      <c r="U42" s="90"/>
      <c r="V42" s="52"/>
      <c r="W42" s="52"/>
      <c r="X42" s="52"/>
      <c r="Y42" s="52"/>
      <c r="Z42" s="51"/>
      <c r="AA42" s="73"/>
      <c r="AB42" s="73"/>
      <c r="AC42" s="74"/>
      <c r="AD42" s="80" t="s">
        <v>4221</v>
      </c>
      <c r="AE42" s="86" t="s">
        <v>3887</v>
      </c>
      <c r="AF42" s="80">
        <v>564</v>
      </c>
      <c r="AG42" s="80">
        <v>127</v>
      </c>
      <c r="AH42" s="80">
        <v>1249</v>
      </c>
      <c r="AI42" s="80">
        <v>705</v>
      </c>
      <c r="AJ42" s="80"/>
      <c r="AK42" s="80" t="s">
        <v>5960</v>
      </c>
      <c r="AL42" s="80"/>
      <c r="AM42" s="80"/>
      <c r="AN42" s="80"/>
      <c r="AO42" s="82">
        <v>41107.265949074077</v>
      </c>
      <c r="AP42" s="84" t="str">
        <f>HYPERLINK("https://pbs.twimg.com/profile_banners/700496978/1617813825")</f>
        <v>https://pbs.twimg.com/profile_banners/700496978/1617813825</v>
      </c>
      <c r="AQ42" s="80" t="b">
        <v>1</v>
      </c>
      <c r="AR42" s="80" t="b">
        <v>0</v>
      </c>
      <c r="AS42" s="80" t="b">
        <v>1</v>
      </c>
      <c r="AT42" s="80"/>
      <c r="AU42" s="80">
        <v>0</v>
      </c>
      <c r="AV42" s="84" t="str">
        <f>HYPERLINK("https://abs.twimg.com/images/themes/theme1/bg.png")</f>
        <v>https://abs.twimg.com/images/themes/theme1/bg.png</v>
      </c>
      <c r="AW42" s="80" t="b">
        <v>0</v>
      </c>
      <c r="AX42" s="80" t="s">
        <v>7173</v>
      </c>
      <c r="AY42" s="84" t="str">
        <f>HYPERLINK("https://twitter.com/enakmurahbanyaq")</f>
        <v>https://twitter.com/enakmurahbanyaq</v>
      </c>
      <c r="AZ42" s="80" t="s">
        <v>65</v>
      </c>
      <c r="BA42" s="2"/>
      <c r="BB42" s="3"/>
      <c r="BC42" s="3"/>
      <c r="BD42" s="3"/>
      <c r="BE42" s="3"/>
    </row>
    <row r="43" spans="1:57" x14ac:dyDescent="0.35">
      <c r="A43" s="66" t="s">
        <v>243</v>
      </c>
      <c r="B43" s="67"/>
      <c r="C43" s="67"/>
      <c r="D43" s="68"/>
      <c r="E43" s="70"/>
      <c r="F43" s="106" t="str">
        <f>HYPERLINK("https://pbs.twimg.com/profile_images/774778446576627712/jiXcEcCH_normal.jpg")</f>
        <v>https://pbs.twimg.com/profile_images/774778446576627712/jiXcEcCH_normal.jpg</v>
      </c>
      <c r="G43" s="67"/>
      <c r="H43" s="71"/>
      <c r="I43" s="72"/>
      <c r="J43" s="72"/>
      <c r="K43" s="71" t="s">
        <v>7213</v>
      </c>
      <c r="L43" s="75"/>
      <c r="M43" s="76"/>
      <c r="N43" s="76"/>
      <c r="O43" s="77"/>
      <c r="P43" s="78"/>
      <c r="Q43" s="78"/>
      <c r="R43" s="90"/>
      <c r="S43" s="90"/>
      <c r="T43" s="90"/>
      <c r="U43" s="90"/>
      <c r="V43" s="52"/>
      <c r="W43" s="52"/>
      <c r="X43" s="52"/>
      <c r="Y43" s="52"/>
      <c r="Z43" s="51"/>
      <c r="AA43" s="73"/>
      <c r="AB43" s="73"/>
      <c r="AC43" s="74"/>
      <c r="AD43" s="80" t="s">
        <v>4222</v>
      </c>
      <c r="AE43" s="86" t="s">
        <v>5182</v>
      </c>
      <c r="AF43" s="80">
        <v>465</v>
      </c>
      <c r="AG43" s="80">
        <v>80</v>
      </c>
      <c r="AH43" s="80">
        <v>2032</v>
      </c>
      <c r="AI43" s="80">
        <v>131</v>
      </c>
      <c r="AJ43" s="80"/>
      <c r="AK43" s="80"/>
      <c r="AL43" s="80"/>
      <c r="AM43" s="80"/>
      <c r="AN43" s="80"/>
      <c r="AO43" s="82">
        <v>41710.247870370367</v>
      </c>
      <c r="AP43" s="84" t="str">
        <f>HYPERLINK("https://pbs.twimg.com/profile_banners/2384764039/1473556480")</f>
        <v>https://pbs.twimg.com/profile_banners/2384764039/1473556480</v>
      </c>
      <c r="AQ43" s="80" t="b">
        <v>1</v>
      </c>
      <c r="AR43" s="80" t="b">
        <v>0</v>
      </c>
      <c r="AS43" s="80" t="b">
        <v>0</v>
      </c>
      <c r="AT43" s="80"/>
      <c r="AU43" s="80">
        <v>1</v>
      </c>
      <c r="AV43" s="84" t="str">
        <f>HYPERLINK("https://abs.twimg.com/images/themes/theme1/bg.png")</f>
        <v>https://abs.twimg.com/images/themes/theme1/bg.png</v>
      </c>
      <c r="AW43" s="80" t="b">
        <v>0</v>
      </c>
      <c r="AX43" s="80" t="s">
        <v>7173</v>
      </c>
      <c r="AY43" s="84" t="str">
        <f>HYPERLINK("https://twitter.com/arekndeso79")</f>
        <v>https://twitter.com/arekndeso79</v>
      </c>
      <c r="AZ43" s="80" t="s">
        <v>66</v>
      </c>
      <c r="BA43" s="2"/>
      <c r="BB43" s="3"/>
      <c r="BC43" s="3"/>
      <c r="BD43" s="3"/>
      <c r="BE43" s="3"/>
    </row>
    <row r="44" spans="1:57" x14ac:dyDescent="0.35">
      <c r="A44" s="66" t="s">
        <v>1004</v>
      </c>
      <c r="B44" s="67"/>
      <c r="C44" s="67"/>
      <c r="D44" s="68"/>
      <c r="E44" s="70"/>
      <c r="F44" s="106" t="str">
        <f>HYPERLINK("https://pbs.twimg.com/profile_images/1384768624674578434/KqWBIh-G_normal.jpg")</f>
        <v>https://pbs.twimg.com/profile_images/1384768624674578434/KqWBIh-G_normal.jpg</v>
      </c>
      <c r="G44" s="67"/>
      <c r="H44" s="71"/>
      <c r="I44" s="72"/>
      <c r="J44" s="72"/>
      <c r="K44" s="71" t="s">
        <v>7214</v>
      </c>
      <c r="L44" s="75"/>
      <c r="M44" s="76"/>
      <c r="N44" s="76"/>
      <c r="O44" s="77"/>
      <c r="P44" s="78"/>
      <c r="Q44" s="78"/>
      <c r="R44" s="90"/>
      <c r="S44" s="90"/>
      <c r="T44" s="90"/>
      <c r="U44" s="90"/>
      <c r="V44" s="52"/>
      <c r="W44" s="52"/>
      <c r="X44" s="52"/>
      <c r="Y44" s="52"/>
      <c r="Z44" s="51"/>
      <c r="AA44" s="73"/>
      <c r="AB44" s="73"/>
      <c r="AC44" s="74"/>
      <c r="AD44" s="80" t="s">
        <v>4223</v>
      </c>
      <c r="AE44" s="86" t="s">
        <v>3888</v>
      </c>
      <c r="AF44" s="80">
        <v>1230</v>
      </c>
      <c r="AG44" s="80">
        <v>54838</v>
      </c>
      <c r="AH44" s="80">
        <v>83996</v>
      </c>
      <c r="AI44" s="80">
        <v>3517</v>
      </c>
      <c r="AJ44" s="80"/>
      <c r="AK44" s="80" t="s">
        <v>5961</v>
      </c>
      <c r="AL44" s="80" t="s">
        <v>6778</v>
      </c>
      <c r="AM44" s="80"/>
      <c r="AN44" s="80"/>
      <c r="AO44" s="82">
        <v>40344.618680555555</v>
      </c>
      <c r="AP44" s="84" t="str">
        <f>HYPERLINK("https://pbs.twimg.com/profile_banners/155928815/1613467213")</f>
        <v>https://pbs.twimg.com/profile_banners/155928815/1613467213</v>
      </c>
      <c r="AQ44" s="80" t="b">
        <v>1</v>
      </c>
      <c r="AR44" s="80" t="b">
        <v>0</v>
      </c>
      <c r="AS44" s="80" t="b">
        <v>0</v>
      </c>
      <c r="AT44" s="80"/>
      <c r="AU44" s="80">
        <v>99</v>
      </c>
      <c r="AV44" s="84" t="str">
        <f>HYPERLINK("https://abs.twimg.com/images/themes/theme1/bg.png")</f>
        <v>https://abs.twimg.com/images/themes/theme1/bg.png</v>
      </c>
      <c r="AW44" s="80" t="b">
        <v>0</v>
      </c>
      <c r="AX44" s="80" t="s">
        <v>7173</v>
      </c>
      <c r="AY44" s="84" t="str">
        <f>HYPERLINK("https://twitter.com/emerson_yuntho")</f>
        <v>https://twitter.com/emerson_yuntho</v>
      </c>
      <c r="AZ44" s="80" t="s">
        <v>65</v>
      </c>
      <c r="BA44" s="2"/>
      <c r="BB44" s="3"/>
      <c r="BC44" s="3"/>
      <c r="BD44" s="3"/>
      <c r="BE44" s="3"/>
    </row>
    <row r="45" spans="1:57" x14ac:dyDescent="0.35">
      <c r="A45" s="66" t="s">
        <v>244</v>
      </c>
      <c r="B45" s="67"/>
      <c r="C45" s="67"/>
      <c r="D45" s="68"/>
      <c r="E45" s="70"/>
      <c r="F45" s="106" t="str">
        <f>HYPERLINK("https://pbs.twimg.com/profile_images/1425724478722428928/CZZNLGih_normal.jpg")</f>
        <v>https://pbs.twimg.com/profile_images/1425724478722428928/CZZNLGih_normal.jpg</v>
      </c>
      <c r="G45" s="67"/>
      <c r="H45" s="71"/>
      <c r="I45" s="72"/>
      <c r="J45" s="72"/>
      <c r="K45" s="71" t="s">
        <v>7215</v>
      </c>
      <c r="L45" s="75"/>
      <c r="M45" s="76"/>
      <c r="N45" s="76"/>
      <c r="O45" s="77"/>
      <c r="P45" s="78"/>
      <c r="Q45" s="78"/>
      <c r="R45" s="90"/>
      <c r="S45" s="90"/>
      <c r="T45" s="90"/>
      <c r="U45" s="90"/>
      <c r="V45" s="52"/>
      <c r="W45" s="52"/>
      <c r="X45" s="52"/>
      <c r="Y45" s="52"/>
      <c r="Z45" s="51"/>
      <c r="AA45" s="73"/>
      <c r="AB45" s="73"/>
      <c r="AC45" s="74"/>
      <c r="AD45" s="80" t="s">
        <v>4224</v>
      </c>
      <c r="AE45" s="86" t="s">
        <v>5183</v>
      </c>
      <c r="AF45" s="80">
        <v>56</v>
      </c>
      <c r="AG45" s="80">
        <v>468</v>
      </c>
      <c r="AH45" s="80">
        <v>430596</v>
      </c>
      <c r="AI45" s="80">
        <v>166</v>
      </c>
      <c r="AJ45" s="80"/>
      <c r="AK45" s="80" t="s">
        <v>5962</v>
      </c>
      <c r="AL45" s="80"/>
      <c r="AM45" s="80"/>
      <c r="AN45" s="80"/>
      <c r="AO45" s="82">
        <v>40667.407581018517</v>
      </c>
      <c r="AP45" s="84" t="str">
        <f>HYPERLINK("https://pbs.twimg.com/profile_banners/292839210/1624716033")</f>
        <v>https://pbs.twimg.com/profile_banners/292839210/1624716033</v>
      </c>
      <c r="AQ45" s="80" t="b">
        <v>0</v>
      </c>
      <c r="AR45" s="80" t="b">
        <v>0</v>
      </c>
      <c r="AS45" s="80" t="b">
        <v>1</v>
      </c>
      <c r="AT45" s="80"/>
      <c r="AU45" s="80">
        <v>28</v>
      </c>
      <c r="AV45" s="84" t="str">
        <f>HYPERLINK("https://abs.twimg.com/images/themes/theme10/bg.gif")</f>
        <v>https://abs.twimg.com/images/themes/theme10/bg.gif</v>
      </c>
      <c r="AW45" s="80" t="b">
        <v>0</v>
      </c>
      <c r="AX45" s="80" t="s">
        <v>7173</v>
      </c>
      <c r="AY45" s="84" t="str">
        <f>HYPERLINK("https://twitter.com/asj0203")</f>
        <v>https://twitter.com/asj0203</v>
      </c>
      <c r="AZ45" s="80" t="s">
        <v>66</v>
      </c>
      <c r="BA45" s="2"/>
      <c r="BB45" s="3"/>
      <c r="BC45" s="3"/>
      <c r="BD45" s="3"/>
      <c r="BE45" s="3"/>
    </row>
    <row r="46" spans="1:57" x14ac:dyDescent="0.35">
      <c r="A46" s="66" t="s">
        <v>246</v>
      </c>
      <c r="B46" s="67"/>
      <c r="C46" s="67"/>
      <c r="D46" s="68"/>
      <c r="E46" s="70"/>
      <c r="F46" s="106" t="str">
        <f>HYPERLINK("https://pbs.twimg.com/profile_images/1434699010984472582/t2qTTwjH_normal.jpg")</f>
        <v>https://pbs.twimg.com/profile_images/1434699010984472582/t2qTTwjH_normal.jpg</v>
      </c>
      <c r="G46" s="67"/>
      <c r="H46" s="71"/>
      <c r="I46" s="72"/>
      <c r="J46" s="72"/>
      <c r="K46" s="71" t="s">
        <v>7216</v>
      </c>
      <c r="L46" s="75"/>
      <c r="M46" s="76"/>
      <c r="N46" s="76"/>
      <c r="O46" s="77"/>
      <c r="P46" s="78"/>
      <c r="Q46" s="78"/>
      <c r="R46" s="90"/>
      <c r="S46" s="90"/>
      <c r="T46" s="90"/>
      <c r="U46" s="90"/>
      <c r="V46" s="52"/>
      <c r="W46" s="52"/>
      <c r="X46" s="52"/>
      <c r="Y46" s="52"/>
      <c r="Z46" s="51"/>
      <c r="AA46" s="73"/>
      <c r="AB46" s="73"/>
      <c r="AC46" s="74"/>
      <c r="AD46" s="80" t="s">
        <v>4225</v>
      </c>
      <c r="AE46" s="86" t="s">
        <v>5184</v>
      </c>
      <c r="AF46" s="80">
        <v>43</v>
      </c>
      <c r="AG46" s="80">
        <v>846832</v>
      </c>
      <c r="AH46" s="80">
        <v>505962</v>
      </c>
      <c r="AI46" s="80">
        <v>72869</v>
      </c>
      <c r="AJ46" s="80"/>
      <c r="AK46" s="80" t="s">
        <v>5963</v>
      </c>
      <c r="AL46" s="80" t="s">
        <v>6779</v>
      </c>
      <c r="AM46" s="84" t="str">
        <f>HYPERLINK("http://t.co/MenaNltTWA")</f>
        <v>http://t.co/MenaNltTWA</v>
      </c>
      <c r="AN46" s="80"/>
      <c r="AO46" s="82">
        <v>41179.161666666667</v>
      </c>
      <c r="AP46" s="84" t="str">
        <f>HYPERLINK("https://pbs.twimg.com/profile_banners/848614550/1630893816")</f>
        <v>https://pbs.twimg.com/profile_banners/848614550/1630893816</v>
      </c>
      <c r="AQ46" s="80" t="b">
        <v>0</v>
      </c>
      <c r="AR46" s="80" t="b">
        <v>0</v>
      </c>
      <c r="AS46" s="80" t="b">
        <v>1</v>
      </c>
      <c r="AT46" s="80"/>
      <c r="AU46" s="80">
        <v>751</v>
      </c>
      <c r="AV46" s="84" t="str">
        <f>HYPERLINK("https://abs.twimg.com/images/themes/theme1/bg.png")</f>
        <v>https://abs.twimg.com/images/themes/theme1/bg.png</v>
      </c>
      <c r="AW46" s="80" t="b">
        <v>0</v>
      </c>
      <c r="AX46" s="80" t="s">
        <v>7173</v>
      </c>
      <c r="AY46" s="84" t="str">
        <f>HYPERLINK("https://twitter.com/e100ss")</f>
        <v>https://twitter.com/e100ss</v>
      </c>
      <c r="AZ46" s="80" t="s">
        <v>66</v>
      </c>
      <c r="BA46" s="2"/>
      <c r="BB46" s="3"/>
      <c r="BC46" s="3"/>
      <c r="BD46" s="3"/>
      <c r="BE46" s="3"/>
    </row>
    <row r="47" spans="1:57" x14ac:dyDescent="0.35">
      <c r="A47" s="66" t="s">
        <v>245</v>
      </c>
      <c r="B47" s="67"/>
      <c r="C47" s="67"/>
      <c r="D47" s="68"/>
      <c r="E47" s="70"/>
      <c r="F47" s="106" t="str">
        <f>HYPERLINK("https://pbs.twimg.com/profile_images/1190442063155924993/ij-II_tt_normal.png")</f>
        <v>https://pbs.twimg.com/profile_images/1190442063155924993/ij-II_tt_normal.png</v>
      </c>
      <c r="G47" s="67"/>
      <c r="H47" s="71"/>
      <c r="I47" s="72"/>
      <c r="J47" s="72"/>
      <c r="K47" s="71" t="s">
        <v>7217</v>
      </c>
      <c r="L47" s="75"/>
      <c r="M47" s="76"/>
      <c r="N47" s="76"/>
      <c r="O47" s="77"/>
      <c r="P47" s="78"/>
      <c r="Q47" s="78"/>
      <c r="R47" s="90"/>
      <c r="S47" s="90"/>
      <c r="T47" s="90"/>
      <c r="U47" s="90"/>
      <c r="V47" s="52"/>
      <c r="W47" s="52"/>
      <c r="X47" s="52"/>
      <c r="Y47" s="52"/>
      <c r="Z47" s="51"/>
      <c r="AA47" s="73"/>
      <c r="AB47" s="73"/>
      <c r="AC47" s="74"/>
      <c r="AD47" s="80" t="s">
        <v>4226</v>
      </c>
      <c r="AE47" s="86" t="s">
        <v>5185</v>
      </c>
      <c r="AF47" s="80">
        <v>25</v>
      </c>
      <c r="AG47" s="80">
        <v>1875963</v>
      </c>
      <c r="AH47" s="80">
        <v>969237</v>
      </c>
      <c r="AI47" s="80">
        <v>178</v>
      </c>
      <c r="AJ47" s="80"/>
      <c r="AK47" s="80" t="s">
        <v>5964</v>
      </c>
      <c r="AL47" s="80" t="s">
        <v>4145</v>
      </c>
      <c r="AM47" s="80"/>
      <c r="AN47" s="80"/>
      <c r="AO47" s="82">
        <v>39797.162673611114</v>
      </c>
      <c r="AP47" s="84" t="str">
        <f>HYPERLINK("https://pbs.twimg.com/profile_banners/18129942/1572658481")</f>
        <v>https://pbs.twimg.com/profile_banners/18129942/1572658481</v>
      </c>
      <c r="AQ47" s="80" t="b">
        <v>0</v>
      </c>
      <c r="AR47" s="80" t="b">
        <v>0</v>
      </c>
      <c r="AS47" s="80" t="b">
        <v>1</v>
      </c>
      <c r="AT47" s="80"/>
      <c r="AU47" s="80">
        <v>3265</v>
      </c>
      <c r="AV47" s="84" t="str">
        <f>HYPERLINK("https://abs.twimg.com/images/themes/theme1/bg.png")</f>
        <v>https://abs.twimg.com/images/themes/theme1/bg.png</v>
      </c>
      <c r="AW47" s="80" t="b">
        <v>1</v>
      </c>
      <c r="AX47" s="80" t="s">
        <v>7173</v>
      </c>
      <c r="AY47" s="84" t="str">
        <f>HYPERLINK("https://twitter.com/tempodotco")</f>
        <v>https://twitter.com/tempodotco</v>
      </c>
      <c r="AZ47" s="80" t="s">
        <v>66</v>
      </c>
      <c r="BA47" s="2"/>
      <c r="BB47" s="3"/>
      <c r="BC47" s="3"/>
      <c r="BD47" s="3"/>
      <c r="BE47" s="3"/>
    </row>
    <row r="48" spans="1:57" x14ac:dyDescent="0.35">
      <c r="A48" s="66" t="s">
        <v>247</v>
      </c>
      <c r="B48" s="67"/>
      <c r="C48" s="67"/>
      <c r="D48" s="68"/>
      <c r="E48" s="70"/>
      <c r="F48" s="106" t="str">
        <f>HYPERLINK("https://pbs.twimg.com/profile_images/1423240994967875584/_Go9JwKj_normal.jpg")</f>
        <v>https://pbs.twimg.com/profile_images/1423240994967875584/_Go9JwKj_normal.jpg</v>
      </c>
      <c r="G48" s="67"/>
      <c r="H48" s="71"/>
      <c r="I48" s="72"/>
      <c r="J48" s="72"/>
      <c r="K48" s="71" t="s">
        <v>7218</v>
      </c>
      <c r="L48" s="75"/>
      <c r="M48" s="76"/>
      <c r="N48" s="76"/>
      <c r="O48" s="77"/>
      <c r="P48" s="78"/>
      <c r="Q48" s="78"/>
      <c r="R48" s="90"/>
      <c r="S48" s="90"/>
      <c r="T48" s="90"/>
      <c r="U48" s="90"/>
      <c r="V48" s="52"/>
      <c r="W48" s="52"/>
      <c r="X48" s="52"/>
      <c r="Y48" s="52"/>
      <c r="Z48" s="51"/>
      <c r="AA48" s="73"/>
      <c r="AB48" s="73"/>
      <c r="AC48" s="74"/>
      <c r="AD48" s="80" t="s">
        <v>4227</v>
      </c>
      <c r="AE48" s="86" t="s">
        <v>5186</v>
      </c>
      <c r="AF48" s="80">
        <v>50</v>
      </c>
      <c r="AG48" s="80">
        <v>10</v>
      </c>
      <c r="AH48" s="80">
        <v>294</v>
      </c>
      <c r="AI48" s="80">
        <v>3344</v>
      </c>
      <c r="AJ48" s="80"/>
      <c r="AK48" s="80" t="s">
        <v>5965</v>
      </c>
      <c r="AL48" s="80"/>
      <c r="AM48" s="80"/>
      <c r="AN48" s="80"/>
      <c r="AO48" s="82">
        <v>44331.301840277774</v>
      </c>
      <c r="AP48" s="80"/>
      <c r="AQ48" s="80" t="b">
        <v>1</v>
      </c>
      <c r="AR48" s="80" t="b">
        <v>0</v>
      </c>
      <c r="AS48" s="80" t="b">
        <v>0</v>
      </c>
      <c r="AT48" s="80"/>
      <c r="AU48" s="80">
        <v>0</v>
      </c>
      <c r="AV48" s="80"/>
      <c r="AW48" s="80" t="b">
        <v>0</v>
      </c>
      <c r="AX48" s="80" t="s">
        <v>7173</v>
      </c>
      <c r="AY48" s="84" t="str">
        <f>HYPERLINK("https://twitter.com/reizapramudana1")</f>
        <v>https://twitter.com/reizapramudana1</v>
      </c>
      <c r="AZ48" s="80" t="s">
        <v>66</v>
      </c>
      <c r="BA48" s="2"/>
      <c r="BB48" s="3"/>
      <c r="BC48" s="3"/>
      <c r="BD48" s="3"/>
      <c r="BE48" s="3"/>
    </row>
    <row r="49" spans="1:57" x14ac:dyDescent="0.35">
      <c r="A49" s="66" t="s">
        <v>248</v>
      </c>
      <c r="B49" s="67"/>
      <c r="C49" s="67"/>
      <c r="D49" s="68"/>
      <c r="E49" s="70"/>
      <c r="F49" s="106" t="str">
        <f>HYPERLINK("https://pbs.twimg.com/profile_images/1434040753156595718/TdjZuj3k_normal.jpg")</f>
        <v>https://pbs.twimg.com/profile_images/1434040753156595718/TdjZuj3k_normal.jpg</v>
      </c>
      <c r="G49" s="67"/>
      <c r="H49" s="71"/>
      <c r="I49" s="72"/>
      <c r="J49" s="72"/>
      <c r="K49" s="71" t="s">
        <v>7219</v>
      </c>
      <c r="L49" s="75"/>
      <c r="M49" s="76"/>
      <c r="N49" s="76"/>
      <c r="O49" s="77"/>
      <c r="P49" s="78"/>
      <c r="Q49" s="78"/>
      <c r="R49" s="90"/>
      <c r="S49" s="90"/>
      <c r="T49" s="90"/>
      <c r="U49" s="90"/>
      <c r="V49" s="52"/>
      <c r="W49" s="52"/>
      <c r="X49" s="52"/>
      <c r="Y49" s="52"/>
      <c r="Z49" s="51"/>
      <c r="AA49" s="73"/>
      <c r="AB49" s="73"/>
      <c r="AC49" s="74"/>
      <c r="AD49" s="80" t="s">
        <v>4228</v>
      </c>
      <c r="AE49" s="86" t="s">
        <v>3890</v>
      </c>
      <c r="AF49" s="80">
        <v>144</v>
      </c>
      <c r="AG49" s="80">
        <v>6</v>
      </c>
      <c r="AH49" s="80">
        <v>1058</v>
      </c>
      <c r="AI49" s="80">
        <v>1672</v>
      </c>
      <c r="AJ49" s="80"/>
      <c r="AK49" s="80"/>
      <c r="AL49" s="80" t="s">
        <v>6780</v>
      </c>
      <c r="AM49" s="80"/>
      <c r="AN49" s="80"/>
      <c r="AO49" s="82">
        <v>44278.155011574076</v>
      </c>
      <c r="AP49" s="84" t="str">
        <f>HYPERLINK("https://pbs.twimg.com/profile_banners/1374205022225887235/1622415877")</f>
        <v>https://pbs.twimg.com/profile_banners/1374205022225887235/1622415877</v>
      </c>
      <c r="AQ49" s="80" t="b">
        <v>1</v>
      </c>
      <c r="AR49" s="80" t="b">
        <v>0</v>
      </c>
      <c r="AS49" s="80" t="b">
        <v>0</v>
      </c>
      <c r="AT49" s="80"/>
      <c r="AU49" s="80">
        <v>0</v>
      </c>
      <c r="AV49" s="80"/>
      <c r="AW49" s="80" t="b">
        <v>0</v>
      </c>
      <c r="AX49" s="80" t="s">
        <v>7173</v>
      </c>
      <c r="AY49" s="84" t="str">
        <f>HYPERLINK("https://twitter.com/joohawuf")</f>
        <v>https://twitter.com/joohawuf</v>
      </c>
      <c r="AZ49" s="80" t="s">
        <v>66</v>
      </c>
      <c r="BA49" s="2"/>
      <c r="BB49" s="3"/>
      <c r="BC49" s="3"/>
      <c r="BD49" s="3"/>
      <c r="BE49" s="3"/>
    </row>
    <row r="50" spans="1:57" x14ac:dyDescent="0.35">
      <c r="A50" s="66" t="s">
        <v>249</v>
      </c>
      <c r="B50" s="67"/>
      <c r="C50" s="67"/>
      <c r="D50" s="68"/>
      <c r="E50" s="70"/>
      <c r="F50" s="106" t="str">
        <f>HYPERLINK("https://pbs.twimg.com/profile_images/1381862945429221376/LRVz0loc_normal.jpg")</f>
        <v>https://pbs.twimg.com/profile_images/1381862945429221376/LRVz0loc_normal.jpg</v>
      </c>
      <c r="G50" s="67"/>
      <c r="H50" s="71"/>
      <c r="I50" s="72"/>
      <c r="J50" s="72"/>
      <c r="K50" s="71" t="s">
        <v>7220</v>
      </c>
      <c r="L50" s="75"/>
      <c r="M50" s="76"/>
      <c r="N50" s="76"/>
      <c r="O50" s="77"/>
      <c r="P50" s="78"/>
      <c r="Q50" s="78"/>
      <c r="R50" s="90"/>
      <c r="S50" s="90"/>
      <c r="T50" s="90"/>
      <c r="U50" s="90"/>
      <c r="V50" s="52"/>
      <c r="W50" s="52"/>
      <c r="X50" s="52"/>
      <c r="Y50" s="52"/>
      <c r="Z50" s="51"/>
      <c r="AA50" s="73"/>
      <c r="AB50" s="73"/>
      <c r="AC50" s="74"/>
      <c r="AD50" s="80" t="s">
        <v>4229</v>
      </c>
      <c r="AE50" s="86" t="s">
        <v>3889</v>
      </c>
      <c r="AF50" s="80">
        <v>378</v>
      </c>
      <c r="AG50" s="80">
        <v>537</v>
      </c>
      <c r="AH50" s="80">
        <v>7545</v>
      </c>
      <c r="AI50" s="80">
        <v>6829</v>
      </c>
      <c r="AJ50" s="80"/>
      <c r="AK50" s="80" t="s">
        <v>5966</v>
      </c>
      <c r="AL50" s="80" t="s">
        <v>6781</v>
      </c>
      <c r="AM50" s="84" t="str">
        <f>HYPERLINK("https://t.co/chtpcCmcBV")</f>
        <v>https://t.co/chtpcCmcBV</v>
      </c>
      <c r="AN50" s="80"/>
      <c r="AO50" s="82">
        <v>44098.427337962959</v>
      </c>
      <c r="AP50" s="84" t="str">
        <f>HYPERLINK("https://pbs.twimg.com/profile_banners/1309073872088715265/1630125757")</f>
        <v>https://pbs.twimg.com/profile_banners/1309073872088715265/1630125757</v>
      </c>
      <c r="AQ50" s="80" t="b">
        <v>1</v>
      </c>
      <c r="AR50" s="80" t="b">
        <v>0</v>
      </c>
      <c r="AS50" s="80" t="b">
        <v>0</v>
      </c>
      <c r="AT50" s="80"/>
      <c r="AU50" s="80">
        <v>1</v>
      </c>
      <c r="AV50" s="80"/>
      <c r="AW50" s="80" t="b">
        <v>0</v>
      </c>
      <c r="AX50" s="80" t="s">
        <v>7173</v>
      </c>
      <c r="AY50" s="84" t="str">
        <f>HYPERLINK("https://twitter.com/ciruruka")</f>
        <v>https://twitter.com/ciruruka</v>
      </c>
      <c r="AZ50" s="80" t="s">
        <v>66</v>
      </c>
      <c r="BA50" s="2"/>
      <c r="BB50" s="3"/>
      <c r="BC50" s="3"/>
      <c r="BD50" s="3"/>
      <c r="BE50" s="3"/>
    </row>
    <row r="51" spans="1:57" x14ac:dyDescent="0.35">
      <c r="A51" s="66" t="s">
        <v>250</v>
      </c>
      <c r="B51" s="67"/>
      <c r="C51" s="67"/>
      <c r="D51" s="68"/>
      <c r="E51" s="70"/>
      <c r="F51" s="106" t="str">
        <f>HYPERLINK("https://pbs.twimg.com/profile_images/1434148447901282305/VtSu0MO__normal.jpg")</f>
        <v>https://pbs.twimg.com/profile_images/1434148447901282305/VtSu0MO__normal.jpg</v>
      </c>
      <c r="G51" s="67"/>
      <c r="H51" s="71"/>
      <c r="I51" s="72"/>
      <c r="J51" s="72"/>
      <c r="K51" s="71" t="s">
        <v>7221</v>
      </c>
      <c r="L51" s="75"/>
      <c r="M51" s="76"/>
      <c r="N51" s="76"/>
      <c r="O51" s="77"/>
      <c r="P51" s="78"/>
      <c r="Q51" s="78"/>
      <c r="R51" s="90"/>
      <c r="S51" s="90"/>
      <c r="T51" s="90"/>
      <c r="U51" s="90"/>
      <c r="V51" s="52"/>
      <c r="W51" s="52"/>
      <c r="X51" s="52"/>
      <c r="Y51" s="52"/>
      <c r="Z51" s="51"/>
      <c r="AA51" s="73"/>
      <c r="AB51" s="73"/>
      <c r="AC51" s="74"/>
      <c r="AD51" s="80" t="s">
        <v>4230</v>
      </c>
      <c r="AE51" s="86" t="s">
        <v>5187</v>
      </c>
      <c r="AF51" s="80">
        <v>1814</v>
      </c>
      <c r="AG51" s="80">
        <v>22318</v>
      </c>
      <c r="AH51" s="80">
        <v>84358</v>
      </c>
      <c r="AI51" s="80">
        <v>10</v>
      </c>
      <c r="AJ51" s="80"/>
      <c r="AK51" s="80" t="s">
        <v>5967</v>
      </c>
      <c r="AL51" s="80" t="s">
        <v>6782</v>
      </c>
      <c r="AM51" s="84" t="str">
        <f>HYPERLINK("https://t.co/YrBl2KnyTW")</f>
        <v>https://t.co/YrBl2KnyTW</v>
      </c>
      <c r="AN51" s="80"/>
      <c r="AO51" s="82">
        <v>43762.35392361111</v>
      </c>
      <c r="AP51" s="84" t="str">
        <f>HYPERLINK("https://pbs.twimg.com/profile_banners/1187284958370398209/1630762706")</f>
        <v>https://pbs.twimg.com/profile_banners/1187284958370398209/1630762706</v>
      </c>
      <c r="AQ51" s="80" t="b">
        <v>1</v>
      </c>
      <c r="AR51" s="80" t="b">
        <v>0</v>
      </c>
      <c r="AS51" s="80" t="b">
        <v>1</v>
      </c>
      <c r="AT51" s="80"/>
      <c r="AU51" s="80">
        <v>79</v>
      </c>
      <c r="AV51" s="80"/>
      <c r="AW51" s="80" t="b">
        <v>0</v>
      </c>
      <c r="AX51" s="80" t="s">
        <v>7173</v>
      </c>
      <c r="AY51" s="84" t="str">
        <f>HYPERLINK("https://twitter.com/unnesmenfess")</f>
        <v>https://twitter.com/unnesmenfess</v>
      </c>
      <c r="AZ51" s="80" t="s">
        <v>66</v>
      </c>
      <c r="BA51" s="2"/>
      <c r="BB51" s="3"/>
      <c r="BC51" s="3"/>
      <c r="BD51" s="3"/>
      <c r="BE51" s="3"/>
    </row>
    <row r="52" spans="1:57" x14ac:dyDescent="0.35">
      <c r="A52" s="66" t="s">
        <v>251</v>
      </c>
      <c r="B52" s="67"/>
      <c r="C52" s="67"/>
      <c r="D52" s="68"/>
      <c r="E52" s="70"/>
      <c r="F52" s="106" t="str">
        <f>HYPERLINK("https://pbs.twimg.com/profile_images/798299815750737920/NJokDLOt_normal.jpg")</f>
        <v>https://pbs.twimg.com/profile_images/798299815750737920/NJokDLOt_normal.jpg</v>
      </c>
      <c r="G52" s="67"/>
      <c r="H52" s="71"/>
      <c r="I52" s="72"/>
      <c r="J52" s="72"/>
      <c r="K52" s="71" t="s">
        <v>7222</v>
      </c>
      <c r="L52" s="75"/>
      <c r="M52" s="76"/>
      <c r="N52" s="76"/>
      <c r="O52" s="77"/>
      <c r="P52" s="78"/>
      <c r="Q52" s="78"/>
      <c r="R52" s="90"/>
      <c r="S52" s="90"/>
      <c r="T52" s="90"/>
      <c r="U52" s="90"/>
      <c r="V52" s="52"/>
      <c r="W52" s="52"/>
      <c r="X52" s="52"/>
      <c r="Y52" s="52"/>
      <c r="Z52" s="51"/>
      <c r="AA52" s="73"/>
      <c r="AB52" s="73"/>
      <c r="AC52" s="74"/>
      <c r="AD52" s="80" t="s">
        <v>4231</v>
      </c>
      <c r="AE52" s="86" t="s">
        <v>5188</v>
      </c>
      <c r="AF52" s="80">
        <v>1</v>
      </c>
      <c r="AG52" s="80">
        <v>318957</v>
      </c>
      <c r="AH52" s="80">
        <v>207758</v>
      </c>
      <c r="AI52" s="80">
        <v>116</v>
      </c>
      <c r="AJ52" s="80"/>
      <c r="AK52" s="80" t="s">
        <v>5968</v>
      </c>
      <c r="AL52" s="80" t="s">
        <v>4145</v>
      </c>
      <c r="AM52" s="84" t="str">
        <f>HYPERLINK("https://t.co/nswKZppDh1")</f>
        <v>https://t.co/nswKZppDh1</v>
      </c>
      <c r="AN52" s="80"/>
      <c r="AO52" s="82">
        <v>40609.23164351852</v>
      </c>
      <c r="AP52" s="84" t="str">
        <f>HYPERLINK("https://pbs.twimg.com/profile_banners/262026799/1479164569")</f>
        <v>https://pbs.twimg.com/profile_banners/262026799/1479164569</v>
      </c>
      <c r="AQ52" s="80" t="b">
        <v>0</v>
      </c>
      <c r="AR52" s="80" t="b">
        <v>0</v>
      </c>
      <c r="AS52" s="80" t="b">
        <v>0</v>
      </c>
      <c r="AT52" s="80"/>
      <c r="AU52" s="80">
        <v>188</v>
      </c>
      <c r="AV52" s="84" t="str">
        <f>HYPERLINK("https://abs.twimg.com/images/themes/theme1/bg.png")</f>
        <v>https://abs.twimg.com/images/themes/theme1/bg.png</v>
      </c>
      <c r="AW52" s="80" t="b">
        <v>1</v>
      </c>
      <c r="AX52" s="80" t="s">
        <v>7173</v>
      </c>
      <c r="AY52" s="84" t="str">
        <f>HYPERLINK("https://twitter.com/msnindonesia")</f>
        <v>https://twitter.com/msnindonesia</v>
      </c>
      <c r="AZ52" s="80" t="s">
        <v>66</v>
      </c>
      <c r="BA52" s="2"/>
      <c r="BB52" s="3"/>
      <c r="BC52" s="3"/>
      <c r="BD52" s="3"/>
      <c r="BE52" s="3"/>
    </row>
    <row r="53" spans="1:57" x14ac:dyDescent="0.35">
      <c r="A53" s="66" t="s">
        <v>252</v>
      </c>
      <c r="B53" s="67"/>
      <c r="C53" s="67"/>
      <c r="D53" s="68"/>
      <c r="E53" s="70"/>
      <c r="F53" s="106" t="str">
        <f>HYPERLINK("https://pbs.twimg.com/profile_images/1360596289977610246/dnzIudzO_normal.jpg")</f>
        <v>https://pbs.twimg.com/profile_images/1360596289977610246/dnzIudzO_normal.jpg</v>
      </c>
      <c r="G53" s="67"/>
      <c r="H53" s="71"/>
      <c r="I53" s="72"/>
      <c r="J53" s="72"/>
      <c r="K53" s="71" t="s">
        <v>7223</v>
      </c>
      <c r="L53" s="75"/>
      <c r="M53" s="76"/>
      <c r="N53" s="76"/>
      <c r="O53" s="77"/>
      <c r="P53" s="78"/>
      <c r="Q53" s="78"/>
      <c r="R53" s="90"/>
      <c r="S53" s="90"/>
      <c r="T53" s="90"/>
      <c r="U53" s="90"/>
      <c r="V53" s="52"/>
      <c r="W53" s="52"/>
      <c r="X53" s="52"/>
      <c r="Y53" s="52"/>
      <c r="Z53" s="51"/>
      <c r="AA53" s="73"/>
      <c r="AB53" s="73"/>
      <c r="AC53" s="74"/>
      <c r="AD53" s="80" t="s">
        <v>4232</v>
      </c>
      <c r="AE53" s="86" t="s">
        <v>5189</v>
      </c>
      <c r="AF53" s="80">
        <v>645</v>
      </c>
      <c r="AG53" s="80">
        <v>216</v>
      </c>
      <c r="AH53" s="80">
        <v>19751</v>
      </c>
      <c r="AI53" s="80">
        <v>4770</v>
      </c>
      <c r="AJ53" s="80"/>
      <c r="AK53" s="80"/>
      <c r="AL53" s="80"/>
      <c r="AM53" s="80"/>
      <c r="AN53" s="80"/>
      <c r="AO53" s="82">
        <v>43971.126481481479</v>
      </c>
      <c r="AP53" s="80"/>
      <c r="AQ53" s="80" t="b">
        <v>1</v>
      </c>
      <c r="AR53" s="80" t="b">
        <v>0</v>
      </c>
      <c r="AS53" s="80" t="b">
        <v>0</v>
      </c>
      <c r="AT53" s="80"/>
      <c r="AU53" s="80">
        <v>0</v>
      </c>
      <c r="AV53" s="80"/>
      <c r="AW53" s="80" t="b">
        <v>0</v>
      </c>
      <c r="AX53" s="80" t="s">
        <v>7173</v>
      </c>
      <c r="AY53" s="84" t="str">
        <f>HYPERLINK("https://twitter.com/djokomale")</f>
        <v>https://twitter.com/djokomale</v>
      </c>
      <c r="AZ53" s="80" t="s">
        <v>66</v>
      </c>
      <c r="BA53" s="2"/>
      <c r="BB53" s="3"/>
      <c r="BC53" s="3"/>
      <c r="BD53" s="3"/>
      <c r="BE53" s="3"/>
    </row>
    <row r="54" spans="1:57" x14ac:dyDescent="0.35">
      <c r="A54" s="66" t="s">
        <v>253</v>
      </c>
      <c r="B54" s="67"/>
      <c r="C54" s="67"/>
      <c r="D54" s="68"/>
      <c r="E54" s="70"/>
      <c r="F54" s="106" t="str">
        <f>HYPERLINK("https://pbs.twimg.com/profile_images/1435745374505897984/V1UYQC8B_normal.jpg")</f>
        <v>https://pbs.twimg.com/profile_images/1435745374505897984/V1UYQC8B_normal.jpg</v>
      </c>
      <c r="G54" s="67"/>
      <c r="H54" s="71"/>
      <c r="I54" s="72"/>
      <c r="J54" s="72"/>
      <c r="K54" s="71" t="s">
        <v>7224</v>
      </c>
      <c r="L54" s="75"/>
      <c r="M54" s="76"/>
      <c r="N54" s="76"/>
      <c r="O54" s="77"/>
      <c r="P54" s="78"/>
      <c r="Q54" s="78"/>
      <c r="R54" s="90"/>
      <c r="S54" s="90"/>
      <c r="T54" s="90"/>
      <c r="U54" s="90"/>
      <c r="V54" s="52"/>
      <c r="W54" s="52"/>
      <c r="X54" s="52"/>
      <c r="Y54" s="52"/>
      <c r="Z54" s="51"/>
      <c r="AA54" s="73"/>
      <c r="AB54" s="73"/>
      <c r="AC54" s="74"/>
      <c r="AD54" s="80" t="s">
        <v>4233</v>
      </c>
      <c r="AE54" s="86" t="s">
        <v>5190</v>
      </c>
      <c r="AF54" s="80">
        <v>65</v>
      </c>
      <c r="AG54" s="80">
        <v>162</v>
      </c>
      <c r="AH54" s="80">
        <v>1736</v>
      </c>
      <c r="AI54" s="80">
        <v>46</v>
      </c>
      <c r="AJ54" s="80"/>
      <c r="AK54" s="80"/>
      <c r="AL54" s="80"/>
      <c r="AM54" s="80"/>
      <c r="AN54" s="80"/>
      <c r="AO54" s="82">
        <v>41156.235034722224</v>
      </c>
      <c r="AP54" s="84" t="str">
        <f>HYPERLINK("https://pbs.twimg.com/profile_banners/801864500/1550563446")</f>
        <v>https://pbs.twimg.com/profile_banners/801864500/1550563446</v>
      </c>
      <c r="AQ54" s="80" t="b">
        <v>0</v>
      </c>
      <c r="AR54" s="80" t="b">
        <v>0</v>
      </c>
      <c r="AS54" s="80" t="b">
        <v>0</v>
      </c>
      <c r="AT54" s="80"/>
      <c r="AU54" s="80">
        <v>0</v>
      </c>
      <c r="AV54" s="84" t="str">
        <f>HYPERLINK("https://abs.twimg.com/images/themes/theme1/bg.png")</f>
        <v>https://abs.twimg.com/images/themes/theme1/bg.png</v>
      </c>
      <c r="AW54" s="80" t="b">
        <v>0</v>
      </c>
      <c r="AX54" s="80" t="s">
        <v>7173</v>
      </c>
      <c r="AY54" s="84" t="str">
        <f>HYPERLINK("https://twitter.com/baccood")</f>
        <v>https://twitter.com/baccood</v>
      </c>
      <c r="AZ54" s="80" t="s">
        <v>66</v>
      </c>
      <c r="BA54" s="2"/>
      <c r="BB54" s="3"/>
      <c r="BC54" s="3"/>
      <c r="BD54" s="3"/>
      <c r="BE54" s="3"/>
    </row>
    <row r="55" spans="1:57" x14ac:dyDescent="0.35">
      <c r="A55" s="66" t="s">
        <v>1005</v>
      </c>
      <c r="B55" s="67"/>
      <c r="C55" s="67"/>
      <c r="D55" s="68"/>
      <c r="E55" s="70"/>
      <c r="F55" s="106" t="str">
        <f>HYPERLINK("https://pbs.twimg.com/profile_images/1405865624232882176/uA2xXUFP_normal.jpg")</f>
        <v>https://pbs.twimg.com/profile_images/1405865624232882176/uA2xXUFP_normal.jpg</v>
      </c>
      <c r="G55" s="67"/>
      <c r="H55" s="71"/>
      <c r="I55" s="72"/>
      <c r="J55" s="72"/>
      <c r="K55" s="71" t="s">
        <v>7225</v>
      </c>
      <c r="L55" s="75"/>
      <c r="M55" s="76"/>
      <c r="N55" s="76"/>
      <c r="O55" s="77"/>
      <c r="P55" s="78"/>
      <c r="Q55" s="78"/>
      <c r="R55" s="90"/>
      <c r="S55" s="90"/>
      <c r="T55" s="90"/>
      <c r="U55" s="90"/>
      <c r="V55" s="52"/>
      <c r="W55" s="52"/>
      <c r="X55" s="52"/>
      <c r="Y55" s="52"/>
      <c r="Z55" s="51"/>
      <c r="AA55" s="73"/>
      <c r="AB55" s="73"/>
      <c r="AC55" s="74"/>
      <c r="AD55" s="80" t="s">
        <v>4234</v>
      </c>
      <c r="AE55" s="86" t="s">
        <v>5191</v>
      </c>
      <c r="AF55" s="80">
        <v>755</v>
      </c>
      <c r="AG55" s="80">
        <v>1588147</v>
      </c>
      <c r="AH55" s="80">
        <v>5977933</v>
      </c>
      <c r="AI55" s="80">
        <v>351</v>
      </c>
      <c r="AJ55" s="80"/>
      <c r="AK55" s="80" t="s">
        <v>5969</v>
      </c>
      <c r="AL55" s="80" t="s">
        <v>4145</v>
      </c>
      <c r="AM55" s="84" t="str">
        <f>HYPERLINK("https://t.co/xFpqqRW3Ap")</f>
        <v>https://t.co/xFpqqRW3Ap</v>
      </c>
      <c r="AN55" s="80"/>
      <c r="AO55" s="82">
        <v>40595.38013888889</v>
      </c>
      <c r="AP55" s="84" t="str">
        <f>HYPERLINK("https://pbs.twimg.com/profile_banners/255409050/1624019617")</f>
        <v>https://pbs.twimg.com/profile_banners/255409050/1624019617</v>
      </c>
      <c r="AQ55" s="80" t="b">
        <v>0</v>
      </c>
      <c r="AR55" s="80" t="b">
        <v>0</v>
      </c>
      <c r="AS55" s="80" t="b">
        <v>1</v>
      </c>
      <c r="AT55" s="80"/>
      <c r="AU55" s="80">
        <v>1058</v>
      </c>
      <c r="AV55" s="84" t="str">
        <f>HYPERLINK("https://abs.twimg.com/images/themes/theme1/bg.png")</f>
        <v>https://abs.twimg.com/images/themes/theme1/bg.png</v>
      </c>
      <c r="AW55" s="80" t="b">
        <v>1</v>
      </c>
      <c r="AX55" s="80" t="s">
        <v>7173</v>
      </c>
      <c r="AY55" s="84" t="str">
        <f>HYPERLINK("https://twitter.com/telkomsel")</f>
        <v>https://twitter.com/telkomsel</v>
      </c>
      <c r="AZ55" s="80" t="s">
        <v>65</v>
      </c>
      <c r="BA55" s="2"/>
      <c r="BB55" s="3"/>
      <c r="BC55" s="3"/>
      <c r="BD55" s="3"/>
      <c r="BE55" s="3"/>
    </row>
    <row r="56" spans="1:57" x14ac:dyDescent="0.35">
      <c r="A56" s="66" t="s">
        <v>1006</v>
      </c>
      <c r="B56" s="67"/>
      <c r="C56" s="67"/>
      <c r="D56" s="68"/>
      <c r="E56" s="70"/>
      <c r="F56" s="106" t="str">
        <f>HYPERLINK("https://pbs.twimg.com/profile_images/1257642094258085888/5UuX5jTs_normal.jpg")</f>
        <v>https://pbs.twimg.com/profile_images/1257642094258085888/5UuX5jTs_normal.jpg</v>
      </c>
      <c r="G56" s="67"/>
      <c r="H56" s="71"/>
      <c r="I56" s="72"/>
      <c r="J56" s="72"/>
      <c r="K56" s="71" t="s">
        <v>7226</v>
      </c>
      <c r="L56" s="75"/>
      <c r="M56" s="76"/>
      <c r="N56" s="76"/>
      <c r="O56" s="77"/>
      <c r="P56" s="78"/>
      <c r="Q56" s="78"/>
      <c r="R56" s="90"/>
      <c r="S56" s="90"/>
      <c r="T56" s="90"/>
      <c r="U56" s="90"/>
      <c r="V56" s="52"/>
      <c r="W56" s="52"/>
      <c r="X56" s="52"/>
      <c r="Y56" s="52"/>
      <c r="Z56" s="51"/>
      <c r="AA56" s="73"/>
      <c r="AB56" s="73"/>
      <c r="AC56" s="74"/>
      <c r="AD56" s="80" t="s">
        <v>4235</v>
      </c>
      <c r="AE56" s="86" t="s">
        <v>3892</v>
      </c>
      <c r="AF56" s="80">
        <v>346</v>
      </c>
      <c r="AG56" s="80">
        <v>267</v>
      </c>
      <c r="AH56" s="80">
        <v>1536</v>
      </c>
      <c r="AI56" s="80">
        <v>645</v>
      </c>
      <c r="AJ56" s="80"/>
      <c r="AK56" s="80" t="s">
        <v>5970</v>
      </c>
      <c r="AL56" s="80" t="s">
        <v>4145</v>
      </c>
      <c r="AM56" s="80"/>
      <c r="AN56" s="80"/>
      <c r="AO56" s="82">
        <v>40404.704039351855</v>
      </c>
      <c r="AP56" s="84" t="str">
        <f>HYPERLINK("https://pbs.twimg.com/profile_banners/178391306/1632417605")</f>
        <v>https://pbs.twimg.com/profile_banners/178391306/1632417605</v>
      </c>
      <c r="AQ56" s="80" t="b">
        <v>0</v>
      </c>
      <c r="AR56" s="80" t="b">
        <v>0</v>
      </c>
      <c r="AS56" s="80" t="b">
        <v>1</v>
      </c>
      <c r="AT56" s="80"/>
      <c r="AU56" s="80">
        <v>0</v>
      </c>
      <c r="AV56" s="84" t="str">
        <f>HYPERLINK("https://abs.twimg.com/images/themes/theme1/bg.png")</f>
        <v>https://abs.twimg.com/images/themes/theme1/bg.png</v>
      </c>
      <c r="AW56" s="80" t="b">
        <v>0</v>
      </c>
      <c r="AX56" s="80" t="s">
        <v>7173</v>
      </c>
      <c r="AY56" s="84" t="str">
        <f>HYPERLINK("https://twitter.com/ghiffariyusuf")</f>
        <v>https://twitter.com/ghiffariyusuf</v>
      </c>
      <c r="AZ56" s="80" t="s">
        <v>65</v>
      </c>
      <c r="BA56" s="2"/>
      <c r="BB56" s="3"/>
      <c r="BC56" s="3"/>
      <c r="BD56" s="3"/>
      <c r="BE56" s="3"/>
    </row>
    <row r="57" spans="1:57" x14ac:dyDescent="0.35">
      <c r="A57" s="66" t="s">
        <v>1007</v>
      </c>
      <c r="B57" s="67"/>
      <c r="C57" s="67"/>
      <c r="D57" s="68"/>
      <c r="E57" s="70"/>
      <c r="F57" s="106" t="str">
        <f>HYPERLINK("https://pbs.twimg.com/profile_images/1076060230616662016/_6GDncHA_normal.jpg")</f>
        <v>https://pbs.twimg.com/profile_images/1076060230616662016/_6GDncHA_normal.jpg</v>
      </c>
      <c r="G57" s="67"/>
      <c r="H57" s="71"/>
      <c r="I57" s="72"/>
      <c r="J57" s="72"/>
      <c r="K57" s="71" t="s">
        <v>7227</v>
      </c>
      <c r="L57" s="75"/>
      <c r="M57" s="76"/>
      <c r="N57" s="76"/>
      <c r="O57" s="77"/>
      <c r="P57" s="78"/>
      <c r="Q57" s="78"/>
      <c r="R57" s="90"/>
      <c r="S57" s="90"/>
      <c r="T57" s="90"/>
      <c r="U57" s="90"/>
      <c r="V57" s="52"/>
      <c r="W57" s="52"/>
      <c r="X57" s="52"/>
      <c r="Y57" s="52"/>
      <c r="Z57" s="51"/>
      <c r="AA57" s="73"/>
      <c r="AB57" s="73"/>
      <c r="AC57" s="74"/>
      <c r="AD57" s="80" t="s">
        <v>4236</v>
      </c>
      <c r="AE57" s="86" t="s">
        <v>3906</v>
      </c>
      <c r="AF57" s="80">
        <v>38210</v>
      </c>
      <c r="AG57" s="80">
        <v>218269</v>
      </c>
      <c r="AH57" s="80">
        <v>929906</v>
      </c>
      <c r="AI57" s="80">
        <v>98</v>
      </c>
      <c r="AJ57" s="80"/>
      <c r="AK57" s="80" t="s">
        <v>5971</v>
      </c>
      <c r="AL57" s="80"/>
      <c r="AM57" s="84" t="str">
        <f>HYPERLINK("https://t.co/6ecDNM0ky2")</f>
        <v>https://t.co/6ecDNM0ky2</v>
      </c>
      <c r="AN57" s="80"/>
      <c r="AO57" s="82">
        <v>43454.363622685189</v>
      </c>
      <c r="AP57" s="84" t="str">
        <f>HYPERLINK("https://pbs.twimg.com/profile_banners/1075673058931806208/1628068991")</f>
        <v>https://pbs.twimg.com/profile_banners/1075673058931806208/1628068991</v>
      </c>
      <c r="AQ57" s="80" t="b">
        <v>1</v>
      </c>
      <c r="AR57" s="80" t="b">
        <v>0</v>
      </c>
      <c r="AS57" s="80" t="b">
        <v>0</v>
      </c>
      <c r="AT57" s="80"/>
      <c r="AU57" s="80">
        <v>72</v>
      </c>
      <c r="AV57" s="80"/>
      <c r="AW57" s="80" t="b">
        <v>1</v>
      </c>
      <c r="AX57" s="80" t="s">
        <v>7173</v>
      </c>
      <c r="AY57" s="84" t="str">
        <f>HYPERLINK("https://twitter.com/indihome")</f>
        <v>https://twitter.com/indihome</v>
      </c>
      <c r="AZ57" s="80" t="s">
        <v>65</v>
      </c>
      <c r="BA57" s="2"/>
      <c r="BB57" s="3"/>
      <c r="BC57" s="3"/>
      <c r="BD57" s="3"/>
      <c r="BE57" s="3"/>
    </row>
    <row r="58" spans="1:57" x14ac:dyDescent="0.35">
      <c r="A58" s="66" t="s">
        <v>254</v>
      </c>
      <c r="B58" s="67"/>
      <c r="C58" s="67"/>
      <c r="D58" s="68"/>
      <c r="E58" s="70"/>
      <c r="F58" s="106" t="str">
        <f>HYPERLINK("https://pbs.twimg.com/profile_images/1026349211770474497/HHl7SpNC_normal.jpg")</f>
        <v>https://pbs.twimg.com/profile_images/1026349211770474497/HHl7SpNC_normal.jpg</v>
      </c>
      <c r="G58" s="67"/>
      <c r="H58" s="71"/>
      <c r="I58" s="72"/>
      <c r="J58" s="72"/>
      <c r="K58" s="71" t="s">
        <v>7228</v>
      </c>
      <c r="L58" s="75"/>
      <c r="M58" s="76"/>
      <c r="N58" s="76"/>
      <c r="O58" s="77"/>
      <c r="P58" s="78"/>
      <c r="Q58" s="78"/>
      <c r="R58" s="90"/>
      <c r="S58" s="90"/>
      <c r="T58" s="90"/>
      <c r="U58" s="90"/>
      <c r="V58" s="52"/>
      <c r="W58" s="52"/>
      <c r="X58" s="52"/>
      <c r="Y58" s="52"/>
      <c r="Z58" s="51"/>
      <c r="AA58" s="73"/>
      <c r="AB58" s="73"/>
      <c r="AC58" s="74"/>
      <c r="AD58" s="80" t="s">
        <v>4237</v>
      </c>
      <c r="AE58" s="86" t="s">
        <v>3893</v>
      </c>
      <c r="AF58" s="80">
        <v>229</v>
      </c>
      <c r="AG58" s="80">
        <v>181480</v>
      </c>
      <c r="AH58" s="80">
        <v>13900</v>
      </c>
      <c r="AI58" s="80">
        <v>11701</v>
      </c>
      <c r="AJ58" s="80"/>
      <c r="AK58" s="80" t="s">
        <v>5972</v>
      </c>
      <c r="AL58" s="80" t="s">
        <v>6770</v>
      </c>
      <c r="AM58" s="84" t="str">
        <f>HYPERLINK("https://t.co/dhIORpsGiv")</f>
        <v>https://t.co/dhIORpsGiv</v>
      </c>
      <c r="AN58" s="80"/>
      <c r="AO58" s="82">
        <v>42432.263958333337</v>
      </c>
      <c r="AP58" s="84" t="str">
        <f>HYPERLINK("https://pbs.twimg.com/profile_banners/705276546735407104/1628595015")</f>
        <v>https://pbs.twimg.com/profile_banners/705276546735407104/1628595015</v>
      </c>
      <c r="AQ58" s="80" t="b">
        <v>0</v>
      </c>
      <c r="AR58" s="80" t="b">
        <v>0</v>
      </c>
      <c r="AS58" s="80" t="b">
        <v>1</v>
      </c>
      <c r="AT58" s="80"/>
      <c r="AU58" s="80">
        <v>140</v>
      </c>
      <c r="AV58" s="84" t="str">
        <f>HYPERLINK("https://abs.twimg.com/images/themes/theme1/bg.png")</f>
        <v>https://abs.twimg.com/images/themes/theme1/bg.png</v>
      </c>
      <c r="AW58" s="80" t="b">
        <v>1</v>
      </c>
      <c r="AX58" s="80" t="s">
        <v>7173</v>
      </c>
      <c r="AY58" s="84" t="str">
        <f>HYPERLINK("https://twitter.com/kejaksaanri")</f>
        <v>https://twitter.com/kejaksaanri</v>
      </c>
      <c r="AZ58" s="80" t="s">
        <v>66</v>
      </c>
      <c r="BA58" s="2"/>
      <c r="BB58" s="3"/>
      <c r="BC58" s="3"/>
      <c r="BD58" s="3"/>
      <c r="BE58" s="3"/>
    </row>
    <row r="59" spans="1:57" x14ac:dyDescent="0.35">
      <c r="A59" s="66" t="s">
        <v>255</v>
      </c>
      <c r="B59" s="67"/>
      <c r="C59" s="67"/>
      <c r="D59" s="68"/>
      <c r="E59" s="70"/>
      <c r="F59" s="106" t="str">
        <f>HYPERLINK("https://pbs.twimg.com/profile_images/1440491582772285444/oYakBxb1_normal.jpg")</f>
        <v>https://pbs.twimg.com/profile_images/1440491582772285444/oYakBxb1_normal.jpg</v>
      </c>
      <c r="G59" s="67"/>
      <c r="H59" s="71"/>
      <c r="I59" s="72"/>
      <c r="J59" s="72"/>
      <c r="K59" s="71" t="s">
        <v>7229</v>
      </c>
      <c r="L59" s="75"/>
      <c r="M59" s="76"/>
      <c r="N59" s="76"/>
      <c r="O59" s="77"/>
      <c r="P59" s="78"/>
      <c r="Q59" s="78"/>
      <c r="R59" s="90"/>
      <c r="S59" s="90"/>
      <c r="T59" s="90"/>
      <c r="U59" s="90"/>
      <c r="V59" s="52"/>
      <c r="W59" s="52"/>
      <c r="X59" s="52"/>
      <c r="Y59" s="52"/>
      <c r="Z59" s="51"/>
      <c r="AA59" s="73"/>
      <c r="AB59" s="73"/>
      <c r="AC59" s="74"/>
      <c r="AD59" s="80" t="s">
        <v>4238</v>
      </c>
      <c r="AE59" s="86" t="s">
        <v>5192</v>
      </c>
      <c r="AF59" s="80">
        <v>76</v>
      </c>
      <c r="AG59" s="80">
        <v>235</v>
      </c>
      <c r="AH59" s="80">
        <v>1695</v>
      </c>
      <c r="AI59" s="80">
        <v>940</v>
      </c>
      <c r="AJ59" s="80"/>
      <c r="AK59" s="80" t="s">
        <v>5973</v>
      </c>
      <c r="AL59" s="80" t="s">
        <v>6783</v>
      </c>
      <c r="AM59" s="84" t="str">
        <f>HYPERLINK("https://t.co/Eo6Xj9yKLQ")</f>
        <v>https://t.co/Eo6Xj9yKLQ</v>
      </c>
      <c r="AN59" s="80"/>
      <c r="AO59" s="82">
        <v>43943.239756944444</v>
      </c>
      <c r="AP59" s="84" t="str">
        <f>HYPERLINK("https://pbs.twimg.com/profile_banners/1252835716599443458/1587534657")</f>
        <v>https://pbs.twimg.com/profile_banners/1252835716599443458/1587534657</v>
      </c>
      <c r="AQ59" s="80" t="b">
        <v>1</v>
      </c>
      <c r="AR59" s="80" t="b">
        <v>0</v>
      </c>
      <c r="AS59" s="80" t="b">
        <v>0</v>
      </c>
      <c r="AT59" s="80"/>
      <c r="AU59" s="80">
        <v>0</v>
      </c>
      <c r="AV59" s="80"/>
      <c r="AW59" s="80" t="b">
        <v>0</v>
      </c>
      <c r="AX59" s="80" t="s">
        <v>7173</v>
      </c>
      <c r="AY59" s="84" t="str">
        <f>HYPERLINK("https://twitter.com/kn_sungaipenuh")</f>
        <v>https://twitter.com/kn_sungaipenuh</v>
      </c>
      <c r="AZ59" s="80" t="s">
        <v>66</v>
      </c>
      <c r="BA59" s="2"/>
      <c r="BB59" s="3"/>
      <c r="BC59" s="3"/>
      <c r="BD59" s="3"/>
      <c r="BE59" s="3"/>
    </row>
    <row r="60" spans="1:57" x14ac:dyDescent="0.35">
      <c r="A60" s="66" t="s">
        <v>256</v>
      </c>
      <c r="B60" s="67"/>
      <c r="C60" s="67"/>
      <c r="D60" s="68"/>
      <c r="E60" s="70"/>
      <c r="F60" s="106" t="str">
        <f>HYPERLINK("https://pbs.twimg.com/profile_images/1394250983056625669/t2_XYqv2_normal.jpg")</f>
        <v>https://pbs.twimg.com/profile_images/1394250983056625669/t2_XYqv2_normal.jpg</v>
      </c>
      <c r="G60" s="67"/>
      <c r="H60" s="71"/>
      <c r="I60" s="72"/>
      <c r="J60" s="72"/>
      <c r="K60" s="71" t="s">
        <v>7230</v>
      </c>
      <c r="L60" s="75"/>
      <c r="M60" s="76"/>
      <c r="N60" s="76"/>
      <c r="O60" s="77"/>
      <c r="P60" s="78"/>
      <c r="Q60" s="78"/>
      <c r="R60" s="90"/>
      <c r="S60" s="90"/>
      <c r="T60" s="90"/>
      <c r="U60" s="90"/>
      <c r="V60" s="52"/>
      <c r="W60" s="52"/>
      <c r="X60" s="52"/>
      <c r="Y60" s="52"/>
      <c r="Z60" s="51"/>
      <c r="AA60" s="73"/>
      <c r="AB60" s="73"/>
      <c r="AC60" s="74"/>
      <c r="AD60" s="80" t="s">
        <v>4239</v>
      </c>
      <c r="AE60" s="86" t="s">
        <v>5193</v>
      </c>
      <c r="AF60" s="80">
        <v>187</v>
      </c>
      <c r="AG60" s="80">
        <v>326</v>
      </c>
      <c r="AH60" s="80">
        <v>2850</v>
      </c>
      <c r="AI60" s="80">
        <v>108</v>
      </c>
      <c r="AJ60" s="80"/>
      <c r="AK60" s="80" t="s">
        <v>5974</v>
      </c>
      <c r="AL60" s="80" t="s">
        <v>6784</v>
      </c>
      <c r="AM60" s="80"/>
      <c r="AN60" s="80"/>
      <c r="AO60" s="82">
        <v>44275.776296296295</v>
      </c>
      <c r="AP60" s="84" t="str">
        <f>HYPERLINK("https://pbs.twimg.com/profile_banners/1373343004795183106/1616317069")</f>
        <v>https://pbs.twimg.com/profile_banners/1373343004795183106/1616317069</v>
      </c>
      <c r="AQ60" s="80" t="b">
        <v>1</v>
      </c>
      <c r="AR60" s="80" t="b">
        <v>0</v>
      </c>
      <c r="AS60" s="80" t="b">
        <v>0</v>
      </c>
      <c r="AT60" s="80"/>
      <c r="AU60" s="80">
        <v>6</v>
      </c>
      <c r="AV60" s="80"/>
      <c r="AW60" s="80" t="b">
        <v>0</v>
      </c>
      <c r="AX60" s="80" t="s">
        <v>7173</v>
      </c>
      <c r="AY60" s="84" t="str">
        <f>HYPERLINK("https://twitter.com/fusyigur0")</f>
        <v>https://twitter.com/fusyigur0</v>
      </c>
      <c r="AZ60" s="80" t="s">
        <v>66</v>
      </c>
      <c r="BA60" s="2"/>
      <c r="BB60" s="3"/>
      <c r="BC60" s="3"/>
      <c r="BD60" s="3"/>
      <c r="BE60" s="3"/>
    </row>
    <row r="61" spans="1:57" x14ac:dyDescent="0.35">
      <c r="A61" s="66" t="s">
        <v>257</v>
      </c>
      <c r="B61" s="67"/>
      <c r="C61" s="67"/>
      <c r="D61" s="68"/>
      <c r="E61" s="70"/>
      <c r="F61" s="106" t="str">
        <f>HYPERLINK("https://pbs.twimg.com/profile_images/1439770076127772674/3K_X7D1c_normal.jpg")</f>
        <v>https://pbs.twimg.com/profile_images/1439770076127772674/3K_X7D1c_normal.jpg</v>
      </c>
      <c r="G61" s="67"/>
      <c r="H61" s="71"/>
      <c r="I61" s="72"/>
      <c r="J61" s="72"/>
      <c r="K61" s="71" t="s">
        <v>7231</v>
      </c>
      <c r="L61" s="75"/>
      <c r="M61" s="76"/>
      <c r="N61" s="76"/>
      <c r="O61" s="77"/>
      <c r="P61" s="78"/>
      <c r="Q61" s="78"/>
      <c r="R61" s="90"/>
      <c r="S61" s="90"/>
      <c r="T61" s="90"/>
      <c r="U61" s="90"/>
      <c r="V61" s="52"/>
      <c r="W61" s="52"/>
      <c r="X61" s="52"/>
      <c r="Y61" s="52"/>
      <c r="Z61" s="51"/>
      <c r="AA61" s="73"/>
      <c r="AB61" s="73"/>
      <c r="AC61" s="74"/>
      <c r="AD61" s="80" t="s">
        <v>4240</v>
      </c>
      <c r="AE61" s="86" t="s">
        <v>5194</v>
      </c>
      <c r="AF61" s="80">
        <v>438</v>
      </c>
      <c r="AG61" s="80">
        <v>385</v>
      </c>
      <c r="AH61" s="80">
        <v>19581</v>
      </c>
      <c r="AI61" s="80">
        <v>1761</v>
      </c>
      <c r="AJ61" s="80"/>
      <c r="AK61" s="80" t="s">
        <v>5975</v>
      </c>
      <c r="AL61" s="80" t="s">
        <v>6785</v>
      </c>
      <c r="AM61" s="84" t="str">
        <f>HYPERLINK("https://t.co/lVp8tPB0Re")</f>
        <v>https://t.co/lVp8tPB0Re</v>
      </c>
      <c r="AN61" s="80"/>
      <c r="AO61" s="82">
        <v>40362.401018518518</v>
      </c>
      <c r="AP61" s="84" t="str">
        <f>HYPERLINK("https://pbs.twimg.com/profile_banners/162326506/1629034598")</f>
        <v>https://pbs.twimg.com/profile_banners/162326506/1629034598</v>
      </c>
      <c r="AQ61" s="80" t="b">
        <v>0</v>
      </c>
      <c r="AR61" s="80" t="b">
        <v>0</v>
      </c>
      <c r="AS61" s="80" t="b">
        <v>1</v>
      </c>
      <c r="AT61" s="80"/>
      <c r="AU61" s="80">
        <v>2</v>
      </c>
      <c r="AV61" s="84" t="str">
        <f>HYPERLINK("https://abs.twimg.com/images/themes/theme1/bg.png")</f>
        <v>https://abs.twimg.com/images/themes/theme1/bg.png</v>
      </c>
      <c r="AW61" s="80" t="b">
        <v>0</v>
      </c>
      <c r="AX61" s="80" t="s">
        <v>7173</v>
      </c>
      <c r="AY61" s="84" t="str">
        <f>HYPERLINK("https://twitter.com/inisialtg")</f>
        <v>https://twitter.com/inisialtg</v>
      </c>
      <c r="AZ61" s="80" t="s">
        <v>66</v>
      </c>
      <c r="BA61" s="2"/>
      <c r="BB61" s="3"/>
      <c r="BC61" s="3"/>
      <c r="BD61" s="3"/>
      <c r="BE61" s="3"/>
    </row>
    <row r="62" spans="1:57" x14ac:dyDescent="0.35">
      <c r="A62" s="66" t="s">
        <v>1008</v>
      </c>
      <c r="B62" s="67"/>
      <c r="C62" s="67"/>
      <c r="D62" s="68"/>
      <c r="E62" s="70"/>
      <c r="F62" s="106" t="str">
        <f>HYPERLINK("https://pbs.twimg.com/profile_images/1437082618323877888/6iDTHQ88_normal.jpg")</f>
        <v>https://pbs.twimg.com/profile_images/1437082618323877888/6iDTHQ88_normal.jpg</v>
      </c>
      <c r="G62" s="67"/>
      <c r="H62" s="71"/>
      <c r="I62" s="72"/>
      <c r="J62" s="72"/>
      <c r="K62" s="71" t="s">
        <v>7232</v>
      </c>
      <c r="L62" s="75"/>
      <c r="M62" s="76"/>
      <c r="N62" s="76"/>
      <c r="O62" s="77"/>
      <c r="P62" s="78"/>
      <c r="Q62" s="78"/>
      <c r="R62" s="90"/>
      <c r="S62" s="90"/>
      <c r="T62" s="90"/>
      <c r="U62" s="90"/>
      <c r="V62" s="52"/>
      <c r="W62" s="52"/>
      <c r="X62" s="52"/>
      <c r="Y62" s="52"/>
      <c r="Z62" s="51"/>
      <c r="AA62" s="73"/>
      <c r="AB62" s="73"/>
      <c r="AC62" s="74"/>
      <c r="AD62" s="80" t="s">
        <v>4241</v>
      </c>
      <c r="AE62" s="86" t="s">
        <v>3894</v>
      </c>
      <c r="AF62" s="80">
        <v>169</v>
      </c>
      <c r="AG62" s="80">
        <v>210</v>
      </c>
      <c r="AH62" s="80">
        <v>6844</v>
      </c>
      <c r="AI62" s="80">
        <v>2006</v>
      </c>
      <c r="AJ62" s="80"/>
      <c r="AK62" s="80" t="s">
        <v>5976</v>
      </c>
      <c r="AL62" s="80" t="s">
        <v>6786</v>
      </c>
      <c r="AM62" s="80"/>
      <c r="AN62" s="80"/>
      <c r="AO62" s="82">
        <v>40131.315428240741</v>
      </c>
      <c r="AP62" s="84" t="str">
        <f>HYPERLINK("https://pbs.twimg.com/profile_banners/89893826/1628228965")</f>
        <v>https://pbs.twimg.com/profile_banners/89893826/1628228965</v>
      </c>
      <c r="AQ62" s="80" t="b">
        <v>0</v>
      </c>
      <c r="AR62" s="80" t="b">
        <v>0</v>
      </c>
      <c r="AS62" s="80" t="b">
        <v>1</v>
      </c>
      <c r="AT62" s="80"/>
      <c r="AU62" s="80">
        <v>2</v>
      </c>
      <c r="AV62" s="84" t="str">
        <f>HYPERLINK("https://abs.twimg.com/images/themes/theme1/bg.png")</f>
        <v>https://abs.twimg.com/images/themes/theme1/bg.png</v>
      </c>
      <c r="AW62" s="80" t="b">
        <v>0</v>
      </c>
      <c r="AX62" s="80" t="s">
        <v>7173</v>
      </c>
      <c r="AY62" s="84" t="str">
        <f>HYPERLINK("https://twitter.com/wafaplayground")</f>
        <v>https://twitter.com/wafaplayground</v>
      </c>
      <c r="AZ62" s="80" t="s">
        <v>65</v>
      </c>
      <c r="BA62" s="2"/>
      <c r="BB62" s="3"/>
      <c r="BC62" s="3"/>
      <c r="BD62" s="3"/>
      <c r="BE62" s="3"/>
    </row>
    <row r="63" spans="1:57" x14ac:dyDescent="0.35">
      <c r="A63" s="66" t="s">
        <v>1009</v>
      </c>
      <c r="B63" s="67"/>
      <c r="C63" s="67"/>
      <c r="D63" s="68"/>
      <c r="E63" s="70"/>
      <c r="F63" s="106" t="str">
        <f>HYPERLINK("https://pbs.twimg.com/profile_images/1442330819180122113/ssVmMDbK_normal.jpg")</f>
        <v>https://pbs.twimg.com/profile_images/1442330819180122113/ssVmMDbK_normal.jpg</v>
      </c>
      <c r="G63" s="67"/>
      <c r="H63" s="71"/>
      <c r="I63" s="72"/>
      <c r="J63" s="72"/>
      <c r="K63" s="71" t="s">
        <v>7233</v>
      </c>
      <c r="L63" s="75"/>
      <c r="M63" s="76"/>
      <c r="N63" s="76"/>
      <c r="O63" s="77"/>
      <c r="P63" s="78"/>
      <c r="Q63" s="78"/>
      <c r="R63" s="90"/>
      <c r="S63" s="90"/>
      <c r="T63" s="90"/>
      <c r="U63" s="90"/>
      <c r="V63" s="52"/>
      <c r="W63" s="52"/>
      <c r="X63" s="52"/>
      <c r="Y63" s="52"/>
      <c r="Z63" s="51"/>
      <c r="AA63" s="73"/>
      <c r="AB63" s="73"/>
      <c r="AC63" s="74"/>
      <c r="AD63" s="80" t="s">
        <v>4242</v>
      </c>
      <c r="AE63" s="86" t="s">
        <v>3895</v>
      </c>
      <c r="AF63" s="80">
        <v>406</v>
      </c>
      <c r="AG63" s="80">
        <v>1693</v>
      </c>
      <c r="AH63" s="80">
        <v>20399</v>
      </c>
      <c r="AI63" s="80">
        <v>20689</v>
      </c>
      <c r="AJ63" s="80"/>
      <c r="AK63" s="80" t="s">
        <v>5977</v>
      </c>
      <c r="AL63" s="80"/>
      <c r="AM63" s="80"/>
      <c r="AN63" s="80"/>
      <c r="AO63" s="82">
        <v>41483.891643518517</v>
      </c>
      <c r="AP63" s="84" t="str">
        <f>HYPERLINK("https://pbs.twimg.com/profile_banners/1628803987/1631015583")</f>
        <v>https://pbs.twimg.com/profile_banners/1628803987/1631015583</v>
      </c>
      <c r="AQ63" s="80" t="b">
        <v>0</v>
      </c>
      <c r="AR63" s="80" t="b">
        <v>0</v>
      </c>
      <c r="AS63" s="80" t="b">
        <v>1</v>
      </c>
      <c r="AT63" s="80"/>
      <c r="AU63" s="80">
        <v>1</v>
      </c>
      <c r="AV63" s="84" t="str">
        <f>HYPERLINK("https://abs.twimg.com/images/themes/theme1/bg.png")</f>
        <v>https://abs.twimg.com/images/themes/theme1/bg.png</v>
      </c>
      <c r="AW63" s="80" t="b">
        <v>0</v>
      </c>
      <c r="AX63" s="80" t="s">
        <v>7173</v>
      </c>
      <c r="AY63" s="84" t="str">
        <f>HYPERLINK("https://twitter.com/anonblobfish")</f>
        <v>https://twitter.com/anonblobfish</v>
      </c>
      <c r="AZ63" s="80" t="s">
        <v>65</v>
      </c>
      <c r="BA63" s="2"/>
      <c r="BB63" s="3"/>
      <c r="BC63" s="3"/>
      <c r="BD63" s="3"/>
      <c r="BE63" s="3"/>
    </row>
    <row r="64" spans="1:57" x14ac:dyDescent="0.35">
      <c r="A64" s="66" t="s">
        <v>258</v>
      </c>
      <c r="B64" s="67"/>
      <c r="C64" s="67"/>
      <c r="D64" s="68"/>
      <c r="E64" s="70"/>
      <c r="F64" s="106" t="str">
        <f>HYPERLINK("https://pbs.twimg.com/profile_images/1427211324069539854/P-Yt7j9b_normal.jpg")</f>
        <v>https://pbs.twimg.com/profile_images/1427211324069539854/P-Yt7j9b_normal.jpg</v>
      </c>
      <c r="G64" s="67"/>
      <c r="H64" s="71"/>
      <c r="I64" s="72"/>
      <c r="J64" s="72"/>
      <c r="K64" s="71" t="s">
        <v>7234</v>
      </c>
      <c r="L64" s="75"/>
      <c r="M64" s="76"/>
      <c r="N64" s="76"/>
      <c r="O64" s="77"/>
      <c r="P64" s="78"/>
      <c r="Q64" s="78"/>
      <c r="R64" s="90"/>
      <c r="S64" s="90"/>
      <c r="T64" s="90"/>
      <c r="U64" s="90"/>
      <c r="V64" s="52"/>
      <c r="W64" s="52"/>
      <c r="X64" s="52"/>
      <c r="Y64" s="52"/>
      <c r="Z64" s="51"/>
      <c r="AA64" s="73"/>
      <c r="AB64" s="73"/>
      <c r="AC64" s="74"/>
      <c r="AD64" s="80" t="s">
        <v>4243</v>
      </c>
      <c r="AE64" s="86" t="s">
        <v>5195</v>
      </c>
      <c r="AF64" s="80">
        <v>2132</v>
      </c>
      <c r="AG64" s="80">
        <v>2211</v>
      </c>
      <c r="AH64" s="80">
        <v>32100</v>
      </c>
      <c r="AI64" s="80">
        <v>29990</v>
      </c>
      <c r="AJ64" s="80"/>
      <c r="AK64" s="80" t="s">
        <v>5978</v>
      </c>
      <c r="AL64" s="80" t="s">
        <v>6787</v>
      </c>
      <c r="AM64" s="80"/>
      <c r="AN64" s="80"/>
      <c r="AO64" s="82">
        <v>43846.257476851853</v>
      </c>
      <c r="AP64" s="84" t="str">
        <f>HYPERLINK("https://pbs.twimg.com/profile_banners/1217690568609808384/1589388101")</f>
        <v>https://pbs.twimg.com/profile_banners/1217690568609808384/1589388101</v>
      </c>
      <c r="AQ64" s="80" t="b">
        <v>1</v>
      </c>
      <c r="AR64" s="80" t="b">
        <v>0</v>
      </c>
      <c r="AS64" s="80" t="b">
        <v>0</v>
      </c>
      <c r="AT64" s="80"/>
      <c r="AU64" s="80">
        <v>0</v>
      </c>
      <c r="AV64" s="80"/>
      <c r="AW64" s="80" t="b">
        <v>0</v>
      </c>
      <c r="AX64" s="80" t="s">
        <v>7173</v>
      </c>
      <c r="AY64" s="84" t="str">
        <f>HYPERLINK("https://twitter.com/semupetualang")</f>
        <v>https://twitter.com/semupetualang</v>
      </c>
      <c r="AZ64" s="80" t="s">
        <v>66</v>
      </c>
      <c r="BA64" s="2"/>
      <c r="BB64" s="3"/>
      <c r="BC64" s="3"/>
      <c r="BD64" s="3"/>
      <c r="BE64" s="3"/>
    </row>
    <row r="65" spans="1:57" x14ac:dyDescent="0.35">
      <c r="A65" s="66" t="s">
        <v>1010</v>
      </c>
      <c r="B65" s="67"/>
      <c r="C65" s="67"/>
      <c r="D65" s="68"/>
      <c r="E65" s="70"/>
      <c r="F65" s="106" t="str">
        <f>HYPERLINK("https://pbs.twimg.com/profile_images/1299550083097059332/uK26iMOu_normal.jpg")</f>
        <v>https://pbs.twimg.com/profile_images/1299550083097059332/uK26iMOu_normal.jpg</v>
      </c>
      <c r="G65" s="67"/>
      <c r="H65" s="71"/>
      <c r="I65" s="72"/>
      <c r="J65" s="72"/>
      <c r="K65" s="71" t="s">
        <v>7235</v>
      </c>
      <c r="L65" s="75"/>
      <c r="M65" s="76"/>
      <c r="N65" s="76"/>
      <c r="O65" s="77"/>
      <c r="P65" s="78"/>
      <c r="Q65" s="78"/>
      <c r="R65" s="90"/>
      <c r="S65" s="90"/>
      <c r="T65" s="90"/>
      <c r="U65" s="90"/>
      <c r="V65" s="52"/>
      <c r="W65" s="52"/>
      <c r="X65" s="52"/>
      <c r="Y65" s="52"/>
      <c r="Z65" s="51"/>
      <c r="AA65" s="73"/>
      <c r="AB65" s="73"/>
      <c r="AC65" s="74"/>
      <c r="AD65" s="80" t="s">
        <v>4244</v>
      </c>
      <c r="AE65" s="86" t="s">
        <v>5196</v>
      </c>
      <c r="AF65" s="80">
        <v>58</v>
      </c>
      <c r="AG65" s="80">
        <v>16084677</v>
      </c>
      <c r="AH65" s="80">
        <v>3503</v>
      </c>
      <c r="AI65" s="80">
        <v>14</v>
      </c>
      <c r="AJ65" s="80"/>
      <c r="AK65" s="80" t="s">
        <v>5979</v>
      </c>
      <c r="AL65" s="80" t="s">
        <v>6788</v>
      </c>
      <c r="AM65" s="80"/>
      <c r="AN65" s="80"/>
      <c r="AO65" s="82">
        <v>40789.22315972222</v>
      </c>
      <c r="AP65" s="84" t="str">
        <f>HYPERLINK("https://pbs.twimg.com/profile_banners/366987179/1598685765")</f>
        <v>https://pbs.twimg.com/profile_banners/366987179/1598685765</v>
      </c>
      <c r="AQ65" s="80" t="b">
        <v>0</v>
      </c>
      <c r="AR65" s="80" t="b">
        <v>0</v>
      </c>
      <c r="AS65" s="80" t="b">
        <v>1</v>
      </c>
      <c r="AT65" s="80"/>
      <c r="AU65" s="80">
        <v>4228</v>
      </c>
      <c r="AV65" s="84" t="str">
        <f>HYPERLINK("https://abs.twimg.com/images/themes/theme14/bg.gif")</f>
        <v>https://abs.twimg.com/images/themes/theme14/bg.gif</v>
      </c>
      <c r="AW65" s="80" t="b">
        <v>1</v>
      </c>
      <c r="AX65" s="80" t="s">
        <v>7173</v>
      </c>
      <c r="AY65" s="84" t="str">
        <f>HYPERLINK("https://twitter.com/jokowi")</f>
        <v>https://twitter.com/jokowi</v>
      </c>
      <c r="AZ65" s="80" t="s">
        <v>65</v>
      </c>
      <c r="BA65" s="2"/>
      <c r="BB65" s="3"/>
      <c r="BC65" s="3"/>
      <c r="BD65" s="3"/>
      <c r="BE65" s="3"/>
    </row>
    <row r="66" spans="1:57" x14ac:dyDescent="0.35">
      <c r="A66" s="66" t="s">
        <v>375</v>
      </c>
      <c r="B66" s="67"/>
      <c r="C66" s="67"/>
      <c r="D66" s="68"/>
      <c r="E66" s="70"/>
      <c r="F66" s="106" t="str">
        <f>HYPERLINK("https://pbs.twimg.com/profile_images/1372795753656057857/w9mDheRu_normal.jpg")</f>
        <v>https://pbs.twimg.com/profile_images/1372795753656057857/w9mDheRu_normal.jpg</v>
      </c>
      <c r="G66" s="67"/>
      <c r="H66" s="71"/>
      <c r="I66" s="72"/>
      <c r="J66" s="72"/>
      <c r="K66" s="71" t="s">
        <v>7236</v>
      </c>
      <c r="L66" s="75"/>
      <c r="M66" s="76"/>
      <c r="N66" s="76"/>
      <c r="O66" s="77"/>
      <c r="P66" s="78"/>
      <c r="Q66" s="78"/>
      <c r="R66" s="90"/>
      <c r="S66" s="90"/>
      <c r="T66" s="90"/>
      <c r="U66" s="90"/>
      <c r="V66" s="52"/>
      <c r="W66" s="52"/>
      <c r="X66" s="52"/>
      <c r="Y66" s="52"/>
      <c r="Z66" s="51"/>
      <c r="AA66" s="73"/>
      <c r="AB66" s="73"/>
      <c r="AC66" s="74"/>
      <c r="AD66" s="80" t="s">
        <v>4245</v>
      </c>
      <c r="AE66" s="86" t="s">
        <v>5197</v>
      </c>
      <c r="AF66" s="80">
        <v>2775</v>
      </c>
      <c r="AG66" s="80">
        <v>1649</v>
      </c>
      <c r="AH66" s="80">
        <v>1332</v>
      </c>
      <c r="AI66" s="80">
        <v>1497</v>
      </c>
      <c r="AJ66" s="80"/>
      <c r="AK66" s="80" t="s">
        <v>5980</v>
      </c>
      <c r="AL66" s="80"/>
      <c r="AM66" s="80"/>
      <c r="AN66" s="80"/>
      <c r="AO66" s="82">
        <v>44274.264606481483</v>
      </c>
      <c r="AP66" s="84" t="str">
        <f>HYPERLINK("https://pbs.twimg.com/profile_banners/1372794477861949443/1616135064")</f>
        <v>https://pbs.twimg.com/profile_banners/1372794477861949443/1616135064</v>
      </c>
      <c r="AQ66" s="80" t="b">
        <v>1</v>
      </c>
      <c r="AR66" s="80" t="b">
        <v>0</v>
      </c>
      <c r="AS66" s="80" t="b">
        <v>0</v>
      </c>
      <c r="AT66" s="80"/>
      <c r="AU66" s="80">
        <v>0</v>
      </c>
      <c r="AV66" s="80"/>
      <c r="AW66" s="80" t="b">
        <v>0</v>
      </c>
      <c r="AX66" s="80" t="s">
        <v>7173</v>
      </c>
      <c r="AY66" s="84" t="str">
        <f>HYPERLINK("https://twitter.com/kardosony")</f>
        <v>https://twitter.com/kardosony</v>
      </c>
      <c r="AZ66" s="80" t="s">
        <v>66</v>
      </c>
      <c r="BA66" s="2"/>
      <c r="BB66" s="3"/>
      <c r="BC66" s="3"/>
      <c r="BD66" s="3"/>
      <c r="BE66" s="3"/>
    </row>
    <row r="67" spans="1:57" x14ac:dyDescent="0.35">
      <c r="A67" s="66" t="s">
        <v>259</v>
      </c>
      <c r="B67" s="67"/>
      <c r="C67" s="67"/>
      <c r="D67" s="68"/>
      <c r="E67" s="70"/>
      <c r="F67" s="106" t="str">
        <f>HYPERLINK("https://pbs.twimg.com/profile_images/1442716333880209411/lNU3bQTK_normal.jpg")</f>
        <v>https://pbs.twimg.com/profile_images/1442716333880209411/lNU3bQTK_normal.jpg</v>
      </c>
      <c r="G67" s="67"/>
      <c r="H67" s="71"/>
      <c r="I67" s="72"/>
      <c r="J67" s="72"/>
      <c r="K67" s="71" t="s">
        <v>7237</v>
      </c>
      <c r="L67" s="75"/>
      <c r="M67" s="76"/>
      <c r="N67" s="76"/>
      <c r="O67" s="77"/>
      <c r="P67" s="78"/>
      <c r="Q67" s="78"/>
      <c r="R67" s="90"/>
      <c r="S67" s="90"/>
      <c r="T67" s="90"/>
      <c r="U67" s="90"/>
      <c r="V67" s="52"/>
      <c r="W67" s="52"/>
      <c r="X67" s="52"/>
      <c r="Y67" s="52"/>
      <c r="Z67" s="51"/>
      <c r="AA67" s="73"/>
      <c r="AB67" s="73"/>
      <c r="AC67" s="74"/>
      <c r="AD67" s="80" t="s">
        <v>4246</v>
      </c>
      <c r="AE67" s="86" t="s">
        <v>5198</v>
      </c>
      <c r="AF67" s="80">
        <v>1933</v>
      </c>
      <c r="AG67" s="80">
        <v>2064</v>
      </c>
      <c r="AH67" s="80">
        <v>16341</v>
      </c>
      <c r="AI67" s="80">
        <v>2883</v>
      </c>
      <c r="AJ67" s="80"/>
      <c r="AK67" s="80" t="s">
        <v>5981</v>
      </c>
      <c r="AL67" s="80" t="s">
        <v>6789</v>
      </c>
      <c r="AM67" s="84" t="str">
        <f>HYPERLINK("https://t.co/xiWZpgNd0y")</f>
        <v>https://t.co/xiWZpgNd0y</v>
      </c>
      <c r="AN67" s="80"/>
      <c r="AO67" s="82">
        <v>43579.015520833331</v>
      </c>
      <c r="AP67" s="84" t="str">
        <f>HYPERLINK("https://pbs.twimg.com/profile_banners/1120845396157198336/1630198014")</f>
        <v>https://pbs.twimg.com/profile_banners/1120845396157198336/1630198014</v>
      </c>
      <c r="AQ67" s="80" t="b">
        <v>1</v>
      </c>
      <c r="AR67" s="80" t="b">
        <v>0</v>
      </c>
      <c r="AS67" s="80" t="b">
        <v>1</v>
      </c>
      <c r="AT67" s="80"/>
      <c r="AU67" s="80">
        <v>0</v>
      </c>
      <c r="AV67" s="80"/>
      <c r="AW67" s="80" t="b">
        <v>0</v>
      </c>
      <c r="AX67" s="80" t="s">
        <v>7173</v>
      </c>
      <c r="AY67" s="84" t="str">
        <f>HYPERLINK("https://twitter.com/pieshugx")</f>
        <v>https://twitter.com/pieshugx</v>
      </c>
      <c r="AZ67" s="80" t="s">
        <v>66</v>
      </c>
      <c r="BA67" s="2"/>
      <c r="BB67" s="3"/>
      <c r="BC67" s="3"/>
      <c r="BD67" s="3"/>
      <c r="BE67" s="3"/>
    </row>
    <row r="68" spans="1:57" x14ac:dyDescent="0.35">
      <c r="A68" s="66" t="s">
        <v>260</v>
      </c>
      <c r="B68" s="67"/>
      <c r="C68" s="67"/>
      <c r="D68" s="68"/>
      <c r="E68" s="70"/>
      <c r="F68" s="106" t="str">
        <f>HYPERLINK("https://pbs.twimg.com/profile_images/1430545529558036492/NoV7BQZt_normal.jpg")</f>
        <v>https://pbs.twimg.com/profile_images/1430545529558036492/NoV7BQZt_normal.jpg</v>
      </c>
      <c r="G68" s="67"/>
      <c r="H68" s="71"/>
      <c r="I68" s="72"/>
      <c r="J68" s="72"/>
      <c r="K68" s="71" t="s">
        <v>7238</v>
      </c>
      <c r="L68" s="75"/>
      <c r="M68" s="76"/>
      <c r="N68" s="76"/>
      <c r="O68" s="77"/>
      <c r="P68" s="78"/>
      <c r="Q68" s="78"/>
      <c r="R68" s="90"/>
      <c r="S68" s="90"/>
      <c r="T68" s="90"/>
      <c r="U68" s="90"/>
      <c r="V68" s="52"/>
      <c r="W68" s="52"/>
      <c r="X68" s="52"/>
      <c r="Y68" s="52"/>
      <c r="Z68" s="51"/>
      <c r="AA68" s="73"/>
      <c r="AB68" s="73"/>
      <c r="AC68" s="74"/>
      <c r="AD68" s="80" t="s">
        <v>4247</v>
      </c>
      <c r="AE68" s="86" t="s">
        <v>3896</v>
      </c>
      <c r="AF68" s="80">
        <v>446</v>
      </c>
      <c r="AG68" s="80">
        <v>485</v>
      </c>
      <c r="AH68" s="80">
        <v>62420</v>
      </c>
      <c r="AI68" s="80">
        <v>3478</v>
      </c>
      <c r="AJ68" s="80"/>
      <c r="AK68" s="80" t="s">
        <v>5982</v>
      </c>
      <c r="AL68" s="80" t="s">
        <v>4145</v>
      </c>
      <c r="AM68" s="84" t="str">
        <f>HYPERLINK("https://t.co/4AUhwfZ6a7")</f>
        <v>https://t.co/4AUhwfZ6a7</v>
      </c>
      <c r="AN68" s="80"/>
      <c r="AO68" s="82">
        <v>40014.149837962963</v>
      </c>
      <c r="AP68" s="84" t="str">
        <f>HYPERLINK("https://pbs.twimg.com/profile_banners/58378778/1513584951")</f>
        <v>https://pbs.twimg.com/profile_banners/58378778/1513584951</v>
      </c>
      <c r="AQ68" s="80" t="b">
        <v>0</v>
      </c>
      <c r="AR68" s="80" t="b">
        <v>0</v>
      </c>
      <c r="AS68" s="80" t="b">
        <v>1</v>
      </c>
      <c r="AT68" s="80"/>
      <c r="AU68" s="80">
        <v>0</v>
      </c>
      <c r="AV68" s="84" t="str">
        <f>HYPERLINK("https://abs.twimg.com/images/themes/theme1/bg.png")</f>
        <v>https://abs.twimg.com/images/themes/theme1/bg.png</v>
      </c>
      <c r="AW68" s="80" t="b">
        <v>0</v>
      </c>
      <c r="AX68" s="80" t="s">
        <v>7173</v>
      </c>
      <c r="AY68" s="84" t="str">
        <f>HYPERLINK("https://twitter.com/yeoldorado14")</f>
        <v>https://twitter.com/yeoldorado14</v>
      </c>
      <c r="AZ68" s="80" t="s">
        <v>66</v>
      </c>
      <c r="BA68" s="2"/>
      <c r="BB68" s="3"/>
      <c r="BC68" s="3"/>
      <c r="BD68" s="3"/>
      <c r="BE68" s="3"/>
    </row>
    <row r="69" spans="1:57" x14ac:dyDescent="0.35">
      <c r="A69" s="66" t="s">
        <v>261</v>
      </c>
      <c r="B69" s="67"/>
      <c r="C69" s="67"/>
      <c r="D69" s="68"/>
      <c r="E69" s="70"/>
      <c r="F69" s="106" t="str">
        <f>HYPERLINK("https://pbs.twimg.com/profile_images/1441063482833604608/5LeipFBJ_normal.png")</f>
        <v>https://pbs.twimg.com/profile_images/1441063482833604608/5LeipFBJ_normal.png</v>
      </c>
      <c r="G69" s="67"/>
      <c r="H69" s="71"/>
      <c r="I69" s="72"/>
      <c r="J69" s="72"/>
      <c r="K69" s="71" t="s">
        <v>7239</v>
      </c>
      <c r="L69" s="75"/>
      <c r="M69" s="76"/>
      <c r="N69" s="76"/>
      <c r="O69" s="77"/>
      <c r="P69" s="78"/>
      <c r="Q69" s="78"/>
      <c r="R69" s="90"/>
      <c r="S69" s="90"/>
      <c r="T69" s="90"/>
      <c r="U69" s="90"/>
      <c r="V69" s="52"/>
      <c r="W69" s="52"/>
      <c r="X69" s="52"/>
      <c r="Y69" s="52"/>
      <c r="Z69" s="51"/>
      <c r="AA69" s="73"/>
      <c r="AB69" s="73"/>
      <c r="AC69" s="74"/>
      <c r="AD69" s="80" t="s">
        <v>4248</v>
      </c>
      <c r="AE69" s="86" t="s">
        <v>5199</v>
      </c>
      <c r="AF69" s="80">
        <v>204</v>
      </c>
      <c r="AG69" s="80">
        <v>147</v>
      </c>
      <c r="AH69" s="80">
        <v>10471</v>
      </c>
      <c r="AI69" s="80">
        <v>3303</v>
      </c>
      <c r="AJ69" s="80"/>
      <c r="AK69" s="80" t="s">
        <v>5983</v>
      </c>
      <c r="AL69" s="80" t="s">
        <v>6790</v>
      </c>
      <c r="AM69" s="84" t="str">
        <f>HYPERLINK("https://t.co/3JNZHh53tZ")</f>
        <v>https://t.co/3JNZHh53tZ</v>
      </c>
      <c r="AN69" s="80"/>
      <c r="AO69" s="82">
        <v>44408.686412037037</v>
      </c>
      <c r="AP69" s="84" t="str">
        <f>HYPERLINK("https://pbs.twimg.com/profile_banners/1421507992197820417/1632411295")</f>
        <v>https://pbs.twimg.com/profile_banners/1421507992197820417/1632411295</v>
      </c>
      <c r="AQ69" s="80" t="b">
        <v>1</v>
      </c>
      <c r="AR69" s="80" t="b">
        <v>0</v>
      </c>
      <c r="AS69" s="80" t="b">
        <v>0</v>
      </c>
      <c r="AT69" s="80"/>
      <c r="AU69" s="80">
        <v>0</v>
      </c>
      <c r="AV69" s="80"/>
      <c r="AW69" s="80" t="b">
        <v>0</v>
      </c>
      <c r="AX69" s="80" t="s">
        <v>7173</v>
      </c>
      <c r="AY69" s="84" t="str">
        <f>HYPERLINK("https://twitter.com/amiwhama")</f>
        <v>https://twitter.com/amiwhama</v>
      </c>
      <c r="AZ69" s="80" t="s">
        <v>66</v>
      </c>
      <c r="BA69" s="2"/>
      <c r="BB69" s="3"/>
      <c r="BC69" s="3"/>
      <c r="BD69" s="3"/>
      <c r="BE69" s="3"/>
    </row>
    <row r="70" spans="1:57" x14ac:dyDescent="0.35">
      <c r="A70" s="66" t="s">
        <v>1011</v>
      </c>
      <c r="B70" s="67"/>
      <c r="C70" s="67"/>
      <c r="D70" s="68"/>
      <c r="E70" s="70"/>
      <c r="F70" s="106" t="str">
        <f>HYPERLINK("https://pbs.twimg.com/profile_images/1442465764334653442/lLcGVXqo_normal.jpg")</f>
        <v>https://pbs.twimg.com/profile_images/1442465764334653442/lLcGVXqo_normal.jpg</v>
      </c>
      <c r="G70" s="67"/>
      <c r="H70" s="71"/>
      <c r="I70" s="72"/>
      <c r="J70" s="72"/>
      <c r="K70" s="71" t="s">
        <v>7240</v>
      </c>
      <c r="L70" s="75"/>
      <c r="M70" s="76"/>
      <c r="N70" s="76"/>
      <c r="O70" s="77"/>
      <c r="P70" s="78"/>
      <c r="Q70" s="78"/>
      <c r="R70" s="90"/>
      <c r="S70" s="90"/>
      <c r="T70" s="90"/>
      <c r="U70" s="90"/>
      <c r="V70" s="52"/>
      <c r="W70" s="52"/>
      <c r="X70" s="52"/>
      <c r="Y70" s="52"/>
      <c r="Z70" s="51"/>
      <c r="AA70" s="73"/>
      <c r="AB70" s="73"/>
      <c r="AC70" s="74"/>
      <c r="AD70" s="80" t="s">
        <v>4249</v>
      </c>
      <c r="AE70" s="86" t="s">
        <v>3897</v>
      </c>
      <c r="AF70" s="80">
        <v>4887</v>
      </c>
      <c r="AG70" s="80">
        <v>4693</v>
      </c>
      <c r="AH70" s="80">
        <v>181952</v>
      </c>
      <c r="AI70" s="80">
        <v>201692</v>
      </c>
      <c r="AJ70" s="80"/>
      <c r="AK70" s="80" t="s">
        <v>5984</v>
      </c>
      <c r="AL70" s="80" t="s">
        <v>6791</v>
      </c>
      <c r="AM70" s="84" t="str">
        <f>HYPERLINK("https://t.co/8BIdn5AK61")</f>
        <v>https://t.co/8BIdn5AK61</v>
      </c>
      <c r="AN70" s="80"/>
      <c r="AO70" s="82">
        <v>43023.602314814816</v>
      </c>
      <c r="AP70" s="84" t="str">
        <f>HYPERLINK("https://pbs.twimg.com/profile_banners/919570391567187968/1632745744")</f>
        <v>https://pbs.twimg.com/profile_banners/919570391567187968/1632745744</v>
      </c>
      <c r="AQ70" s="80" t="b">
        <v>1</v>
      </c>
      <c r="AR70" s="80" t="b">
        <v>0</v>
      </c>
      <c r="AS70" s="80" t="b">
        <v>1</v>
      </c>
      <c r="AT70" s="80"/>
      <c r="AU70" s="80">
        <v>107</v>
      </c>
      <c r="AV70" s="80"/>
      <c r="AW70" s="80" t="b">
        <v>0</v>
      </c>
      <c r="AX70" s="80" t="s">
        <v>7173</v>
      </c>
      <c r="AY70" s="84" t="str">
        <f>HYPERLINK("https://twitter.com/hopearlve")</f>
        <v>https://twitter.com/hopearlve</v>
      </c>
      <c r="AZ70" s="80" t="s">
        <v>65</v>
      </c>
      <c r="BA70" s="2"/>
      <c r="BB70" s="3"/>
      <c r="BC70" s="3"/>
      <c r="BD70" s="3"/>
      <c r="BE70" s="3"/>
    </row>
    <row r="71" spans="1:57" x14ac:dyDescent="0.35">
      <c r="A71" s="66" t="s">
        <v>262</v>
      </c>
      <c r="B71" s="67"/>
      <c r="C71" s="67"/>
      <c r="D71" s="68"/>
      <c r="E71" s="70"/>
      <c r="F71" s="106" t="str">
        <f>HYPERLINK("https://pbs.twimg.com/profile_images/1422066866214690817/mtiMhC6G_normal.jpg")</f>
        <v>https://pbs.twimg.com/profile_images/1422066866214690817/mtiMhC6G_normal.jpg</v>
      </c>
      <c r="G71" s="67"/>
      <c r="H71" s="71"/>
      <c r="I71" s="72"/>
      <c r="J71" s="72"/>
      <c r="K71" s="71" t="s">
        <v>7241</v>
      </c>
      <c r="L71" s="75"/>
      <c r="M71" s="76"/>
      <c r="N71" s="76"/>
      <c r="O71" s="77"/>
      <c r="P71" s="78"/>
      <c r="Q71" s="78"/>
      <c r="R71" s="90"/>
      <c r="S71" s="90"/>
      <c r="T71" s="90"/>
      <c r="U71" s="90"/>
      <c r="V71" s="52"/>
      <c r="W71" s="52"/>
      <c r="X71" s="52"/>
      <c r="Y71" s="52"/>
      <c r="Z71" s="51"/>
      <c r="AA71" s="73"/>
      <c r="AB71" s="73"/>
      <c r="AC71" s="74"/>
      <c r="AD71" s="80" t="s">
        <v>4250</v>
      </c>
      <c r="AE71" s="86" t="s">
        <v>5200</v>
      </c>
      <c r="AF71" s="80">
        <v>1262</v>
      </c>
      <c r="AG71" s="80">
        <v>1194</v>
      </c>
      <c r="AH71" s="80">
        <v>6964</v>
      </c>
      <c r="AI71" s="80">
        <v>5146</v>
      </c>
      <c r="AJ71" s="80"/>
      <c r="AK71" s="80" t="s">
        <v>5985</v>
      </c>
      <c r="AL71" s="80"/>
      <c r="AM71" s="80"/>
      <c r="AN71" s="80"/>
      <c r="AO71" s="82">
        <v>44143.38144675926</v>
      </c>
      <c r="AP71" s="84" t="str">
        <f>HYPERLINK("https://pbs.twimg.com/profile_banners/1325364675534467073/1604827371")</f>
        <v>https://pbs.twimg.com/profile_banners/1325364675534467073/1604827371</v>
      </c>
      <c r="AQ71" s="80" t="b">
        <v>1</v>
      </c>
      <c r="AR71" s="80" t="b">
        <v>0</v>
      </c>
      <c r="AS71" s="80" t="b">
        <v>0</v>
      </c>
      <c r="AT71" s="80"/>
      <c r="AU71" s="80">
        <v>0</v>
      </c>
      <c r="AV71" s="80"/>
      <c r="AW71" s="80" t="b">
        <v>0</v>
      </c>
      <c r="AX71" s="80" t="s">
        <v>7173</v>
      </c>
      <c r="AY71" s="84" t="str">
        <f>HYPERLINK("https://twitter.com/__wantankri")</f>
        <v>https://twitter.com/__wantankri</v>
      </c>
      <c r="AZ71" s="80" t="s">
        <v>66</v>
      </c>
      <c r="BA71" s="2"/>
      <c r="BB71" s="3"/>
      <c r="BC71" s="3"/>
      <c r="BD71" s="3"/>
      <c r="BE71" s="3"/>
    </row>
    <row r="72" spans="1:57" x14ac:dyDescent="0.35">
      <c r="A72" s="66" t="s">
        <v>263</v>
      </c>
      <c r="B72" s="67"/>
      <c r="C72" s="67"/>
      <c r="D72" s="68"/>
      <c r="E72" s="70"/>
      <c r="F72" s="106" t="str">
        <f>HYPERLINK("https://pbs.twimg.com/profile_images/1438758233254993921/xBdwdurT_normal.jpg")</f>
        <v>https://pbs.twimg.com/profile_images/1438758233254993921/xBdwdurT_normal.jpg</v>
      </c>
      <c r="G72" s="67"/>
      <c r="H72" s="71"/>
      <c r="I72" s="72"/>
      <c r="J72" s="72"/>
      <c r="K72" s="71" t="s">
        <v>7242</v>
      </c>
      <c r="L72" s="75"/>
      <c r="M72" s="76"/>
      <c r="N72" s="76"/>
      <c r="O72" s="77"/>
      <c r="P72" s="78"/>
      <c r="Q72" s="78"/>
      <c r="R72" s="90"/>
      <c r="S72" s="90"/>
      <c r="T72" s="90"/>
      <c r="U72" s="90"/>
      <c r="V72" s="52"/>
      <c r="W72" s="52"/>
      <c r="X72" s="52"/>
      <c r="Y72" s="52"/>
      <c r="Z72" s="51"/>
      <c r="AA72" s="73"/>
      <c r="AB72" s="73"/>
      <c r="AC72" s="74"/>
      <c r="AD72" s="80" t="s">
        <v>4251</v>
      </c>
      <c r="AE72" s="86" t="s">
        <v>5201</v>
      </c>
      <c r="AF72" s="80">
        <v>2246</v>
      </c>
      <c r="AG72" s="80">
        <v>2291</v>
      </c>
      <c r="AH72" s="80">
        <v>15382</v>
      </c>
      <c r="AI72" s="80">
        <v>14655</v>
      </c>
      <c r="AJ72" s="80"/>
      <c r="AK72" s="80" t="s">
        <v>5986</v>
      </c>
      <c r="AL72" s="80"/>
      <c r="AM72" s="80"/>
      <c r="AN72" s="80"/>
      <c r="AO72" s="82">
        <v>41491.643287037034</v>
      </c>
      <c r="AP72" s="84" t="str">
        <f>HYPERLINK("https://pbs.twimg.com/profile_banners/1648045466/1616979026")</f>
        <v>https://pbs.twimg.com/profile_banners/1648045466/1616979026</v>
      </c>
      <c r="AQ72" s="80" t="b">
        <v>1</v>
      </c>
      <c r="AR72" s="80" t="b">
        <v>0</v>
      </c>
      <c r="AS72" s="80" t="b">
        <v>0</v>
      </c>
      <c r="AT72" s="80"/>
      <c r="AU72" s="80">
        <v>0</v>
      </c>
      <c r="AV72" s="84" t="str">
        <f>HYPERLINK("https://abs.twimg.com/images/themes/theme1/bg.png")</f>
        <v>https://abs.twimg.com/images/themes/theme1/bg.png</v>
      </c>
      <c r="AW72" s="80" t="b">
        <v>0</v>
      </c>
      <c r="AX72" s="80" t="s">
        <v>7173</v>
      </c>
      <c r="AY72" s="84" t="str">
        <f>HYPERLINK("https://twitter.com/_antaresh29")</f>
        <v>https://twitter.com/_antaresh29</v>
      </c>
      <c r="AZ72" s="80" t="s">
        <v>66</v>
      </c>
      <c r="BA72" s="2"/>
      <c r="BB72" s="3"/>
      <c r="BC72" s="3"/>
      <c r="BD72" s="3"/>
      <c r="BE72" s="3"/>
    </row>
    <row r="73" spans="1:57" x14ac:dyDescent="0.35">
      <c r="A73" s="66" t="s">
        <v>264</v>
      </c>
      <c r="B73" s="67"/>
      <c r="C73" s="67"/>
      <c r="D73" s="68"/>
      <c r="E73" s="70"/>
      <c r="F73" s="106" t="str">
        <f>HYPERLINK("https://pbs.twimg.com/profile_images/1438405719968022529/pUZQoUcS_normal.jpg")</f>
        <v>https://pbs.twimg.com/profile_images/1438405719968022529/pUZQoUcS_normal.jpg</v>
      </c>
      <c r="G73" s="67"/>
      <c r="H73" s="71"/>
      <c r="I73" s="72"/>
      <c r="J73" s="72"/>
      <c r="K73" s="71" t="s">
        <v>7243</v>
      </c>
      <c r="L73" s="75"/>
      <c r="M73" s="76"/>
      <c r="N73" s="76"/>
      <c r="O73" s="77"/>
      <c r="P73" s="78"/>
      <c r="Q73" s="78"/>
      <c r="R73" s="90"/>
      <c r="S73" s="90"/>
      <c r="T73" s="90"/>
      <c r="U73" s="90"/>
      <c r="V73" s="52"/>
      <c r="W73" s="52"/>
      <c r="X73" s="52"/>
      <c r="Y73" s="52"/>
      <c r="Z73" s="51"/>
      <c r="AA73" s="73"/>
      <c r="AB73" s="73"/>
      <c r="AC73" s="74"/>
      <c r="AD73" s="80" t="s">
        <v>4252</v>
      </c>
      <c r="AE73" s="86" t="s">
        <v>5202</v>
      </c>
      <c r="AF73" s="80">
        <v>1424</v>
      </c>
      <c r="AG73" s="80">
        <v>1413</v>
      </c>
      <c r="AH73" s="80">
        <v>8846</v>
      </c>
      <c r="AI73" s="80">
        <v>9124</v>
      </c>
      <c r="AJ73" s="80"/>
      <c r="AK73" s="84" t="str">
        <f>HYPERLINK("https://t.co/iOdPDx56it")</f>
        <v>https://t.co/iOdPDx56it</v>
      </c>
      <c r="AL73" s="80" t="s">
        <v>6792</v>
      </c>
      <c r="AM73" s="80"/>
      <c r="AN73" s="80"/>
      <c r="AO73" s="82">
        <v>44149.407939814817</v>
      </c>
      <c r="AP73" s="84" t="str">
        <f>HYPERLINK("https://pbs.twimg.com/profile_banners/1327548607319343104/1606106850")</f>
        <v>https://pbs.twimg.com/profile_banners/1327548607319343104/1606106850</v>
      </c>
      <c r="AQ73" s="80" t="b">
        <v>1</v>
      </c>
      <c r="AR73" s="80" t="b">
        <v>0</v>
      </c>
      <c r="AS73" s="80" t="b">
        <v>0</v>
      </c>
      <c r="AT73" s="80"/>
      <c r="AU73" s="80">
        <v>0</v>
      </c>
      <c r="AV73" s="80"/>
      <c r="AW73" s="80" t="b">
        <v>0</v>
      </c>
      <c r="AX73" s="80" t="s">
        <v>7173</v>
      </c>
      <c r="AY73" s="84" t="str">
        <f>HYPERLINK("https://twitter.com/reshtua")</f>
        <v>https://twitter.com/reshtua</v>
      </c>
      <c r="AZ73" s="80" t="s">
        <v>66</v>
      </c>
      <c r="BA73" s="2"/>
      <c r="BB73" s="3"/>
      <c r="BC73" s="3"/>
      <c r="BD73" s="3"/>
      <c r="BE73" s="3"/>
    </row>
    <row r="74" spans="1:57" x14ac:dyDescent="0.35">
      <c r="A74" s="66" t="s">
        <v>265</v>
      </c>
      <c r="B74" s="67"/>
      <c r="C74" s="67"/>
      <c r="D74" s="68"/>
      <c r="E74" s="70"/>
      <c r="F74" s="106" t="str">
        <f>HYPERLINK("https://pbs.twimg.com/profile_images/1406601824816099329/U883rcvo_normal.jpg")</f>
        <v>https://pbs.twimg.com/profile_images/1406601824816099329/U883rcvo_normal.jpg</v>
      </c>
      <c r="G74" s="67"/>
      <c r="H74" s="71"/>
      <c r="I74" s="72"/>
      <c r="J74" s="72"/>
      <c r="K74" s="71" t="s">
        <v>7244</v>
      </c>
      <c r="L74" s="75"/>
      <c r="M74" s="76"/>
      <c r="N74" s="76"/>
      <c r="O74" s="77"/>
      <c r="P74" s="78"/>
      <c r="Q74" s="78"/>
      <c r="R74" s="90"/>
      <c r="S74" s="90"/>
      <c r="T74" s="90"/>
      <c r="U74" s="90"/>
      <c r="V74" s="52"/>
      <c r="W74" s="52"/>
      <c r="X74" s="52"/>
      <c r="Y74" s="52"/>
      <c r="Z74" s="51"/>
      <c r="AA74" s="73"/>
      <c r="AB74" s="73"/>
      <c r="AC74" s="74"/>
      <c r="AD74" s="80" t="s">
        <v>4253</v>
      </c>
      <c r="AE74" s="86" t="s">
        <v>5203</v>
      </c>
      <c r="AF74" s="80">
        <v>7069</v>
      </c>
      <c r="AG74" s="80">
        <v>6655</v>
      </c>
      <c r="AH74" s="80">
        <v>154859</v>
      </c>
      <c r="AI74" s="80">
        <v>259898</v>
      </c>
      <c r="AJ74" s="80"/>
      <c r="AK74" s="80" t="s">
        <v>5987</v>
      </c>
      <c r="AL74" s="80" t="s">
        <v>4145</v>
      </c>
      <c r="AM74" s="80"/>
      <c r="AN74" s="80"/>
      <c r="AO74" s="82">
        <v>40122.279641203706</v>
      </c>
      <c r="AP74" s="84" t="str">
        <f>HYPERLINK("https://pbs.twimg.com/profile_banners/87632140/1407679496")</f>
        <v>https://pbs.twimg.com/profile_banners/87632140/1407679496</v>
      </c>
      <c r="AQ74" s="80" t="b">
        <v>0</v>
      </c>
      <c r="AR74" s="80" t="b">
        <v>0</v>
      </c>
      <c r="AS74" s="80" t="b">
        <v>0</v>
      </c>
      <c r="AT74" s="80"/>
      <c r="AU74" s="80">
        <v>5</v>
      </c>
      <c r="AV74" s="84" t="str">
        <f>HYPERLINK("https://abs.twimg.com/images/themes/theme18/bg.gif")</f>
        <v>https://abs.twimg.com/images/themes/theme18/bg.gif</v>
      </c>
      <c r="AW74" s="80" t="b">
        <v>0</v>
      </c>
      <c r="AX74" s="80" t="s">
        <v>7173</v>
      </c>
      <c r="AY74" s="84" t="str">
        <f>HYPERLINK("https://twitter.com/paulus_willy")</f>
        <v>https://twitter.com/paulus_willy</v>
      </c>
      <c r="AZ74" s="80" t="s">
        <v>66</v>
      </c>
      <c r="BA74" s="2"/>
      <c r="BB74" s="3"/>
      <c r="BC74" s="3"/>
      <c r="BD74" s="3"/>
      <c r="BE74" s="3"/>
    </row>
    <row r="75" spans="1:57" x14ac:dyDescent="0.35">
      <c r="A75" s="66" t="s">
        <v>266</v>
      </c>
      <c r="B75" s="67"/>
      <c r="C75" s="67"/>
      <c r="D75" s="68"/>
      <c r="E75" s="70"/>
      <c r="F75" s="106" t="str">
        <f>HYPERLINK("https://pbs.twimg.com/profile_images/1320752267193057281/czkEDDIo_normal.jpg")</f>
        <v>https://pbs.twimg.com/profile_images/1320752267193057281/czkEDDIo_normal.jpg</v>
      </c>
      <c r="G75" s="67"/>
      <c r="H75" s="71"/>
      <c r="I75" s="72"/>
      <c r="J75" s="72"/>
      <c r="K75" s="71" t="s">
        <v>7245</v>
      </c>
      <c r="L75" s="75"/>
      <c r="M75" s="76"/>
      <c r="N75" s="76"/>
      <c r="O75" s="77"/>
      <c r="P75" s="78"/>
      <c r="Q75" s="78"/>
      <c r="R75" s="90"/>
      <c r="S75" s="90"/>
      <c r="T75" s="90"/>
      <c r="U75" s="90"/>
      <c r="V75" s="52"/>
      <c r="W75" s="52"/>
      <c r="X75" s="52"/>
      <c r="Y75" s="52"/>
      <c r="Z75" s="51"/>
      <c r="AA75" s="73"/>
      <c r="AB75" s="73"/>
      <c r="AC75" s="74"/>
      <c r="AD75" s="80" t="s">
        <v>4254</v>
      </c>
      <c r="AE75" s="86" t="s">
        <v>5204</v>
      </c>
      <c r="AF75" s="80">
        <v>577</v>
      </c>
      <c r="AG75" s="80">
        <v>448</v>
      </c>
      <c r="AH75" s="80">
        <v>4683</v>
      </c>
      <c r="AI75" s="80">
        <v>40</v>
      </c>
      <c r="AJ75" s="80"/>
      <c r="AK75" s="80" t="s">
        <v>5988</v>
      </c>
      <c r="AL75" s="80" t="s">
        <v>6779</v>
      </c>
      <c r="AM75" s="80"/>
      <c r="AN75" s="80"/>
      <c r="AO75" s="82">
        <v>40184.876631944448</v>
      </c>
      <c r="AP75" s="84" t="str">
        <f>HYPERLINK("https://pbs.twimg.com/profile_banners/102478633/1603378099")</f>
        <v>https://pbs.twimg.com/profile_banners/102478633/1603378099</v>
      </c>
      <c r="AQ75" s="80" t="b">
        <v>0</v>
      </c>
      <c r="AR75" s="80" t="b">
        <v>0</v>
      </c>
      <c r="AS75" s="80" t="b">
        <v>0</v>
      </c>
      <c r="AT75" s="80"/>
      <c r="AU75" s="80">
        <v>2</v>
      </c>
      <c r="AV75" s="84" t="str">
        <f>HYPERLINK("https://abs.twimg.com/images/themes/theme1/bg.png")</f>
        <v>https://abs.twimg.com/images/themes/theme1/bg.png</v>
      </c>
      <c r="AW75" s="80" t="b">
        <v>0</v>
      </c>
      <c r="AX75" s="80" t="s">
        <v>7173</v>
      </c>
      <c r="AY75" s="84" t="str">
        <f>HYPERLINK("https://twitter.com/pradanadika29")</f>
        <v>https://twitter.com/pradanadika29</v>
      </c>
      <c r="AZ75" s="80" t="s">
        <v>66</v>
      </c>
      <c r="BA75" s="2"/>
      <c r="BB75" s="3"/>
      <c r="BC75" s="3"/>
      <c r="BD75" s="3"/>
      <c r="BE75" s="3"/>
    </row>
    <row r="76" spans="1:57" x14ac:dyDescent="0.35">
      <c r="A76" s="66" t="s">
        <v>267</v>
      </c>
      <c r="B76" s="67"/>
      <c r="C76" s="67"/>
      <c r="D76" s="68"/>
      <c r="E76" s="70"/>
      <c r="F76" s="106" t="str">
        <f>HYPERLINK("https://pbs.twimg.com/profile_images/1064812002529296385/AS_j0jXy_normal.jpg")</f>
        <v>https://pbs.twimg.com/profile_images/1064812002529296385/AS_j0jXy_normal.jpg</v>
      </c>
      <c r="G76" s="67"/>
      <c r="H76" s="71"/>
      <c r="I76" s="72"/>
      <c r="J76" s="72"/>
      <c r="K76" s="71" t="s">
        <v>7246</v>
      </c>
      <c r="L76" s="75"/>
      <c r="M76" s="76"/>
      <c r="N76" s="76"/>
      <c r="O76" s="77"/>
      <c r="P76" s="78"/>
      <c r="Q76" s="78"/>
      <c r="R76" s="90"/>
      <c r="S76" s="90"/>
      <c r="T76" s="90"/>
      <c r="U76" s="90"/>
      <c r="V76" s="52"/>
      <c r="W76" s="52"/>
      <c r="X76" s="52"/>
      <c r="Y76" s="52"/>
      <c r="Z76" s="51"/>
      <c r="AA76" s="73"/>
      <c r="AB76" s="73"/>
      <c r="AC76" s="74"/>
      <c r="AD76" s="80" t="s">
        <v>4255</v>
      </c>
      <c r="AE76" s="86" t="s">
        <v>5205</v>
      </c>
      <c r="AF76" s="80">
        <v>721</v>
      </c>
      <c r="AG76" s="80">
        <v>443</v>
      </c>
      <c r="AH76" s="80">
        <v>3884</v>
      </c>
      <c r="AI76" s="80">
        <v>42</v>
      </c>
      <c r="AJ76" s="80"/>
      <c r="AK76" s="80" t="s">
        <v>5989</v>
      </c>
      <c r="AL76" s="80" t="s">
        <v>6779</v>
      </c>
      <c r="AM76" s="80"/>
      <c r="AN76" s="80"/>
      <c r="AO76" s="82">
        <v>40902.260613425926</v>
      </c>
      <c r="AP76" s="84" t="str">
        <f>HYPERLINK("https://pbs.twimg.com/profile_banners/446017133/1601568502")</f>
        <v>https://pbs.twimg.com/profile_banners/446017133/1601568502</v>
      </c>
      <c r="AQ76" s="80" t="b">
        <v>1</v>
      </c>
      <c r="AR76" s="80" t="b">
        <v>0</v>
      </c>
      <c r="AS76" s="80" t="b">
        <v>1</v>
      </c>
      <c r="AT76" s="80"/>
      <c r="AU76" s="80">
        <v>0</v>
      </c>
      <c r="AV76" s="84" t="str">
        <f>HYPERLINK("https://abs.twimg.com/images/themes/theme1/bg.png")</f>
        <v>https://abs.twimg.com/images/themes/theme1/bg.png</v>
      </c>
      <c r="AW76" s="80" t="b">
        <v>0</v>
      </c>
      <c r="AX76" s="80" t="s">
        <v>7173</v>
      </c>
      <c r="AY76" s="84" t="str">
        <f>HYPERLINK("https://twitter.com/ariefskie")</f>
        <v>https://twitter.com/ariefskie</v>
      </c>
      <c r="AZ76" s="80" t="s">
        <v>66</v>
      </c>
      <c r="BA76" s="2"/>
      <c r="BB76" s="3"/>
      <c r="BC76" s="3"/>
      <c r="BD76" s="3"/>
      <c r="BE76" s="3"/>
    </row>
    <row r="77" spans="1:57" x14ac:dyDescent="0.35">
      <c r="A77" s="66" t="s">
        <v>268</v>
      </c>
      <c r="B77" s="67"/>
      <c r="C77" s="67"/>
      <c r="D77" s="68"/>
      <c r="E77" s="70"/>
      <c r="F77" s="106" t="str">
        <f>HYPERLINK("https://pbs.twimg.com/profile_images/1287026195297497090/ksuNfii3_normal.jpg")</f>
        <v>https://pbs.twimg.com/profile_images/1287026195297497090/ksuNfii3_normal.jpg</v>
      </c>
      <c r="G77" s="67"/>
      <c r="H77" s="71"/>
      <c r="I77" s="72"/>
      <c r="J77" s="72"/>
      <c r="K77" s="71" t="s">
        <v>7247</v>
      </c>
      <c r="L77" s="75"/>
      <c r="M77" s="76"/>
      <c r="N77" s="76"/>
      <c r="O77" s="77"/>
      <c r="P77" s="78"/>
      <c r="Q77" s="78"/>
      <c r="R77" s="90"/>
      <c r="S77" s="90"/>
      <c r="T77" s="90"/>
      <c r="U77" s="90"/>
      <c r="V77" s="52"/>
      <c r="W77" s="52"/>
      <c r="X77" s="52"/>
      <c r="Y77" s="52"/>
      <c r="Z77" s="51"/>
      <c r="AA77" s="73"/>
      <c r="AB77" s="73"/>
      <c r="AC77" s="74"/>
      <c r="AD77" s="80" t="s">
        <v>4256</v>
      </c>
      <c r="AE77" s="86" t="s">
        <v>5206</v>
      </c>
      <c r="AF77" s="80">
        <v>2535</v>
      </c>
      <c r="AG77" s="80">
        <v>7224</v>
      </c>
      <c r="AH77" s="80">
        <v>85826</v>
      </c>
      <c r="AI77" s="80">
        <v>3616</v>
      </c>
      <c r="AJ77" s="80"/>
      <c r="AK77" s="80" t="s">
        <v>5990</v>
      </c>
      <c r="AL77" s="80"/>
      <c r="AM77" s="80"/>
      <c r="AN77" s="80"/>
      <c r="AO77" s="82">
        <v>44009.352476851855</v>
      </c>
      <c r="AP77" s="80"/>
      <c r="AQ77" s="80" t="b">
        <v>1</v>
      </c>
      <c r="AR77" s="80" t="b">
        <v>0</v>
      </c>
      <c r="AS77" s="80" t="b">
        <v>0</v>
      </c>
      <c r="AT77" s="80"/>
      <c r="AU77" s="80">
        <v>0</v>
      </c>
      <c r="AV77" s="80"/>
      <c r="AW77" s="80" t="b">
        <v>0</v>
      </c>
      <c r="AX77" s="80" t="s">
        <v>7173</v>
      </c>
      <c r="AY77" s="84" t="str">
        <f>HYPERLINK("https://twitter.com/anaklolina2")</f>
        <v>https://twitter.com/anaklolina2</v>
      </c>
      <c r="AZ77" s="80" t="s">
        <v>66</v>
      </c>
      <c r="BA77" s="2"/>
      <c r="BB77" s="3"/>
      <c r="BC77" s="3"/>
      <c r="BD77" s="3"/>
      <c r="BE77" s="3"/>
    </row>
    <row r="78" spans="1:57" x14ac:dyDescent="0.35">
      <c r="A78" s="66" t="s">
        <v>269</v>
      </c>
      <c r="B78" s="67"/>
      <c r="C78" s="67"/>
      <c r="D78" s="68"/>
      <c r="E78" s="70"/>
      <c r="F78" s="106" t="str">
        <f>HYPERLINK("https://pbs.twimg.com/profile_images/1442064654893654022/nw3YJ6uD_normal.jpg")</f>
        <v>https://pbs.twimg.com/profile_images/1442064654893654022/nw3YJ6uD_normal.jpg</v>
      </c>
      <c r="G78" s="67"/>
      <c r="H78" s="71"/>
      <c r="I78" s="72"/>
      <c r="J78" s="72"/>
      <c r="K78" s="71" t="s">
        <v>7248</v>
      </c>
      <c r="L78" s="75"/>
      <c r="M78" s="76"/>
      <c r="N78" s="76"/>
      <c r="O78" s="77"/>
      <c r="P78" s="78"/>
      <c r="Q78" s="78"/>
      <c r="R78" s="90"/>
      <c r="S78" s="90"/>
      <c r="T78" s="90"/>
      <c r="U78" s="90"/>
      <c r="V78" s="52"/>
      <c r="W78" s="52"/>
      <c r="X78" s="52"/>
      <c r="Y78" s="52"/>
      <c r="Z78" s="51"/>
      <c r="AA78" s="73"/>
      <c r="AB78" s="73"/>
      <c r="AC78" s="74"/>
      <c r="AD78" s="80" t="s">
        <v>4257</v>
      </c>
      <c r="AE78" s="86" t="s">
        <v>5207</v>
      </c>
      <c r="AF78" s="80">
        <v>245</v>
      </c>
      <c r="AG78" s="80">
        <v>3687</v>
      </c>
      <c r="AH78" s="80">
        <v>7788</v>
      </c>
      <c r="AI78" s="80">
        <v>1978</v>
      </c>
      <c r="AJ78" s="80"/>
      <c r="AK78" s="80" t="s">
        <v>5991</v>
      </c>
      <c r="AL78" s="80"/>
      <c r="AM78" s="80"/>
      <c r="AN78" s="80"/>
      <c r="AO78" s="82">
        <v>44188.320439814815</v>
      </c>
      <c r="AP78" s="84" t="str">
        <f>HYPERLINK("https://pbs.twimg.com/profile_banners/1341650025965735939/1631252142")</f>
        <v>https://pbs.twimg.com/profile_banners/1341650025965735939/1631252142</v>
      </c>
      <c r="AQ78" s="80" t="b">
        <v>1</v>
      </c>
      <c r="AR78" s="80" t="b">
        <v>0</v>
      </c>
      <c r="AS78" s="80" t="b">
        <v>0</v>
      </c>
      <c r="AT78" s="80"/>
      <c r="AU78" s="80">
        <v>1</v>
      </c>
      <c r="AV78" s="80"/>
      <c r="AW78" s="80" t="b">
        <v>0</v>
      </c>
      <c r="AX78" s="80" t="s">
        <v>7173</v>
      </c>
      <c r="AY78" s="84" t="str">
        <f>HYPERLINK("https://twitter.com/xnact")</f>
        <v>https://twitter.com/xnact</v>
      </c>
      <c r="AZ78" s="80" t="s">
        <v>66</v>
      </c>
      <c r="BA78" s="2"/>
      <c r="BB78" s="3"/>
      <c r="BC78" s="3"/>
      <c r="BD78" s="3"/>
      <c r="BE78" s="3"/>
    </row>
    <row r="79" spans="1:57" x14ac:dyDescent="0.35">
      <c r="A79" s="66" t="s">
        <v>270</v>
      </c>
      <c r="B79" s="67"/>
      <c r="C79" s="67"/>
      <c r="D79" s="68"/>
      <c r="E79" s="70"/>
      <c r="F79" s="106" t="str">
        <f>HYPERLINK("https://pbs.twimg.com/profile_images/1436659864550330375/Dcgx7DN3_normal.jpg")</f>
        <v>https://pbs.twimg.com/profile_images/1436659864550330375/Dcgx7DN3_normal.jpg</v>
      </c>
      <c r="G79" s="67"/>
      <c r="H79" s="71"/>
      <c r="I79" s="72"/>
      <c r="J79" s="72"/>
      <c r="K79" s="71" t="s">
        <v>7249</v>
      </c>
      <c r="L79" s="75"/>
      <c r="M79" s="76"/>
      <c r="N79" s="76"/>
      <c r="O79" s="77"/>
      <c r="P79" s="78"/>
      <c r="Q79" s="78"/>
      <c r="R79" s="90"/>
      <c r="S79" s="90"/>
      <c r="T79" s="90"/>
      <c r="U79" s="90"/>
      <c r="V79" s="52"/>
      <c r="W79" s="52"/>
      <c r="X79" s="52"/>
      <c r="Y79" s="52"/>
      <c r="Z79" s="51"/>
      <c r="AA79" s="73"/>
      <c r="AB79" s="73"/>
      <c r="AC79" s="74"/>
      <c r="AD79" s="80" t="s">
        <v>4258</v>
      </c>
      <c r="AE79" s="86" t="s">
        <v>5208</v>
      </c>
      <c r="AF79" s="80">
        <v>275</v>
      </c>
      <c r="AG79" s="80">
        <v>181</v>
      </c>
      <c r="AH79" s="80">
        <v>52642</v>
      </c>
      <c r="AI79" s="80">
        <v>18061</v>
      </c>
      <c r="AJ79" s="80"/>
      <c r="AK79" s="80" t="s">
        <v>5992</v>
      </c>
      <c r="AL79" s="80" t="s">
        <v>6793</v>
      </c>
      <c r="AM79" s="80"/>
      <c r="AN79" s="80"/>
      <c r="AO79" s="82">
        <v>40182.548888888887</v>
      </c>
      <c r="AP79" s="84" t="str">
        <f>HYPERLINK("https://pbs.twimg.com/profile_banners/101753823/1630733160")</f>
        <v>https://pbs.twimg.com/profile_banners/101753823/1630733160</v>
      </c>
      <c r="AQ79" s="80" t="b">
        <v>0</v>
      </c>
      <c r="AR79" s="80" t="b">
        <v>0</v>
      </c>
      <c r="AS79" s="80" t="b">
        <v>1</v>
      </c>
      <c r="AT79" s="80"/>
      <c r="AU79" s="80">
        <v>2</v>
      </c>
      <c r="AV79" s="84" t="str">
        <f>HYPERLINK("https://abs.twimg.com/images/themes/theme19/bg.gif")</f>
        <v>https://abs.twimg.com/images/themes/theme19/bg.gif</v>
      </c>
      <c r="AW79" s="80" t="b">
        <v>0</v>
      </c>
      <c r="AX79" s="80" t="s">
        <v>7173</v>
      </c>
      <c r="AY79" s="84" t="str">
        <f>HYPERLINK("https://twitter.com/nmblntsky")</f>
        <v>https://twitter.com/nmblntsky</v>
      </c>
      <c r="AZ79" s="80" t="s">
        <v>66</v>
      </c>
      <c r="BA79" s="2"/>
      <c r="BB79" s="3"/>
      <c r="BC79" s="3"/>
      <c r="BD79" s="3"/>
      <c r="BE79" s="3"/>
    </row>
    <row r="80" spans="1:57" x14ac:dyDescent="0.35">
      <c r="A80" s="66" t="s">
        <v>271</v>
      </c>
      <c r="B80" s="67"/>
      <c r="C80" s="67"/>
      <c r="D80" s="68"/>
      <c r="E80" s="70"/>
      <c r="F80" s="106" t="str">
        <f>HYPERLINK("https://pbs.twimg.com/profile_images/1441089537879330826/BPddj6OU_normal.jpg")</f>
        <v>https://pbs.twimg.com/profile_images/1441089537879330826/BPddj6OU_normal.jpg</v>
      </c>
      <c r="G80" s="67"/>
      <c r="H80" s="71"/>
      <c r="I80" s="72"/>
      <c r="J80" s="72"/>
      <c r="K80" s="71" t="s">
        <v>7250</v>
      </c>
      <c r="L80" s="75"/>
      <c r="M80" s="76"/>
      <c r="N80" s="76"/>
      <c r="O80" s="77"/>
      <c r="P80" s="78"/>
      <c r="Q80" s="78"/>
      <c r="R80" s="90"/>
      <c r="S80" s="90"/>
      <c r="T80" s="90"/>
      <c r="U80" s="90"/>
      <c r="V80" s="52"/>
      <c r="W80" s="52"/>
      <c r="X80" s="52"/>
      <c r="Y80" s="52"/>
      <c r="Z80" s="51"/>
      <c r="AA80" s="73"/>
      <c r="AB80" s="73"/>
      <c r="AC80" s="74"/>
      <c r="AD80" s="80" t="s">
        <v>4259</v>
      </c>
      <c r="AE80" s="86" t="s">
        <v>5209</v>
      </c>
      <c r="AF80" s="80">
        <v>148</v>
      </c>
      <c r="AG80" s="80">
        <v>57</v>
      </c>
      <c r="AH80" s="80">
        <v>8954</v>
      </c>
      <c r="AI80" s="80">
        <v>7588</v>
      </c>
      <c r="AJ80" s="80"/>
      <c r="AK80" s="80" t="s">
        <v>5993</v>
      </c>
      <c r="AL80" s="80"/>
      <c r="AM80" s="80"/>
      <c r="AN80" s="80"/>
      <c r="AO80" s="82">
        <v>44085.626388888886</v>
      </c>
      <c r="AP80" s="84" t="str">
        <f>HYPERLINK("https://pbs.twimg.com/profile_banners/1304434990373957632/1631809302")</f>
        <v>https://pbs.twimg.com/profile_banners/1304434990373957632/1631809302</v>
      </c>
      <c r="AQ80" s="80" t="b">
        <v>1</v>
      </c>
      <c r="AR80" s="80" t="b">
        <v>0</v>
      </c>
      <c r="AS80" s="80" t="b">
        <v>0</v>
      </c>
      <c r="AT80" s="80"/>
      <c r="AU80" s="80">
        <v>0</v>
      </c>
      <c r="AV80" s="80"/>
      <c r="AW80" s="80" t="b">
        <v>0</v>
      </c>
      <c r="AX80" s="80" t="s">
        <v>7173</v>
      </c>
      <c r="AY80" s="84" t="str">
        <f>HYPERLINK("https://twitter.com/dowoonscymbal")</f>
        <v>https://twitter.com/dowoonscymbal</v>
      </c>
      <c r="AZ80" s="80" t="s">
        <v>66</v>
      </c>
      <c r="BA80" s="2"/>
      <c r="BB80" s="3"/>
      <c r="BC80" s="3"/>
      <c r="BD80" s="3"/>
      <c r="BE80" s="3"/>
    </row>
    <row r="81" spans="1:57" x14ac:dyDescent="0.35">
      <c r="A81" s="66" t="s">
        <v>1012</v>
      </c>
      <c r="B81" s="67"/>
      <c r="C81" s="67"/>
      <c r="D81" s="68"/>
      <c r="E81" s="70"/>
      <c r="F81" s="106" t="str">
        <f>HYPERLINK("https://pbs.twimg.com/profile_images/1435719836856827907/g1weheh-_normal.jpg")</f>
        <v>https://pbs.twimg.com/profile_images/1435719836856827907/g1weheh-_normal.jpg</v>
      </c>
      <c r="G81" s="67"/>
      <c r="H81" s="71"/>
      <c r="I81" s="72"/>
      <c r="J81" s="72"/>
      <c r="K81" s="71" t="s">
        <v>7251</v>
      </c>
      <c r="L81" s="75"/>
      <c r="M81" s="76"/>
      <c r="N81" s="76"/>
      <c r="O81" s="77"/>
      <c r="P81" s="78"/>
      <c r="Q81" s="78"/>
      <c r="R81" s="90"/>
      <c r="S81" s="90"/>
      <c r="T81" s="90"/>
      <c r="U81" s="90"/>
      <c r="V81" s="52"/>
      <c r="W81" s="52"/>
      <c r="X81" s="52"/>
      <c r="Y81" s="52"/>
      <c r="Z81" s="51"/>
      <c r="AA81" s="73"/>
      <c r="AB81" s="73"/>
      <c r="AC81" s="74"/>
      <c r="AD81" s="80" t="s">
        <v>4260</v>
      </c>
      <c r="AE81" s="86" t="s">
        <v>3898</v>
      </c>
      <c r="AF81" s="80">
        <v>198</v>
      </c>
      <c r="AG81" s="80">
        <v>78</v>
      </c>
      <c r="AH81" s="80">
        <v>18926</v>
      </c>
      <c r="AI81" s="80">
        <v>8159</v>
      </c>
      <c r="AJ81" s="80"/>
      <c r="AK81" s="80" t="s">
        <v>5994</v>
      </c>
      <c r="AL81" s="80"/>
      <c r="AM81" s="84" t="str">
        <f>HYPERLINK("https://t.co/GSJmJl4eNV")</f>
        <v>https://t.co/GSJmJl4eNV</v>
      </c>
      <c r="AN81" s="80"/>
      <c r="AO81" s="82">
        <v>43396.50236111111</v>
      </c>
      <c r="AP81" s="84" t="str">
        <f>HYPERLINK("https://pbs.twimg.com/profile_banners/1054704841178542080/1632751035")</f>
        <v>https://pbs.twimg.com/profile_banners/1054704841178542080/1632751035</v>
      </c>
      <c r="AQ81" s="80" t="b">
        <v>1</v>
      </c>
      <c r="AR81" s="80" t="b">
        <v>0</v>
      </c>
      <c r="AS81" s="80" t="b">
        <v>0</v>
      </c>
      <c r="AT81" s="80"/>
      <c r="AU81" s="80">
        <v>0</v>
      </c>
      <c r="AV81" s="80"/>
      <c r="AW81" s="80" t="b">
        <v>0</v>
      </c>
      <c r="AX81" s="80" t="s">
        <v>7173</v>
      </c>
      <c r="AY81" s="84" t="str">
        <f>HYPERLINK("https://twitter.com/nungoip")</f>
        <v>https://twitter.com/nungoip</v>
      </c>
      <c r="AZ81" s="80" t="s">
        <v>65</v>
      </c>
      <c r="BA81" s="2"/>
      <c r="BB81" s="3"/>
      <c r="BC81" s="3"/>
      <c r="BD81" s="3"/>
      <c r="BE81" s="3"/>
    </row>
    <row r="82" spans="1:57" x14ac:dyDescent="0.35">
      <c r="A82" s="66" t="s">
        <v>272</v>
      </c>
      <c r="B82" s="67"/>
      <c r="C82" s="67"/>
      <c r="D82" s="68"/>
      <c r="E82" s="70"/>
      <c r="F82" s="106" t="str">
        <f>HYPERLINK("https://pbs.twimg.com/profile_images/1380108653508714499/tgluJlKK_normal.jpg")</f>
        <v>https://pbs.twimg.com/profile_images/1380108653508714499/tgluJlKK_normal.jpg</v>
      </c>
      <c r="G82" s="67"/>
      <c r="H82" s="71"/>
      <c r="I82" s="72"/>
      <c r="J82" s="72"/>
      <c r="K82" s="71" t="s">
        <v>7252</v>
      </c>
      <c r="L82" s="75"/>
      <c r="M82" s="76"/>
      <c r="N82" s="76"/>
      <c r="O82" s="77"/>
      <c r="P82" s="78"/>
      <c r="Q82" s="78"/>
      <c r="R82" s="90"/>
      <c r="S82" s="90"/>
      <c r="T82" s="90"/>
      <c r="U82" s="90"/>
      <c r="V82" s="52"/>
      <c r="W82" s="52"/>
      <c r="X82" s="52"/>
      <c r="Y82" s="52"/>
      <c r="Z82" s="51"/>
      <c r="AA82" s="73"/>
      <c r="AB82" s="73"/>
      <c r="AC82" s="74"/>
      <c r="AD82" s="80" t="s">
        <v>4261</v>
      </c>
      <c r="AE82" s="86" t="s">
        <v>5210</v>
      </c>
      <c r="AF82" s="80">
        <v>1898</v>
      </c>
      <c r="AG82" s="80">
        <v>31270</v>
      </c>
      <c r="AH82" s="80">
        <v>16133</v>
      </c>
      <c r="AI82" s="80">
        <v>7254</v>
      </c>
      <c r="AJ82" s="80"/>
      <c r="AK82" s="80" t="s">
        <v>5995</v>
      </c>
      <c r="AL82" s="80" t="s">
        <v>6794</v>
      </c>
      <c r="AM82" s="84" t="str">
        <f>HYPERLINK("https://t.co/eWXEeBtX6s")</f>
        <v>https://t.co/eWXEeBtX6s</v>
      </c>
      <c r="AN82" s="80"/>
      <c r="AO82" s="82">
        <v>41436.563067129631</v>
      </c>
      <c r="AP82" s="84" t="str">
        <f>HYPERLINK("https://pbs.twimg.com/profile_banners/1503250820/1617700724")</f>
        <v>https://pbs.twimg.com/profile_banners/1503250820/1617700724</v>
      </c>
      <c r="AQ82" s="80" t="b">
        <v>0</v>
      </c>
      <c r="AR82" s="80" t="b">
        <v>0</v>
      </c>
      <c r="AS82" s="80" t="b">
        <v>0</v>
      </c>
      <c r="AT82" s="80"/>
      <c r="AU82" s="80">
        <v>4</v>
      </c>
      <c r="AV82" s="84" t="str">
        <f>HYPERLINK("https://abs.twimg.com/images/themes/theme1/bg.png")</f>
        <v>https://abs.twimg.com/images/themes/theme1/bg.png</v>
      </c>
      <c r="AW82" s="80" t="b">
        <v>0</v>
      </c>
      <c r="AX82" s="80" t="s">
        <v>7173</v>
      </c>
      <c r="AY82" s="84" t="str">
        <f>HYPERLINK("https://twitter.com/greatofkratos")</f>
        <v>https://twitter.com/greatofkratos</v>
      </c>
      <c r="AZ82" s="80" t="s">
        <v>66</v>
      </c>
      <c r="BA82" s="2"/>
      <c r="BB82" s="3"/>
      <c r="BC82" s="3"/>
      <c r="BD82" s="3"/>
      <c r="BE82" s="3"/>
    </row>
    <row r="83" spans="1:57" x14ac:dyDescent="0.35">
      <c r="A83" s="66" t="s">
        <v>273</v>
      </c>
      <c r="B83" s="67"/>
      <c r="C83" s="67"/>
      <c r="D83" s="68"/>
      <c r="E83" s="70"/>
      <c r="F83" s="106" t="str">
        <f>HYPERLINK("https://pbs.twimg.com/profile_images/1424074358507544580/d59zxem1_normal.jpg")</f>
        <v>https://pbs.twimg.com/profile_images/1424074358507544580/d59zxem1_normal.jpg</v>
      </c>
      <c r="G83" s="67"/>
      <c r="H83" s="71"/>
      <c r="I83" s="72"/>
      <c r="J83" s="72"/>
      <c r="K83" s="71" t="s">
        <v>7253</v>
      </c>
      <c r="L83" s="75"/>
      <c r="M83" s="76"/>
      <c r="N83" s="76"/>
      <c r="O83" s="77"/>
      <c r="P83" s="78"/>
      <c r="Q83" s="78"/>
      <c r="R83" s="90"/>
      <c r="S83" s="90"/>
      <c r="T83" s="90"/>
      <c r="U83" s="90"/>
      <c r="V83" s="52"/>
      <c r="W83" s="52"/>
      <c r="X83" s="52"/>
      <c r="Y83" s="52"/>
      <c r="Z83" s="51"/>
      <c r="AA83" s="73"/>
      <c r="AB83" s="73"/>
      <c r="AC83" s="74"/>
      <c r="AD83" s="80" t="s">
        <v>4262</v>
      </c>
      <c r="AE83" s="86" t="s">
        <v>5211</v>
      </c>
      <c r="AF83" s="80">
        <v>94</v>
      </c>
      <c r="AG83" s="80">
        <v>39</v>
      </c>
      <c r="AH83" s="80">
        <v>509</v>
      </c>
      <c r="AI83" s="80">
        <v>205</v>
      </c>
      <c r="AJ83" s="80"/>
      <c r="AK83" s="80" t="s">
        <v>5996</v>
      </c>
      <c r="AL83" s="80"/>
      <c r="AM83" s="84" t="str">
        <f>HYPERLINK("https://t.co/cesTGjwQQh")</f>
        <v>https://t.co/cesTGjwQQh</v>
      </c>
      <c r="AN83" s="80"/>
      <c r="AO83" s="82">
        <v>44289.747071759259</v>
      </c>
      <c r="AP83" s="84" t="str">
        <f>HYPERLINK("https://pbs.twimg.com/profile_banners/1378405819117539329/1628360885")</f>
        <v>https://pbs.twimg.com/profile_banners/1378405819117539329/1628360885</v>
      </c>
      <c r="AQ83" s="80" t="b">
        <v>1</v>
      </c>
      <c r="AR83" s="80" t="b">
        <v>0</v>
      </c>
      <c r="AS83" s="80" t="b">
        <v>0</v>
      </c>
      <c r="AT83" s="80"/>
      <c r="AU83" s="80">
        <v>0</v>
      </c>
      <c r="AV83" s="80"/>
      <c r="AW83" s="80" t="b">
        <v>0</v>
      </c>
      <c r="AX83" s="80" t="s">
        <v>7173</v>
      </c>
      <c r="AY83" s="84" t="str">
        <f>HYPERLINK("https://twitter.com/chimimaki1")</f>
        <v>https://twitter.com/chimimaki1</v>
      </c>
      <c r="AZ83" s="80" t="s">
        <v>66</v>
      </c>
      <c r="BA83" s="2"/>
      <c r="BB83" s="3"/>
      <c r="BC83" s="3"/>
      <c r="BD83" s="3"/>
      <c r="BE83" s="3"/>
    </row>
    <row r="84" spans="1:57" x14ac:dyDescent="0.35">
      <c r="A84" s="66" t="s">
        <v>1013</v>
      </c>
      <c r="B84" s="67"/>
      <c r="C84" s="67"/>
      <c r="D84" s="68"/>
      <c r="E84" s="70"/>
      <c r="F84" s="106" t="str">
        <f>HYPERLINK("https://pbs.twimg.com/profile_images/1408842530167291906/OKovMxIj_normal.jpg")</f>
        <v>https://pbs.twimg.com/profile_images/1408842530167291906/OKovMxIj_normal.jpg</v>
      </c>
      <c r="G84" s="67"/>
      <c r="H84" s="71"/>
      <c r="I84" s="72"/>
      <c r="J84" s="72"/>
      <c r="K84" s="71" t="s">
        <v>7254</v>
      </c>
      <c r="L84" s="75"/>
      <c r="M84" s="76"/>
      <c r="N84" s="76"/>
      <c r="O84" s="77"/>
      <c r="P84" s="78"/>
      <c r="Q84" s="78"/>
      <c r="R84" s="90"/>
      <c r="S84" s="90"/>
      <c r="T84" s="90"/>
      <c r="U84" s="90"/>
      <c r="V84" s="52"/>
      <c r="W84" s="52"/>
      <c r="X84" s="52"/>
      <c r="Y84" s="52"/>
      <c r="Z84" s="51"/>
      <c r="AA84" s="73"/>
      <c r="AB84" s="73"/>
      <c r="AC84" s="74"/>
      <c r="AD84" s="80" t="s">
        <v>4263</v>
      </c>
      <c r="AE84" s="86" t="s">
        <v>3899</v>
      </c>
      <c r="AF84" s="80">
        <v>626</v>
      </c>
      <c r="AG84" s="80">
        <v>410</v>
      </c>
      <c r="AH84" s="80">
        <v>14639</v>
      </c>
      <c r="AI84" s="80">
        <v>95</v>
      </c>
      <c r="AJ84" s="80"/>
      <c r="AK84" s="80" t="s">
        <v>5997</v>
      </c>
      <c r="AL84" s="80" t="s">
        <v>6795</v>
      </c>
      <c r="AM84" s="80"/>
      <c r="AN84" s="80"/>
      <c r="AO84" s="82">
        <v>40659.183113425926</v>
      </c>
      <c r="AP84" s="84" t="str">
        <f>HYPERLINK("https://pbs.twimg.com/profile_banners/288046248/1355848011")</f>
        <v>https://pbs.twimg.com/profile_banners/288046248/1355848011</v>
      </c>
      <c r="AQ84" s="80" t="b">
        <v>0</v>
      </c>
      <c r="AR84" s="80" t="b">
        <v>0</v>
      </c>
      <c r="AS84" s="80" t="b">
        <v>1</v>
      </c>
      <c r="AT84" s="80"/>
      <c r="AU84" s="80">
        <v>0</v>
      </c>
      <c r="AV84" s="84" t="str">
        <f>HYPERLINK("https://abs.twimg.com/images/themes/theme14/bg.gif")</f>
        <v>https://abs.twimg.com/images/themes/theme14/bg.gif</v>
      </c>
      <c r="AW84" s="80" t="b">
        <v>0</v>
      </c>
      <c r="AX84" s="80" t="s">
        <v>7173</v>
      </c>
      <c r="AY84" s="84" t="str">
        <f>HYPERLINK("https://twitter.com/eliserizu")</f>
        <v>https://twitter.com/eliserizu</v>
      </c>
      <c r="AZ84" s="80" t="s">
        <v>65</v>
      </c>
      <c r="BA84" s="2"/>
      <c r="BB84" s="3"/>
      <c r="BC84" s="3"/>
      <c r="BD84" s="3"/>
      <c r="BE84" s="3"/>
    </row>
    <row r="85" spans="1:57" x14ac:dyDescent="0.35">
      <c r="A85" s="66" t="s">
        <v>274</v>
      </c>
      <c r="B85" s="67"/>
      <c r="C85" s="67"/>
      <c r="D85" s="68"/>
      <c r="E85" s="70"/>
      <c r="F85" s="106" t="str">
        <f>HYPERLINK("https://pbs.twimg.com/profile_images/1442151042884329473/1VQRB0RV_normal.jpg")</f>
        <v>https://pbs.twimg.com/profile_images/1442151042884329473/1VQRB0RV_normal.jpg</v>
      </c>
      <c r="G85" s="67"/>
      <c r="H85" s="71"/>
      <c r="I85" s="72"/>
      <c r="J85" s="72"/>
      <c r="K85" s="71" t="s">
        <v>7255</v>
      </c>
      <c r="L85" s="75"/>
      <c r="M85" s="76"/>
      <c r="N85" s="76"/>
      <c r="O85" s="77"/>
      <c r="P85" s="78"/>
      <c r="Q85" s="78"/>
      <c r="R85" s="90"/>
      <c r="S85" s="90"/>
      <c r="T85" s="90"/>
      <c r="U85" s="90"/>
      <c r="V85" s="52"/>
      <c r="W85" s="52"/>
      <c r="X85" s="52"/>
      <c r="Y85" s="52"/>
      <c r="Z85" s="51"/>
      <c r="AA85" s="73"/>
      <c r="AB85" s="73"/>
      <c r="AC85" s="74"/>
      <c r="AD85" s="80" t="s">
        <v>4264</v>
      </c>
      <c r="AE85" s="86" t="s">
        <v>3900</v>
      </c>
      <c r="AF85" s="80">
        <v>48</v>
      </c>
      <c r="AG85" s="80">
        <v>39</v>
      </c>
      <c r="AH85" s="80">
        <v>7355</v>
      </c>
      <c r="AI85" s="80">
        <v>3379</v>
      </c>
      <c r="AJ85" s="80"/>
      <c r="AK85" s="80" t="s">
        <v>5998</v>
      </c>
      <c r="AL85" s="80" t="s">
        <v>6796</v>
      </c>
      <c r="AM85" s="80"/>
      <c r="AN85" s="80"/>
      <c r="AO85" s="82">
        <v>42128.781793981485</v>
      </c>
      <c r="AP85" s="84" t="str">
        <f>HYPERLINK("https://pbs.twimg.com/profile_banners/3185513942/1581387839")</f>
        <v>https://pbs.twimg.com/profile_banners/3185513942/1581387839</v>
      </c>
      <c r="AQ85" s="80" t="b">
        <v>1</v>
      </c>
      <c r="AR85" s="80" t="b">
        <v>0</v>
      </c>
      <c r="AS85" s="80" t="b">
        <v>0</v>
      </c>
      <c r="AT85" s="80"/>
      <c r="AU85" s="80">
        <v>0</v>
      </c>
      <c r="AV85" s="84" t="str">
        <f>HYPERLINK("https://abs.twimg.com/images/themes/theme1/bg.png")</f>
        <v>https://abs.twimg.com/images/themes/theme1/bg.png</v>
      </c>
      <c r="AW85" s="80" t="b">
        <v>0</v>
      </c>
      <c r="AX85" s="80" t="s">
        <v>7173</v>
      </c>
      <c r="AY85" s="84" t="str">
        <f>HYPERLINK("https://twitter.com/imyuours")</f>
        <v>https://twitter.com/imyuours</v>
      </c>
      <c r="AZ85" s="80" t="s">
        <v>66</v>
      </c>
      <c r="BA85" s="2"/>
      <c r="BB85" s="3"/>
      <c r="BC85" s="3"/>
      <c r="BD85" s="3"/>
      <c r="BE85" s="3"/>
    </row>
    <row r="86" spans="1:57" x14ac:dyDescent="0.35">
      <c r="A86" s="66" t="s">
        <v>275</v>
      </c>
      <c r="B86" s="67"/>
      <c r="C86" s="67"/>
      <c r="D86" s="68"/>
      <c r="E86" s="70"/>
      <c r="F86" s="106" t="str">
        <f>HYPERLINK("https://pbs.twimg.com/profile_images/1360161962122833920/6pxolvFe_normal.jpg")</f>
        <v>https://pbs.twimg.com/profile_images/1360161962122833920/6pxolvFe_normal.jpg</v>
      </c>
      <c r="G86" s="67"/>
      <c r="H86" s="71"/>
      <c r="I86" s="72"/>
      <c r="J86" s="72"/>
      <c r="K86" s="71" t="s">
        <v>7256</v>
      </c>
      <c r="L86" s="75"/>
      <c r="M86" s="76"/>
      <c r="N86" s="76"/>
      <c r="O86" s="77"/>
      <c r="P86" s="78"/>
      <c r="Q86" s="78"/>
      <c r="R86" s="90"/>
      <c r="S86" s="90"/>
      <c r="T86" s="90"/>
      <c r="U86" s="90"/>
      <c r="V86" s="52"/>
      <c r="W86" s="52"/>
      <c r="X86" s="52"/>
      <c r="Y86" s="52"/>
      <c r="Z86" s="51"/>
      <c r="AA86" s="73"/>
      <c r="AB86" s="73"/>
      <c r="AC86" s="74"/>
      <c r="AD86" s="80" t="s">
        <v>4265</v>
      </c>
      <c r="AE86" s="86" t="s">
        <v>3901</v>
      </c>
      <c r="AF86" s="80">
        <v>638</v>
      </c>
      <c r="AG86" s="80">
        <v>766</v>
      </c>
      <c r="AH86" s="80">
        <v>2257</v>
      </c>
      <c r="AI86" s="80">
        <v>3740</v>
      </c>
      <c r="AJ86" s="80"/>
      <c r="AK86" s="80" t="s">
        <v>5999</v>
      </c>
      <c r="AL86" s="80" t="s">
        <v>6797</v>
      </c>
      <c r="AM86" s="80"/>
      <c r="AN86" s="80"/>
      <c r="AO86" s="82">
        <v>43360.52920138889</v>
      </c>
      <c r="AP86" s="84" t="str">
        <f>HYPERLINK("https://pbs.twimg.com/profile_banners/1041668603643228160/1610887096")</f>
        <v>https://pbs.twimg.com/profile_banners/1041668603643228160/1610887096</v>
      </c>
      <c r="AQ86" s="80" t="b">
        <v>1</v>
      </c>
      <c r="AR86" s="80" t="b">
        <v>0</v>
      </c>
      <c r="AS86" s="80" t="b">
        <v>0</v>
      </c>
      <c r="AT86" s="80"/>
      <c r="AU86" s="80">
        <v>1</v>
      </c>
      <c r="AV86" s="80"/>
      <c r="AW86" s="80" t="b">
        <v>0</v>
      </c>
      <c r="AX86" s="80" t="s">
        <v>7173</v>
      </c>
      <c r="AY86" s="84" t="str">
        <f>HYPERLINK("https://twitter.com/ceritaeva")</f>
        <v>https://twitter.com/ceritaeva</v>
      </c>
      <c r="AZ86" s="80" t="s">
        <v>66</v>
      </c>
      <c r="BA86" s="2"/>
      <c r="BB86" s="3"/>
      <c r="BC86" s="3"/>
      <c r="BD86" s="3"/>
      <c r="BE86" s="3"/>
    </row>
    <row r="87" spans="1:57" x14ac:dyDescent="0.35">
      <c r="A87" s="66" t="s">
        <v>276</v>
      </c>
      <c r="B87" s="67"/>
      <c r="C87" s="67"/>
      <c r="D87" s="68"/>
      <c r="E87" s="70"/>
      <c r="F87" s="106" t="str">
        <f>HYPERLINK("https://pbs.twimg.com/profile_images/1436271047485968384/5L6F8qgX_normal.jpg")</f>
        <v>https://pbs.twimg.com/profile_images/1436271047485968384/5L6F8qgX_normal.jpg</v>
      </c>
      <c r="G87" s="67"/>
      <c r="H87" s="71"/>
      <c r="I87" s="72"/>
      <c r="J87" s="72"/>
      <c r="K87" s="71" t="s">
        <v>7257</v>
      </c>
      <c r="L87" s="75"/>
      <c r="M87" s="76"/>
      <c r="N87" s="76"/>
      <c r="O87" s="77"/>
      <c r="P87" s="78"/>
      <c r="Q87" s="78"/>
      <c r="R87" s="90"/>
      <c r="S87" s="90"/>
      <c r="T87" s="90"/>
      <c r="U87" s="90"/>
      <c r="V87" s="52"/>
      <c r="W87" s="52"/>
      <c r="X87" s="52"/>
      <c r="Y87" s="52"/>
      <c r="Z87" s="51"/>
      <c r="AA87" s="73"/>
      <c r="AB87" s="73"/>
      <c r="AC87" s="74"/>
      <c r="AD87" s="80" t="s">
        <v>4266</v>
      </c>
      <c r="AE87" s="86" t="s">
        <v>5212</v>
      </c>
      <c r="AF87" s="80">
        <v>170</v>
      </c>
      <c r="AG87" s="80">
        <v>211</v>
      </c>
      <c r="AH87" s="80">
        <v>8337</v>
      </c>
      <c r="AI87" s="80">
        <v>53</v>
      </c>
      <c r="AJ87" s="80"/>
      <c r="AK87" s="80" t="s">
        <v>6000</v>
      </c>
      <c r="AL87" s="80" t="s">
        <v>6798</v>
      </c>
      <c r="AM87" s="80"/>
      <c r="AN87" s="80"/>
      <c r="AO87" s="82">
        <v>41194.136874999997</v>
      </c>
      <c r="AP87" s="84" t="str">
        <f>HYPERLINK("https://pbs.twimg.com/profile_banners/874841900/1580160366")</f>
        <v>https://pbs.twimg.com/profile_banners/874841900/1580160366</v>
      </c>
      <c r="AQ87" s="80" t="b">
        <v>0</v>
      </c>
      <c r="AR87" s="80" t="b">
        <v>0</v>
      </c>
      <c r="AS87" s="80" t="b">
        <v>1</v>
      </c>
      <c r="AT87" s="80"/>
      <c r="AU87" s="80">
        <v>0</v>
      </c>
      <c r="AV87" s="84" t="str">
        <f>HYPERLINK("https://abs.twimg.com/images/themes/theme14/bg.gif")</f>
        <v>https://abs.twimg.com/images/themes/theme14/bg.gif</v>
      </c>
      <c r="AW87" s="80" t="b">
        <v>0</v>
      </c>
      <c r="AX87" s="80" t="s">
        <v>7173</v>
      </c>
      <c r="AY87" s="84" t="str">
        <f>HYPERLINK("https://twitter.com/ageng_awe")</f>
        <v>https://twitter.com/ageng_awe</v>
      </c>
      <c r="AZ87" s="80" t="s">
        <v>66</v>
      </c>
      <c r="BA87" s="2"/>
      <c r="BB87" s="3"/>
      <c r="BC87" s="3"/>
      <c r="BD87" s="3"/>
      <c r="BE87" s="3"/>
    </row>
    <row r="88" spans="1:57" x14ac:dyDescent="0.35">
      <c r="A88" s="66" t="s">
        <v>772</v>
      </c>
      <c r="B88" s="67"/>
      <c r="C88" s="67"/>
      <c r="D88" s="68"/>
      <c r="E88" s="70"/>
      <c r="F88" s="106" t="str">
        <f>HYPERLINK("https://pbs.twimg.com/profile_images/1237603396497993730/qxEdmAue_normal.jpg")</f>
        <v>https://pbs.twimg.com/profile_images/1237603396497993730/qxEdmAue_normal.jpg</v>
      </c>
      <c r="G88" s="67"/>
      <c r="H88" s="71"/>
      <c r="I88" s="72"/>
      <c r="J88" s="72"/>
      <c r="K88" s="71" t="s">
        <v>7258</v>
      </c>
      <c r="L88" s="75"/>
      <c r="M88" s="76"/>
      <c r="N88" s="76"/>
      <c r="O88" s="77"/>
      <c r="P88" s="78"/>
      <c r="Q88" s="78"/>
      <c r="R88" s="90"/>
      <c r="S88" s="90"/>
      <c r="T88" s="90"/>
      <c r="U88" s="90"/>
      <c r="V88" s="52"/>
      <c r="W88" s="52"/>
      <c r="X88" s="52"/>
      <c r="Y88" s="52"/>
      <c r="Z88" s="51"/>
      <c r="AA88" s="73"/>
      <c r="AB88" s="73"/>
      <c r="AC88" s="74"/>
      <c r="AD88" s="80" t="s">
        <v>4267</v>
      </c>
      <c r="AE88" s="86" t="s">
        <v>3902</v>
      </c>
      <c r="AF88" s="80">
        <v>3730</v>
      </c>
      <c r="AG88" s="80">
        <v>30059</v>
      </c>
      <c r="AH88" s="80">
        <v>189546</v>
      </c>
      <c r="AI88" s="80">
        <v>938</v>
      </c>
      <c r="AJ88" s="80"/>
      <c r="AK88" s="80" t="s">
        <v>6001</v>
      </c>
      <c r="AL88" s="80" t="s">
        <v>6799</v>
      </c>
      <c r="AM88" s="84" t="str">
        <f>HYPERLINK("https://t.co/X9qwrB9lgC")</f>
        <v>https://t.co/X9qwrB9lgC</v>
      </c>
      <c r="AN88" s="80"/>
      <c r="AO88" s="82">
        <v>41682.392951388887</v>
      </c>
      <c r="AP88" s="84" t="str">
        <f>HYPERLINK("https://pbs.twimg.com/profile_banners/2340043838/1605004354")</f>
        <v>https://pbs.twimg.com/profile_banners/2340043838/1605004354</v>
      </c>
      <c r="AQ88" s="80" t="b">
        <v>1</v>
      </c>
      <c r="AR88" s="80" t="b">
        <v>0</v>
      </c>
      <c r="AS88" s="80" t="b">
        <v>1</v>
      </c>
      <c r="AT88" s="80"/>
      <c r="AU88" s="80">
        <v>109</v>
      </c>
      <c r="AV88" s="84" t="str">
        <f>HYPERLINK("https://abs.twimg.com/images/themes/theme1/bg.png")</f>
        <v>https://abs.twimg.com/images/themes/theme1/bg.png</v>
      </c>
      <c r="AW88" s="80" t="b">
        <v>0</v>
      </c>
      <c r="AX88" s="80" t="s">
        <v>7173</v>
      </c>
      <c r="AY88" s="84" t="str">
        <f>HYPERLINK("https://twitter.com/unsfess_")</f>
        <v>https://twitter.com/unsfess_</v>
      </c>
      <c r="AZ88" s="80" t="s">
        <v>66</v>
      </c>
      <c r="BA88" s="2"/>
      <c r="BB88" s="3"/>
      <c r="BC88" s="3"/>
      <c r="BD88" s="3"/>
      <c r="BE88" s="3"/>
    </row>
    <row r="89" spans="1:57" x14ac:dyDescent="0.35">
      <c r="A89" s="66" t="s">
        <v>277</v>
      </c>
      <c r="B89" s="67"/>
      <c r="C89" s="67"/>
      <c r="D89" s="68"/>
      <c r="E89" s="70"/>
      <c r="F89" s="106" t="str">
        <f>HYPERLINK("https://pbs.twimg.com/profile_images/1373867762901078017/tGMsFoc1_normal.jpg")</f>
        <v>https://pbs.twimg.com/profile_images/1373867762901078017/tGMsFoc1_normal.jpg</v>
      </c>
      <c r="G89" s="67"/>
      <c r="H89" s="71"/>
      <c r="I89" s="72"/>
      <c r="J89" s="72"/>
      <c r="K89" s="71" t="s">
        <v>7259</v>
      </c>
      <c r="L89" s="75"/>
      <c r="M89" s="76"/>
      <c r="N89" s="76"/>
      <c r="O89" s="77"/>
      <c r="P89" s="78"/>
      <c r="Q89" s="78"/>
      <c r="R89" s="90"/>
      <c r="S89" s="90"/>
      <c r="T89" s="90"/>
      <c r="U89" s="90"/>
      <c r="V89" s="52"/>
      <c r="W89" s="52"/>
      <c r="X89" s="52"/>
      <c r="Y89" s="52"/>
      <c r="Z89" s="51"/>
      <c r="AA89" s="73"/>
      <c r="AB89" s="73"/>
      <c r="AC89" s="74"/>
      <c r="AD89" s="80" t="s">
        <v>4268</v>
      </c>
      <c r="AE89" s="86" t="s">
        <v>5213</v>
      </c>
      <c r="AF89" s="80">
        <v>1034</v>
      </c>
      <c r="AG89" s="80">
        <v>1020</v>
      </c>
      <c r="AH89" s="80">
        <v>2085</v>
      </c>
      <c r="AI89" s="80">
        <v>96</v>
      </c>
      <c r="AJ89" s="80"/>
      <c r="AK89" s="80" t="s">
        <v>6002</v>
      </c>
      <c r="AL89" s="80"/>
      <c r="AM89" s="80"/>
      <c r="AN89" s="80"/>
      <c r="AO89" s="82">
        <v>44104.169710648152</v>
      </c>
      <c r="AP89" s="80"/>
      <c r="AQ89" s="80" t="b">
        <v>1</v>
      </c>
      <c r="AR89" s="80" t="b">
        <v>0</v>
      </c>
      <c r="AS89" s="80" t="b">
        <v>0</v>
      </c>
      <c r="AT89" s="80"/>
      <c r="AU89" s="80">
        <v>0</v>
      </c>
      <c r="AV89" s="80"/>
      <c r="AW89" s="80" t="b">
        <v>0</v>
      </c>
      <c r="AX89" s="80" t="s">
        <v>7173</v>
      </c>
      <c r="AY89" s="84" t="str">
        <f>HYPERLINK("https://twitter.com/kbrindns")</f>
        <v>https://twitter.com/kbrindns</v>
      </c>
      <c r="AZ89" s="80" t="s">
        <v>66</v>
      </c>
      <c r="BA89" s="2"/>
      <c r="BB89" s="3"/>
      <c r="BC89" s="3"/>
      <c r="BD89" s="3"/>
      <c r="BE89" s="3"/>
    </row>
    <row r="90" spans="1:57" x14ac:dyDescent="0.35">
      <c r="A90" s="66" t="s">
        <v>278</v>
      </c>
      <c r="B90" s="67"/>
      <c r="C90" s="67"/>
      <c r="D90" s="68"/>
      <c r="E90" s="70"/>
      <c r="F90" s="106" t="str">
        <f>HYPERLINK("https://pbs.twimg.com/profile_images/1287278476383227904/a4acW3gK_normal.jpg")</f>
        <v>https://pbs.twimg.com/profile_images/1287278476383227904/a4acW3gK_normal.jpg</v>
      </c>
      <c r="G90" s="67"/>
      <c r="H90" s="71"/>
      <c r="I90" s="72"/>
      <c r="J90" s="72"/>
      <c r="K90" s="71" t="s">
        <v>7260</v>
      </c>
      <c r="L90" s="75"/>
      <c r="M90" s="76"/>
      <c r="N90" s="76"/>
      <c r="O90" s="77"/>
      <c r="P90" s="78"/>
      <c r="Q90" s="78"/>
      <c r="R90" s="90"/>
      <c r="S90" s="90"/>
      <c r="T90" s="90"/>
      <c r="U90" s="90"/>
      <c r="V90" s="52"/>
      <c r="W90" s="52"/>
      <c r="X90" s="52"/>
      <c r="Y90" s="52"/>
      <c r="Z90" s="51"/>
      <c r="AA90" s="73"/>
      <c r="AB90" s="73"/>
      <c r="AC90" s="74"/>
      <c r="AD90" s="80" t="s">
        <v>4269</v>
      </c>
      <c r="AE90" s="86" t="s">
        <v>5214</v>
      </c>
      <c r="AF90" s="80">
        <v>1170</v>
      </c>
      <c r="AG90" s="80">
        <v>1050</v>
      </c>
      <c r="AH90" s="80">
        <v>30637</v>
      </c>
      <c r="AI90" s="80">
        <v>25360</v>
      </c>
      <c r="AJ90" s="80"/>
      <c r="AK90" s="80" t="s">
        <v>6003</v>
      </c>
      <c r="AL90" s="80"/>
      <c r="AM90" s="80"/>
      <c r="AN90" s="80"/>
      <c r="AO90" s="82">
        <v>44038.271099537036</v>
      </c>
      <c r="AP90" s="84" t="str">
        <f>HYPERLINK("https://pbs.twimg.com/profile_banners/1287273887269412866/1604109563")</f>
        <v>https://pbs.twimg.com/profile_banners/1287273887269412866/1604109563</v>
      </c>
      <c r="AQ90" s="80" t="b">
        <v>1</v>
      </c>
      <c r="AR90" s="80" t="b">
        <v>0</v>
      </c>
      <c r="AS90" s="80" t="b">
        <v>0</v>
      </c>
      <c r="AT90" s="80"/>
      <c r="AU90" s="80">
        <v>0</v>
      </c>
      <c r="AV90" s="80"/>
      <c r="AW90" s="80" t="b">
        <v>0</v>
      </c>
      <c r="AX90" s="80" t="s">
        <v>7173</v>
      </c>
      <c r="AY90" s="84" t="str">
        <f>HYPERLINK("https://twitter.com/manoharasekar")</f>
        <v>https://twitter.com/manoharasekar</v>
      </c>
      <c r="AZ90" s="80" t="s">
        <v>66</v>
      </c>
      <c r="BA90" s="2"/>
      <c r="BB90" s="3"/>
      <c r="BC90" s="3"/>
      <c r="BD90" s="3"/>
      <c r="BE90" s="3"/>
    </row>
    <row r="91" spans="1:57" x14ac:dyDescent="0.35">
      <c r="A91" s="66" t="s">
        <v>279</v>
      </c>
      <c r="B91" s="67"/>
      <c r="C91" s="67"/>
      <c r="D91" s="68"/>
      <c r="E91" s="70"/>
      <c r="F91" s="106" t="str">
        <f>HYPERLINK("https://pbs.twimg.com/profile_images/1404683003788349441/hF2kQcY1_normal.jpg")</f>
        <v>https://pbs.twimg.com/profile_images/1404683003788349441/hF2kQcY1_normal.jpg</v>
      </c>
      <c r="G91" s="67"/>
      <c r="H91" s="71"/>
      <c r="I91" s="72"/>
      <c r="J91" s="72"/>
      <c r="K91" s="71" t="s">
        <v>7261</v>
      </c>
      <c r="L91" s="75"/>
      <c r="M91" s="76"/>
      <c r="N91" s="76"/>
      <c r="O91" s="77"/>
      <c r="P91" s="78"/>
      <c r="Q91" s="78"/>
      <c r="R91" s="90"/>
      <c r="S91" s="90"/>
      <c r="T91" s="90"/>
      <c r="U91" s="90"/>
      <c r="V91" s="52"/>
      <c r="W91" s="52"/>
      <c r="X91" s="52"/>
      <c r="Y91" s="52"/>
      <c r="Z91" s="51"/>
      <c r="AA91" s="73"/>
      <c r="AB91" s="73"/>
      <c r="AC91" s="74"/>
      <c r="AD91" s="80" t="s">
        <v>4270</v>
      </c>
      <c r="AE91" s="86" t="s">
        <v>5215</v>
      </c>
      <c r="AF91" s="80">
        <v>1841</v>
      </c>
      <c r="AG91" s="80">
        <v>1911</v>
      </c>
      <c r="AH91" s="80">
        <v>877</v>
      </c>
      <c r="AI91" s="80">
        <v>489</v>
      </c>
      <c r="AJ91" s="80"/>
      <c r="AK91" s="80" t="s">
        <v>6004</v>
      </c>
      <c r="AL91" s="80"/>
      <c r="AM91" s="80"/>
      <c r="AN91" s="80"/>
      <c r="AO91" s="82">
        <v>44019.520231481481</v>
      </c>
      <c r="AP91" s="84" t="str">
        <f>HYPERLINK("https://pbs.twimg.com/profile_banners/1280478854197329920/1595083685")</f>
        <v>https://pbs.twimg.com/profile_banners/1280478854197329920/1595083685</v>
      </c>
      <c r="AQ91" s="80" t="b">
        <v>1</v>
      </c>
      <c r="AR91" s="80" t="b">
        <v>0</v>
      </c>
      <c r="AS91" s="80" t="b">
        <v>0</v>
      </c>
      <c r="AT91" s="80"/>
      <c r="AU91" s="80">
        <v>0</v>
      </c>
      <c r="AV91" s="80"/>
      <c r="AW91" s="80" t="b">
        <v>0</v>
      </c>
      <c r="AX91" s="80" t="s">
        <v>7173</v>
      </c>
      <c r="AY91" s="84" t="str">
        <f>HYPERLINK("https://twitter.com/mata_hati19")</f>
        <v>https://twitter.com/mata_hati19</v>
      </c>
      <c r="AZ91" s="80" t="s">
        <v>66</v>
      </c>
      <c r="BA91" s="2"/>
      <c r="BB91" s="3"/>
      <c r="BC91" s="3"/>
      <c r="BD91" s="3"/>
      <c r="BE91" s="3"/>
    </row>
    <row r="92" spans="1:57" x14ac:dyDescent="0.35">
      <c r="A92" s="66" t="s">
        <v>1014</v>
      </c>
      <c r="B92" s="67"/>
      <c r="C92" s="67"/>
      <c r="D92" s="68"/>
      <c r="E92" s="70"/>
      <c r="F92" s="106" t="str">
        <f>HYPERLINK("https://pbs.twimg.com/profile_images/1195357865298550786/gnMNJggm_normal.jpg")</f>
        <v>https://pbs.twimg.com/profile_images/1195357865298550786/gnMNJggm_normal.jpg</v>
      </c>
      <c r="G92" s="67"/>
      <c r="H92" s="71"/>
      <c r="I92" s="72"/>
      <c r="J92" s="72"/>
      <c r="K92" s="71" t="s">
        <v>7262</v>
      </c>
      <c r="L92" s="75"/>
      <c r="M92" s="76"/>
      <c r="N92" s="76"/>
      <c r="O92" s="77"/>
      <c r="P92" s="78"/>
      <c r="Q92" s="78"/>
      <c r="R92" s="90"/>
      <c r="S92" s="90"/>
      <c r="T92" s="90"/>
      <c r="U92" s="90"/>
      <c r="V92" s="52"/>
      <c r="W92" s="52"/>
      <c r="X92" s="52"/>
      <c r="Y92" s="52"/>
      <c r="Z92" s="51"/>
      <c r="AA92" s="73"/>
      <c r="AB92" s="73"/>
      <c r="AC92" s="74"/>
      <c r="AD92" s="80" t="s">
        <v>4271</v>
      </c>
      <c r="AE92" s="86" t="s">
        <v>5216</v>
      </c>
      <c r="AF92" s="80">
        <v>3507</v>
      </c>
      <c r="AG92" s="80">
        <v>2627</v>
      </c>
      <c r="AH92" s="80">
        <v>108321</v>
      </c>
      <c r="AI92" s="80">
        <v>96224</v>
      </c>
      <c r="AJ92" s="80"/>
      <c r="AK92" s="80"/>
      <c r="AL92" s="80"/>
      <c r="AM92" s="80"/>
      <c r="AN92" s="80"/>
      <c r="AO92" s="82">
        <v>43034.562638888892</v>
      </c>
      <c r="AP92" s="80"/>
      <c r="AQ92" s="80" t="b">
        <v>1</v>
      </c>
      <c r="AR92" s="80" t="b">
        <v>0</v>
      </c>
      <c r="AS92" s="80" t="b">
        <v>0</v>
      </c>
      <c r="AT92" s="80"/>
      <c r="AU92" s="80">
        <v>0</v>
      </c>
      <c r="AV92" s="80"/>
      <c r="AW92" s="80" t="b">
        <v>0</v>
      </c>
      <c r="AX92" s="80" t="s">
        <v>7173</v>
      </c>
      <c r="AY92" s="84" t="str">
        <f>HYPERLINK("https://twitter.com/muly86054800")</f>
        <v>https://twitter.com/muly86054800</v>
      </c>
      <c r="AZ92" s="80" t="s">
        <v>65</v>
      </c>
      <c r="BA92" s="2"/>
      <c r="BB92" s="3"/>
      <c r="BC92" s="3"/>
      <c r="BD92" s="3"/>
      <c r="BE92" s="3"/>
    </row>
    <row r="93" spans="1:57" x14ac:dyDescent="0.35">
      <c r="A93" s="66" t="s">
        <v>1015</v>
      </c>
      <c r="B93" s="67"/>
      <c r="C93" s="67"/>
      <c r="D93" s="68"/>
      <c r="E93" s="70"/>
      <c r="F93" s="106" t="str">
        <f>HYPERLINK("https://pbs.twimg.com/profile_images/1433684125437730816/SuKDx68q_normal.jpg")</f>
        <v>https://pbs.twimg.com/profile_images/1433684125437730816/SuKDx68q_normal.jpg</v>
      </c>
      <c r="G93" s="67"/>
      <c r="H93" s="71"/>
      <c r="I93" s="72"/>
      <c r="J93" s="72"/>
      <c r="K93" s="71" t="s">
        <v>7263</v>
      </c>
      <c r="L93" s="75"/>
      <c r="M93" s="76"/>
      <c r="N93" s="76"/>
      <c r="O93" s="77"/>
      <c r="P93" s="78"/>
      <c r="Q93" s="78"/>
      <c r="R93" s="90"/>
      <c r="S93" s="90"/>
      <c r="T93" s="90"/>
      <c r="U93" s="90"/>
      <c r="V93" s="52"/>
      <c r="W93" s="52"/>
      <c r="X93" s="52"/>
      <c r="Y93" s="52"/>
      <c r="Z93" s="51"/>
      <c r="AA93" s="73"/>
      <c r="AB93" s="73"/>
      <c r="AC93" s="74"/>
      <c r="AD93" s="80" t="s">
        <v>4272</v>
      </c>
      <c r="AE93" s="86" t="s">
        <v>3903</v>
      </c>
      <c r="AF93" s="80">
        <v>1292</v>
      </c>
      <c r="AG93" s="80">
        <v>50081</v>
      </c>
      <c r="AH93" s="80">
        <v>3234</v>
      </c>
      <c r="AI93" s="80">
        <v>89219</v>
      </c>
      <c r="AJ93" s="80"/>
      <c r="AK93" s="80" t="s">
        <v>6005</v>
      </c>
      <c r="AL93" s="80" t="s">
        <v>6800</v>
      </c>
      <c r="AM93" s="84" t="str">
        <f>HYPERLINK("https://t.co/abKvoYV0Eg")</f>
        <v>https://t.co/abKvoYV0Eg</v>
      </c>
      <c r="AN93" s="80"/>
      <c r="AO93" s="82">
        <v>42973.296053240738</v>
      </c>
      <c r="AP93" s="84" t="str">
        <f>HYPERLINK("https://pbs.twimg.com/profile_banners/901340008820260864/1629617148")</f>
        <v>https://pbs.twimg.com/profile_banners/901340008820260864/1629617148</v>
      </c>
      <c r="AQ93" s="80" t="b">
        <v>1</v>
      </c>
      <c r="AR93" s="80" t="b">
        <v>0</v>
      </c>
      <c r="AS93" s="80" t="b">
        <v>0</v>
      </c>
      <c r="AT93" s="80"/>
      <c r="AU93" s="80">
        <v>25</v>
      </c>
      <c r="AV93" s="80"/>
      <c r="AW93" s="80" t="b">
        <v>0</v>
      </c>
      <c r="AX93" s="80" t="s">
        <v>7173</v>
      </c>
      <c r="AY93" s="84" t="str">
        <f>HYPERLINK("https://twitter.com/krmtroysuryo2")</f>
        <v>https://twitter.com/krmtroysuryo2</v>
      </c>
      <c r="AZ93" s="80" t="s">
        <v>65</v>
      </c>
      <c r="BA93" s="2"/>
      <c r="BB93" s="3"/>
      <c r="BC93" s="3"/>
      <c r="BD93" s="3"/>
      <c r="BE93" s="3"/>
    </row>
    <row r="94" spans="1:57" x14ac:dyDescent="0.35">
      <c r="A94" s="66" t="s">
        <v>280</v>
      </c>
      <c r="B94" s="67"/>
      <c r="C94" s="67"/>
      <c r="D94" s="68"/>
      <c r="E94" s="70"/>
      <c r="F94" s="106" t="str">
        <f>HYPERLINK("https://pbs.twimg.com/profile_images/426565591315402752/WmDc8Dfq_normal.jpeg")</f>
        <v>https://pbs.twimg.com/profile_images/426565591315402752/WmDc8Dfq_normal.jpeg</v>
      </c>
      <c r="G94" s="67"/>
      <c r="H94" s="71"/>
      <c r="I94" s="72"/>
      <c r="J94" s="72"/>
      <c r="K94" s="71" t="s">
        <v>7264</v>
      </c>
      <c r="L94" s="75"/>
      <c r="M94" s="76"/>
      <c r="N94" s="76"/>
      <c r="O94" s="77"/>
      <c r="P94" s="78"/>
      <c r="Q94" s="78"/>
      <c r="R94" s="90"/>
      <c r="S94" s="90"/>
      <c r="T94" s="90"/>
      <c r="U94" s="90"/>
      <c r="V94" s="52"/>
      <c r="W94" s="52"/>
      <c r="X94" s="52"/>
      <c r="Y94" s="52"/>
      <c r="Z94" s="51"/>
      <c r="AA94" s="73"/>
      <c r="AB94" s="73"/>
      <c r="AC94" s="74"/>
      <c r="AD94" s="80" t="s">
        <v>4273</v>
      </c>
      <c r="AE94" s="86" t="s">
        <v>5217</v>
      </c>
      <c r="AF94" s="80">
        <v>8840</v>
      </c>
      <c r="AG94" s="80">
        <v>10152</v>
      </c>
      <c r="AH94" s="80">
        <v>17703</v>
      </c>
      <c r="AI94" s="80">
        <v>119</v>
      </c>
      <c r="AJ94" s="80"/>
      <c r="AK94" s="80" t="s">
        <v>6006</v>
      </c>
      <c r="AL94" s="80" t="s">
        <v>6801</v>
      </c>
      <c r="AM94" s="80"/>
      <c r="AN94" s="80"/>
      <c r="AO94" s="82">
        <v>41400.181539351855</v>
      </c>
      <c r="AP94" s="84" t="str">
        <f>HYPERLINK("https://pbs.twimg.com/profile_banners/1406782117/1404199616")</f>
        <v>https://pbs.twimg.com/profile_banners/1406782117/1404199616</v>
      </c>
      <c r="AQ94" s="80" t="b">
        <v>0</v>
      </c>
      <c r="AR94" s="80" t="b">
        <v>0</v>
      </c>
      <c r="AS94" s="80" t="b">
        <v>0</v>
      </c>
      <c r="AT94" s="80"/>
      <c r="AU94" s="80">
        <v>1</v>
      </c>
      <c r="AV94" s="84" t="str">
        <f>HYPERLINK("https://abs.twimg.com/images/themes/theme1/bg.png")</f>
        <v>https://abs.twimg.com/images/themes/theme1/bg.png</v>
      </c>
      <c r="AW94" s="80" t="b">
        <v>0</v>
      </c>
      <c r="AX94" s="80" t="s">
        <v>7173</v>
      </c>
      <c r="AY94" s="84" t="str">
        <f>HYPERLINK("https://twitter.com/lawangsewusmg")</f>
        <v>https://twitter.com/lawangsewusmg</v>
      </c>
      <c r="AZ94" s="80" t="s">
        <v>66</v>
      </c>
      <c r="BA94" s="2"/>
      <c r="BB94" s="3"/>
      <c r="BC94" s="3"/>
      <c r="BD94" s="3"/>
      <c r="BE94" s="3"/>
    </row>
    <row r="95" spans="1:57" x14ac:dyDescent="0.35">
      <c r="A95" s="66" t="s">
        <v>281</v>
      </c>
      <c r="B95" s="67"/>
      <c r="C95" s="67"/>
      <c r="D95" s="68"/>
      <c r="E95" s="70"/>
      <c r="F95" s="106" t="str">
        <f>HYPERLINK("https://pbs.twimg.com/profile_images/1360138508371775490/n9LVcb6X_normal.jpg")</f>
        <v>https://pbs.twimg.com/profile_images/1360138508371775490/n9LVcb6X_normal.jpg</v>
      </c>
      <c r="G95" s="67"/>
      <c r="H95" s="71"/>
      <c r="I95" s="72"/>
      <c r="J95" s="72"/>
      <c r="K95" s="71" t="s">
        <v>7265</v>
      </c>
      <c r="L95" s="75"/>
      <c r="M95" s="76"/>
      <c r="N95" s="76"/>
      <c r="O95" s="77"/>
      <c r="P95" s="78"/>
      <c r="Q95" s="78"/>
      <c r="R95" s="90"/>
      <c r="S95" s="90"/>
      <c r="T95" s="90"/>
      <c r="U95" s="90"/>
      <c r="V95" s="52"/>
      <c r="W95" s="52"/>
      <c r="X95" s="52"/>
      <c r="Y95" s="52"/>
      <c r="Z95" s="51"/>
      <c r="AA95" s="73"/>
      <c r="AB95" s="73"/>
      <c r="AC95" s="74"/>
      <c r="AD95" s="80" t="s">
        <v>4274</v>
      </c>
      <c r="AE95" s="86" t="s">
        <v>5218</v>
      </c>
      <c r="AF95" s="80">
        <v>158</v>
      </c>
      <c r="AG95" s="80">
        <v>34</v>
      </c>
      <c r="AH95" s="80">
        <v>971</v>
      </c>
      <c r="AI95" s="80">
        <v>3964</v>
      </c>
      <c r="AJ95" s="80"/>
      <c r="AK95" s="80" t="s">
        <v>6007</v>
      </c>
      <c r="AL95" s="80"/>
      <c r="AM95" s="80"/>
      <c r="AN95" s="80"/>
      <c r="AO95" s="82">
        <v>44239.336562500001</v>
      </c>
      <c r="AP95" s="80"/>
      <c r="AQ95" s="80" t="b">
        <v>1</v>
      </c>
      <c r="AR95" s="80" t="b">
        <v>0</v>
      </c>
      <c r="AS95" s="80" t="b">
        <v>0</v>
      </c>
      <c r="AT95" s="80"/>
      <c r="AU95" s="80">
        <v>0</v>
      </c>
      <c r="AV95" s="80"/>
      <c r="AW95" s="80" t="b">
        <v>0</v>
      </c>
      <c r="AX95" s="80" t="s">
        <v>7173</v>
      </c>
      <c r="AY95" s="84" t="str">
        <f>HYPERLINK("https://twitter.com/bukik_kapujan")</f>
        <v>https://twitter.com/bukik_kapujan</v>
      </c>
      <c r="AZ95" s="80" t="s">
        <v>66</v>
      </c>
      <c r="BA95" s="2"/>
      <c r="BB95" s="3"/>
      <c r="BC95" s="3"/>
      <c r="BD95" s="3"/>
      <c r="BE95" s="3"/>
    </row>
    <row r="96" spans="1:57" x14ac:dyDescent="0.35">
      <c r="A96" s="66" t="s">
        <v>981</v>
      </c>
      <c r="B96" s="67"/>
      <c r="C96" s="67"/>
      <c r="D96" s="68"/>
      <c r="E96" s="70"/>
      <c r="F96" s="106" t="str">
        <f>HYPERLINK("https://pbs.twimg.com/profile_images/1122269461745061888/JD-7Nh8z_normal.jpg")</f>
        <v>https://pbs.twimg.com/profile_images/1122269461745061888/JD-7Nh8z_normal.jpg</v>
      </c>
      <c r="G96" s="67"/>
      <c r="H96" s="71"/>
      <c r="I96" s="72"/>
      <c r="J96" s="72"/>
      <c r="K96" s="71" t="s">
        <v>7266</v>
      </c>
      <c r="L96" s="75"/>
      <c r="M96" s="76"/>
      <c r="N96" s="76"/>
      <c r="O96" s="77"/>
      <c r="P96" s="78"/>
      <c r="Q96" s="78"/>
      <c r="R96" s="90"/>
      <c r="S96" s="90"/>
      <c r="T96" s="90"/>
      <c r="U96" s="90"/>
      <c r="V96" s="52"/>
      <c r="W96" s="52"/>
      <c r="X96" s="52"/>
      <c r="Y96" s="52"/>
      <c r="Z96" s="51"/>
      <c r="AA96" s="73"/>
      <c r="AB96" s="73"/>
      <c r="AC96" s="74"/>
      <c r="AD96" s="80" t="s">
        <v>4275</v>
      </c>
      <c r="AE96" s="86" t="s">
        <v>5219</v>
      </c>
      <c r="AF96" s="80">
        <v>0</v>
      </c>
      <c r="AG96" s="80">
        <v>7926199</v>
      </c>
      <c r="AH96" s="80">
        <v>577369</v>
      </c>
      <c r="AI96" s="80">
        <v>108</v>
      </c>
      <c r="AJ96" s="80"/>
      <c r="AK96" s="80" t="s">
        <v>6008</v>
      </c>
      <c r="AL96" s="80" t="s">
        <v>6785</v>
      </c>
      <c r="AM96" s="84" t="str">
        <f>HYPERLINK("http://t.co/5x8wgtzoUo")</f>
        <v>http://t.co/5x8wgtzoUo</v>
      </c>
      <c r="AN96" s="80"/>
      <c r="AO96" s="82">
        <v>40079.576516203706</v>
      </c>
      <c r="AP96" s="84" t="str">
        <f>HYPERLINK("https://pbs.twimg.com/profile_banners/76647722/1398410897")</f>
        <v>https://pbs.twimg.com/profile_banners/76647722/1398410897</v>
      </c>
      <c r="AQ96" s="80" t="b">
        <v>0</v>
      </c>
      <c r="AR96" s="80" t="b">
        <v>0</v>
      </c>
      <c r="AS96" s="80" t="b">
        <v>1</v>
      </c>
      <c r="AT96" s="80"/>
      <c r="AU96" s="80">
        <v>9368</v>
      </c>
      <c r="AV96" s="84" t="str">
        <f>HYPERLINK("https://abs.twimg.com/images/themes/theme1/bg.png")</f>
        <v>https://abs.twimg.com/images/themes/theme1/bg.png</v>
      </c>
      <c r="AW96" s="80" t="b">
        <v>1</v>
      </c>
      <c r="AX96" s="80" t="s">
        <v>7173</v>
      </c>
      <c r="AY96" s="84" t="str">
        <f>HYPERLINK("https://twitter.com/tmcpoldametro")</f>
        <v>https://twitter.com/tmcpoldametro</v>
      </c>
      <c r="AZ96" s="80" t="s">
        <v>66</v>
      </c>
      <c r="BA96" s="2"/>
      <c r="BB96" s="3"/>
      <c r="BC96" s="3"/>
      <c r="BD96" s="3"/>
      <c r="BE96" s="3"/>
    </row>
    <row r="97" spans="1:57" x14ac:dyDescent="0.35">
      <c r="A97" s="66" t="s">
        <v>282</v>
      </c>
      <c r="B97" s="67"/>
      <c r="C97" s="67"/>
      <c r="D97" s="68"/>
      <c r="E97" s="70"/>
      <c r="F97" s="106" t="str">
        <f>HYPERLINK("https://pbs.twimg.com/profile_images/1441841988358213637/MMqfbD93_normal.jpg")</f>
        <v>https://pbs.twimg.com/profile_images/1441841988358213637/MMqfbD93_normal.jpg</v>
      </c>
      <c r="G97" s="67"/>
      <c r="H97" s="71"/>
      <c r="I97" s="72"/>
      <c r="J97" s="72"/>
      <c r="K97" s="71" t="s">
        <v>7267</v>
      </c>
      <c r="L97" s="75"/>
      <c r="M97" s="76"/>
      <c r="N97" s="76"/>
      <c r="O97" s="77"/>
      <c r="P97" s="78"/>
      <c r="Q97" s="78"/>
      <c r="R97" s="90"/>
      <c r="S97" s="90"/>
      <c r="T97" s="90"/>
      <c r="U97" s="90"/>
      <c r="V97" s="52"/>
      <c r="W97" s="52"/>
      <c r="X97" s="52"/>
      <c r="Y97" s="52"/>
      <c r="Z97" s="51"/>
      <c r="AA97" s="73"/>
      <c r="AB97" s="73"/>
      <c r="AC97" s="74"/>
      <c r="AD97" s="80" t="s">
        <v>4276</v>
      </c>
      <c r="AE97" s="86" t="s">
        <v>5220</v>
      </c>
      <c r="AF97" s="80">
        <v>69</v>
      </c>
      <c r="AG97" s="80">
        <v>128</v>
      </c>
      <c r="AH97" s="80">
        <v>2425</v>
      </c>
      <c r="AI97" s="80">
        <v>2731</v>
      </c>
      <c r="AJ97" s="80"/>
      <c r="AK97" s="80" t="s">
        <v>6009</v>
      </c>
      <c r="AL97" s="80" t="s">
        <v>6802</v>
      </c>
      <c r="AM97" s="80"/>
      <c r="AN97" s="80"/>
      <c r="AO97" s="82">
        <v>41626.529548611114</v>
      </c>
      <c r="AP97" s="84" t="str">
        <f>HYPERLINK("https://pbs.twimg.com/profile_banners/2251935936/1629647899")</f>
        <v>https://pbs.twimg.com/profile_banners/2251935936/1629647899</v>
      </c>
      <c r="AQ97" s="80" t="b">
        <v>0</v>
      </c>
      <c r="AR97" s="80" t="b">
        <v>0</v>
      </c>
      <c r="AS97" s="80" t="b">
        <v>0</v>
      </c>
      <c r="AT97" s="80"/>
      <c r="AU97" s="80">
        <v>1</v>
      </c>
      <c r="AV97" s="84" t="str">
        <f>HYPERLINK("https://abs.twimg.com/images/themes/theme1/bg.png")</f>
        <v>https://abs.twimg.com/images/themes/theme1/bg.png</v>
      </c>
      <c r="AW97" s="80" t="b">
        <v>0</v>
      </c>
      <c r="AX97" s="80" t="s">
        <v>7173</v>
      </c>
      <c r="AY97" s="84" t="str">
        <f>HYPERLINK("https://twitter.com/zeaawo")</f>
        <v>https://twitter.com/zeaawo</v>
      </c>
      <c r="AZ97" s="80" t="s">
        <v>66</v>
      </c>
      <c r="BA97" s="2"/>
      <c r="BB97" s="3"/>
      <c r="BC97" s="3"/>
      <c r="BD97" s="3"/>
      <c r="BE97" s="3"/>
    </row>
    <row r="98" spans="1:57" x14ac:dyDescent="0.35">
      <c r="A98" s="66" t="s">
        <v>1016</v>
      </c>
      <c r="B98" s="67"/>
      <c r="C98" s="67"/>
      <c r="D98" s="68"/>
      <c r="E98" s="70"/>
      <c r="F98" s="106" t="str">
        <f>HYPERLINK("https://pbs.twimg.com/profile_images/1430189663554195457/hbMmslR4_normal.jpg")</f>
        <v>https://pbs.twimg.com/profile_images/1430189663554195457/hbMmslR4_normal.jpg</v>
      </c>
      <c r="G98" s="67"/>
      <c r="H98" s="71"/>
      <c r="I98" s="72"/>
      <c r="J98" s="72"/>
      <c r="K98" s="71" t="s">
        <v>7268</v>
      </c>
      <c r="L98" s="75"/>
      <c r="M98" s="76"/>
      <c r="N98" s="76"/>
      <c r="O98" s="77"/>
      <c r="P98" s="78"/>
      <c r="Q98" s="78"/>
      <c r="R98" s="90"/>
      <c r="S98" s="90"/>
      <c r="T98" s="90"/>
      <c r="U98" s="90"/>
      <c r="V98" s="52"/>
      <c r="W98" s="52"/>
      <c r="X98" s="52"/>
      <c r="Y98" s="52"/>
      <c r="Z98" s="51"/>
      <c r="AA98" s="73"/>
      <c r="AB98" s="73"/>
      <c r="AC98" s="74"/>
      <c r="AD98" s="80" t="s">
        <v>4277</v>
      </c>
      <c r="AE98" s="86" t="s">
        <v>3904</v>
      </c>
      <c r="AF98" s="80">
        <v>113</v>
      </c>
      <c r="AG98" s="80">
        <v>66</v>
      </c>
      <c r="AH98" s="80">
        <v>3583</v>
      </c>
      <c r="AI98" s="80">
        <v>776</v>
      </c>
      <c r="AJ98" s="80"/>
      <c r="AK98" s="80" t="s">
        <v>6010</v>
      </c>
      <c r="AL98" s="80" t="s">
        <v>6803</v>
      </c>
      <c r="AM98" s="84" t="str">
        <f>HYPERLINK("https://t.co/T4aSY42Pxg")</f>
        <v>https://t.co/T4aSY42Pxg</v>
      </c>
      <c r="AN98" s="80"/>
      <c r="AO98" s="82">
        <v>44136.281400462962</v>
      </c>
      <c r="AP98" s="84" t="str">
        <f>HYPERLINK("https://pbs.twimg.com/profile_banners/1322791742844801025/1629819175")</f>
        <v>https://pbs.twimg.com/profile_banners/1322791742844801025/1629819175</v>
      </c>
      <c r="AQ98" s="80" t="b">
        <v>1</v>
      </c>
      <c r="AR98" s="80" t="b">
        <v>0</v>
      </c>
      <c r="AS98" s="80" t="b">
        <v>0</v>
      </c>
      <c r="AT98" s="80"/>
      <c r="AU98" s="80">
        <v>0</v>
      </c>
      <c r="AV98" s="80"/>
      <c r="AW98" s="80" t="b">
        <v>0</v>
      </c>
      <c r="AX98" s="80" t="s">
        <v>7173</v>
      </c>
      <c r="AY98" s="84" t="str">
        <f>HYPERLINK("https://twitter.com/skz_lino")</f>
        <v>https://twitter.com/skz_lino</v>
      </c>
      <c r="AZ98" s="80" t="s">
        <v>65</v>
      </c>
      <c r="BA98" s="2"/>
      <c r="BB98" s="3"/>
      <c r="BC98" s="3"/>
      <c r="BD98" s="3"/>
      <c r="BE98" s="3"/>
    </row>
    <row r="99" spans="1:57" x14ac:dyDescent="0.35">
      <c r="A99" s="66" t="s">
        <v>283</v>
      </c>
      <c r="B99" s="67"/>
      <c r="C99" s="67"/>
      <c r="D99" s="68"/>
      <c r="E99" s="70"/>
      <c r="F99" s="106" t="str">
        <f>HYPERLINK("https://pbs.twimg.com/profile_images/1436552956766081026/i-a5LFAm_normal.jpg")</f>
        <v>https://pbs.twimg.com/profile_images/1436552956766081026/i-a5LFAm_normal.jpg</v>
      </c>
      <c r="G99" s="67"/>
      <c r="H99" s="71"/>
      <c r="I99" s="72"/>
      <c r="J99" s="72"/>
      <c r="K99" s="71" t="s">
        <v>7269</v>
      </c>
      <c r="L99" s="75"/>
      <c r="M99" s="76"/>
      <c r="N99" s="76"/>
      <c r="O99" s="77"/>
      <c r="P99" s="78"/>
      <c r="Q99" s="78"/>
      <c r="R99" s="90"/>
      <c r="S99" s="90"/>
      <c r="T99" s="90"/>
      <c r="U99" s="90"/>
      <c r="V99" s="52"/>
      <c r="W99" s="52"/>
      <c r="X99" s="52"/>
      <c r="Y99" s="52"/>
      <c r="Z99" s="51"/>
      <c r="AA99" s="73"/>
      <c r="AB99" s="73"/>
      <c r="AC99" s="74"/>
      <c r="AD99" s="80">
        <v>0.45</v>
      </c>
      <c r="AE99" s="86" t="s">
        <v>5221</v>
      </c>
      <c r="AF99" s="80">
        <v>949</v>
      </c>
      <c r="AG99" s="80">
        <v>320</v>
      </c>
      <c r="AH99" s="80">
        <v>95780</v>
      </c>
      <c r="AI99" s="80">
        <v>99</v>
      </c>
      <c r="AJ99" s="80"/>
      <c r="AK99" s="80" t="s">
        <v>4909</v>
      </c>
      <c r="AL99" s="80" t="s">
        <v>6804</v>
      </c>
      <c r="AM99" s="80"/>
      <c r="AN99" s="80"/>
      <c r="AO99" s="82">
        <v>41071.511747685188</v>
      </c>
      <c r="AP99" s="84" t="str">
        <f>HYPERLINK("https://pbs.twimg.com/profile_banners/605369771/1631335887")</f>
        <v>https://pbs.twimg.com/profile_banners/605369771/1631335887</v>
      </c>
      <c r="AQ99" s="80" t="b">
        <v>1</v>
      </c>
      <c r="AR99" s="80" t="b">
        <v>0</v>
      </c>
      <c r="AS99" s="80" t="b">
        <v>1</v>
      </c>
      <c r="AT99" s="80"/>
      <c r="AU99" s="80">
        <v>8</v>
      </c>
      <c r="AV99" s="84" t="str">
        <f>HYPERLINK("https://abs.twimg.com/images/themes/theme1/bg.png")</f>
        <v>https://abs.twimg.com/images/themes/theme1/bg.png</v>
      </c>
      <c r="AW99" s="80" t="b">
        <v>0</v>
      </c>
      <c r="AX99" s="80" t="s">
        <v>7173</v>
      </c>
      <c r="AY99" s="84" t="str">
        <f>HYPERLINK("https://twitter.com/a_nggasetiawan")</f>
        <v>https://twitter.com/a_nggasetiawan</v>
      </c>
      <c r="AZ99" s="80" t="s">
        <v>66</v>
      </c>
      <c r="BA99" s="2"/>
      <c r="BB99" s="3"/>
      <c r="BC99" s="3"/>
      <c r="BD99" s="3"/>
      <c r="BE99" s="3"/>
    </row>
    <row r="100" spans="1:57" x14ac:dyDescent="0.35">
      <c r="A100" s="66" t="s">
        <v>1017</v>
      </c>
      <c r="B100" s="67"/>
      <c r="C100" s="67"/>
      <c r="D100" s="68"/>
      <c r="E100" s="70"/>
      <c r="F100" s="106" t="str">
        <f>HYPERLINK("https://pbs.twimg.com/profile_images/1409697852796796936/RZVQ8RyN_normal.jpg")</f>
        <v>https://pbs.twimg.com/profile_images/1409697852796796936/RZVQ8RyN_normal.jpg</v>
      </c>
      <c r="G100" s="67"/>
      <c r="H100" s="71"/>
      <c r="I100" s="72"/>
      <c r="J100" s="72"/>
      <c r="K100" s="71" t="s">
        <v>7270</v>
      </c>
      <c r="L100" s="75"/>
      <c r="M100" s="76"/>
      <c r="N100" s="76"/>
      <c r="O100" s="77"/>
      <c r="P100" s="78"/>
      <c r="Q100" s="78"/>
      <c r="R100" s="90"/>
      <c r="S100" s="90"/>
      <c r="T100" s="90"/>
      <c r="U100" s="90"/>
      <c r="V100" s="52"/>
      <c r="W100" s="52"/>
      <c r="X100" s="52"/>
      <c r="Y100" s="52"/>
      <c r="Z100" s="51"/>
      <c r="AA100" s="73"/>
      <c r="AB100" s="73"/>
      <c r="AC100" s="74"/>
      <c r="AD100" s="80" t="s">
        <v>4278</v>
      </c>
      <c r="AE100" s="86" t="s">
        <v>3905</v>
      </c>
      <c r="AF100" s="80">
        <v>538</v>
      </c>
      <c r="AG100" s="80">
        <v>715</v>
      </c>
      <c r="AH100" s="80">
        <v>42216</v>
      </c>
      <c r="AI100" s="80">
        <v>1197</v>
      </c>
      <c r="AJ100" s="80"/>
      <c r="AK100" s="80" t="s">
        <v>6011</v>
      </c>
      <c r="AL100" s="80" t="s">
        <v>6805</v>
      </c>
      <c r="AM100" s="80"/>
      <c r="AN100" s="80"/>
      <c r="AO100" s="82">
        <v>40861.314976851849</v>
      </c>
      <c r="AP100" s="84" t="str">
        <f>HYPERLINK("https://pbs.twimg.com/profile_banners/412083204/1620979717")</f>
        <v>https://pbs.twimg.com/profile_banners/412083204/1620979717</v>
      </c>
      <c r="AQ100" s="80" t="b">
        <v>0</v>
      </c>
      <c r="AR100" s="80" t="b">
        <v>0</v>
      </c>
      <c r="AS100" s="80" t="b">
        <v>0</v>
      </c>
      <c r="AT100" s="80"/>
      <c r="AU100" s="80">
        <v>2</v>
      </c>
      <c r="AV100" s="84" t="str">
        <f>HYPERLINK("https://abs.twimg.com/images/themes/theme15/bg.png")</f>
        <v>https://abs.twimg.com/images/themes/theme15/bg.png</v>
      </c>
      <c r="AW100" s="80" t="b">
        <v>0</v>
      </c>
      <c r="AX100" s="80" t="s">
        <v>7173</v>
      </c>
      <c r="AY100" s="84" t="str">
        <f>HYPERLINK("https://twitter.com/ahendsss")</f>
        <v>https://twitter.com/ahendsss</v>
      </c>
      <c r="AZ100" s="80" t="s">
        <v>65</v>
      </c>
      <c r="BA100" s="2"/>
      <c r="BB100" s="3"/>
      <c r="BC100" s="3"/>
      <c r="BD100" s="3"/>
      <c r="BE100" s="3"/>
    </row>
    <row r="101" spans="1:57" x14ac:dyDescent="0.35">
      <c r="A101" s="66" t="s">
        <v>284</v>
      </c>
      <c r="B101" s="67"/>
      <c r="C101" s="67"/>
      <c r="D101" s="68"/>
      <c r="E101" s="70"/>
      <c r="F101" s="106" t="str">
        <f>HYPERLINK("https://abs.twimg.com/sticky/default_profile_images/default_profile_normal.png")</f>
        <v>https://abs.twimg.com/sticky/default_profile_images/default_profile_normal.png</v>
      </c>
      <c r="G101" s="67"/>
      <c r="H101" s="71"/>
      <c r="I101" s="72"/>
      <c r="J101" s="72"/>
      <c r="K101" s="71" t="s">
        <v>7271</v>
      </c>
      <c r="L101" s="75"/>
      <c r="M101" s="76"/>
      <c r="N101" s="76"/>
      <c r="O101" s="77"/>
      <c r="P101" s="78"/>
      <c r="Q101" s="78"/>
      <c r="R101" s="90"/>
      <c r="S101" s="90"/>
      <c r="T101" s="90"/>
      <c r="U101" s="90"/>
      <c r="V101" s="52"/>
      <c r="W101" s="52"/>
      <c r="X101" s="52"/>
      <c r="Y101" s="52"/>
      <c r="Z101" s="51"/>
      <c r="AA101" s="73"/>
      <c r="AB101" s="73"/>
      <c r="AC101" s="74"/>
      <c r="AD101" s="80" t="s">
        <v>4279</v>
      </c>
      <c r="AE101" s="86" t="s">
        <v>5222</v>
      </c>
      <c r="AF101" s="80">
        <v>22</v>
      </c>
      <c r="AG101" s="80">
        <v>3</v>
      </c>
      <c r="AH101" s="80">
        <v>16</v>
      </c>
      <c r="AI101" s="80">
        <v>1</v>
      </c>
      <c r="AJ101" s="80"/>
      <c r="AK101" s="80"/>
      <c r="AL101" s="80"/>
      <c r="AM101" s="80"/>
      <c r="AN101" s="80"/>
      <c r="AO101" s="82">
        <v>40674.146805555552</v>
      </c>
      <c r="AP101" s="80"/>
      <c r="AQ101" s="80" t="b">
        <v>1</v>
      </c>
      <c r="AR101" s="80" t="b">
        <v>1</v>
      </c>
      <c r="AS101" s="80" t="b">
        <v>0</v>
      </c>
      <c r="AT101" s="80"/>
      <c r="AU101" s="80">
        <v>0</v>
      </c>
      <c r="AV101" s="84" t="str">
        <f>HYPERLINK("https://abs.twimg.com/images/themes/theme1/bg.png")</f>
        <v>https://abs.twimg.com/images/themes/theme1/bg.png</v>
      </c>
      <c r="AW101" s="80" t="b">
        <v>0</v>
      </c>
      <c r="AX101" s="80" t="s">
        <v>7173</v>
      </c>
      <c r="AY101" s="84" t="str">
        <f>HYPERLINK("https://twitter.com/deblenk29")</f>
        <v>https://twitter.com/deblenk29</v>
      </c>
      <c r="AZ101" s="80" t="s">
        <v>66</v>
      </c>
      <c r="BA101" s="2"/>
      <c r="BB101" s="3"/>
      <c r="BC101" s="3"/>
      <c r="BD101" s="3"/>
      <c r="BE101" s="3"/>
    </row>
    <row r="102" spans="1:57" x14ac:dyDescent="0.35">
      <c r="A102" s="66" t="s">
        <v>286</v>
      </c>
      <c r="B102" s="67"/>
      <c r="C102" s="67"/>
      <c r="D102" s="68"/>
      <c r="E102" s="70"/>
      <c r="F102" s="106" t="str">
        <f>HYPERLINK("https://pbs.twimg.com/profile_images/1291239829401788416/HrwKkbBw_normal.jpg")</f>
        <v>https://pbs.twimg.com/profile_images/1291239829401788416/HrwKkbBw_normal.jpg</v>
      </c>
      <c r="G102" s="67"/>
      <c r="H102" s="71"/>
      <c r="I102" s="72"/>
      <c r="J102" s="72"/>
      <c r="K102" s="71" t="s">
        <v>7272</v>
      </c>
      <c r="L102" s="75"/>
      <c r="M102" s="76"/>
      <c r="N102" s="76"/>
      <c r="O102" s="77"/>
      <c r="P102" s="78"/>
      <c r="Q102" s="78"/>
      <c r="R102" s="90"/>
      <c r="S102" s="90"/>
      <c r="T102" s="90"/>
      <c r="U102" s="90"/>
      <c r="V102" s="52"/>
      <c r="W102" s="52"/>
      <c r="X102" s="52"/>
      <c r="Y102" s="52"/>
      <c r="Z102" s="51"/>
      <c r="AA102" s="73"/>
      <c r="AB102" s="73"/>
      <c r="AC102" s="74"/>
      <c r="AD102" s="80" t="s">
        <v>4280</v>
      </c>
      <c r="AE102" s="86" t="s">
        <v>5223</v>
      </c>
      <c r="AF102" s="80">
        <v>456</v>
      </c>
      <c r="AG102" s="80">
        <v>428</v>
      </c>
      <c r="AH102" s="80">
        <v>32089</v>
      </c>
      <c r="AI102" s="80">
        <v>545</v>
      </c>
      <c r="AJ102" s="80"/>
      <c r="AK102" s="80" t="s">
        <v>6012</v>
      </c>
      <c r="AL102" s="80" t="s">
        <v>6806</v>
      </c>
      <c r="AM102" s="80"/>
      <c r="AN102" s="80"/>
      <c r="AO102" s="82">
        <v>40079.290717592594</v>
      </c>
      <c r="AP102" s="84" t="str">
        <f>HYPERLINK("https://pbs.twimg.com/profile_banners/76581510/1621695142")</f>
        <v>https://pbs.twimg.com/profile_banners/76581510/1621695142</v>
      </c>
      <c r="AQ102" s="80" t="b">
        <v>0</v>
      </c>
      <c r="AR102" s="80" t="b">
        <v>0</v>
      </c>
      <c r="AS102" s="80" t="b">
        <v>0</v>
      </c>
      <c r="AT102" s="80"/>
      <c r="AU102" s="80">
        <v>0</v>
      </c>
      <c r="AV102" s="84" t="str">
        <f>HYPERLINK("https://abs.twimg.com/images/themes/theme1/bg.png")</f>
        <v>https://abs.twimg.com/images/themes/theme1/bg.png</v>
      </c>
      <c r="AW102" s="80" t="b">
        <v>0</v>
      </c>
      <c r="AX102" s="80" t="s">
        <v>7173</v>
      </c>
      <c r="AY102" s="84" t="str">
        <f>HYPERLINK("https://twitter.com/avien_")</f>
        <v>https://twitter.com/avien_</v>
      </c>
      <c r="AZ102" s="80" t="s">
        <v>66</v>
      </c>
      <c r="BA102" s="2"/>
      <c r="BB102" s="3"/>
      <c r="BC102" s="3"/>
      <c r="BD102" s="3"/>
      <c r="BE102" s="3"/>
    </row>
    <row r="103" spans="1:57" x14ac:dyDescent="0.35">
      <c r="A103" s="66" t="s">
        <v>287</v>
      </c>
      <c r="B103" s="67"/>
      <c r="C103" s="67"/>
      <c r="D103" s="68"/>
      <c r="E103" s="70"/>
      <c r="F103" s="106" t="str">
        <f>HYPERLINK("https://pbs.twimg.com/profile_images/1442669306551046151/PekugUFP_normal.jpg")</f>
        <v>https://pbs.twimg.com/profile_images/1442669306551046151/PekugUFP_normal.jpg</v>
      </c>
      <c r="G103" s="67"/>
      <c r="H103" s="71"/>
      <c r="I103" s="72"/>
      <c r="J103" s="72"/>
      <c r="K103" s="71" t="s">
        <v>7273</v>
      </c>
      <c r="L103" s="75"/>
      <c r="M103" s="76"/>
      <c r="N103" s="76"/>
      <c r="O103" s="77"/>
      <c r="P103" s="78"/>
      <c r="Q103" s="78"/>
      <c r="R103" s="90"/>
      <c r="S103" s="90"/>
      <c r="T103" s="90"/>
      <c r="U103" s="90"/>
      <c r="V103" s="52"/>
      <c r="W103" s="52"/>
      <c r="X103" s="52"/>
      <c r="Y103" s="52"/>
      <c r="Z103" s="51"/>
      <c r="AA103" s="73"/>
      <c r="AB103" s="73"/>
      <c r="AC103" s="74"/>
      <c r="AD103" s="80" t="s">
        <v>4281</v>
      </c>
      <c r="AE103" s="86" t="s">
        <v>3908</v>
      </c>
      <c r="AF103" s="80">
        <v>192</v>
      </c>
      <c r="AG103" s="80">
        <v>59</v>
      </c>
      <c r="AH103" s="80">
        <v>803</v>
      </c>
      <c r="AI103" s="80">
        <v>171</v>
      </c>
      <c r="AJ103" s="80"/>
      <c r="AK103" s="80" t="s">
        <v>6013</v>
      </c>
      <c r="AL103" s="80"/>
      <c r="AM103" s="80"/>
      <c r="AN103" s="80"/>
      <c r="AO103" s="82">
        <v>44454.226782407408</v>
      </c>
      <c r="AP103" s="84" t="str">
        <f>HYPERLINK("https://pbs.twimg.com/profile_banners/1438011288882348037/1631685174")</f>
        <v>https://pbs.twimg.com/profile_banners/1438011288882348037/1631685174</v>
      </c>
      <c r="AQ103" s="80" t="b">
        <v>1</v>
      </c>
      <c r="AR103" s="80" t="b">
        <v>0</v>
      </c>
      <c r="AS103" s="80" t="b">
        <v>0</v>
      </c>
      <c r="AT103" s="80"/>
      <c r="AU103" s="80">
        <v>0</v>
      </c>
      <c r="AV103" s="80"/>
      <c r="AW103" s="80" t="b">
        <v>0</v>
      </c>
      <c r="AX103" s="80" t="s">
        <v>7173</v>
      </c>
      <c r="AY103" s="84" t="str">
        <f>HYPERLINK("https://twitter.com/renpiess")</f>
        <v>https://twitter.com/renpiess</v>
      </c>
      <c r="AZ103" s="80" t="s">
        <v>66</v>
      </c>
      <c r="BA103" s="2"/>
      <c r="BB103" s="3"/>
      <c r="BC103" s="3"/>
      <c r="BD103" s="3"/>
      <c r="BE103" s="3"/>
    </row>
    <row r="104" spans="1:57" x14ac:dyDescent="0.35">
      <c r="A104" s="66" t="s">
        <v>288</v>
      </c>
      <c r="B104" s="67"/>
      <c r="C104" s="67"/>
      <c r="D104" s="68"/>
      <c r="E104" s="70"/>
      <c r="F104" s="106" t="str">
        <f>HYPERLINK("https://pbs.twimg.com/profile_images/1438054388665253889/Dzfs5w0v_normal.jpg")</f>
        <v>https://pbs.twimg.com/profile_images/1438054388665253889/Dzfs5w0v_normal.jpg</v>
      </c>
      <c r="G104" s="67"/>
      <c r="H104" s="71"/>
      <c r="I104" s="72"/>
      <c r="J104" s="72"/>
      <c r="K104" s="71" t="s">
        <v>7274</v>
      </c>
      <c r="L104" s="75"/>
      <c r="M104" s="76"/>
      <c r="N104" s="76"/>
      <c r="O104" s="77"/>
      <c r="P104" s="78"/>
      <c r="Q104" s="78"/>
      <c r="R104" s="90"/>
      <c r="S104" s="90"/>
      <c r="T104" s="90"/>
      <c r="U104" s="90"/>
      <c r="V104" s="52"/>
      <c r="W104" s="52"/>
      <c r="X104" s="52"/>
      <c r="Y104" s="52"/>
      <c r="Z104" s="51"/>
      <c r="AA104" s="73"/>
      <c r="AB104" s="73"/>
      <c r="AC104" s="74"/>
      <c r="AD104" s="80" t="s">
        <v>4282</v>
      </c>
      <c r="AE104" s="86" t="s">
        <v>5224</v>
      </c>
      <c r="AF104" s="80">
        <v>2304</v>
      </c>
      <c r="AG104" s="80">
        <v>2305</v>
      </c>
      <c r="AH104" s="80">
        <v>53655</v>
      </c>
      <c r="AI104" s="80">
        <v>29389</v>
      </c>
      <c r="AJ104" s="80"/>
      <c r="AK104" s="80" t="s">
        <v>6014</v>
      </c>
      <c r="AL104" s="80"/>
      <c r="AM104" s="80"/>
      <c r="AN104" s="80"/>
      <c r="AO104" s="82">
        <v>43690.547592592593</v>
      </c>
      <c r="AP104" s="84" t="str">
        <f>HYPERLINK("https://pbs.twimg.com/profile_banners/1161263264015118336/1632788065")</f>
        <v>https://pbs.twimg.com/profile_banners/1161263264015118336/1632788065</v>
      </c>
      <c r="AQ104" s="80" t="b">
        <v>1</v>
      </c>
      <c r="AR104" s="80" t="b">
        <v>0</v>
      </c>
      <c r="AS104" s="80" t="b">
        <v>1</v>
      </c>
      <c r="AT104" s="80"/>
      <c r="AU104" s="80">
        <v>34</v>
      </c>
      <c r="AV104" s="80"/>
      <c r="AW104" s="80" t="b">
        <v>0</v>
      </c>
      <c r="AX104" s="80" t="s">
        <v>7173</v>
      </c>
      <c r="AY104" s="84" t="str">
        <f>HYPERLINK("https://twitter.com/1085350_nel")</f>
        <v>https://twitter.com/1085350_nel</v>
      </c>
      <c r="AZ104" s="80" t="s">
        <v>66</v>
      </c>
      <c r="BA104" s="2"/>
      <c r="BB104" s="3"/>
      <c r="BC104" s="3"/>
      <c r="BD104" s="3"/>
      <c r="BE104" s="3"/>
    </row>
    <row r="105" spans="1:57" x14ac:dyDescent="0.35">
      <c r="A105" s="66" t="s">
        <v>289</v>
      </c>
      <c r="B105" s="67"/>
      <c r="C105" s="67"/>
      <c r="D105" s="68"/>
      <c r="E105" s="70"/>
      <c r="F105" s="106" t="str">
        <f>HYPERLINK("https://pbs.twimg.com/profile_images/1428939970908082180/rVWXO--S_normal.jpg")</f>
        <v>https://pbs.twimg.com/profile_images/1428939970908082180/rVWXO--S_normal.jpg</v>
      </c>
      <c r="G105" s="67"/>
      <c r="H105" s="71"/>
      <c r="I105" s="72"/>
      <c r="J105" s="72"/>
      <c r="K105" s="71" t="s">
        <v>7275</v>
      </c>
      <c r="L105" s="75"/>
      <c r="M105" s="76"/>
      <c r="N105" s="76"/>
      <c r="O105" s="77"/>
      <c r="P105" s="78"/>
      <c r="Q105" s="78"/>
      <c r="R105" s="90"/>
      <c r="S105" s="90"/>
      <c r="T105" s="90"/>
      <c r="U105" s="90"/>
      <c r="V105" s="52"/>
      <c r="W105" s="52"/>
      <c r="X105" s="52"/>
      <c r="Y105" s="52"/>
      <c r="Z105" s="51"/>
      <c r="AA105" s="73"/>
      <c r="AB105" s="73"/>
      <c r="AC105" s="74"/>
      <c r="AD105" s="80" t="s">
        <v>4283</v>
      </c>
      <c r="AE105" s="86" t="s">
        <v>5225</v>
      </c>
      <c r="AF105" s="80">
        <v>176</v>
      </c>
      <c r="AG105" s="80">
        <v>130</v>
      </c>
      <c r="AH105" s="80">
        <v>1559</v>
      </c>
      <c r="AI105" s="80">
        <v>93</v>
      </c>
      <c r="AJ105" s="80"/>
      <c r="AK105" s="80" t="s">
        <v>6015</v>
      </c>
      <c r="AL105" s="80" t="s">
        <v>6807</v>
      </c>
      <c r="AM105" s="84" t="str">
        <f>HYPERLINK("https://t.co/MWExwrD08h")</f>
        <v>https://t.co/MWExwrD08h</v>
      </c>
      <c r="AN105" s="80"/>
      <c r="AO105" s="82">
        <v>42680.468564814815</v>
      </c>
      <c r="AP105" s="84" t="str">
        <f>HYPERLINK("https://pbs.twimg.com/profile_banners/795222883916136448/1629520812")</f>
        <v>https://pbs.twimg.com/profile_banners/795222883916136448/1629520812</v>
      </c>
      <c r="AQ105" s="80" t="b">
        <v>1</v>
      </c>
      <c r="AR105" s="80" t="b">
        <v>0</v>
      </c>
      <c r="AS105" s="80" t="b">
        <v>0</v>
      </c>
      <c r="AT105" s="80"/>
      <c r="AU105" s="80">
        <v>2</v>
      </c>
      <c r="AV105" s="80"/>
      <c r="AW105" s="80" t="b">
        <v>0</v>
      </c>
      <c r="AX105" s="80" t="s">
        <v>7173</v>
      </c>
      <c r="AY105" s="84" t="str">
        <f>HYPERLINK("https://twitter.com/wooniversa")</f>
        <v>https://twitter.com/wooniversa</v>
      </c>
      <c r="AZ105" s="80" t="s">
        <v>66</v>
      </c>
      <c r="BA105" s="2"/>
      <c r="BB105" s="3"/>
      <c r="BC105" s="3"/>
      <c r="BD105" s="3"/>
      <c r="BE105" s="3"/>
    </row>
    <row r="106" spans="1:57" x14ac:dyDescent="0.35">
      <c r="A106" s="66" t="s">
        <v>1018</v>
      </c>
      <c r="B106" s="67"/>
      <c r="C106" s="67"/>
      <c r="D106" s="68"/>
      <c r="E106" s="70"/>
      <c r="F106" s="106" t="str">
        <f>HYPERLINK("https://pbs.twimg.com/profile_images/1251880451855147008/Ucn2Ll5__normal.jpg")</f>
        <v>https://pbs.twimg.com/profile_images/1251880451855147008/Ucn2Ll5__normal.jpg</v>
      </c>
      <c r="G106" s="67"/>
      <c r="H106" s="71"/>
      <c r="I106" s="72"/>
      <c r="J106" s="72"/>
      <c r="K106" s="71" t="s">
        <v>7276</v>
      </c>
      <c r="L106" s="75"/>
      <c r="M106" s="76"/>
      <c r="N106" s="76"/>
      <c r="O106" s="77"/>
      <c r="P106" s="78"/>
      <c r="Q106" s="78"/>
      <c r="R106" s="90"/>
      <c r="S106" s="90"/>
      <c r="T106" s="90"/>
      <c r="U106" s="90"/>
      <c r="V106" s="52"/>
      <c r="W106" s="52"/>
      <c r="X106" s="52"/>
      <c r="Y106" s="52"/>
      <c r="Z106" s="51"/>
      <c r="AA106" s="73"/>
      <c r="AB106" s="73"/>
      <c r="AC106" s="74"/>
      <c r="AD106" s="80" t="s">
        <v>4284</v>
      </c>
      <c r="AE106" s="86" t="s">
        <v>3909</v>
      </c>
      <c r="AF106" s="80">
        <v>5373</v>
      </c>
      <c r="AG106" s="80">
        <v>80091</v>
      </c>
      <c r="AH106" s="80">
        <v>614087</v>
      </c>
      <c r="AI106" s="80">
        <v>36</v>
      </c>
      <c r="AJ106" s="80"/>
      <c r="AK106" s="80" t="s">
        <v>6016</v>
      </c>
      <c r="AL106" s="80" t="s">
        <v>6808</v>
      </c>
      <c r="AM106" s="84" t="str">
        <f>HYPERLINK("https://t.co/cE3qESunpu")</f>
        <v>https://t.co/cE3qESunpu</v>
      </c>
      <c r="AN106" s="80"/>
      <c r="AO106" s="82">
        <v>43389.716331018521</v>
      </c>
      <c r="AP106" s="84" t="str">
        <f>HYPERLINK("https://pbs.twimg.com/profile_banners/1052245667794411520/1587306482")</f>
        <v>https://pbs.twimg.com/profile_banners/1052245667794411520/1587306482</v>
      </c>
      <c r="AQ106" s="80" t="b">
        <v>1</v>
      </c>
      <c r="AR106" s="80" t="b">
        <v>0</v>
      </c>
      <c r="AS106" s="80" t="b">
        <v>0</v>
      </c>
      <c r="AT106" s="80"/>
      <c r="AU106" s="80">
        <v>1092</v>
      </c>
      <c r="AV106" s="80"/>
      <c r="AW106" s="80" t="b">
        <v>0</v>
      </c>
      <c r="AX106" s="80" t="s">
        <v>7173</v>
      </c>
      <c r="AY106" s="84" t="str">
        <f>HYPERLINK("https://twitter.com/citizenstores")</f>
        <v>https://twitter.com/citizenstores</v>
      </c>
      <c r="AZ106" s="80" t="s">
        <v>65</v>
      </c>
      <c r="BA106" s="2"/>
      <c r="BB106" s="3"/>
      <c r="BC106" s="3"/>
      <c r="BD106" s="3"/>
      <c r="BE106" s="3"/>
    </row>
    <row r="107" spans="1:57" x14ac:dyDescent="0.35">
      <c r="A107" s="66" t="s">
        <v>290</v>
      </c>
      <c r="B107" s="67"/>
      <c r="C107" s="67"/>
      <c r="D107" s="68"/>
      <c r="E107" s="70"/>
      <c r="F107" s="106" t="str">
        <f>HYPERLINK("https://pbs.twimg.com/profile_images/1405594123369811973/X3uGMnIb_normal.jpg")</f>
        <v>https://pbs.twimg.com/profile_images/1405594123369811973/X3uGMnIb_normal.jpg</v>
      </c>
      <c r="G107" s="67"/>
      <c r="H107" s="71"/>
      <c r="I107" s="72"/>
      <c r="J107" s="72"/>
      <c r="K107" s="71" t="s">
        <v>7277</v>
      </c>
      <c r="L107" s="75"/>
      <c r="M107" s="76"/>
      <c r="N107" s="76"/>
      <c r="O107" s="77"/>
      <c r="P107" s="78"/>
      <c r="Q107" s="78"/>
      <c r="R107" s="90"/>
      <c r="S107" s="90"/>
      <c r="T107" s="90"/>
      <c r="U107" s="90"/>
      <c r="V107" s="52"/>
      <c r="W107" s="52"/>
      <c r="X107" s="52"/>
      <c r="Y107" s="52"/>
      <c r="Z107" s="51"/>
      <c r="AA107" s="73"/>
      <c r="AB107" s="73"/>
      <c r="AC107" s="74"/>
      <c r="AD107" s="80" t="s">
        <v>4285</v>
      </c>
      <c r="AE107" s="86" t="s">
        <v>5226</v>
      </c>
      <c r="AF107" s="80">
        <v>342</v>
      </c>
      <c r="AG107" s="80">
        <v>308</v>
      </c>
      <c r="AH107" s="80">
        <v>6697</v>
      </c>
      <c r="AI107" s="80">
        <v>20920</v>
      </c>
      <c r="AJ107" s="80"/>
      <c r="AK107" s="80" t="s">
        <v>6017</v>
      </c>
      <c r="AL107" s="80" t="s">
        <v>6809</v>
      </c>
      <c r="AM107" s="80"/>
      <c r="AN107" s="80"/>
      <c r="AO107" s="82">
        <v>41349.840995370374</v>
      </c>
      <c r="AP107" s="84" t="str">
        <f>HYPERLINK("https://pbs.twimg.com/profile_banners/1273209103/1623954777")</f>
        <v>https://pbs.twimg.com/profile_banners/1273209103/1623954777</v>
      </c>
      <c r="AQ107" s="80" t="b">
        <v>0</v>
      </c>
      <c r="AR107" s="80" t="b">
        <v>0</v>
      </c>
      <c r="AS107" s="80" t="b">
        <v>1</v>
      </c>
      <c r="AT107" s="80"/>
      <c r="AU107" s="80">
        <v>8</v>
      </c>
      <c r="AV107" s="84" t="str">
        <f>HYPERLINK("https://abs.twimg.com/images/themes/theme5/bg.gif")</f>
        <v>https://abs.twimg.com/images/themes/theme5/bg.gif</v>
      </c>
      <c r="AW107" s="80" t="b">
        <v>0</v>
      </c>
      <c r="AX107" s="80" t="s">
        <v>7173</v>
      </c>
      <c r="AY107" s="84" t="str">
        <f>HYPERLINK("https://twitter.com/huans2huans")</f>
        <v>https://twitter.com/huans2huans</v>
      </c>
      <c r="AZ107" s="80" t="s">
        <v>66</v>
      </c>
      <c r="BA107" s="2"/>
      <c r="BB107" s="3"/>
      <c r="BC107" s="3"/>
      <c r="BD107" s="3"/>
      <c r="BE107" s="3"/>
    </row>
    <row r="108" spans="1:57" x14ac:dyDescent="0.35">
      <c r="A108" s="66" t="s">
        <v>291</v>
      </c>
      <c r="B108" s="67"/>
      <c r="C108" s="67"/>
      <c r="D108" s="68"/>
      <c r="E108" s="70"/>
      <c r="F108" s="106" t="str">
        <f>HYPERLINK("https://pbs.twimg.com/profile_images/1438472985061441538/44ttg0xb_normal.jpg")</f>
        <v>https://pbs.twimg.com/profile_images/1438472985061441538/44ttg0xb_normal.jpg</v>
      </c>
      <c r="G108" s="67"/>
      <c r="H108" s="71"/>
      <c r="I108" s="72"/>
      <c r="J108" s="72"/>
      <c r="K108" s="71" t="s">
        <v>7278</v>
      </c>
      <c r="L108" s="75"/>
      <c r="M108" s="76"/>
      <c r="N108" s="76"/>
      <c r="O108" s="77"/>
      <c r="P108" s="78"/>
      <c r="Q108" s="78"/>
      <c r="R108" s="90"/>
      <c r="S108" s="90"/>
      <c r="T108" s="90"/>
      <c r="U108" s="90"/>
      <c r="V108" s="52"/>
      <c r="W108" s="52"/>
      <c r="X108" s="52"/>
      <c r="Y108" s="52"/>
      <c r="Z108" s="51"/>
      <c r="AA108" s="73"/>
      <c r="AB108" s="73"/>
      <c r="AC108" s="74"/>
      <c r="AD108" s="80" t="s">
        <v>4286</v>
      </c>
      <c r="AE108" s="86" t="s">
        <v>5227</v>
      </c>
      <c r="AF108" s="80">
        <v>123</v>
      </c>
      <c r="AG108" s="80">
        <v>129</v>
      </c>
      <c r="AH108" s="80">
        <v>4516</v>
      </c>
      <c r="AI108" s="80">
        <v>1409</v>
      </c>
      <c r="AJ108" s="80"/>
      <c r="AK108" s="80" t="s">
        <v>6018</v>
      </c>
      <c r="AL108" s="80"/>
      <c r="AM108" s="84" t="str">
        <f>HYPERLINK("https://t.co/x4HzCOqzQt")</f>
        <v>https://t.co/x4HzCOqzQt</v>
      </c>
      <c r="AN108" s="80"/>
      <c r="AO108" s="82">
        <v>43641.658171296294</v>
      </c>
      <c r="AP108" s="84" t="str">
        <f>HYPERLINK("https://pbs.twimg.com/profile_banners/1143546332499496960/1631793786")</f>
        <v>https://pbs.twimg.com/profile_banners/1143546332499496960/1631793786</v>
      </c>
      <c r="AQ108" s="80" t="b">
        <v>1</v>
      </c>
      <c r="AR108" s="80" t="b">
        <v>0</v>
      </c>
      <c r="AS108" s="80" t="b">
        <v>0</v>
      </c>
      <c r="AT108" s="80"/>
      <c r="AU108" s="80">
        <v>1</v>
      </c>
      <c r="AV108" s="80"/>
      <c r="AW108" s="80" t="b">
        <v>0</v>
      </c>
      <c r="AX108" s="80" t="s">
        <v>7173</v>
      </c>
      <c r="AY108" s="84" t="str">
        <f>HYPERLINK("https://twitter.com/baileysjimin")</f>
        <v>https://twitter.com/baileysjimin</v>
      </c>
      <c r="AZ108" s="80" t="s">
        <v>66</v>
      </c>
      <c r="BA108" s="2"/>
      <c r="BB108" s="3"/>
      <c r="BC108" s="3"/>
      <c r="BD108" s="3"/>
      <c r="BE108" s="3"/>
    </row>
    <row r="109" spans="1:57" x14ac:dyDescent="0.35">
      <c r="A109" s="66" t="s">
        <v>1019</v>
      </c>
      <c r="B109" s="67"/>
      <c r="C109" s="67"/>
      <c r="D109" s="68"/>
      <c r="E109" s="70"/>
      <c r="F109" s="106" t="str">
        <f>HYPERLINK("https://pbs.twimg.com/profile_images/1341430310337069057/lbJaOczn_normal.png")</f>
        <v>https://pbs.twimg.com/profile_images/1341430310337069057/lbJaOczn_normal.png</v>
      </c>
      <c r="G109" s="67"/>
      <c r="H109" s="71"/>
      <c r="I109" s="72"/>
      <c r="J109" s="72"/>
      <c r="K109" s="71" t="s">
        <v>7279</v>
      </c>
      <c r="L109" s="75"/>
      <c r="M109" s="76"/>
      <c r="N109" s="76"/>
      <c r="O109" s="77"/>
      <c r="P109" s="78"/>
      <c r="Q109" s="78"/>
      <c r="R109" s="90"/>
      <c r="S109" s="90"/>
      <c r="T109" s="90"/>
      <c r="U109" s="90"/>
      <c r="V109" s="52"/>
      <c r="W109" s="52"/>
      <c r="X109" s="52"/>
      <c r="Y109" s="52"/>
      <c r="Z109" s="51"/>
      <c r="AA109" s="73"/>
      <c r="AB109" s="73"/>
      <c r="AC109" s="74"/>
      <c r="AD109" s="80" t="s">
        <v>4287</v>
      </c>
      <c r="AE109" s="86" t="s">
        <v>3910</v>
      </c>
      <c r="AF109" s="80">
        <v>3179</v>
      </c>
      <c r="AG109" s="80">
        <v>34287</v>
      </c>
      <c r="AH109" s="80">
        <v>359799</v>
      </c>
      <c r="AI109" s="80">
        <v>137</v>
      </c>
      <c r="AJ109" s="80"/>
      <c r="AK109" s="80" t="s">
        <v>6019</v>
      </c>
      <c r="AL109" s="80" t="s">
        <v>6810</v>
      </c>
      <c r="AM109" s="84" t="str">
        <f>HYPERLINK("https://t.co/3AkkVL6LqZ")</f>
        <v>https://t.co/3AkkVL6LqZ</v>
      </c>
      <c r="AN109" s="80"/>
      <c r="AO109" s="82">
        <v>43909.227442129632</v>
      </c>
      <c r="AP109" s="84" t="str">
        <f>HYPERLINK("https://pbs.twimg.com/profile_banners/1240510156745494528/1592494409")</f>
        <v>https://pbs.twimg.com/profile_banners/1240510156745494528/1592494409</v>
      </c>
      <c r="AQ109" s="80" t="b">
        <v>1</v>
      </c>
      <c r="AR109" s="80" t="b">
        <v>0</v>
      </c>
      <c r="AS109" s="80" t="b">
        <v>0</v>
      </c>
      <c r="AT109" s="80"/>
      <c r="AU109" s="80">
        <v>882</v>
      </c>
      <c r="AV109" s="80"/>
      <c r="AW109" s="80" t="b">
        <v>0</v>
      </c>
      <c r="AX109" s="80" t="s">
        <v>7173</v>
      </c>
      <c r="AY109" s="84" t="str">
        <f>HYPERLINK("https://twitter.com/jajanbighit")</f>
        <v>https://twitter.com/jajanbighit</v>
      </c>
      <c r="AZ109" s="80" t="s">
        <v>65</v>
      </c>
      <c r="BA109" s="2"/>
      <c r="BB109" s="3"/>
      <c r="BC109" s="3"/>
      <c r="BD109" s="3"/>
      <c r="BE109" s="3"/>
    </row>
    <row r="110" spans="1:57" x14ac:dyDescent="0.35">
      <c r="A110" s="66" t="s">
        <v>292</v>
      </c>
      <c r="B110" s="67"/>
      <c r="C110" s="67"/>
      <c r="D110" s="68"/>
      <c r="E110" s="70"/>
      <c r="F110" s="106" t="str">
        <f>HYPERLINK("https://pbs.twimg.com/profile_images/1441435131122651137/k66msB_t_normal.jpg")</f>
        <v>https://pbs.twimg.com/profile_images/1441435131122651137/k66msB_t_normal.jpg</v>
      </c>
      <c r="G110" s="67"/>
      <c r="H110" s="71"/>
      <c r="I110" s="72"/>
      <c r="J110" s="72"/>
      <c r="K110" s="71" t="s">
        <v>7280</v>
      </c>
      <c r="L110" s="75"/>
      <c r="M110" s="76"/>
      <c r="N110" s="76"/>
      <c r="O110" s="77"/>
      <c r="P110" s="78"/>
      <c r="Q110" s="78"/>
      <c r="R110" s="90"/>
      <c r="S110" s="90"/>
      <c r="T110" s="90"/>
      <c r="U110" s="90"/>
      <c r="V110" s="52"/>
      <c r="W110" s="52"/>
      <c r="X110" s="52"/>
      <c r="Y110" s="52"/>
      <c r="Z110" s="51"/>
      <c r="AA110" s="73"/>
      <c r="AB110" s="73"/>
      <c r="AC110" s="74"/>
      <c r="AD110" s="80" t="s">
        <v>4288</v>
      </c>
      <c r="AE110" s="86" t="s">
        <v>5228</v>
      </c>
      <c r="AF110" s="80">
        <v>1055</v>
      </c>
      <c r="AG110" s="80">
        <v>1104</v>
      </c>
      <c r="AH110" s="80">
        <v>11432</v>
      </c>
      <c r="AI110" s="80">
        <v>16384</v>
      </c>
      <c r="AJ110" s="80"/>
      <c r="AK110" s="80"/>
      <c r="AL110" s="80"/>
      <c r="AM110" s="80"/>
      <c r="AN110" s="80"/>
      <c r="AO110" s="82">
        <v>44058.118715277778</v>
      </c>
      <c r="AP110" s="84" t="str">
        <f>HYPERLINK("https://pbs.twimg.com/profile_banners/1294466535566712832/1632499865")</f>
        <v>https://pbs.twimg.com/profile_banners/1294466535566712832/1632499865</v>
      </c>
      <c r="AQ110" s="80" t="b">
        <v>1</v>
      </c>
      <c r="AR110" s="80" t="b">
        <v>0</v>
      </c>
      <c r="AS110" s="80" t="b">
        <v>0</v>
      </c>
      <c r="AT110" s="80"/>
      <c r="AU110" s="80">
        <v>1</v>
      </c>
      <c r="AV110" s="80"/>
      <c r="AW110" s="80" t="b">
        <v>0</v>
      </c>
      <c r="AX110" s="80" t="s">
        <v>7173</v>
      </c>
      <c r="AY110" s="84" t="str">
        <f>HYPERLINK("https://twitter.com/jeiyaaddict")</f>
        <v>https://twitter.com/jeiyaaddict</v>
      </c>
      <c r="AZ110" s="80" t="s">
        <v>66</v>
      </c>
      <c r="BA110" s="2"/>
      <c r="BB110" s="3"/>
      <c r="BC110" s="3"/>
      <c r="BD110" s="3"/>
      <c r="BE110" s="3"/>
    </row>
    <row r="111" spans="1:57" x14ac:dyDescent="0.35">
      <c r="A111" s="66" t="s">
        <v>293</v>
      </c>
      <c r="B111" s="67"/>
      <c r="C111" s="67"/>
      <c r="D111" s="68"/>
      <c r="E111" s="70"/>
      <c r="F111" s="106" t="str">
        <f>HYPERLINK("https://pbs.twimg.com/profile_images/927482568617861120/5_nnVg7T_normal.jpg")</f>
        <v>https://pbs.twimg.com/profile_images/927482568617861120/5_nnVg7T_normal.jpg</v>
      </c>
      <c r="G111" s="67"/>
      <c r="H111" s="71"/>
      <c r="I111" s="72"/>
      <c r="J111" s="72"/>
      <c r="K111" s="71" t="s">
        <v>7281</v>
      </c>
      <c r="L111" s="75"/>
      <c r="M111" s="76"/>
      <c r="N111" s="76"/>
      <c r="O111" s="77"/>
      <c r="P111" s="78"/>
      <c r="Q111" s="78"/>
      <c r="R111" s="90"/>
      <c r="S111" s="90"/>
      <c r="T111" s="90"/>
      <c r="U111" s="90"/>
      <c r="V111" s="52"/>
      <c r="W111" s="52"/>
      <c r="X111" s="52"/>
      <c r="Y111" s="52"/>
      <c r="Z111" s="51"/>
      <c r="AA111" s="73"/>
      <c r="AB111" s="73"/>
      <c r="AC111" s="74"/>
      <c r="AD111" s="80" t="s">
        <v>4289</v>
      </c>
      <c r="AE111" s="86" t="s">
        <v>5229</v>
      </c>
      <c r="AF111" s="80">
        <v>9</v>
      </c>
      <c r="AG111" s="80">
        <v>9</v>
      </c>
      <c r="AH111" s="80">
        <v>825</v>
      </c>
      <c r="AI111" s="80">
        <v>5</v>
      </c>
      <c r="AJ111" s="80"/>
      <c r="AK111" s="80" t="s">
        <v>6020</v>
      </c>
      <c r="AL111" s="80" t="s">
        <v>6811</v>
      </c>
      <c r="AM111" s="80"/>
      <c r="AN111" s="80"/>
      <c r="AO111" s="82">
        <v>43045.433842592596</v>
      </c>
      <c r="AP111" s="84" t="str">
        <f>HYPERLINK("https://pbs.twimg.com/profile_banners/927481868919771136/1510767765")</f>
        <v>https://pbs.twimg.com/profile_banners/927481868919771136/1510767765</v>
      </c>
      <c r="AQ111" s="80" t="b">
        <v>1</v>
      </c>
      <c r="AR111" s="80" t="b">
        <v>0</v>
      </c>
      <c r="AS111" s="80" t="b">
        <v>0</v>
      </c>
      <c r="AT111" s="80"/>
      <c r="AU111" s="80">
        <v>0</v>
      </c>
      <c r="AV111" s="80"/>
      <c r="AW111" s="80" t="b">
        <v>0</v>
      </c>
      <c r="AX111" s="80" t="s">
        <v>7173</v>
      </c>
      <c r="AY111" s="84" t="str">
        <f>HYPERLINK("https://twitter.com/gyujinteppan")</f>
        <v>https://twitter.com/gyujinteppan</v>
      </c>
      <c r="AZ111" s="80" t="s">
        <v>66</v>
      </c>
      <c r="BA111" s="2"/>
      <c r="BB111" s="3"/>
      <c r="BC111" s="3"/>
      <c r="BD111" s="3"/>
      <c r="BE111" s="3"/>
    </row>
    <row r="112" spans="1:57" x14ac:dyDescent="0.35">
      <c r="A112" s="66" t="s">
        <v>294</v>
      </c>
      <c r="B112" s="67"/>
      <c r="C112" s="67"/>
      <c r="D112" s="68"/>
      <c r="E112" s="70"/>
      <c r="F112" s="106" t="str">
        <f>HYPERLINK("https://pbs.twimg.com/profile_images/1423887272961662977/2nk6BCCD_normal.jpg")</f>
        <v>https://pbs.twimg.com/profile_images/1423887272961662977/2nk6BCCD_normal.jpg</v>
      </c>
      <c r="G112" s="67"/>
      <c r="H112" s="71"/>
      <c r="I112" s="72"/>
      <c r="J112" s="72"/>
      <c r="K112" s="71" t="s">
        <v>7282</v>
      </c>
      <c r="L112" s="75"/>
      <c r="M112" s="76"/>
      <c r="N112" s="76"/>
      <c r="O112" s="77"/>
      <c r="P112" s="78"/>
      <c r="Q112" s="78"/>
      <c r="R112" s="90"/>
      <c r="S112" s="90"/>
      <c r="T112" s="90"/>
      <c r="U112" s="90"/>
      <c r="V112" s="52"/>
      <c r="W112" s="52"/>
      <c r="X112" s="52"/>
      <c r="Y112" s="52"/>
      <c r="Z112" s="51"/>
      <c r="AA112" s="73"/>
      <c r="AB112" s="73"/>
      <c r="AC112" s="74"/>
      <c r="AD112" s="80" t="s">
        <v>4290</v>
      </c>
      <c r="AE112" s="86" t="s">
        <v>5230</v>
      </c>
      <c r="AF112" s="80">
        <v>3515</v>
      </c>
      <c r="AG112" s="80">
        <v>3180</v>
      </c>
      <c r="AH112" s="80">
        <v>25172</v>
      </c>
      <c r="AI112" s="80">
        <v>19382</v>
      </c>
      <c r="AJ112" s="80"/>
      <c r="AK112" s="80" t="s">
        <v>6021</v>
      </c>
      <c r="AL112" s="80"/>
      <c r="AM112" s="80"/>
      <c r="AN112" s="80"/>
      <c r="AO112" s="82">
        <v>43640.385150462964</v>
      </c>
      <c r="AP112" s="84" t="str">
        <f>HYPERLINK("https://pbs.twimg.com/profile_banners/1143085007193329664/1602770659")</f>
        <v>https://pbs.twimg.com/profile_banners/1143085007193329664/1602770659</v>
      </c>
      <c r="AQ112" s="80" t="b">
        <v>1</v>
      </c>
      <c r="AR112" s="80" t="b">
        <v>0</v>
      </c>
      <c r="AS112" s="80" t="b">
        <v>0</v>
      </c>
      <c r="AT112" s="80"/>
      <c r="AU112" s="80">
        <v>2</v>
      </c>
      <c r="AV112" s="80"/>
      <c r="AW112" s="80" t="b">
        <v>0</v>
      </c>
      <c r="AX112" s="80" t="s">
        <v>7173</v>
      </c>
      <c r="AY112" s="84" t="str">
        <f>HYPERLINK("https://twitter.com/ranisor")</f>
        <v>https://twitter.com/ranisor</v>
      </c>
      <c r="AZ112" s="80" t="s">
        <v>66</v>
      </c>
      <c r="BA112" s="2"/>
      <c r="BB112" s="3"/>
      <c r="BC112" s="3"/>
      <c r="BD112" s="3"/>
      <c r="BE112" s="3"/>
    </row>
    <row r="113" spans="1:57" x14ac:dyDescent="0.35">
      <c r="A113" s="66" t="s">
        <v>295</v>
      </c>
      <c r="B113" s="67"/>
      <c r="C113" s="67"/>
      <c r="D113" s="68"/>
      <c r="E113" s="70"/>
      <c r="F113" s="106" t="str">
        <f>HYPERLINK("https://pbs.twimg.com/profile_images/1434440887958786051/E0XVTLac_normal.jpg")</f>
        <v>https://pbs.twimg.com/profile_images/1434440887958786051/E0XVTLac_normal.jpg</v>
      </c>
      <c r="G113" s="67"/>
      <c r="H113" s="71"/>
      <c r="I113" s="72"/>
      <c r="J113" s="72"/>
      <c r="K113" s="71" t="s">
        <v>7283</v>
      </c>
      <c r="L113" s="75"/>
      <c r="M113" s="76"/>
      <c r="N113" s="76"/>
      <c r="O113" s="77"/>
      <c r="P113" s="78"/>
      <c r="Q113" s="78"/>
      <c r="R113" s="90"/>
      <c r="S113" s="90"/>
      <c r="T113" s="90"/>
      <c r="U113" s="90"/>
      <c r="V113" s="52"/>
      <c r="W113" s="52"/>
      <c r="X113" s="52"/>
      <c r="Y113" s="52"/>
      <c r="Z113" s="51"/>
      <c r="AA113" s="73"/>
      <c r="AB113" s="73"/>
      <c r="AC113" s="74"/>
      <c r="AD113" s="80" t="s">
        <v>4291</v>
      </c>
      <c r="AE113" s="86" t="s">
        <v>5231</v>
      </c>
      <c r="AF113" s="80">
        <v>233</v>
      </c>
      <c r="AG113" s="80">
        <v>15</v>
      </c>
      <c r="AH113" s="80">
        <v>737</v>
      </c>
      <c r="AI113" s="80">
        <v>1820</v>
      </c>
      <c r="AJ113" s="80"/>
      <c r="AK113" s="80" t="s">
        <v>6022</v>
      </c>
      <c r="AL113" s="80"/>
      <c r="AM113" s="80"/>
      <c r="AN113" s="80"/>
      <c r="AO113" s="82">
        <v>43929.586284722223</v>
      </c>
      <c r="AP113" s="84" t="str">
        <f>HYPERLINK("https://pbs.twimg.com/profile_banners/1247887947602341891/1630002467")</f>
        <v>https://pbs.twimg.com/profile_banners/1247887947602341891/1630002467</v>
      </c>
      <c r="AQ113" s="80" t="b">
        <v>1</v>
      </c>
      <c r="AR113" s="80" t="b">
        <v>0</v>
      </c>
      <c r="AS113" s="80" t="b">
        <v>1</v>
      </c>
      <c r="AT113" s="80"/>
      <c r="AU113" s="80">
        <v>0</v>
      </c>
      <c r="AV113" s="80"/>
      <c r="AW113" s="80" t="b">
        <v>0</v>
      </c>
      <c r="AX113" s="80" t="s">
        <v>7173</v>
      </c>
      <c r="AY113" s="84" t="str">
        <f>HYPERLINK("https://twitter.com/ichsaaannnnn")</f>
        <v>https://twitter.com/ichsaaannnnn</v>
      </c>
      <c r="AZ113" s="80" t="s">
        <v>66</v>
      </c>
      <c r="BA113" s="2"/>
      <c r="BB113" s="3"/>
      <c r="BC113" s="3"/>
      <c r="BD113" s="3"/>
      <c r="BE113" s="3"/>
    </row>
    <row r="114" spans="1:57" x14ac:dyDescent="0.35">
      <c r="A114" s="66" t="s">
        <v>1020</v>
      </c>
      <c r="B114" s="67"/>
      <c r="C114" s="67"/>
      <c r="D114" s="68"/>
      <c r="E114" s="70"/>
      <c r="F114" s="106" t="str">
        <f>HYPERLINK("https://pbs.twimg.com/profile_images/1192706388683706368/97zwUcpE_normal.jpg")</f>
        <v>https://pbs.twimg.com/profile_images/1192706388683706368/97zwUcpE_normal.jpg</v>
      </c>
      <c r="G114" s="67"/>
      <c r="H114" s="71"/>
      <c r="I114" s="72"/>
      <c r="J114" s="72"/>
      <c r="K114" s="71" t="s">
        <v>7284</v>
      </c>
      <c r="L114" s="75"/>
      <c r="M114" s="76"/>
      <c r="N114" s="76"/>
      <c r="O114" s="77"/>
      <c r="P114" s="78"/>
      <c r="Q114" s="78"/>
      <c r="R114" s="90"/>
      <c r="S114" s="90"/>
      <c r="T114" s="90"/>
      <c r="U114" s="90"/>
      <c r="V114" s="52"/>
      <c r="W114" s="52"/>
      <c r="X114" s="52"/>
      <c r="Y114" s="52"/>
      <c r="Z114" s="51"/>
      <c r="AA114" s="73"/>
      <c r="AB114" s="73"/>
      <c r="AC114" s="74"/>
      <c r="AD114" s="80" t="s">
        <v>4292</v>
      </c>
      <c r="AE114" s="86" t="s">
        <v>5232</v>
      </c>
      <c r="AF114" s="80">
        <v>26</v>
      </c>
      <c r="AG114" s="80">
        <v>166</v>
      </c>
      <c r="AH114" s="80">
        <v>95</v>
      </c>
      <c r="AI114" s="80">
        <v>7</v>
      </c>
      <c r="AJ114" s="80"/>
      <c r="AK114" s="80" t="s">
        <v>6023</v>
      </c>
      <c r="AL114" s="80"/>
      <c r="AM114" s="80"/>
      <c r="AN114" s="80"/>
      <c r="AO114" s="82">
        <v>43777.313113425924</v>
      </c>
      <c r="AP114" s="84" t="str">
        <f>HYPERLINK("https://pbs.twimg.com/profile_banners/1192706001037717504/1573618937")</f>
        <v>https://pbs.twimg.com/profile_banners/1192706001037717504/1573618937</v>
      </c>
      <c r="AQ114" s="80" t="b">
        <v>1</v>
      </c>
      <c r="AR114" s="80" t="b">
        <v>0</v>
      </c>
      <c r="AS114" s="80" t="b">
        <v>0</v>
      </c>
      <c r="AT114" s="80"/>
      <c r="AU114" s="80">
        <v>1</v>
      </c>
      <c r="AV114" s="80"/>
      <c r="AW114" s="80" t="b">
        <v>0</v>
      </c>
      <c r="AX114" s="80" t="s">
        <v>7173</v>
      </c>
      <c r="AY114" s="84" t="str">
        <f>HYPERLINK("https://twitter.com/gelorabanten")</f>
        <v>https://twitter.com/gelorabanten</v>
      </c>
      <c r="AZ114" s="80" t="s">
        <v>65</v>
      </c>
      <c r="BA114" s="2"/>
      <c r="BB114" s="3"/>
      <c r="BC114" s="3"/>
      <c r="BD114" s="3"/>
      <c r="BE114" s="3"/>
    </row>
    <row r="115" spans="1:57" x14ac:dyDescent="0.35">
      <c r="A115" s="66" t="s">
        <v>1021</v>
      </c>
      <c r="B115" s="67"/>
      <c r="C115" s="67"/>
      <c r="D115" s="68"/>
      <c r="E115" s="70"/>
      <c r="F115" s="106" t="str">
        <f>HYPERLINK("https://pbs.twimg.com/profile_images/1223084350746456064/-81PbMcY_normal.jpg")</f>
        <v>https://pbs.twimg.com/profile_images/1223084350746456064/-81PbMcY_normal.jpg</v>
      </c>
      <c r="G115" s="67"/>
      <c r="H115" s="71"/>
      <c r="I115" s="72"/>
      <c r="J115" s="72"/>
      <c r="K115" s="71" t="s">
        <v>7285</v>
      </c>
      <c r="L115" s="75"/>
      <c r="M115" s="76"/>
      <c r="N115" s="76"/>
      <c r="O115" s="77"/>
      <c r="P115" s="78"/>
      <c r="Q115" s="78"/>
      <c r="R115" s="90"/>
      <c r="S115" s="90"/>
      <c r="T115" s="90"/>
      <c r="U115" s="90"/>
      <c r="V115" s="52"/>
      <c r="W115" s="52"/>
      <c r="X115" s="52"/>
      <c r="Y115" s="52"/>
      <c r="Z115" s="51"/>
      <c r="AA115" s="73"/>
      <c r="AB115" s="73"/>
      <c r="AC115" s="74"/>
      <c r="AD115" s="80" t="s">
        <v>4293</v>
      </c>
      <c r="AE115" s="86" t="s">
        <v>5233</v>
      </c>
      <c r="AF115" s="80">
        <v>4</v>
      </c>
      <c r="AG115" s="80">
        <v>64</v>
      </c>
      <c r="AH115" s="80">
        <v>47</v>
      </c>
      <c r="AI115" s="80">
        <v>29</v>
      </c>
      <c r="AJ115" s="80"/>
      <c r="AK115" s="80" t="s">
        <v>6024</v>
      </c>
      <c r="AL115" s="80" t="s">
        <v>6767</v>
      </c>
      <c r="AM115" s="80"/>
      <c r="AN115" s="80"/>
      <c r="AO115" s="82">
        <v>43785.458067129628</v>
      </c>
      <c r="AP115" s="84" t="str">
        <f>HYPERLINK("https://pbs.twimg.com/profile_banners/1195657607177834496/1619236071")</f>
        <v>https://pbs.twimg.com/profile_banners/1195657607177834496/1619236071</v>
      </c>
      <c r="AQ115" s="80" t="b">
        <v>1</v>
      </c>
      <c r="AR115" s="80" t="b">
        <v>0</v>
      </c>
      <c r="AS115" s="80" t="b">
        <v>1</v>
      </c>
      <c r="AT115" s="80"/>
      <c r="AU115" s="80">
        <v>1</v>
      </c>
      <c r="AV115" s="80"/>
      <c r="AW115" s="80" t="b">
        <v>0</v>
      </c>
      <c r="AX115" s="80" t="s">
        <v>7173</v>
      </c>
      <c r="AY115" s="84" t="str">
        <f>HYPERLINK("https://twitter.com/gelorakalsel")</f>
        <v>https://twitter.com/gelorakalsel</v>
      </c>
      <c r="AZ115" s="80" t="s">
        <v>65</v>
      </c>
      <c r="BA115" s="2"/>
      <c r="BB115" s="3"/>
      <c r="BC115" s="3"/>
      <c r="BD115" s="3"/>
      <c r="BE115" s="3"/>
    </row>
    <row r="116" spans="1:57" x14ac:dyDescent="0.35">
      <c r="A116" s="66" t="s">
        <v>1022</v>
      </c>
      <c r="B116" s="67"/>
      <c r="C116" s="67"/>
      <c r="D116" s="68"/>
      <c r="E116" s="70"/>
      <c r="F116" s="106" t="str">
        <f>HYPERLINK("https://pbs.twimg.com/profile_images/1201507062989017088/gTig14TS_normal.jpg")</f>
        <v>https://pbs.twimg.com/profile_images/1201507062989017088/gTig14TS_normal.jpg</v>
      </c>
      <c r="G116" s="67"/>
      <c r="H116" s="71"/>
      <c r="I116" s="72"/>
      <c r="J116" s="72"/>
      <c r="K116" s="71" t="s">
        <v>7286</v>
      </c>
      <c r="L116" s="75"/>
      <c r="M116" s="76"/>
      <c r="N116" s="76"/>
      <c r="O116" s="77"/>
      <c r="P116" s="78"/>
      <c r="Q116" s="78"/>
      <c r="R116" s="90"/>
      <c r="S116" s="90"/>
      <c r="T116" s="90"/>
      <c r="U116" s="90"/>
      <c r="V116" s="52"/>
      <c r="W116" s="52"/>
      <c r="X116" s="52"/>
      <c r="Y116" s="52"/>
      <c r="Z116" s="51"/>
      <c r="AA116" s="73"/>
      <c r="AB116" s="73"/>
      <c r="AC116" s="74"/>
      <c r="AD116" s="80" t="s">
        <v>1022</v>
      </c>
      <c r="AE116" s="86" t="s">
        <v>5234</v>
      </c>
      <c r="AF116" s="80">
        <v>12</v>
      </c>
      <c r="AG116" s="80">
        <v>257</v>
      </c>
      <c r="AH116" s="80">
        <v>78</v>
      </c>
      <c r="AI116" s="80">
        <v>4</v>
      </c>
      <c r="AJ116" s="80"/>
      <c r="AK116" s="80" t="s">
        <v>6025</v>
      </c>
      <c r="AL116" s="80"/>
      <c r="AM116" s="80"/>
      <c r="AN116" s="80"/>
      <c r="AO116" s="82">
        <v>43801.598460648151</v>
      </c>
      <c r="AP116" s="80"/>
      <c r="AQ116" s="80" t="b">
        <v>1</v>
      </c>
      <c r="AR116" s="80" t="b">
        <v>0</v>
      </c>
      <c r="AS116" s="80" t="b">
        <v>1</v>
      </c>
      <c r="AT116" s="80"/>
      <c r="AU116" s="80">
        <v>1</v>
      </c>
      <c r="AV116" s="80"/>
      <c r="AW116" s="80" t="b">
        <v>0</v>
      </c>
      <c r="AX116" s="80" t="s">
        <v>7173</v>
      </c>
      <c r="AY116" s="84" t="str">
        <f>HYPERLINK("https://twitter.com/gelorasumbar")</f>
        <v>https://twitter.com/gelorasumbar</v>
      </c>
      <c r="AZ116" s="80" t="s">
        <v>65</v>
      </c>
      <c r="BA116" s="2"/>
      <c r="BB116" s="3"/>
      <c r="BC116" s="3"/>
      <c r="BD116" s="3"/>
      <c r="BE116" s="3"/>
    </row>
    <row r="117" spans="1:57" x14ac:dyDescent="0.35">
      <c r="A117" s="66" t="s">
        <v>1023</v>
      </c>
      <c r="B117" s="67"/>
      <c r="C117" s="67"/>
      <c r="D117" s="68"/>
      <c r="E117" s="70"/>
      <c r="F117" s="106" t="str">
        <f>HYPERLINK("https://pbs.twimg.com/profile_images/1281246628486119424/j8on1aKp_normal.jpg")</f>
        <v>https://pbs.twimg.com/profile_images/1281246628486119424/j8on1aKp_normal.jpg</v>
      </c>
      <c r="G117" s="67"/>
      <c r="H117" s="71"/>
      <c r="I117" s="72"/>
      <c r="J117" s="72"/>
      <c r="K117" s="71" t="s">
        <v>7287</v>
      </c>
      <c r="L117" s="75"/>
      <c r="M117" s="76"/>
      <c r="N117" s="76"/>
      <c r="O117" s="77"/>
      <c r="P117" s="78"/>
      <c r="Q117" s="78"/>
      <c r="R117" s="90"/>
      <c r="S117" s="90"/>
      <c r="T117" s="90"/>
      <c r="U117" s="90"/>
      <c r="V117" s="52"/>
      <c r="W117" s="52"/>
      <c r="X117" s="52"/>
      <c r="Y117" s="52"/>
      <c r="Z117" s="51"/>
      <c r="AA117" s="73"/>
      <c r="AB117" s="73"/>
      <c r="AC117" s="74"/>
      <c r="AD117" s="80" t="s">
        <v>4294</v>
      </c>
      <c r="AE117" s="86" t="s">
        <v>5235</v>
      </c>
      <c r="AF117" s="80">
        <v>99</v>
      </c>
      <c r="AG117" s="80">
        <v>109</v>
      </c>
      <c r="AH117" s="80">
        <v>169</v>
      </c>
      <c r="AI117" s="80">
        <v>52</v>
      </c>
      <c r="AJ117" s="80"/>
      <c r="AK117" s="80" t="s">
        <v>6026</v>
      </c>
      <c r="AL117" s="80" t="s">
        <v>6812</v>
      </c>
      <c r="AM117" s="84" t="str">
        <f>HYPERLINK("https://t.co/eYhExedxxs")</f>
        <v>https://t.co/eYhExedxxs</v>
      </c>
      <c r="AN117" s="80"/>
      <c r="AO117" s="82">
        <v>43797.270682870374</v>
      </c>
      <c r="AP117" s="84" t="str">
        <f>HYPERLINK("https://pbs.twimg.com/profile_banners/1199938310065442817/1625320225")</f>
        <v>https://pbs.twimg.com/profile_banners/1199938310065442817/1625320225</v>
      </c>
      <c r="AQ117" s="80" t="b">
        <v>1</v>
      </c>
      <c r="AR117" s="80" t="b">
        <v>0</v>
      </c>
      <c r="AS117" s="80" t="b">
        <v>0</v>
      </c>
      <c r="AT117" s="80"/>
      <c r="AU117" s="80">
        <v>1</v>
      </c>
      <c r="AV117" s="80"/>
      <c r="AW117" s="80" t="b">
        <v>0</v>
      </c>
      <c r="AX117" s="80" t="s">
        <v>7173</v>
      </c>
      <c r="AY117" s="84" t="str">
        <f>HYPERLINK("https://twitter.com/gelorakotajambi")</f>
        <v>https://twitter.com/gelorakotajambi</v>
      </c>
      <c r="AZ117" s="80" t="s">
        <v>65</v>
      </c>
      <c r="BA117" s="2"/>
      <c r="BB117" s="3"/>
      <c r="BC117" s="3"/>
      <c r="BD117" s="3"/>
      <c r="BE117" s="3"/>
    </row>
    <row r="118" spans="1:57" x14ac:dyDescent="0.35">
      <c r="A118" s="66" t="s">
        <v>1024</v>
      </c>
      <c r="B118" s="67"/>
      <c r="C118" s="67"/>
      <c r="D118" s="68"/>
      <c r="E118" s="70"/>
      <c r="F118" s="106" t="str">
        <f>HYPERLINK("https://pbs.twimg.com/profile_images/1428983504310734853/ZcppXa-k_normal.jpg")</f>
        <v>https://pbs.twimg.com/profile_images/1428983504310734853/ZcppXa-k_normal.jpg</v>
      </c>
      <c r="G118" s="67"/>
      <c r="H118" s="71"/>
      <c r="I118" s="72"/>
      <c r="J118" s="72"/>
      <c r="K118" s="71" t="s">
        <v>7288</v>
      </c>
      <c r="L118" s="75"/>
      <c r="M118" s="76"/>
      <c r="N118" s="76"/>
      <c r="O118" s="77"/>
      <c r="P118" s="78"/>
      <c r="Q118" s="78"/>
      <c r="R118" s="90"/>
      <c r="S118" s="90"/>
      <c r="T118" s="90"/>
      <c r="U118" s="90"/>
      <c r="V118" s="52"/>
      <c r="W118" s="52"/>
      <c r="X118" s="52"/>
      <c r="Y118" s="52"/>
      <c r="Z118" s="51"/>
      <c r="AA118" s="73"/>
      <c r="AB118" s="73"/>
      <c r="AC118" s="74"/>
      <c r="AD118" s="80" t="s">
        <v>4295</v>
      </c>
      <c r="AE118" s="86" t="s">
        <v>5236</v>
      </c>
      <c r="AF118" s="80">
        <v>21</v>
      </c>
      <c r="AG118" s="80">
        <v>79</v>
      </c>
      <c r="AH118" s="80">
        <v>125</v>
      </c>
      <c r="AI118" s="80">
        <v>58</v>
      </c>
      <c r="AJ118" s="80"/>
      <c r="AK118" s="80" t="s">
        <v>6027</v>
      </c>
      <c r="AL118" s="80"/>
      <c r="AM118" s="84" t="str">
        <f>HYPERLINK("https://t.co/E1jUoYULnL")</f>
        <v>https://t.co/E1jUoYULnL</v>
      </c>
      <c r="AN118" s="80"/>
      <c r="AO118" s="82">
        <v>43784.246423611112</v>
      </c>
      <c r="AP118" s="84" t="str">
        <f>HYPERLINK("https://pbs.twimg.com/profile_banners/1195218533770096641/1629531190")</f>
        <v>https://pbs.twimg.com/profile_banners/1195218533770096641/1629531190</v>
      </c>
      <c r="AQ118" s="80" t="b">
        <v>1</v>
      </c>
      <c r="AR118" s="80" t="b">
        <v>0</v>
      </c>
      <c r="AS118" s="80" t="b">
        <v>0</v>
      </c>
      <c r="AT118" s="80"/>
      <c r="AU118" s="80">
        <v>1</v>
      </c>
      <c r="AV118" s="80"/>
      <c r="AW118" s="80" t="b">
        <v>0</v>
      </c>
      <c r="AX118" s="80" t="s">
        <v>7173</v>
      </c>
      <c r="AY118" s="84" t="str">
        <f>HYPERLINK("https://twitter.com/geloracirebon")</f>
        <v>https://twitter.com/geloracirebon</v>
      </c>
      <c r="AZ118" s="80" t="s">
        <v>65</v>
      </c>
      <c r="BA118" s="2"/>
      <c r="BB118" s="3"/>
      <c r="BC118" s="3"/>
      <c r="BD118" s="3"/>
      <c r="BE118" s="3"/>
    </row>
    <row r="119" spans="1:57" x14ac:dyDescent="0.35">
      <c r="A119" s="66" t="s">
        <v>1025</v>
      </c>
      <c r="B119" s="67"/>
      <c r="C119" s="67"/>
      <c r="D119" s="68"/>
      <c r="E119" s="70"/>
      <c r="F119" s="106" t="str">
        <f>HYPERLINK("https://pbs.twimg.com/profile_images/1250636329131503616/eRIdPtMB_normal.jpg")</f>
        <v>https://pbs.twimg.com/profile_images/1250636329131503616/eRIdPtMB_normal.jpg</v>
      </c>
      <c r="G119" s="67"/>
      <c r="H119" s="71"/>
      <c r="I119" s="72"/>
      <c r="J119" s="72"/>
      <c r="K119" s="71" t="s">
        <v>7289</v>
      </c>
      <c r="L119" s="75"/>
      <c r="M119" s="76"/>
      <c r="N119" s="76"/>
      <c r="O119" s="77"/>
      <c r="P119" s="78"/>
      <c r="Q119" s="78"/>
      <c r="R119" s="90"/>
      <c r="S119" s="90"/>
      <c r="T119" s="90"/>
      <c r="U119" s="90"/>
      <c r="V119" s="52"/>
      <c r="W119" s="52"/>
      <c r="X119" s="52"/>
      <c r="Y119" s="52"/>
      <c r="Z119" s="51"/>
      <c r="AA119" s="73"/>
      <c r="AB119" s="73"/>
      <c r="AC119" s="74"/>
      <c r="AD119" s="80" t="s">
        <v>4296</v>
      </c>
      <c r="AE119" s="86" t="s">
        <v>5237</v>
      </c>
      <c r="AF119" s="80">
        <v>28</v>
      </c>
      <c r="AG119" s="80">
        <v>673</v>
      </c>
      <c r="AH119" s="80">
        <v>402</v>
      </c>
      <c r="AI119" s="80">
        <v>13</v>
      </c>
      <c r="AJ119" s="80"/>
      <c r="AK119" s="80" t="s">
        <v>6028</v>
      </c>
      <c r="AL119" s="80" t="s">
        <v>6788</v>
      </c>
      <c r="AM119" s="84" t="str">
        <f>HYPERLINK("https://t.co/cnUyROsCBq")</f>
        <v>https://t.co/cnUyROsCBq</v>
      </c>
      <c r="AN119" s="80"/>
      <c r="AO119" s="82">
        <v>43936.48609953704</v>
      </c>
      <c r="AP119" s="84" t="str">
        <f>HYPERLINK("https://pbs.twimg.com/profile_banners/1250388291045576704/1618963691")</f>
        <v>https://pbs.twimg.com/profile_banners/1250388291045576704/1618963691</v>
      </c>
      <c r="AQ119" s="80" t="b">
        <v>1</v>
      </c>
      <c r="AR119" s="80" t="b">
        <v>0</v>
      </c>
      <c r="AS119" s="80" t="b">
        <v>0</v>
      </c>
      <c r="AT119" s="80"/>
      <c r="AU119" s="80">
        <v>1</v>
      </c>
      <c r="AV119" s="80"/>
      <c r="AW119" s="80" t="b">
        <v>0</v>
      </c>
      <c r="AX119" s="80" t="s">
        <v>7173</v>
      </c>
      <c r="AY119" s="84" t="str">
        <f>HYPERLINK("https://twitter.com/gelorajkt")</f>
        <v>https://twitter.com/gelorajkt</v>
      </c>
      <c r="AZ119" s="80" t="s">
        <v>65</v>
      </c>
      <c r="BA119" s="2"/>
      <c r="BB119" s="3"/>
      <c r="BC119" s="3"/>
      <c r="BD119" s="3"/>
      <c r="BE119" s="3"/>
    </row>
    <row r="120" spans="1:57" x14ac:dyDescent="0.35">
      <c r="A120" s="66" t="s">
        <v>1026</v>
      </c>
      <c r="B120" s="67"/>
      <c r="C120" s="67"/>
      <c r="D120" s="68"/>
      <c r="E120" s="70"/>
      <c r="F120" s="106" t="str">
        <f>HYPERLINK("https://pbs.twimg.com/profile_images/1364953169948721153/KCH6fF35_normal.jpg")</f>
        <v>https://pbs.twimg.com/profile_images/1364953169948721153/KCH6fF35_normal.jpg</v>
      </c>
      <c r="G120" s="67"/>
      <c r="H120" s="71"/>
      <c r="I120" s="72"/>
      <c r="J120" s="72"/>
      <c r="K120" s="71" t="s">
        <v>7290</v>
      </c>
      <c r="L120" s="75"/>
      <c r="M120" s="76"/>
      <c r="N120" s="76"/>
      <c r="O120" s="77"/>
      <c r="P120" s="78"/>
      <c r="Q120" s="78"/>
      <c r="R120" s="90"/>
      <c r="S120" s="90"/>
      <c r="T120" s="90"/>
      <c r="U120" s="90"/>
      <c r="V120" s="52"/>
      <c r="W120" s="52"/>
      <c r="X120" s="52"/>
      <c r="Y120" s="52"/>
      <c r="Z120" s="51"/>
      <c r="AA120" s="73"/>
      <c r="AB120" s="73"/>
      <c r="AC120" s="74"/>
      <c r="AD120" s="80" t="s">
        <v>4297</v>
      </c>
      <c r="AE120" s="86" t="s">
        <v>5238</v>
      </c>
      <c r="AF120" s="80">
        <v>1174</v>
      </c>
      <c r="AG120" s="80">
        <v>56952</v>
      </c>
      <c r="AH120" s="80">
        <v>81782</v>
      </c>
      <c r="AI120" s="80">
        <v>1078</v>
      </c>
      <c r="AJ120" s="80"/>
      <c r="AK120" s="80" t="s">
        <v>6029</v>
      </c>
      <c r="AL120" s="80" t="s">
        <v>6788</v>
      </c>
      <c r="AM120" s="84" t="str">
        <f>HYPERLINK("https://t.co/3OPbT0hm9I")</f>
        <v>https://t.co/3OPbT0hm9I</v>
      </c>
      <c r="AN120" s="80"/>
      <c r="AO120" s="82">
        <v>39950.434537037036</v>
      </c>
      <c r="AP120" s="84" t="str">
        <f>HYPERLINK("https://pbs.twimg.com/profile_banners/40639450/1610925723")</f>
        <v>https://pbs.twimg.com/profile_banners/40639450/1610925723</v>
      </c>
      <c r="AQ120" s="80" t="b">
        <v>0</v>
      </c>
      <c r="AR120" s="80" t="b">
        <v>0</v>
      </c>
      <c r="AS120" s="80" t="b">
        <v>1</v>
      </c>
      <c r="AT120" s="80"/>
      <c r="AU120" s="80">
        <v>338</v>
      </c>
      <c r="AV120" s="84" t="str">
        <f>HYPERLINK("https://abs.twimg.com/images/themes/theme6/bg.gif")</f>
        <v>https://abs.twimg.com/images/themes/theme6/bg.gif</v>
      </c>
      <c r="AW120" s="80" t="b">
        <v>0</v>
      </c>
      <c r="AX120" s="80" t="s">
        <v>7173</v>
      </c>
      <c r="AY120" s="84" t="str">
        <f>HYPERLINK("https://twitter.com/endykurniawan")</f>
        <v>https://twitter.com/endykurniawan</v>
      </c>
      <c r="AZ120" s="80" t="s">
        <v>65</v>
      </c>
      <c r="BA120" s="2"/>
      <c r="BB120" s="3"/>
      <c r="BC120" s="3"/>
      <c r="BD120" s="3"/>
      <c r="BE120" s="3"/>
    </row>
    <row r="121" spans="1:57" x14ac:dyDescent="0.35">
      <c r="A121" s="66" t="s">
        <v>1027</v>
      </c>
      <c r="B121" s="67"/>
      <c r="C121" s="67"/>
      <c r="D121" s="68"/>
      <c r="E121" s="70"/>
      <c r="F121" s="106" t="str">
        <f>HYPERLINK("https://pbs.twimg.com/profile_images/1275938018969313280/wDJ-puLv_normal.jpg")</f>
        <v>https://pbs.twimg.com/profile_images/1275938018969313280/wDJ-puLv_normal.jpg</v>
      </c>
      <c r="G121" s="67"/>
      <c r="H121" s="71"/>
      <c r="I121" s="72"/>
      <c r="J121" s="72"/>
      <c r="K121" s="71" t="s">
        <v>7291</v>
      </c>
      <c r="L121" s="75"/>
      <c r="M121" s="76"/>
      <c r="N121" s="76"/>
      <c r="O121" s="77"/>
      <c r="P121" s="78"/>
      <c r="Q121" s="78"/>
      <c r="R121" s="90"/>
      <c r="S121" s="90"/>
      <c r="T121" s="90"/>
      <c r="U121" s="90"/>
      <c r="V121" s="52"/>
      <c r="W121" s="52"/>
      <c r="X121" s="52"/>
      <c r="Y121" s="52"/>
      <c r="Z121" s="51"/>
      <c r="AA121" s="73"/>
      <c r="AB121" s="73"/>
      <c r="AC121" s="74"/>
      <c r="AD121" s="80" t="s">
        <v>4298</v>
      </c>
      <c r="AE121" s="86" t="s">
        <v>5239</v>
      </c>
      <c r="AF121" s="80">
        <v>5</v>
      </c>
      <c r="AG121" s="80">
        <v>1832</v>
      </c>
      <c r="AH121" s="80">
        <v>50</v>
      </c>
      <c r="AI121" s="80">
        <v>11</v>
      </c>
      <c r="AJ121" s="80"/>
      <c r="AK121" s="80" t="s">
        <v>6030</v>
      </c>
      <c r="AL121" s="80"/>
      <c r="AM121" s="80"/>
      <c r="AN121" s="80"/>
      <c r="AO121" s="82">
        <v>44005.330335648148</v>
      </c>
      <c r="AP121" s="80"/>
      <c r="AQ121" s="80" t="b">
        <v>1</v>
      </c>
      <c r="AR121" s="80" t="b">
        <v>0</v>
      </c>
      <c r="AS121" s="80" t="b">
        <v>0</v>
      </c>
      <c r="AT121" s="80"/>
      <c r="AU121" s="80">
        <v>3</v>
      </c>
      <c r="AV121" s="80"/>
      <c r="AW121" s="80" t="b">
        <v>0</v>
      </c>
      <c r="AX121" s="80" t="s">
        <v>7173</v>
      </c>
      <c r="AY121" s="84" t="str">
        <f>HYPERLINK("https://twitter.com/mahfuzsidik_")</f>
        <v>https://twitter.com/mahfuzsidik_</v>
      </c>
      <c r="AZ121" s="80" t="s">
        <v>65</v>
      </c>
      <c r="BA121" s="2"/>
      <c r="BB121" s="3"/>
      <c r="BC121" s="3"/>
      <c r="BD121" s="3"/>
      <c r="BE121" s="3"/>
    </row>
    <row r="122" spans="1:57" x14ac:dyDescent="0.35">
      <c r="A122" s="66" t="s">
        <v>1028</v>
      </c>
      <c r="B122" s="67"/>
      <c r="C122" s="67"/>
      <c r="D122" s="68"/>
      <c r="E122" s="70"/>
      <c r="F122" s="106" t="str">
        <f>HYPERLINK("https://pbs.twimg.com/profile_images/1371238762185854983/ll_44DLi_normal.jpg")</f>
        <v>https://pbs.twimg.com/profile_images/1371238762185854983/ll_44DLi_normal.jpg</v>
      </c>
      <c r="G122" s="67"/>
      <c r="H122" s="71"/>
      <c r="I122" s="72"/>
      <c r="J122" s="72"/>
      <c r="K122" s="71" t="s">
        <v>7292</v>
      </c>
      <c r="L122" s="75"/>
      <c r="M122" s="76"/>
      <c r="N122" s="76"/>
      <c r="O122" s="77"/>
      <c r="P122" s="78"/>
      <c r="Q122" s="78"/>
      <c r="R122" s="90"/>
      <c r="S122" s="90"/>
      <c r="T122" s="90"/>
      <c r="U122" s="90"/>
      <c r="V122" s="52"/>
      <c r="W122" s="52"/>
      <c r="X122" s="52"/>
      <c r="Y122" s="52"/>
      <c r="Z122" s="51"/>
      <c r="AA122" s="73"/>
      <c r="AB122" s="73"/>
      <c r="AC122" s="74"/>
      <c r="AD122" s="80" t="s">
        <v>4299</v>
      </c>
      <c r="AE122" s="86" t="s">
        <v>5240</v>
      </c>
      <c r="AF122" s="80">
        <v>2147</v>
      </c>
      <c r="AG122" s="80">
        <v>1474061</v>
      </c>
      <c r="AH122" s="80">
        <v>74326</v>
      </c>
      <c r="AI122" s="80">
        <v>109</v>
      </c>
      <c r="AJ122" s="80"/>
      <c r="AK122" s="80" t="s">
        <v>6031</v>
      </c>
      <c r="AL122" s="80" t="s">
        <v>6788</v>
      </c>
      <c r="AM122" s="84" t="str">
        <f>HYPERLINK("https://t.co/jW59OmJ8Lp")</f>
        <v>https://t.co/jW59OmJ8Lp</v>
      </c>
      <c r="AN122" s="80"/>
      <c r="AO122" s="82">
        <v>40245.174560185187</v>
      </c>
      <c r="AP122" s="84" t="str">
        <f>HYPERLINK("https://pbs.twimg.com/profile_banners/120968478/1597601692")</f>
        <v>https://pbs.twimg.com/profile_banners/120968478/1597601692</v>
      </c>
      <c r="AQ122" s="80" t="b">
        <v>0</v>
      </c>
      <c r="AR122" s="80" t="b">
        <v>0</v>
      </c>
      <c r="AS122" s="80" t="b">
        <v>0</v>
      </c>
      <c r="AT122" s="80"/>
      <c r="AU122" s="80">
        <v>856</v>
      </c>
      <c r="AV122" s="84" t="str">
        <f>HYPERLINK("https://abs.twimg.com/images/themes/theme15/bg.png")</f>
        <v>https://abs.twimg.com/images/themes/theme15/bg.png</v>
      </c>
      <c r="AW122" s="80" t="b">
        <v>1</v>
      </c>
      <c r="AX122" s="80" t="s">
        <v>7173</v>
      </c>
      <c r="AY122" s="84" t="str">
        <f>HYPERLINK("https://twitter.com/fahrihamzah")</f>
        <v>https://twitter.com/fahrihamzah</v>
      </c>
      <c r="AZ122" s="80" t="s">
        <v>65</v>
      </c>
      <c r="BA122" s="2"/>
      <c r="BB122" s="3"/>
      <c r="BC122" s="3"/>
      <c r="BD122" s="3"/>
      <c r="BE122" s="3"/>
    </row>
    <row r="123" spans="1:57" x14ac:dyDescent="0.35">
      <c r="A123" s="66" t="s">
        <v>1029</v>
      </c>
      <c r="B123" s="67"/>
      <c r="C123" s="67"/>
      <c r="D123" s="68"/>
      <c r="E123" s="70"/>
      <c r="F123" s="106" t="str">
        <f>HYPERLINK("https://pbs.twimg.com/profile_images/1230867955904176128/0bYC8KWN_normal.jpg")</f>
        <v>https://pbs.twimg.com/profile_images/1230867955904176128/0bYC8KWN_normal.jpg</v>
      </c>
      <c r="G123" s="67"/>
      <c r="H123" s="71"/>
      <c r="I123" s="72"/>
      <c r="J123" s="72"/>
      <c r="K123" s="71" t="s">
        <v>7293</v>
      </c>
      <c r="L123" s="75"/>
      <c r="M123" s="76"/>
      <c r="N123" s="76"/>
      <c r="O123" s="77"/>
      <c r="P123" s="78"/>
      <c r="Q123" s="78"/>
      <c r="R123" s="90"/>
      <c r="S123" s="90"/>
      <c r="T123" s="90"/>
      <c r="U123" s="90"/>
      <c r="V123" s="52"/>
      <c r="W123" s="52"/>
      <c r="X123" s="52"/>
      <c r="Y123" s="52"/>
      <c r="Z123" s="51"/>
      <c r="AA123" s="73"/>
      <c r="AB123" s="73"/>
      <c r="AC123" s="74"/>
      <c r="AD123" s="80" t="s">
        <v>4300</v>
      </c>
      <c r="AE123" s="86" t="s">
        <v>5241</v>
      </c>
      <c r="AF123" s="80">
        <v>462</v>
      </c>
      <c r="AG123" s="80">
        <v>947934</v>
      </c>
      <c r="AH123" s="80">
        <v>11699</v>
      </c>
      <c r="AI123" s="80">
        <v>130</v>
      </c>
      <c r="AJ123" s="80"/>
      <c r="AK123" s="80" t="s">
        <v>6032</v>
      </c>
      <c r="AL123" s="80" t="s">
        <v>4145</v>
      </c>
      <c r="AM123" s="84" t="str">
        <f>HYPERLINK("https://t.co/K5SAWGyyev")</f>
        <v>https://t.co/K5SAWGyyev</v>
      </c>
      <c r="AN123" s="80"/>
      <c r="AO123" s="82">
        <v>40207.50712962963</v>
      </c>
      <c r="AP123" s="84" t="str">
        <f>HYPERLINK("https://pbs.twimg.com/profile_banners/109543367/1582513622")</f>
        <v>https://pbs.twimg.com/profile_banners/109543367/1582513622</v>
      </c>
      <c r="AQ123" s="80" t="b">
        <v>0</v>
      </c>
      <c r="AR123" s="80" t="b">
        <v>0</v>
      </c>
      <c r="AS123" s="80" t="b">
        <v>0</v>
      </c>
      <c r="AT123" s="80"/>
      <c r="AU123" s="80">
        <v>717</v>
      </c>
      <c r="AV123" s="84" t="str">
        <f>HYPERLINK("https://abs.twimg.com/images/themes/theme1/bg.png")</f>
        <v>https://abs.twimg.com/images/themes/theme1/bg.png</v>
      </c>
      <c r="AW123" s="80" t="b">
        <v>1</v>
      </c>
      <c r="AX123" s="80" t="s">
        <v>7173</v>
      </c>
      <c r="AY123" s="84" t="str">
        <f>HYPERLINK("https://twitter.com/anismatta")</f>
        <v>https://twitter.com/anismatta</v>
      </c>
      <c r="AZ123" s="80" t="s">
        <v>65</v>
      </c>
      <c r="BA123" s="2"/>
      <c r="BB123" s="3"/>
      <c r="BC123" s="3"/>
      <c r="BD123" s="3"/>
      <c r="BE123" s="3"/>
    </row>
    <row r="124" spans="1:57" x14ac:dyDescent="0.35">
      <c r="A124" s="66" t="s">
        <v>1030</v>
      </c>
      <c r="B124" s="67"/>
      <c r="C124" s="67"/>
      <c r="D124" s="68"/>
      <c r="E124" s="70"/>
      <c r="F124" s="106" t="str">
        <f>HYPERLINK("https://pbs.twimg.com/profile_images/1189142734176583680/o_bbHU39_normal.jpg")</f>
        <v>https://pbs.twimg.com/profile_images/1189142734176583680/o_bbHU39_normal.jpg</v>
      </c>
      <c r="G124" s="67"/>
      <c r="H124" s="71"/>
      <c r="I124" s="72"/>
      <c r="J124" s="72"/>
      <c r="K124" s="71" t="s">
        <v>7294</v>
      </c>
      <c r="L124" s="75"/>
      <c r="M124" s="76"/>
      <c r="N124" s="76"/>
      <c r="O124" s="77"/>
      <c r="P124" s="78"/>
      <c r="Q124" s="78"/>
      <c r="R124" s="90"/>
      <c r="S124" s="90"/>
      <c r="T124" s="90"/>
      <c r="U124" s="90"/>
      <c r="V124" s="52"/>
      <c r="W124" s="52"/>
      <c r="X124" s="52"/>
      <c r="Y124" s="52"/>
      <c r="Z124" s="51"/>
      <c r="AA124" s="73"/>
      <c r="AB124" s="73"/>
      <c r="AC124" s="74"/>
      <c r="AD124" s="80" t="s">
        <v>4301</v>
      </c>
      <c r="AE124" s="86" t="s">
        <v>5242</v>
      </c>
      <c r="AF124" s="80">
        <v>76</v>
      </c>
      <c r="AG124" s="80">
        <v>11519</v>
      </c>
      <c r="AH124" s="80">
        <v>4548</v>
      </c>
      <c r="AI124" s="80">
        <v>719</v>
      </c>
      <c r="AJ124" s="80"/>
      <c r="AK124" s="80" t="s">
        <v>6033</v>
      </c>
      <c r="AL124" s="80" t="s">
        <v>4145</v>
      </c>
      <c r="AM124" s="84" t="str">
        <f>HYPERLINK("https://t.co/9VACdd7u0K")</f>
        <v>https://t.co/9VACdd7u0K</v>
      </c>
      <c r="AN124" s="80"/>
      <c r="AO124" s="82">
        <v>43741.474305555559</v>
      </c>
      <c r="AP124" s="84" t="str">
        <f>HYPERLINK("https://pbs.twimg.com/profile_banners/1179718333605658624/1621805885")</f>
        <v>https://pbs.twimg.com/profile_banners/1179718333605658624/1621805885</v>
      </c>
      <c r="AQ124" s="80" t="b">
        <v>1</v>
      </c>
      <c r="AR124" s="80" t="b">
        <v>0</v>
      </c>
      <c r="AS124" s="80" t="b">
        <v>0</v>
      </c>
      <c r="AT124" s="80"/>
      <c r="AU124" s="80">
        <v>6</v>
      </c>
      <c r="AV124" s="80"/>
      <c r="AW124" s="80" t="b">
        <v>0</v>
      </c>
      <c r="AX124" s="80" t="s">
        <v>7173</v>
      </c>
      <c r="AY124" s="84" t="str">
        <f>HYPERLINK("https://twitter.com/partaigeloraid")</f>
        <v>https://twitter.com/partaigeloraid</v>
      </c>
      <c r="AZ124" s="80" t="s">
        <v>65</v>
      </c>
      <c r="BA124" s="2"/>
      <c r="BB124" s="3"/>
      <c r="BC124" s="3"/>
      <c r="BD124" s="3"/>
      <c r="BE124" s="3"/>
    </row>
    <row r="125" spans="1:57" x14ac:dyDescent="0.35">
      <c r="A125" s="66" t="s">
        <v>1031</v>
      </c>
      <c r="B125" s="67"/>
      <c r="C125" s="67"/>
      <c r="D125" s="68"/>
      <c r="E125" s="70"/>
      <c r="F125" s="106" t="str">
        <f>HYPERLINK("https://pbs.twimg.com/profile_images/1441605248884240386/axJsqOl-_normal.jpg")</f>
        <v>https://pbs.twimg.com/profile_images/1441605248884240386/axJsqOl-_normal.jpg</v>
      </c>
      <c r="G125" s="67"/>
      <c r="H125" s="71"/>
      <c r="I125" s="72"/>
      <c r="J125" s="72"/>
      <c r="K125" s="71" t="s">
        <v>7295</v>
      </c>
      <c r="L125" s="75"/>
      <c r="M125" s="76"/>
      <c r="N125" s="76"/>
      <c r="O125" s="77"/>
      <c r="P125" s="78"/>
      <c r="Q125" s="78"/>
      <c r="R125" s="90"/>
      <c r="S125" s="90"/>
      <c r="T125" s="90"/>
      <c r="U125" s="90"/>
      <c r="V125" s="52"/>
      <c r="W125" s="52"/>
      <c r="X125" s="52"/>
      <c r="Y125" s="52"/>
      <c r="Z125" s="51"/>
      <c r="AA125" s="73"/>
      <c r="AB125" s="73"/>
      <c r="AC125" s="74"/>
      <c r="AD125" s="80" t="s">
        <v>4302</v>
      </c>
      <c r="AE125" s="86" t="s">
        <v>3911</v>
      </c>
      <c r="AF125" s="80">
        <v>1251</v>
      </c>
      <c r="AG125" s="80">
        <v>1160</v>
      </c>
      <c r="AH125" s="80">
        <v>18153</v>
      </c>
      <c r="AI125" s="80">
        <v>5032</v>
      </c>
      <c r="AJ125" s="80"/>
      <c r="AK125" s="80" t="s">
        <v>6034</v>
      </c>
      <c r="AL125" s="80" t="s">
        <v>4145</v>
      </c>
      <c r="AM125" s="80"/>
      <c r="AN125" s="80"/>
      <c r="AO125" s="82">
        <v>40175.130312499998</v>
      </c>
      <c r="AP125" s="84" t="str">
        <f>HYPERLINK("https://pbs.twimg.com/profile_banners/99844988/1473229288")</f>
        <v>https://pbs.twimg.com/profile_banners/99844988/1473229288</v>
      </c>
      <c r="AQ125" s="80" t="b">
        <v>0</v>
      </c>
      <c r="AR125" s="80" t="b">
        <v>0</v>
      </c>
      <c r="AS125" s="80" t="b">
        <v>1</v>
      </c>
      <c r="AT125" s="80"/>
      <c r="AU125" s="80">
        <v>2</v>
      </c>
      <c r="AV125" s="84" t="str">
        <f>HYPERLINK("https://abs.twimg.com/images/themes/theme18/bg.gif")</f>
        <v>https://abs.twimg.com/images/themes/theme18/bg.gif</v>
      </c>
      <c r="AW125" s="80" t="b">
        <v>0</v>
      </c>
      <c r="AX125" s="80" t="s">
        <v>7173</v>
      </c>
      <c r="AY125" s="84" t="str">
        <f>HYPERLINK("https://twitter.com/hendri_mantis")</f>
        <v>https://twitter.com/hendri_mantis</v>
      </c>
      <c r="AZ125" s="80" t="s">
        <v>65</v>
      </c>
      <c r="BA125" s="2"/>
      <c r="BB125" s="3"/>
      <c r="BC125" s="3"/>
      <c r="BD125" s="3"/>
      <c r="BE125" s="3"/>
    </row>
    <row r="126" spans="1:57" x14ac:dyDescent="0.35">
      <c r="A126" s="66" t="s">
        <v>296</v>
      </c>
      <c r="B126" s="67"/>
      <c r="C126" s="67"/>
      <c r="D126" s="68"/>
      <c r="E126" s="70"/>
      <c r="F126" s="106" t="str">
        <f>HYPERLINK("https://pbs.twimg.com/profile_images/1437042314883452931/25cehw2v_normal.jpg")</f>
        <v>https://pbs.twimg.com/profile_images/1437042314883452931/25cehw2v_normal.jpg</v>
      </c>
      <c r="G126" s="67"/>
      <c r="H126" s="71"/>
      <c r="I126" s="72"/>
      <c r="J126" s="72"/>
      <c r="K126" s="71" t="s">
        <v>7296</v>
      </c>
      <c r="L126" s="75"/>
      <c r="M126" s="76"/>
      <c r="N126" s="76"/>
      <c r="O126" s="77"/>
      <c r="P126" s="78"/>
      <c r="Q126" s="78"/>
      <c r="R126" s="90"/>
      <c r="S126" s="90"/>
      <c r="T126" s="90"/>
      <c r="U126" s="90"/>
      <c r="V126" s="52"/>
      <c r="W126" s="52"/>
      <c r="X126" s="52"/>
      <c r="Y126" s="52"/>
      <c r="Z126" s="51"/>
      <c r="AA126" s="73"/>
      <c r="AB126" s="73"/>
      <c r="AC126" s="74"/>
      <c r="AD126" s="80" t="s">
        <v>4303</v>
      </c>
      <c r="AE126" s="86" t="s">
        <v>5243</v>
      </c>
      <c r="AF126" s="80">
        <v>176</v>
      </c>
      <c r="AG126" s="80">
        <v>154</v>
      </c>
      <c r="AH126" s="80">
        <v>534</v>
      </c>
      <c r="AI126" s="80">
        <v>355</v>
      </c>
      <c r="AJ126" s="80"/>
      <c r="AK126" s="80" t="s">
        <v>6035</v>
      </c>
      <c r="AL126" s="80" t="s">
        <v>6813</v>
      </c>
      <c r="AM126" s="80"/>
      <c r="AN126" s="80"/>
      <c r="AO126" s="82">
        <v>43527.39466435185</v>
      </c>
      <c r="AP126" s="84" t="str">
        <f>HYPERLINK("https://pbs.twimg.com/profile_banners/1102138622222819329/1592810970")</f>
        <v>https://pbs.twimg.com/profile_banners/1102138622222819329/1592810970</v>
      </c>
      <c r="AQ126" s="80" t="b">
        <v>1</v>
      </c>
      <c r="AR126" s="80" t="b">
        <v>0</v>
      </c>
      <c r="AS126" s="80" t="b">
        <v>0</v>
      </c>
      <c r="AT126" s="80"/>
      <c r="AU126" s="80">
        <v>0</v>
      </c>
      <c r="AV126" s="80"/>
      <c r="AW126" s="80" t="b">
        <v>0</v>
      </c>
      <c r="AX126" s="80" t="s">
        <v>7173</v>
      </c>
      <c r="AY126" s="84" t="str">
        <f>HYPERLINK("https://twitter.com/crispyddalgiice")</f>
        <v>https://twitter.com/crispyddalgiice</v>
      </c>
      <c r="AZ126" s="80" t="s">
        <v>66</v>
      </c>
      <c r="BA126" s="2"/>
      <c r="BB126" s="3"/>
      <c r="BC126" s="3"/>
      <c r="BD126" s="3"/>
      <c r="BE126" s="3"/>
    </row>
    <row r="127" spans="1:57" x14ac:dyDescent="0.35">
      <c r="A127" s="66" t="s">
        <v>1032</v>
      </c>
      <c r="B127" s="67"/>
      <c r="C127" s="67"/>
      <c r="D127" s="68"/>
      <c r="E127" s="70"/>
      <c r="F127" s="106" t="str">
        <f>HYPERLINK("https://pbs.twimg.com/profile_images/1381046995322765316/HsI_FiWI_normal.jpg")</f>
        <v>https://pbs.twimg.com/profile_images/1381046995322765316/HsI_FiWI_normal.jpg</v>
      </c>
      <c r="G127" s="67"/>
      <c r="H127" s="71"/>
      <c r="I127" s="72"/>
      <c r="J127" s="72"/>
      <c r="K127" s="71" t="s">
        <v>7297</v>
      </c>
      <c r="L127" s="75"/>
      <c r="M127" s="76"/>
      <c r="N127" s="76"/>
      <c r="O127" s="77"/>
      <c r="P127" s="78"/>
      <c r="Q127" s="78"/>
      <c r="R127" s="90"/>
      <c r="S127" s="90"/>
      <c r="T127" s="90"/>
      <c r="U127" s="90"/>
      <c r="V127" s="52"/>
      <c r="W127" s="52"/>
      <c r="X127" s="52"/>
      <c r="Y127" s="52"/>
      <c r="Z127" s="51"/>
      <c r="AA127" s="73"/>
      <c r="AB127" s="73"/>
      <c r="AC127" s="74"/>
      <c r="AD127" s="80" t="s">
        <v>4304</v>
      </c>
      <c r="AE127" s="86" t="s">
        <v>3912</v>
      </c>
      <c r="AF127" s="80">
        <v>9174</v>
      </c>
      <c r="AG127" s="80">
        <v>348170</v>
      </c>
      <c r="AH127" s="80">
        <v>296086</v>
      </c>
      <c r="AI127" s="80">
        <v>74</v>
      </c>
      <c r="AJ127" s="80"/>
      <c r="AK127" s="80" t="s">
        <v>6036</v>
      </c>
      <c r="AL127" s="80" t="s">
        <v>4145</v>
      </c>
      <c r="AM127" s="84" t="str">
        <f>HYPERLINK("https://t.co/7w34iMSZPo")</f>
        <v>https://t.co/7w34iMSZPo</v>
      </c>
      <c r="AN127" s="80"/>
      <c r="AO127" s="82">
        <v>42530.604479166665</v>
      </c>
      <c r="AP127" s="84" t="str">
        <f>HYPERLINK("https://pbs.twimg.com/profile_banners/740913957293068289/1619878705")</f>
        <v>https://pbs.twimg.com/profile_banners/740913957293068289/1619878705</v>
      </c>
      <c r="AQ127" s="80" t="b">
        <v>1</v>
      </c>
      <c r="AR127" s="80" t="b">
        <v>0</v>
      </c>
      <c r="AS127" s="80" t="b">
        <v>0</v>
      </c>
      <c r="AT127" s="80"/>
      <c r="AU127" s="80">
        <v>1674</v>
      </c>
      <c r="AV127" s="80"/>
      <c r="AW127" s="80" t="b">
        <v>0</v>
      </c>
      <c r="AX127" s="80" t="s">
        <v>7173</v>
      </c>
      <c r="AY127" s="84" t="str">
        <f>HYPERLINK("https://twitter.com/bertanyarl")</f>
        <v>https://twitter.com/bertanyarl</v>
      </c>
      <c r="AZ127" s="80" t="s">
        <v>65</v>
      </c>
      <c r="BA127" s="2"/>
      <c r="BB127" s="3"/>
      <c r="BC127" s="3"/>
      <c r="BD127" s="3"/>
      <c r="BE127" s="3"/>
    </row>
    <row r="128" spans="1:57" x14ac:dyDescent="0.35">
      <c r="A128" s="66" t="s">
        <v>297</v>
      </c>
      <c r="B128" s="67"/>
      <c r="C128" s="67"/>
      <c r="D128" s="68"/>
      <c r="E128" s="70"/>
      <c r="F128" s="106" t="str">
        <f>HYPERLINK("https://pbs.twimg.com/profile_images/1386123401786380292/N2mlAqUB_normal.jpg")</f>
        <v>https://pbs.twimg.com/profile_images/1386123401786380292/N2mlAqUB_normal.jpg</v>
      </c>
      <c r="G128" s="67"/>
      <c r="H128" s="71"/>
      <c r="I128" s="72"/>
      <c r="J128" s="72"/>
      <c r="K128" s="71" t="s">
        <v>7298</v>
      </c>
      <c r="L128" s="75"/>
      <c r="M128" s="76"/>
      <c r="N128" s="76"/>
      <c r="O128" s="77"/>
      <c r="P128" s="78"/>
      <c r="Q128" s="78"/>
      <c r="R128" s="90"/>
      <c r="S128" s="90"/>
      <c r="T128" s="90"/>
      <c r="U128" s="90"/>
      <c r="V128" s="52"/>
      <c r="W128" s="52"/>
      <c r="X128" s="52"/>
      <c r="Y128" s="52"/>
      <c r="Z128" s="51"/>
      <c r="AA128" s="73"/>
      <c r="AB128" s="73"/>
      <c r="AC128" s="74"/>
      <c r="AD128" s="80" t="s">
        <v>4305</v>
      </c>
      <c r="AE128" s="86" t="s">
        <v>5244</v>
      </c>
      <c r="AF128" s="80">
        <v>170</v>
      </c>
      <c r="AG128" s="80">
        <v>25</v>
      </c>
      <c r="AH128" s="80">
        <v>236</v>
      </c>
      <c r="AI128" s="80">
        <v>333</v>
      </c>
      <c r="AJ128" s="80"/>
      <c r="AK128" s="80" t="s">
        <v>6037</v>
      </c>
      <c r="AL128" s="80"/>
      <c r="AM128" s="84" t="str">
        <f>HYPERLINK("https://t.co/9x8NlbGysM")</f>
        <v>https://t.co/9x8NlbGysM</v>
      </c>
      <c r="AN128" s="80"/>
      <c r="AO128" s="82">
        <v>41357.318344907406</v>
      </c>
      <c r="AP128" s="84" t="str">
        <f>HYPERLINK("https://pbs.twimg.com/profile_banners/1294096974/1502980636")</f>
        <v>https://pbs.twimg.com/profile_banners/1294096974/1502980636</v>
      </c>
      <c r="AQ128" s="80" t="b">
        <v>1</v>
      </c>
      <c r="AR128" s="80" t="b">
        <v>0</v>
      </c>
      <c r="AS128" s="80" t="b">
        <v>1</v>
      </c>
      <c r="AT128" s="80"/>
      <c r="AU128" s="80">
        <v>0</v>
      </c>
      <c r="AV128" s="84" t="str">
        <f>HYPERLINK("https://abs.twimg.com/images/themes/theme1/bg.png")</f>
        <v>https://abs.twimg.com/images/themes/theme1/bg.png</v>
      </c>
      <c r="AW128" s="80" t="b">
        <v>0</v>
      </c>
      <c r="AX128" s="80" t="s">
        <v>7173</v>
      </c>
      <c r="AY128" s="84" t="str">
        <f>HYPERLINK("https://twitter.com/rico_cicarixo")</f>
        <v>https://twitter.com/rico_cicarixo</v>
      </c>
      <c r="AZ128" s="80" t="s">
        <v>66</v>
      </c>
      <c r="BA128" s="2"/>
      <c r="BB128" s="3"/>
      <c r="BC128" s="3"/>
      <c r="BD128" s="3"/>
      <c r="BE128" s="3"/>
    </row>
    <row r="129" spans="1:57" x14ac:dyDescent="0.35">
      <c r="A129" s="66" t="s">
        <v>1033</v>
      </c>
      <c r="B129" s="67"/>
      <c r="C129" s="67"/>
      <c r="D129" s="68"/>
      <c r="E129" s="70"/>
      <c r="F129" s="106" t="str">
        <f>HYPERLINK("https://pbs.twimg.com/profile_images/1349175547440467971/9GSeMk4C_normal.jpg")</f>
        <v>https://pbs.twimg.com/profile_images/1349175547440467971/9GSeMk4C_normal.jpg</v>
      </c>
      <c r="G129" s="67"/>
      <c r="H129" s="71"/>
      <c r="I129" s="72"/>
      <c r="J129" s="72"/>
      <c r="K129" s="71" t="s">
        <v>7299</v>
      </c>
      <c r="L129" s="75"/>
      <c r="M129" s="76"/>
      <c r="N129" s="76"/>
      <c r="O129" s="77"/>
      <c r="P129" s="78"/>
      <c r="Q129" s="78"/>
      <c r="R129" s="90"/>
      <c r="S129" s="90"/>
      <c r="T129" s="90"/>
      <c r="U129" s="90"/>
      <c r="V129" s="52"/>
      <c r="W129" s="52"/>
      <c r="X129" s="52"/>
      <c r="Y129" s="52"/>
      <c r="Z129" s="51"/>
      <c r="AA129" s="73"/>
      <c r="AB129" s="73"/>
      <c r="AC129" s="74"/>
      <c r="AD129" s="80" t="s">
        <v>4306</v>
      </c>
      <c r="AE129" s="86" t="s">
        <v>3926</v>
      </c>
      <c r="AF129" s="80">
        <v>2</v>
      </c>
      <c r="AG129" s="80">
        <v>68148</v>
      </c>
      <c r="AH129" s="80">
        <v>188598</v>
      </c>
      <c r="AI129" s="80">
        <v>492</v>
      </c>
      <c r="AJ129" s="80"/>
      <c r="AK129" s="80" t="s">
        <v>6038</v>
      </c>
      <c r="AL129" s="80" t="s">
        <v>4145</v>
      </c>
      <c r="AM129" s="84" t="str">
        <f>HYPERLINK("https://t.co/7sU5SxFKTZ")</f>
        <v>https://t.co/7sU5SxFKTZ</v>
      </c>
      <c r="AN129" s="80"/>
      <c r="AO129" s="82">
        <v>42597.166435185187</v>
      </c>
      <c r="AP129" s="84" t="str">
        <f>HYPERLINK("https://pbs.twimg.com/profile_banners/765035200896118789/1621563355")</f>
        <v>https://pbs.twimg.com/profile_banners/765035200896118789/1621563355</v>
      </c>
      <c r="AQ129" s="80" t="b">
        <v>1</v>
      </c>
      <c r="AR129" s="80" t="b">
        <v>0</v>
      </c>
      <c r="AS129" s="80" t="b">
        <v>0</v>
      </c>
      <c r="AT129" s="80"/>
      <c r="AU129" s="80">
        <v>15</v>
      </c>
      <c r="AV129" s="80"/>
      <c r="AW129" s="80" t="b">
        <v>1</v>
      </c>
      <c r="AX129" s="80" t="s">
        <v>7173</v>
      </c>
      <c r="AY129" s="84" t="str">
        <f>HYPERLINK("https://twitter.com/indihomecare")</f>
        <v>https://twitter.com/indihomecare</v>
      </c>
      <c r="AZ129" s="80" t="s">
        <v>65</v>
      </c>
      <c r="BA129" s="2"/>
      <c r="BB129" s="3"/>
      <c r="BC129" s="3"/>
      <c r="BD129" s="3"/>
      <c r="BE129" s="3"/>
    </row>
    <row r="130" spans="1:57" x14ac:dyDescent="0.35">
      <c r="A130" s="66" t="s">
        <v>298</v>
      </c>
      <c r="B130" s="67"/>
      <c r="C130" s="67"/>
      <c r="D130" s="68"/>
      <c r="E130" s="70"/>
      <c r="F130" s="106" t="str">
        <f>HYPERLINK("https://pbs.twimg.com/profile_images/1297963992841822208/J4Onejfd_normal.jpg")</f>
        <v>https://pbs.twimg.com/profile_images/1297963992841822208/J4Onejfd_normal.jpg</v>
      </c>
      <c r="G130" s="67"/>
      <c r="H130" s="71"/>
      <c r="I130" s="72"/>
      <c r="J130" s="72"/>
      <c r="K130" s="71" t="s">
        <v>7300</v>
      </c>
      <c r="L130" s="75"/>
      <c r="M130" s="76"/>
      <c r="N130" s="76"/>
      <c r="O130" s="77"/>
      <c r="P130" s="78"/>
      <c r="Q130" s="78"/>
      <c r="R130" s="90"/>
      <c r="S130" s="90"/>
      <c r="T130" s="90"/>
      <c r="U130" s="90"/>
      <c r="V130" s="52"/>
      <c r="W130" s="52"/>
      <c r="X130" s="52"/>
      <c r="Y130" s="52"/>
      <c r="Z130" s="51"/>
      <c r="AA130" s="73"/>
      <c r="AB130" s="73"/>
      <c r="AC130" s="74"/>
      <c r="AD130" s="80" t="s">
        <v>4307</v>
      </c>
      <c r="AE130" s="86" t="s">
        <v>5245</v>
      </c>
      <c r="AF130" s="80">
        <v>13</v>
      </c>
      <c r="AG130" s="80">
        <v>0</v>
      </c>
      <c r="AH130" s="80">
        <v>1</v>
      </c>
      <c r="AI130" s="80">
        <v>8</v>
      </c>
      <c r="AJ130" s="80"/>
      <c r="AK130" s="80"/>
      <c r="AL130" s="80"/>
      <c r="AM130" s="80"/>
      <c r="AN130" s="80"/>
      <c r="AO130" s="82">
        <v>44063.645439814813</v>
      </c>
      <c r="AP130" s="80"/>
      <c r="AQ130" s="80" t="b">
        <v>1</v>
      </c>
      <c r="AR130" s="80" t="b">
        <v>0</v>
      </c>
      <c r="AS130" s="80" t="b">
        <v>0</v>
      </c>
      <c r="AT130" s="80"/>
      <c r="AU130" s="80">
        <v>0</v>
      </c>
      <c r="AV130" s="80"/>
      <c r="AW130" s="80" t="b">
        <v>0</v>
      </c>
      <c r="AX130" s="80" t="s">
        <v>7173</v>
      </c>
      <c r="AY130" s="84" t="str">
        <f>HYPERLINK("https://twitter.com/edi45529961")</f>
        <v>https://twitter.com/edi45529961</v>
      </c>
      <c r="AZ130" s="80" t="s">
        <v>66</v>
      </c>
      <c r="BA130" s="2"/>
      <c r="BB130" s="3"/>
      <c r="BC130" s="3"/>
      <c r="BD130" s="3"/>
      <c r="BE130" s="3"/>
    </row>
    <row r="131" spans="1:57" x14ac:dyDescent="0.35">
      <c r="A131" s="66" t="s">
        <v>1034</v>
      </c>
      <c r="B131" s="67"/>
      <c r="C131" s="67"/>
      <c r="D131" s="68"/>
      <c r="E131" s="70"/>
      <c r="F131" s="106" t="str">
        <f>HYPERLINK("https://pbs.twimg.com/profile_images/1143468616160956416/LphbuXZ-_normal.jpg")</f>
        <v>https://pbs.twimg.com/profile_images/1143468616160956416/LphbuXZ-_normal.jpg</v>
      </c>
      <c r="G131" s="67"/>
      <c r="H131" s="71"/>
      <c r="I131" s="72"/>
      <c r="J131" s="72"/>
      <c r="K131" s="71" t="s">
        <v>7301</v>
      </c>
      <c r="L131" s="75"/>
      <c r="M131" s="76"/>
      <c r="N131" s="76"/>
      <c r="O131" s="77"/>
      <c r="P131" s="78"/>
      <c r="Q131" s="78"/>
      <c r="R131" s="90"/>
      <c r="S131" s="90"/>
      <c r="T131" s="90"/>
      <c r="U131" s="90"/>
      <c r="V131" s="52"/>
      <c r="W131" s="52"/>
      <c r="X131" s="52"/>
      <c r="Y131" s="52"/>
      <c r="Z131" s="51"/>
      <c r="AA131" s="73"/>
      <c r="AB131" s="73"/>
      <c r="AC131" s="74"/>
      <c r="AD131" s="80" t="s">
        <v>4308</v>
      </c>
      <c r="AE131" s="86" t="s">
        <v>3913</v>
      </c>
      <c r="AF131" s="80">
        <v>109</v>
      </c>
      <c r="AG131" s="80">
        <v>80322</v>
      </c>
      <c r="AH131" s="80">
        <v>165264</v>
      </c>
      <c r="AI131" s="80">
        <v>6933</v>
      </c>
      <c r="AJ131" s="80"/>
      <c r="AK131" s="80" t="s">
        <v>6039</v>
      </c>
      <c r="AL131" s="80" t="s">
        <v>4145</v>
      </c>
      <c r="AM131" s="84" t="str">
        <f>HYPERLINK("https://t.co/FNaFPjBIMd")</f>
        <v>https://t.co/FNaFPjBIMd</v>
      </c>
      <c r="AN131" s="80"/>
      <c r="AO131" s="82">
        <v>40321.380486111113</v>
      </c>
      <c r="AP131" s="84" t="str">
        <f>HYPERLINK("https://pbs.twimg.com/profile_banners/147137991/1618225892")</f>
        <v>https://pbs.twimg.com/profile_banners/147137991/1618225892</v>
      </c>
      <c r="AQ131" s="80" t="b">
        <v>0</v>
      </c>
      <c r="AR131" s="80" t="b">
        <v>0</v>
      </c>
      <c r="AS131" s="80" t="b">
        <v>1</v>
      </c>
      <c r="AT131" s="80"/>
      <c r="AU131" s="80">
        <v>164</v>
      </c>
      <c r="AV131" s="84" t="str">
        <f>HYPERLINK("https://abs.twimg.com/images/themes/theme1/bg.png")</f>
        <v>https://abs.twimg.com/images/themes/theme1/bg.png</v>
      </c>
      <c r="AW131" s="80" t="b">
        <v>0</v>
      </c>
      <c r="AX131" s="80" t="s">
        <v>7173</v>
      </c>
      <c r="AY131" s="84" t="str">
        <f>HYPERLINK("https://twitter.com/posindonesia")</f>
        <v>https://twitter.com/posindonesia</v>
      </c>
      <c r="AZ131" s="80" t="s">
        <v>65</v>
      </c>
      <c r="BA131" s="2"/>
      <c r="BB131" s="3"/>
      <c r="BC131" s="3"/>
      <c r="BD131" s="3"/>
      <c r="BE131" s="3"/>
    </row>
    <row r="132" spans="1:57" x14ac:dyDescent="0.35">
      <c r="A132" s="66" t="s">
        <v>299</v>
      </c>
      <c r="B132" s="67"/>
      <c r="C132" s="67"/>
      <c r="D132" s="68"/>
      <c r="E132" s="70"/>
      <c r="F132" s="106" t="str">
        <f>HYPERLINK("https://pbs.twimg.com/profile_images/1368369693224886273/Ixk6UUes_normal.jpg")</f>
        <v>https://pbs.twimg.com/profile_images/1368369693224886273/Ixk6UUes_normal.jpg</v>
      </c>
      <c r="G132" s="67"/>
      <c r="H132" s="71"/>
      <c r="I132" s="72"/>
      <c r="J132" s="72"/>
      <c r="K132" s="71" t="s">
        <v>7302</v>
      </c>
      <c r="L132" s="75"/>
      <c r="M132" s="76"/>
      <c r="N132" s="76"/>
      <c r="O132" s="77"/>
      <c r="P132" s="78"/>
      <c r="Q132" s="78"/>
      <c r="R132" s="90"/>
      <c r="S132" s="90"/>
      <c r="T132" s="90"/>
      <c r="U132" s="90"/>
      <c r="V132" s="52"/>
      <c r="W132" s="52"/>
      <c r="X132" s="52"/>
      <c r="Y132" s="52"/>
      <c r="Z132" s="51"/>
      <c r="AA132" s="73"/>
      <c r="AB132" s="73"/>
      <c r="AC132" s="74"/>
      <c r="AD132" s="80" t="s">
        <v>4309</v>
      </c>
      <c r="AE132" s="86" t="s">
        <v>5246</v>
      </c>
      <c r="AF132" s="80">
        <v>954</v>
      </c>
      <c r="AG132" s="80">
        <v>913</v>
      </c>
      <c r="AH132" s="80">
        <v>15704</v>
      </c>
      <c r="AI132" s="80">
        <v>68852</v>
      </c>
      <c r="AJ132" s="80"/>
      <c r="AK132" s="80" t="s">
        <v>6040</v>
      </c>
      <c r="AL132" s="80" t="s">
        <v>6814</v>
      </c>
      <c r="AM132" s="80"/>
      <c r="AN132" s="80"/>
      <c r="AO132" s="82">
        <v>43677.107129629629</v>
      </c>
      <c r="AP132" s="84" t="str">
        <f>HYPERLINK("https://pbs.twimg.com/profile_banners/1156392603396407297/1607387275")</f>
        <v>https://pbs.twimg.com/profile_banners/1156392603396407297/1607387275</v>
      </c>
      <c r="AQ132" s="80" t="b">
        <v>1</v>
      </c>
      <c r="AR132" s="80" t="b">
        <v>0</v>
      </c>
      <c r="AS132" s="80" t="b">
        <v>0</v>
      </c>
      <c r="AT132" s="80"/>
      <c r="AU132" s="80">
        <v>0</v>
      </c>
      <c r="AV132" s="80"/>
      <c r="AW132" s="80" t="b">
        <v>0</v>
      </c>
      <c r="AX132" s="80" t="s">
        <v>7173</v>
      </c>
      <c r="AY132" s="84" t="str">
        <f>HYPERLINK("https://twitter.com/riyadizein")</f>
        <v>https://twitter.com/riyadizein</v>
      </c>
      <c r="AZ132" s="80" t="s">
        <v>66</v>
      </c>
      <c r="BA132" s="2"/>
      <c r="BB132" s="3"/>
      <c r="BC132" s="3"/>
      <c r="BD132" s="3"/>
      <c r="BE132" s="3"/>
    </row>
    <row r="133" spans="1:57" x14ac:dyDescent="0.35">
      <c r="A133" s="66" t="s">
        <v>1035</v>
      </c>
      <c r="B133" s="67"/>
      <c r="C133" s="67"/>
      <c r="D133" s="68"/>
      <c r="E133" s="70"/>
      <c r="F133" s="106" t="str">
        <f>HYPERLINK("https://pbs.twimg.com/profile_images/1430846166229393408/eRTmS7Bt_normal.jpg")</f>
        <v>https://pbs.twimg.com/profile_images/1430846166229393408/eRTmS7Bt_normal.jpg</v>
      </c>
      <c r="G133" s="67"/>
      <c r="H133" s="71"/>
      <c r="I133" s="72"/>
      <c r="J133" s="72"/>
      <c r="K133" s="71" t="s">
        <v>7303</v>
      </c>
      <c r="L133" s="75"/>
      <c r="M133" s="76"/>
      <c r="N133" s="76"/>
      <c r="O133" s="77"/>
      <c r="P133" s="78"/>
      <c r="Q133" s="78"/>
      <c r="R133" s="90"/>
      <c r="S133" s="90"/>
      <c r="T133" s="90"/>
      <c r="U133" s="90"/>
      <c r="V133" s="52"/>
      <c r="W133" s="52"/>
      <c r="X133" s="52"/>
      <c r="Y133" s="52"/>
      <c r="Z133" s="51"/>
      <c r="AA133" s="73"/>
      <c r="AB133" s="73"/>
      <c r="AC133" s="74"/>
      <c r="AD133" s="80" t="s">
        <v>4310</v>
      </c>
      <c r="AE133" s="86" t="s">
        <v>5247</v>
      </c>
      <c r="AF133" s="80">
        <v>6127</v>
      </c>
      <c r="AG133" s="80">
        <v>45590</v>
      </c>
      <c r="AH133" s="80">
        <v>15407</v>
      </c>
      <c r="AI133" s="80">
        <v>4993</v>
      </c>
      <c r="AJ133" s="80"/>
      <c r="AK133" s="80" t="s">
        <v>6041</v>
      </c>
      <c r="AL133" s="80" t="s">
        <v>6815</v>
      </c>
      <c r="AM133" s="80"/>
      <c r="AN133" s="80"/>
      <c r="AO133" s="82">
        <v>43957.569548611114</v>
      </c>
      <c r="AP133" s="84" t="str">
        <f>HYPERLINK("https://pbs.twimg.com/profile_banners/1258028640958156800/1623375252")</f>
        <v>https://pbs.twimg.com/profile_banners/1258028640958156800/1623375252</v>
      </c>
      <c r="AQ133" s="80" t="b">
        <v>1</v>
      </c>
      <c r="AR133" s="80" t="b">
        <v>0</v>
      </c>
      <c r="AS133" s="80" t="b">
        <v>0</v>
      </c>
      <c r="AT133" s="80"/>
      <c r="AU133" s="80">
        <v>13</v>
      </c>
      <c r="AV133" s="80"/>
      <c r="AW133" s="80" t="b">
        <v>0</v>
      </c>
      <c r="AX133" s="80" t="s">
        <v>7173</v>
      </c>
      <c r="AY133" s="84" t="str">
        <f>HYPERLINK("https://twitter.com/king__vaduka")</f>
        <v>https://twitter.com/king__vaduka</v>
      </c>
      <c r="AZ133" s="80" t="s">
        <v>65</v>
      </c>
      <c r="BA133" s="2"/>
      <c r="BB133" s="3"/>
      <c r="BC133" s="3"/>
      <c r="BD133" s="3"/>
      <c r="BE133" s="3"/>
    </row>
    <row r="134" spans="1:57" x14ac:dyDescent="0.35">
      <c r="A134" s="66" t="s">
        <v>1036</v>
      </c>
      <c r="B134" s="67"/>
      <c r="C134" s="67"/>
      <c r="D134" s="68"/>
      <c r="E134" s="70"/>
      <c r="F134" s="106" t="str">
        <f>HYPERLINK("https://pbs.twimg.com/profile_images/1434907195330600962/cY5JIQXa_normal.jpg")</f>
        <v>https://pbs.twimg.com/profile_images/1434907195330600962/cY5JIQXa_normal.jpg</v>
      </c>
      <c r="G134" s="67"/>
      <c r="H134" s="71"/>
      <c r="I134" s="72"/>
      <c r="J134" s="72"/>
      <c r="K134" s="71" t="s">
        <v>7304</v>
      </c>
      <c r="L134" s="75"/>
      <c r="M134" s="76"/>
      <c r="N134" s="76"/>
      <c r="O134" s="77"/>
      <c r="P134" s="78"/>
      <c r="Q134" s="78"/>
      <c r="R134" s="90"/>
      <c r="S134" s="90"/>
      <c r="T134" s="90"/>
      <c r="U134" s="90"/>
      <c r="V134" s="52"/>
      <c r="W134" s="52"/>
      <c r="X134" s="52"/>
      <c r="Y134" s="52"/>
      <c r="Z134" s="51"/>
      <c r="AA134" s="73"/>
      <c r="AB134" s="73"/>
      <c r="AC134" s="74"/>
      <c r="AD134" s="80" t="s">
        <v>4311</v>
      </c>
      <c r="AE134" s="86" t="s">
        <v>3914</v>
      </c>
      <c r="AF134" s="80">
        <v>0</v>
      </c>
      <c r="AG134" s="80">
        <v>39</v>
      </c>
      <c r="AH134" s="80">
        <v>946</v>
      </c>
      <c r="AI134" s="80">
        <v>0</v>
      </c>
      <c r="AJ134" s="80"/>
      <c r="AK134" s="80" t="s">
        <v>6042</v>
      </c>
      <c r="AL134" s="80"/>
      <c r="AM134" s="80"/>
      <c r="AN134" s="80"/>
      <c r="AO134" s="82">
        <v>44445.639456018522</v>
      </c>
      <c r="AP134" s="84" t="str">
        <f>HYPERLINK("https://pbs.twimg.com/profile_banners/1434899262869934085/1630943509")</f>
        <v>https://pbs.twimg.com/profile_banners/1434899262869934085/1630943509</v>
      </c>
      <c r="AQ134" s="80" t="b">
        <v>1</v>
      </c>
      <c r="AR134" s="80" t="b">
        <v>0</v>
      </c>
      <c r="AS134" s="80" t="b">
        <v>0</v>
      </c>
      <c r="AT134" s="80"/>
      <c r="AU134" s="80">
        <v>0</v>
      </c>
      <c r="AV134" s="80"/>
      <c r="AW134" s="80" t="b">
        <v>0</v>
      </c>
      <c r="AX134" s="80" t="s">
        <v>7173</v>
      </c>
      <c r="AY134" s="84" t="str">
        <f>HYPERLINK("https://twitter.com/ryofahri")</f>
        <v>https://twitter.com/ryofahri</v>
      </c>
      <c r="AZ134" s="80" t="s">
        <v>65</v>
      </c>
      <c r="BA134" s="2"/>
      <c r="BB134" s="3"/>
      <c r="BC134" s="3"/>
      <c r="BD134" s="3"/>
      <c r="BE134" s="3"/>
    </row>
    <row r="135" spans="1:57" x14ac:dyDescent="0.35">
      <c r="A135" s="66" t="s">
        <v>300</v>
      </c>
      <c r="B135" s="67"/>
      <c r="C135" s="67"/>
      <c r="D135" s="68"/>
      <c r="E135" s="70"/>
      <c r="F135" s="106" t="str">
        <f>HYPERLINK("https://pbs.twimg.com/profile_images/1427657002415579148/jaH169nC_normal.jpg")</f>
        <v>https://pbs.twimg.com/profile_images/1427657002415579148/jaH169nC_normal.jpg</v>
      </c>
      <c r="G135" s="67"/>
      <c r="H135" s="71"/>
      <c r="I135" s="72"/>
      <c r="J135" s="72"/>
      <c r="K135" s="71" t="s">
        <v>7305</v>
      </c>
      <c r="L135" s="75"/>
      <c r="M135" s="76"/>
      <c r="N135" s="76"/>
      <c r="O135" s="77"/>
      <c r="P135" s="78"/>
      <c r="Q135" s="78"/>
      <c r="R135" s="90"/>
      <c r="S135" s="90"/>
      <c r="T135" s="90"/>
      <c r="U135" s="90"/>
      <c r="V135" s="52"/>
      <c r="W135" s="52"/>
      <c r="X135" s="52"/>
      <c r="Y135" s="52"/>
      <c r="Z135" s="51"/>
      <c r="AA135" s="73"/>
      <c r="AB135" s="73"/>
      <c r="AC135" s="74"/>
      <c r="AD135" s="80" t="s">
        <v>4312</v>
      </c>
      <c r="AE135" s="86" t="s">
        <v>5248</v>
      </c>
      <c r="AF135" s="80">
        <v>1702</v>
      </c>
      <c r="AG135" s="80">
        <v>2441</v>
      </c>
      <c r="AH135" s="80">
        <v>56612</v>
      </c>
      <c r="AI135" s="80">
        <v>3526</v>
      </c>
      <c r="AJ135" s="80"/>
      <c r="AK135" s="80" t="s">
        <v>6043</v>
      </c>
      <c r="AL135" s="80"/>
      <c r="AM135" s="84" t="str">
        <f>HYPERLINK("https://t.co/ngDRrgZbNF")</f>
        <v>https://t.co/ngDRrgZbNF</v>
      </c>
      <c r="AN135" s="80"/>
      <c r="AO135" s="82">
        <v>41500.234039351853</v>
      </c>
      <c r="AP135" s="84" t="str">
        <f>HYPERLINK("https://pbs.twimg.com/profile_banners/1669629217/1628940263")</f>
        <v>https://pbs.twimg.com/profile_banners/1669629217/1628940263</v>
      </c>
      <c r="AQ135" s="80" t="b">
        <v>0</v>
      </c>
      <c r="AR135" s="80" t="b">
        <v>0</v>
      </c>
      <c r="AS135" s="80" t="b">
        <v>1</v>
      </c>
      <c r="AT135" s="80"/>
      <c r="AU135" s="80">
        <v>0</v>
      </c>
      <c r="AV135" s="84" t="str">
        <f>HYPERLINK("https://abs.twimg.com/images/themes/theme1/bg.png")</f>
        <v>https://abs.twimg.com/images/themes/theme1/bg.png</v>
      </c>
      <c r="AW135" s="80" t="b">
        <v>0</v>
      </c>
      <c r="AX135" s="80" t="s">
        <v>7173</v>
      </c>
      <c r="AY135" s="84" t="str">
        <f>HYPERLINK("https://twitter.com/nanisentyaa")</f>
        <v>https://twitter.com/nanisentyaa</v>
      </c>
      <c r="AZ135" s="80" t="s">
        <v>66</v>
      </c>
      <c r="BA135" s="2"/>
      <c r="BB135" s="3"/>
      <c r="BC135" s="3"/>
      <c r="BD135" s="3"/>
      <c r="BE135" s="3"/>
    </row>
    <row r="136" spans="1:57" x14ac:dyDescent="0.35">
      <c r="A136" s="66" t="s">
        <v>1037</v>
      </c>
      <c r="B136" s="67"/>
      <c r="C136" s="67"/>
      <c r="D136" s="68"/>
      <c r="E136" s="70"/>
      <c r="F136" s="106" t="str">
        <f>HYPERLINK("https://pbs.twimg.com/profile_images/1442474158428803090/g0GkoFCs_normal.jpg")</f>
        <v>https://pbs.twimg.com/profile_images/1442474158428803090/g0GkoFCs_normal.jpg</v>
      </c>
      <c r="G136" s="67"/>
      <c r="H136" s="71"/>
      <c r="I136" s="72"/>
      <c r="J136" s="72"/>
      <c r="K136" s="71" t="s">
        <v>7306</v>
      </c>
      <c r="L136" s="75"/>
      <c r="M136" s="76"/>
      <c r="N136" s="76"/>
      <c r="O136" s="77"/>
      <c r="P136" s="78"/>
      <c r="Q136" s="78"/>
      <c r="R136" s="90"/>
      <c r="S136" s="90"/>
      <c r="T136" s="90"/>
      <c r="U136" s="90"/>
      <c r="V136" s="52"/>
      <c r="W136" s="52"/>
      <c r="X136" s="52"/>
      <c r="Y136" s="52"/>
      <c r="Z136" s="51"/>
      <c r="AA136" s="73"/>
      <c r="AB136" s="73"/>
      <c r="AC136" s="74"/>
      <c r="AD136" s="80" t="s">
        <v>4313</v>
      </c>
      <c r="AE136" s="86" t="s">
        <v>3915</v>
      </c>
      <c r="AF136" s="80">
        <v>894</v>
      </c>
      <c r="AG136" s="80">
        <v>2362</v>
      </c>
      <c r="AH136" s="80">
        <v>39179</v>
      </c>
      <c r="AI136" s="80">
        <v>10243</v>
      </c>
      <c r="AJ136" s="80"/>
      <c r="AK136" s="80" t="s">
        <v>6044</v>
      </c>
      <c r="AL136" s="80"/>
      <c r="AM136" s="80"/>
      <c r="AN136" s="80"/>
      <c r="AO136" s="82">
        <v>40909.192303240743</v>
      </c>
      <c r="AP136" s="84" t="str">
        <f>HYPERLINK("https://pbs.twimg.com/profile_banners/451883912/1632556769")</f>
        <v>https://pbs.twimg.com/profile_banners/451883912/1632556769</v>
      </c>
      <c r="AQ136" s="80" t="b">
        <v>0</v>
      </c>
      <c r="AR136" s="80" t="b">
        <v>0</v>
      </c>
      <c r="AS136" s="80" t="b">
        <v>1</v>
      </c>
      <c r="AT136" s="80"/>
      <c r="AU136" s="80">
        <v>0</v>
      </c>
      <c r="AV136" s="84" t="str">
        <f>HYPERLINK("https://abs.twimg.com/images/themes/theme1/bg.png")</f>
        <v>https://abs.twimg.com/images/themes/theme1/bg.png</v>
      </c>
      <c r="AW136" s="80" t="b">
        <v>0</v>
      </c>
      <c r="AX136" s="80" t="s">
        <v>7173</v>
      </c>
      <c r="AY136" s="84" t="str">
        <f>HYPERLINK("https://twitter.com/andikabp__")</f>
        <v>https://twitter.com/andikabp__</v>
      </c>
      <c r="AZ136" s="80" t="s">
        <v>65</v>
      </c>
      <c r="BA136" s="2"/>
      <c r="BB136" s="3"/>
      <c r="BC136" s="3"/>
      <c r="BD136" s="3"/>
      <c r="BE136" s="3"/>
    </row>
    <row r="137" spans="1:57" x14ac:dyDescent="0.35">
      <c r="A137" s="66" t="s">
        <v>301</v>
      </c>
      <c r="B137" s="67"/>
      <c r="C137" s="67"/>
      <c r="D137" s="68"/>
      <c r="E137" s="70"/>
      <c r="F137" s="106" t="str">
        <f>HYPERLINK("https://pbs.twimg.com/profile_images/1410227992253501441/gJqQQW3Z_normal.jpg")</f>
        <v>https://pbs.twimg.com/profile_images/1410227992253501441/gJqQQW3Z_normal.jpg</v>
      </c>
      <c r="G137" s="67"/>
      <c r="H137" s="71"/>
      <c r="I137" s="72"/>
      <c r="J137" s="72"/>
      <c r="K137" s="71" t="s">
        <v>7307</v>
      </c>
      <c r="L137" s="75"/>
      <c r="M137" s="76"/>
      <c r="N137" s="76"/>
      <c r="O137" s="77"/>
      <c r="P137" s="78"/>
      <c r="Q137" s="78"/>
      <c r="R137" s="90"/>
      <c r="S137" s="90"/>
      <c r="T137" s="90"/>
      <c r="U137" s="90"/>
      <c r="V137" s="52"/>
      <c r="W137" s="52"/>
      <c r="X137" s="52"/>
      <c r="Y137" s="52"/>
      <c r="Z137" s="51"/>
      <c r="AA137" s="73"/>
      <c r="AB137" s="73"/>
      <c r="AC137" s="74"/>
      <c r="AD137" s="80" t="s">
        <v>4314</v>
      </c>
      <c r="AE137" s="86" t="s">
        <v>5249</v>
      </c>
      <c r="AF137" s="80">
        <v>397</v>
      </c>
      <c r="AG137" s="80">
        <v>859</v>
      </c>
      <c r="AH137" s="80">
        <v>14368</v>
      </c>
      <c r="AI137" s="80">
        <v>2488</v>
      </c>
      <c r="AJ137" s="80"/>
      <c r="AK137" s="80" t="s">
        <v>6045</v>
      </c>
      <c r="AL137" s="80" t="s">
        <v>6816</v>
      </c>
      <c r="AM137" s="84" t="str">
        <f>HYPERLINK("https://t.co/dfdQvoJum7")</f>
        <v>https://t.co/dfdQvoJum7</v>
      </c>
      <c r="AN137" s="80"/>
      <c r="AO137" s="82">
        <v>39949.062164351853</v>
      </c>
      <c r="AP137" s="84" t="str">
        <f>HYPERLINK("https://pbs.twimg.com/profile_banners/40380971/1452037216")</f>
        <v>https://pbs.twimg.com/profile_banners/40380971/1452037216</v>
      </c>
      <c r="AQ137" s="80" t="b">
        <v>0</v>
      </c>
      <c r="AR137" s="80" t="b">
        <v>0</v>
      </c>
      <c r="AS137" s="80" t="b">
        <v>0</v>
      </c>
      <c r="AT137" s="80"/>
      <c r="AU137" s="80">
        <v>3</v>
      </c>
      <c r="AV137" s="84" t="str">
        <f>HYPERLINK("https://abs.twimg.com/images/themes/theme13/bg.gif")</f>
        <v>https://abs.twimg.com/images/themes/theme13/bg.gif</v>
      </c>
      <c r="AW137" s="80" t="b">
        <v>0</v>
      </c>
      <c r="AX137" s="80" t="s">
        <v>7173</v>
      </c>
      <c r="AY137" s="84" t="str">
        <f>HYPERLINK("https://twitter.com/yanahaudy")</f>
        <v>https://twitter.com/yanahaudy</v>
      </c>
      <c r="AZ137" s="80" t="s">
        <v>66</v>
      </c>
      <c r="BA137" s="2"/>
      <c r="BB137" s="3"/>
      <c r="BC137" s="3"/>
      <c r="BD137" s="3"/>
      <c r="BE137" s="3"/>
    </row>
    <row r="138" spans="1:57" x14ac:dyDescent="0.35">
      <c r="A138" s="66" t="s">
        <v>302</v>
      </c>
      <c r="B138" s="67"/>
      <c r="C138" s="67"/>
      <c r="D138" s="68"/>
      <c r="E138" s="70"/>
      <c r="F138" s="106" t="str">
        <f>HYPERLINK("https://pbs.twimg.com/profile_images/1417136371416801282/bAkj_nJA_normal.jpg")</f>
        <v>https://pbs.twimg.com/profile_images/1417136371416801282/bAkj_nJA_normal.jpg</v>
      </c>
      <c r="G138" s="67"/>
      <c r="H138" s="71"/>
      <c r="I138" s="72"/>
      <c r="J138" s="72"/>
      <c r="K138" s="71" t="s">
        <v>7308</v>
      </c>
      <c r="L138" s="75"/>
      <c r="M138" s="76"/>
      <c r="N138" s="76"/>
      <c r="O138" s="77"/>
      <c r="P138" s="78"/>
      <c r="Q138" s="78"/>
      <c r="R138" s="90"/>
      <c r="S138" s="90"/>
      <c r="T138" s="90"/>
      <c r="U138" s="90"/>
      <c r="V138" s="52"/>
      <c r="W138" s="52"/>
      <c r="X138" s="52"/>
      <c r="Y138" s="52"/>
      <c r="Z138" s="51"/>
      <c r="AA138" s="73"/>
      <c r="AB138" s="73"/>
      <c r="AC138" s="74"/>
      <c r="AD138" s="80" t="s">
        <v>4315</v>
      </c>
      <c r="AE138" s="86" t="s">
        <v>5250</v>
      </c>
      <c r="AF138" s="80">
        <v>633</v>
      </c>
      <c r="AG138" s="80">
        <v>455</v>
      </c>
      <c r="AH138" s="80">
        <v>22196</v>
      </c>
      <c r="AI138" s="80">
        <v>21026</v>
      </c>
      <c r="AJ138" s="80"/>
      <c r="AK138" s="80" t="s">
        <v>6046</v>
      </c>
      <c r="AL138" s="80" t="s">
        <v>6817</v>
      </c>
      <c r="AM138" s="80"/>
      <c r="AN138" s="80"/>
      <c r="AO138" s="82">
        <v>44154.664270833331</v>
      </c>
      <c r="AP138" s="84" t="str">
        <f>HYPERLINK("https://pbs.twimg.com/profile_banners/1329453455921082368/1626629307")</f>
        <v>https://pbs.twimg.com/profile_banners/1329453455921082368/1626629307</v>
      </c>
      <c r="AQ138" s="80" t="b">
        <v>1</v>
      </c>
      <c r="AR138" s="80" t="b">
        <v>0</v>
      </c>
      <c r="AS138" s="80" t="b">
        <v>0</v>
      </c>
      <c r="AT138" s="80"/>
      <c r="AU138" s="80">
        <v>3</v>
      </c>
      <c r="AV138" s="80"/>
      <c r="AW138" s="80" t="b">
        <v>0</v>
      </c>
      <c r="AX138" s="80" t="s">
        <v>7173</v>
      </c>
      <c r="AY138" s="84" t="str">
        <f>HYPERLINK("https://twitter.com/nayutaishere")</f>
        <v>https://twitter.com/nayutaishere</v>
      </c>
      <c r="AZ138" s="80" t="s">
        <v>66</v>
      </c>
      <c r="BA138" s="2"/>
      <c r="BB138" s="3"/>
      <c r="BC138" s="3"/>
      <c r="BD138" s="3"/>
      <c r="BE138" s="3"/>
    </row>
    <row r="139" spans="1:57" x14ac:dyDescent="0.35">
      <c r="A139" s="66" t="s">
        <v>1038</v>
      </c>
      <c r="B139" s="67"/>
      <c r="C139" s="67"/>
      <c r="D139" s="68"/>
      <c r="E139" s="70"/>
      <c r="F139" s="106" t="str">
        <f>HYPERLINK("https://pbs.twimg.com/profile_images/1432648837219291138/tcQb1fAc_normal.jpg")</f>
        <v>https://pbs.twimg.com/profile_images/1432648837219291138/tcQb1fAc_normal.jpg</v>
      </c>
      <c r="G139" s="67"/>
      <c r="H139" s="71"/>
      <c r="I139" s="72"/>
      <c r="J139" s="72"/>
      <c r="K139" s="71" t="s">
        <v>7309</v>
      </c>
      <c r="L139" s="75"/>
      <c r="M139" s="76"/>
      <c r="N139" s="76"/>
      <c r="O139" s="77"/>
      <c r="P139" s="78"/>
      <c r="Q139" s="78"/>
      <c r="R139" s="90"/>
      <c r="S139" s="90"/>
      <c r="T139" s="90"/>
      <c r="U139" s="90"/>
      <c r="V139" s="52"/>
      <c r="W139" s="52"/>
      <c r="X139" s="52"/>
      <c r="Y139" s="52"/>
      <c r="Z139" s="51"/>
      <c r="AA139" s="73"/>
      <c r="AB139" s="73"/>
      <c r="AC139" s="74"/>
      <c r="AD139" s="80" t="s">
        <v>4316</v>
      </c>
      <c r="AE139" s="86" t="s">
        <v>3916</v>
      </c>
      <c r="AF139" s="80">
        <v>191</v>
      </c>
      <c r="AG139" s="80">
        <v>33290</v>
      </c>
      <c r="AH139" s="80">
        <v>4434</v>
      </c>
      <c r="AI139" s="80">
        <v>2020</v>
      </c>
      <c r="AJ139" s="80"/>
      <c r="AK139" s="80" t="s">
        <v>6047</v>
      </c>
      <c r="AL139" s="80" t="s">
        <v>6818</v>
      </c>
      <c r="AM139" s="84" t="str">
        <f>HYPERLINK("https://t.co/fpeoYqxTe0")</f>
        <v>https://t.co/fpeoYqxTe0</v>
      </c>
      <c r="AN139" s="80"/>
      <c r="AO139" s="82">
        <v>43790.514780092592</v>
      </c>
      <c r="AP139" s="84" t="str">
        <f>HYPERLINK("https://pbs.twimg.com/profile_banners/1197490110721249280/1630239336")</f>
        <v>https://pbs.twimg.com/profile_banners/1197490110721249280/1630239336</v>
      </c>
      <c r="AQ139" s="80" t="b">
        <v>1</v>
      </c>
      <c r="AR139" s="80" t="b">
        <v>0</v>
      </c>
      <c r="AS139" s="80" t="b">
        <v>1</v>
      </c>
      <c r="AT139" s="80"/>
      <c r="AU139" s="80">
        <v>58</v>
      </c>
      <c r="AV139" s="80"/>
      <c r="AW139" s="80" t="b">
        <v>0</v>
      </c>
      <c r="AX139" s="80" t="s">
        <v>7173</v>
      </c>
      <c r="AY139" s="84" t="str">
        <f>HYPERLINK("https://twitter.com/jnsuhflower")</f>
        <v>https://twitter.com/jnsuhflower</v>
      </c>
      <c r="AZ139" s="80" t="s">
        <v>65</v>
      </c>
      <c r="BA139" s="2"/>
      <c r="BB139" s="3"/>
      <c r="BC139" s="3"/>
      <c r="BD139" s="3"/>
      <c r="BE139" s="3"/>
    </row>
    <row r="140" spans="1:57" x14ac:dyDescent="0.35">
      <c r="A140" s="66" t="s">
        <v>303</v>
      </c>
      <c r="B140" s="67"/>
      <c r="C140" s="67"/>
      <c r="D140" s="68"/>
      <c r="E140" s="70"/>
      <c r="F140" s="106" t="str">
        <f>HYPERLINK("https://pbs.twimg.com/profile_images/1408580207896760320/5F55qpha_normal.jpg")</f>
        <v>https://pbs.twimg.com/profile_images/1408580207896760320/5F55qpha_normal.jpg</v>
      </c>
      <c r="G140" s="67"/>
      <c r="H140" s="71"/>
      <c r="I140" s="72"/>
      <c r="J140" s="72"/>
      <c r="K140" s="71" t="s">
        <v>7310</v>
      </c>
      <c r="L140" s="75"/>
      <c r="M140" s="76"/>
      <c r="N140" s="76"/>
      <c r="O140" s="77"/>
      <c r="P140" s="78"/>
      <c r="Q140" s="78"/>
      <c r="R140" s="90"/>
      <c r="S140" s="90"/>
      <c r="T140" s="90"/>
      <c r="U140" s="90"/>
      <c r="V140" s="52"/>
      <c r="W140" s="52"/>
      <c r="X140" s="52"/>
      <c r="Y140" s="52"/>
      <c r="Z140" s="51"/>
      <c r="AA140" s="73"/>
      <c r="AB140" s="73"/>
      <c r="AC140" s="74"/>
      <c r="AD140" s="80" t="s">
        <v>4317</v>
      </c>
      <c r="AE140" s="86" t="s">
        <v>5251</v>
      </c>
      <c r="AF140" s="80">
        <v>4448</v>
      </c>
      <c r="AG140" s="80">
        <v>8227</v>
      </c>
      <c r="AH140" s="80">
        <v>41713</v>
      </c>
      <c r="AI140" s="80">
        <v>59154</v>
      </c>
      <c r="AJ140" s="80"/>
      <c r="AK140" s="80" t="s">
        <v>6048</v>
      </c>
      <c r="AL140" s="80" t="s">
        <v>6819</v>
      </c>
      <c r="AM140" s="84" t="str">
        <f>HYPERLINK("https://t.co/eSGkVr4I5O")</f>
        <v>https://t.co/eSGkVr4I5O</v>
      </c>
      <c r="AN140" s="80"/>
      <c r="AO140" s="82">
        <v>43868.36136574074</v>
      </c>
      <c r="AP140" s="84" t="str">
        <f>HYPERLINK("https://pbs.twimg.com/profile_banners/1225700746395435010/1629678693")</f>
        <v>https://pbs.twimg.com/profile_banners/1225700746395435010/1629678693</v>
      </c>
      <c r="AQ140" s="80" t="b">
        <v>1</v>
      </c>
      <c r="AR140" s="80" t="b">
        <v>0</v>
      </c>
      <c r="AS140" s="80" t="b">
        <v>1</v>
      </c>
      <c r="AT140" s="80"/>
      <c r="AU140" s="80">
        <v>11</v>
      </c>
      <c r="AV140" s="80"/>
      <c r="AW140" s="80" t="b">
        <v>0</v>
      </c>
      <c r="AX140" s="80" t="s">
        <v>7173</v>
      </c>
      <c r="AY140" s="84" t="str">
        <f>HYPERLINK("https://twitter.com/maulittyy")</f>
        <v>https://twitter.com/maulittyy</v>
      </c>
      <c r="AZ140" s="80" t="s">
        <v>66</v>
      </c>
      <c r="BA140" s="2"/>
      <c r="BB140" s="3"/>
      <c r="BC140" s="3"/>
      <c r="BD140" s="3"/>
      <c r="BE140" s="3"/>
    </row>
    <row r="141" spans="1:57" x14ac:dyDescent="0.35">
      <c r="A141" s="66" t="s">
        <v>1039</v>
      </c>
      <c r="B141" s="67"/>
      <c r="C141" s="67"/>
      <c r="D141" s="68"/>
      <c r="E141" s="70"/>
      <c r="F141" s="106" t="str">
        <f>HYPERLINK("https://pbs.twimg.com/profile_images/1423259165569404928/hjSnVZLr_normal.jpg")</f>
        <v>https://pbs.twimg.com/profile_images/1423259165569404928/hjSnVZLr_normal.jpg</v>
      </c>
      <c r="G141" s="67"/>
      <c r="H141" s="71"/>
      <c r="I141" s="72"/>
      <c r="J141" s="72"/>
      <c r="K141" s="71" t="s">
        <v>7311</v>
      </c>
      <c r="L141" s="75"/>
      <c r="M141" s="76"/>
      <c r="N141" s="76"/>
      <c r="O141" s="77"/>
      <c r="P141" s="78"/>
      <c r="Q141" s="78"/>
      <c r="R141" s="90"/>
      <c r="S141" s="90"/>
      <c r="T141" s="90"/>
      <c r="U141" s="90"/>
      <c r="V141" s="52"/>
      <c r="W141" s="52"/>
      <c r="X141" s="52"/>
      <c r="Y141" s="52"/>
      <c r="Z141" s="51"/>
      <c r="AA141" s="73"/>
      <c r="AB141" s="73"/>
      <c r="AC141" s="74"/>
      <c r="AD141" s="80" t="s">
        <v>4318</v>
      </c>
      <c r="AE141" s="86" t="s">
        <v>3917</v>
      </c>
      <c r="AF141" s="80">
        <v>4965</v>
      </c>
      <c r="AG141" s="80">
        <v>11860</v>
      </c>
      <c r="AH141" s="80">
        <v>112048</v>
      </c>
      <c r="AI141" s="80">
        <v>12590</v>
      </c>
      <c r="AJ141" s="80"/>
      <c r="AK141" s="80" t="s">
        <v>6049</v>
      </c>
      <c r="AL141" s="80" t="s">
        <v>6820</v>
      </c>
      <c r="AM141" s="84" t="str">
        <f>HYPERLINK("https://t.co/snnEjwe1CA")</f>
        <v>https://t.co/snnEjwe1CA</v>
      </c>
      <c r="AN141" s="80"/>
      <c r="AO141" s="82">
        <v>43842.222488425927</v>
      </c>
      <c r="AP141" s="84" t="str">
        <f>HYPERLINK("https://pbs.twimg.com/profile_banners/1216228358100406273/1632798221")</f>
        <v>https://pbs.twimg.com/profile_banners/1216228358100406273/1632798221</v>
      </c>
      <c r="AQ141" s="80" t="b">
        <v>1</v>
      </c>
      <c r="AR141" s="80" t="b">
        <v>0</v>
      </c>
      <c r="AS141" s="80" t="b">
        <v>1</v>
      </c>
      <c r="AT141" s="80"/>
      <c r="AU141" s="80">
        <v>12</v>
      </c>
      <c r="AV141" s="80"/>
      <c r="AW141" s="80" t="b">
        <v>0</v>
      </c>
      <c r="AX141" s="80" t="s">
        <v>7173</v>
      </c>
      <c r="AY141" s="84" t="str">
        <f>HYPERLINK("https://twitter.com/00uchtea")</f>
        <v>https://twitter.com/00uchtea</v>
      </c>
      <c r="AZ141" s="80" t="s">
        <v>65</v>
      </c>
      <c r="BA141" s="2"/>
      <c r="BB141" s="3"/>
      <c r="BC141" s="3"/>
      <c r="BD141" s="3"/>
      <c r="BE141" s="3"/>
    </row>
    <row r="142" spans="1:57" x14ac:dyDescent="0.35">
      <c r="A142" s="66" t="s">
        <v>304</v>
      </c>
      <c r="B142" s="67"/>
      <c r="C142" s="67"/>
      <c r="D142" s="68"/>
      <c r="E142" s="70"/>
      <c r="F142" s="106" t="str">
        <f>HYPERLINK("https://pbs.twimg.com/profile_images/1372150716333125632/XXxufyt-_normal.jpg")</f>
        <v>https://pbs.twimg.com/profile_images/1372150716333125632/XXxufyt-_normal.jpg</v>
      </c>
      <c r="G142" s="67"/>
      <c r="H142" s="71"/>
      <c r="I142" s="72"/>
      <c r="J142" s="72"/>
      <c r="K142" s="71" t="s">
        <v>7312</v>
      </c>
      <c r="L142" s="75"/>
      <c r="M142" s="76"/>
      <c r="N142" s="76"/>
      <c r="O142" s="77"/>
      <c r="P142" s="78"/>
      <c r="Q142" s="78"/>
      <c r="R142" s="90"/>
      <c r="S142" s="90"/>
      <c r="T142" s="90"/>
      <c r="U142" s="90"/>
      <c r="V142" s="52"/>
      <c r="W142" s="52"/>
      <c r="X142" s="52"/>
      <c r="Y142" s="52"/>
      <c r="Z142" s="51"/>
      <c r="AA142" s="73"/>
      <c r="AB142" s="73"/>
      <c r="AC142" s="74"/>
      <c r="AD142" s="80" t="s">
        <v>4319</v>
      </c>
      <c r="AE142" s="86" t="s">
        <v>5252</v>
      </c>
      <c r="AF142" s="80">
        <v>170</v>
      </c>
      <c r="AG142" s="80">
        <v>70</v>
      </c>
      <c r="AH142" s="80">
        <v>3581</v>
      </c>
      <c r="AI142" s="80">
        <v>2398</v>
      </c>
      <c r="AJ142" s="80"/>
      <c r="AK142" s="80"/>
      <c r="AL142" s="80"/>
      <c r="AM142" s="80"/>
      <c r="AN142" s="80"/>
      <c r="AO142" s="82">
        <v>43428.502141203702</v>
      </c>
      <c r="AP142" s="84" t="str">
        <f>HYPERLINK("https://pbs.twimg.com/profile_banners/1066301173445980160/1585945482")</f>
        <v>https://pbs.twimg.com/profile_banners/1066301173445980160/1585945482</v>
      </c>
      <c r="AQ142" s="80" t="b">
        <v>1</v>
      </c>
      <c r="AR142" s="80" t="b">
        <v>0</v>
      </c>
      <c r="AS142" s="80" t="b">
        <v>0</v>
      </c>
      <c r="AT142" s="80"/>
      <c r="AU142" s="80">
        <v>0</v>
      </c>
      <c r="AV142" s="80"/>
      <c r="AW142" s="80" t="b">
        <v>0</v>
      </c>
      <c r="AX142" s="80" t="s">
        <v>7173</v>
      </c>
      <c r="AY142" s="84" t="str">
        <f>HYPERLINK("https://twitter.com/detoooool")</f>
        <v>https://twitter.com/detoooool</v>
      </c>
      <c r="AZ142" s="80" t="s">
        <v>66</v>
      </c>
      <c r="BA142" s="2"/>
      <c r="BB142" s="3"/>
      <c r="BC142" s="3"/>
      <c r="BD142" s="3"/>
      <c r="BE142" s="3"/>
    </row>
    <row r="143" spans="1:57" x14ac:dyDescent="0.35">
      <c r="A143" s="66" t="s">
        <v>1040</v>
      </c>
      <c r="B143" s="67"/>
      <c r="C143" s="67"/>
      <c r="D143" s="68"/>
      <c r="E143" s="70"/>
      <c r="F143" s="106" t="str">
        <f>HYPERLINK("https://pbs.twimg.com/profile_images/1435238485288386562/eo8J0ZPH_normal.jpg")</f>
        <v>https://pbs.twimg.com/profile_images/1435238485288386562/eo8J0ZPH_normal.jpg</v>
      </c>
      <c r="G143" s="67"/>
      <c r="H143" s="71"/>
      <c r="I143" s="72"/>
      <c r="J143" s="72"/>
      <c r="K143" s="71" t="s">
        <v>7313</v>
      </c>
      <c r="L143" s="75"/>
      <c r="M143" s="76"/>
      <c r="N143" s="76"/>
      <c r="O143" s="77"/>
      <c r="P143" s="78"/>
      <c r="Q143" s="78"/>
      <c r="R143" s="90"/>
      <c r="S143" s="90"/>
      <c r="T143" s="90"/>
      <c r="U143" s="90"/>
      <c r="V143" s="52"/>
      <c r="W143" s="52"/>
      <c r="X143" s="52"/>
      <c r="Y143" s="52"/>
      <c r="Z143" s="51"/>
      <c r="AA143" s="73"/>
      <c r="AB143" s="73"/>
      <c r="AC143" s="74"/>
      <c r="AD143" s="80" t="s">
        <v>4320</v>
      </c>
      <c r="AE143" s="86" t="s">
        <v>3918</v>
      </c>
      <c r="AF143" s="80">
        <v>762</v>
      </c>
      <c r="AG143" s="80">
        <v>12</v>
      </c>
      <c r="AH143" s="80">
        <v>28</v>
      </c>
      <c r="AI143" s="80">
        <v>90</v>
      </c>
      <c r="AJ143" s="80"/>
      <c r="AK143" s="80"/>
      <c r="AL143" s="80" t="s">
        <v>6821</v>
      </c>
      <c r="AM143" s="80"/>
      <c r="AN143" s="80"/>
      <c r="AO143" s="82">
        <v>44266.353148148148</v>
      </c>
      <c r="AP143" s="80"/>
      <c r="AQ143" s="80" t="b">
        <v>1</v>
      </c>
      <c r="AR143" s="80" t="b">
        <v>0</v>
      </c>
      <c r="AS143" s="80" t="b">
        <v>0</v>
      </c>
      <c r="AT143" s="80"/>
      <c r="AU143" s="80">
        <v>0</v>
      </c>
      <c r="AV143" s="80"/>
      <c r="AW143" s="80" t="b">
        <v>0</v>
      </c>
      <c r="AX143" s="80" t="s">
        <v>7173</v>
      </c>
      <c r="AY143" s="84" t="str">
        <f>HYPERLINK("https://twitter.com/sudarmintoarif")</f>
        <v>https://twitter.com/sudarmintoarif</v>
      </c>
      <c r="AZ143" s="80" t="s">
        <v>65</v>
      </c>
      <c r="BA143" s="2"/>
      <c r="BB143" s="3"/>
      <c r="BC143" s="3"/>
      <c r="BD143" s="3"/>
      <c r="BE143" s="3"/>
    </row>
    <row r="144" spans="1:57" x14ac:dyDescent="0.35">
      <c r="A144" s="66" t="s">
        <v>305</v>
      </c>
      <c r="B144" s="67"/>
      <c r="C144" s="67"/>
      <c r="D144" s="68"/>
      <c r="E144" s="70"/>
      <c r="F144" s="106" t="str">
        <f>HYPERLINK("https://pbs.twimg.com/profile_images/1427076470371799041/QAk0k53d_normal.jpg")</f>
        <v>https://pbs.twimg.com/profile_images/1427076470371799041/QAk0k53d_normal.jpg</v>
      </c>
      <c r="G144" s="67"/>
      <c r="H144" s="71"/>
      <c r="I144" s="72"/>
      <c r="J144" s="72"/>
      <c r="K144" s="71" t="s">
        <v>7314</v>
      </c>
      <c r="L144" s="75"/>
      <c r="M144" s="76"/>
      <c r="N144" s="76"/>
      <c r="O144" s="77"/>
      <c r="P144" s="78"/>
      <c r="Q144" s="78"/>
      <c r="R144" s="90"/>
      <c r="S144" s="90"/>
      <c r="T144" s="90"/>
      <c r="U144" s="90"/>
      <c r="V144" s="52"/>
      <c r="W144" s="52"/>
      <c r="X144" s="52"/>
      <c r="Y144" s="52"/>
      <c r="Z144" s="51"/>
      <c r="AA144" s="73"/>
      <c r="AB144" s="73"/>
      <c r="AC144" s="74"/>
      <c r="AD144" s="80" t="s">
        <v>4321</v>
      </c>
      <c r="AE144" s="86" t="s">
        <v>5253</v>
      </c>
      <c r="AF144" s="80">
        <v>35</v>
      </c>
      <c r="AG144" s="80">
        <v>614</v>
      </c>
      <c r="AH144" s="80">
        <v>1224</v>
      </c>
      <c r="AI144" s="80">
        <v>130</v>
      </c>
      <c r="AJ144" s="80"/>
      <c r="AK144" s="80" t="s">
        <v>6050</v>
      </c>
      <c r="AL144" s="80" t="s">
        <v>6822</v>
      </c>
      <c r="AM144" s="80"/>
      <c r="AN144" s="80"/>
      <c r="AO144" s="82">
        <v>44403.309398148151</v>
      </c>
      <c r="AP144" s="84" t="str">
        <f>HYPERLINK("https://pbs.twimg.com/profile_banners/1419559436163584001/1629076519")</f>
        <v>https://pbs.twimg.com/profile_banners/1419559436163584001/1629076519</v>
      </c>
      <c r="AQ144" s="80" t="b">
        <v>1</v>
      </c>
      <c r="AR144" s="80" t="b">
        <v>0</v>
      </c>
      <c r="AS144" s="80" t="b">
        <v>0</v>
      </c>
      <c r="AT144" s="80"/>
      <c r="AU144" s="80">
        <v>0</v>
      </c>
      <c r="AV144" s="80"/>
      <c r="AW144" s="80" t="b">
        <v>0</v>
      </c>
      <c r="AX144" s="80" t="s">
        <v>7173</v>
      </c>
      <c r="AY144" s="84" t="str">
        <f>HYPERLINK("https://twitter.com/eonni_wh")</f>
        <v>https://twitter.com/eonni_wh</v>
      </c>
      <c r="AZ144" s="80" t="s">
        <v>66</v>
      </c>
      <c r="BA144" s="2"/>
      <c r="BB144" s="3"/>
      <c r="BC144" s="3"/>
      <c r="BD144" s="3"/>
      <c r="BE144" s="3"/>
    </row>
    <row r="145" spans="1:57" x14ac:dyDescent="0.35">
      <c r="A145" s="66" t="s">
        <v>1041</v>
      </c>
      <c r="B145" s="67"/>
      <c r="C145" s="67"/>
      <c r="D145" s="68"/>
      <c r="E145" s="70"/>
      <c r="F145" s="106" t="str">
        <f>HYPERLINK("https://pbs.twimg.com/profile_images/1268869569868791808/NhfTSvDp_normal.jpg")</f>
        <v>https://pbs.twimg.com/profile_images/1268869569868791808/NhfTSvDp_normal.jpg</v>
      </c>
      <c r="G145" s="67"/>
      <c r="H145" s="71"/>
      <c r="I145" s="72"/>
      <c r="J145" s="72"/>
      <c r="K145" s="71" t="s">
        <v>7315</v>
      </c>
      <c r="L145" s="75"/>
      <c r="M145" s="76"/>
      <c r="N145" s="76"/>
      <c r="O145" s="77"/>
      <c r="P145" s="78"/>
      <c r="Q145" s="78"/>
      <c r="R145" s="90"/>
      <c r="S145" s="90"/>
      <c r="T145" s="90"/>
      <c r="U145" s="90"/>
      <c r="V145" s="52"/>
      <c r="W145" s="52"/>
      <c r="X145" s="52"/>
      <c r="Y145" s="52"/>
      <c r="Z145" s="51"/>
      <c r="AA145" s="73"/>
      <c r="AB145" s="73"/>
      <c r="AC145" s="74"/>
      <c r="AD145" s="80" t="s">
        <v>4322</v>
      </c>
      <c r="AE145" s="86" t="s">
        <v>3919</v>
      </c>
      <c r="AF145" s="80">
        <v>3423</v>
      </c>
      <c r="AG145" s="80">
        <v>46543</v>
      </c>
      <c r="AH145" s="80">
        <v>430249</v>
      </c>
      <c r="AI145" s="80">
        <v>33</v>
      </c>
      <c r="AJ145" s="80"/>
      <c r="AK145" s="80" t="s">
        <v>6051</v>
      </c>
      <c r="AL145" s="80" t="s">
        <v>6823</v>
      </c>
      <c r="AM145" s="84" t="str">
        <f>HYPERLINK("https://t.co/78SfQ6GoXl")</f>
        <v>https://t.co/78SfQ6GoXl</v>
      </c>
      <c r="AN145" s="80"/>
      <c r="AO145" s="82">
        <v>43922.275451388887</v>
      </c>
      <c r="AP145" s="84" t="str">
        <f>HYPERLINK("https://pbs.twimg.com/profile_banners/1245238594010091520/1591365134")</f>
        <v>https://pbs.twimg.com/profile_banners/1245238594010091520/1591365134</v>
      </c>
      <c r="AQ145" s="80" t="b">
        <v>1</v>
      </c>
      <c r="AR145" s="80" t="b">
        <v>0</v>
      </c>
      <c r="AS145" s="80" t="b">
        <v>0</v>
      </c>
      <c r="AT145" s="80"/>
      <c r="AU145" s="80">
        <v>863</v>
      </c>
      <c r="AV145" s="80"/>
      <c r="AW145" s="80" t="b">
        <v>0</v>
      </c>
      <c r="AX145" s="80" t="s">
        <v>7173</v>
      </c>
      <c r="AY145" s="84" t="str">
        <f>HYPERLINK("https://twitter.com/dagangkorea")</f>
        <v>https://twitter.com/dagangkorea</v>
      </c>
      <c r="AZ145" s="80" t="s">
        <v>65</v>
      </c>
      <c r="BA145" s="2"/>
      <c r="BB145" s="3"/>
      <c r="BC145" s="3"/>
      <c r="BD145" s="3"/>
      <c r="BE145" s="3"/>
    </row>
    <row r="146" spans="1:57" x14ac:dyDescent="0.35">
      <c r="A146" s="66" t="s">
        <v>306</v>
      </c>
      <c r="B146" s="67"/>
      <c r="C146" s="67"/>
      <c r="D146" s="68"/>
      <c r="E146" s="70"/>
      <c r="F146" s="106" t="str">
        <f>HYPERLINK("https://pbs.twimg.com/profile_images/1439077968005853188/rTOPO4BY_normal.jpg")</f>
        <v>https://pbs.twimg.com/profile_images/1439077968005853188/rTOPO4BY_normal.jpg</v>
      </c>
      <c r="G146" s="67"/>
      <c r="H146" s="71"/>
      <c r="I146" s="72"/>
      <c r="J146" s="72"/>
      <c r="K146" s="71" t="s">
        <v>7316</v>
      </c>
      <c r="L146" s="75"/>
      <c r="M146" s="76"/>
      <c r="N146" s="76"/>
      <c r="O146" s="77"/>
      <c r="P146" s="78"/>
      <c r="Q146" s="78"/>
      <c r="R146" s="90"/>
      <c r="S146" s="90"/>
      <c r="T146" s="90"/>
      <c r="U146" s="90"/>
      <c r="V146" s="52"/>
      <c r="W146" s="52"/>
      <c r="X146" s="52"/>
      <c r="Y146" s="52"/>
      <c r="Z146" s="51"/>
      <c r="AA146" s="73"/>
      <c r="AB146" s="73"/>
      <c r="AC146" s="74"/>
      <c r="AD146" s="80" t="s">
        <v>4323</v>
      </c>
      <c r="AE146" s="86" t="s">
        <v>5254</v>
      </c>
      <c r="AF146" s="80">
        <v>134</v>
      </c>
      <c r="AG146" s="80">
        <v>69</v>
      </c>
      <c r="AH146" s="80">
        <v>4767</v>
      </c>
      <c r="AI146" s="80">
        <v>2847</v>
      </c>
      <c r="AJ146" s="80"/>
      <c r="AK146" s="80" t="s">
        <v>6052</v>
      </c>
      <c r="AL146" s="80" t="s">
        <v>6775</v>
      </c>
      <c r="AM146" s="80"/>
      <c r="AN146" s="80"/>
      <c r="AO146" s="82">
        <v>43033.644108796296</v>
      </c>
      <c r="AP146" s="84" t="str">
        <f>HYPERLINK("https://pbs.twimg.com/profile_banners/923209415418720257/1617439915")</f>
        <v>https://pbs.twimg.com/profile_banners/923209415418720257/1617439915</v>
      </c>
      <c r="AQ146" s="80" t="b">
        <v>1</v>
      </c>
      <c r="AR146" s="80" t="b">
        <v>0</v>
      </c>
      <c r="AS146" s="80" t="b">
        <v>0</v>
      </c>
      <c r="AT146" s="80"/>
      <c r="AU146" s="80">
        <v>0</v>
      </c>
      <c r="AV146" s="80"/>
      <c r="AW146" s="80" t="b">
        <v>0</v>
      </c>
      <c r="AX146" s="80" t="s">
        <v>7173</v>
      </c>
      <c r="AY146" s="84" t="str">
        <f>HYPERLINK("https://twitter.com/_danraja")</f>
        <v>https://twitter.com/_danraja</v>
      </c>
      <c r="AZ146" s="80" t="s">
        <v>66</v>
      </c>
      <c r="BA146" s="2"/>
      <c r="BB146" s="3"/>
      <c r="BC146" s="3"/>
      <c r="BD146" s="3"/>
      <c r="BE146" s="3"/>
    </row>
    <row r="147" spans="1:57" x14ac:dyDescent="0.35">
      <c r="A147" s="66" t="s">
        <v>307</v>
      </c>
      <c r="B147" s="67"/>
      <c r="C147" s="67"/>
      <c r="D147" s="68"/>
      <c r="E147" s="70"/>
      <c r="F147" s="106" t="str">
        <f>HYPERLINK("https://pbs.twimg.com/profile_images/1437319219662573570/FquuH0ws_normal.jpg")</f>
        <v>https://pbs.twimg.com/profile_images/1437319219662573570/FquuH0ws_normal.jpg</v>
      </c>
      <c r="G147" s="67"/>
      <c r="H147" s="71"/>
      <c r="I147" s="72"/>
      <c r="J147" s="72"/>
      <c r="K147" s="71" t="s">
        <v>7317</v>
      </c>
      <c r="L147" s="75"/>
      <c r="M147" s="76"/>
      <c r="N147" s="76"/>
      <c r="O147" s="77"/>
      <c r="P147" s="78"/>
      <c r="Q147" s="78"/>
      <c r="R147" s="90"/>
      <c r="S147" s="90"/>
      <c r="T147" s="90"/>
      <c r="U147" s="90"/>
      <c r="V147" s="52"/>
      <c r="W147" s="52"/>
      <c r="X147" s="52"/>
      <c r="Y147" s="52"/>
      <c r="Z147" s="51"/>
      <c r="AA147" s="73"/>
      <c r="AB147" s="73"/>
      <c r="AC147" s="74"/>
      <c r="AD147" s="80" t="s">
        <v>4324</v>
      </c>
      <c r="AE147" s="86" t="s">
        <v>5255</v>
      </c>
      <c r="AF147" s="80">
        <v>865</v>
      </c>
      <c r="AG147" s="80">
        <v>774</v>
      </c>
      <c r="AH147" s="80">
        <v>9801</v>
      </c>
      <c r="AI147" s="80">
        <v>3613</v>
      </c>
      <c r="AJ147" s="80"/>
      <c r="AK147" s="80" t="s">
        <v>6053</v>
      </c>
      <c r="AL147" s="80"/>
      <c r="AM147" s="80"/>
      <c r="AN147" s="80"/>
      <c r="AO147" s="82">
        <v>44120.527569444443</v>
      </c>
      <c r="AP147" s="84" t="str">
        <f>HYPERLINK("https://pbs.twimg.com/profile_banners/1317082746171240449/1626711359")</f>
        <v>https://pbs.twimg.com/profile_banners/1317082746171240449/1626711359</v>
      </c>
      <c r="AQ147" s="80" t="b">
        <v>1</v>
      </c>
      <c r="AR147" s="80" t="b">
        <v>0</v>
      </c>
      <c r="AS147" s="80" t="b">
        <v>0</v>
      </c>
      <c r="AT147" s="80"/>
      <c r="AU147" s="80">
        <v>1</v>
      </c>
      <c r="AV147" s="80"/>
      <c r="AW147" s="80" t="b">
        <v>0</v>
      </c>
      <c r="AX147" s="80" t="s">
        <v>7173</v>
      </c>
      <c r="AY147" s="84" t="str">
        <f>HYPERLINK("https://twitter.com/chocolateyyni")</f>
        <v>https://twitter.com/chocolateyyni</v>
      </c>
      <c r="AZ147" s="80" t="s">
        <v>66</v>
      </c>
      <c r="BA147" s="2"/>
      <c r="BB147" s="3"/>
      <c r="BC147" s="3"/>
      <c r="BD147" s="3"/>
      <c r="BE147" s="3"/>
    </row>
    <row r="148" spans="1:57" x14ac:dyDescent="0.35">
      <c r="A148" s="66" t="s">
        <v>308</v>
      </c>
      <c r="B148" s="67"/>
      <c r="C148" s="67"/>
      <c r="D148" s="68"/>
      <c r="E148" s="70"/>
      <c r="F148" s="106" t="str">
        <f>HYPERLINK("https://pbs.twimg.com/profile_images/1421468457523027972/Anib3hFg_normal.jpg")</f>
        <v>https://pbs.twimg.com/profile_images/1421468457523027972/Anib3hFg_normal.jpg</v>
      </c>
      <c r="G148" s="67"/>
      <c r="H148" s="71"/>
      <c r="I148" s="72"/>
      <c r="J148" s="72"/>
      <c r="K148" s="71" t="s">
        <v>7318</v>
      </c>
      <c r="L148" s="75"/>
      <c r="M148" s="76"/>
      <c r="N148" s="76"/>
      <c r="O148" s="77"/>
      <c r="P148" s="78"/>
      <c r="Q148" s="78"/>
      <c r="R148" s="90"/>
      <c r="S148" s="90"/>
      <c r="T148" s="90"/>
      <c r="U148" s="90"/>
      <c r="V148" s="52"/>
      <c r="W148" s="52"/>
      <c r="X148" s="52"/>
      <c r="Y148" s="52"/>
      <c r="Z148" s="51"/>
      <c r="AA148" s="73"/>
      <c r="AB148" s="73"/>
      <c r="AC148" s="74"/>
      <c r="AD148" s="80" t="s">
        <v>4325</v>
      </c>
      <c r="AE148" s="86" t="s">
        <v>5256</v>
      </c>
      <c r="AF148" s="80">
        <v>203</v>
      </c>
      <c r="AG148" s="80">
        <v>247</v>
      </c>
      <c r="AH148" s="80">
        <v>9463</v>
      </c>
      <c r="AI148" s="80">
        <v>34</v>
      </c>
      <c r="AJ148" s="80"/>
      <c r="AK148" s="80"/>
      <c r="AL148" s="80"/>
      <c r="AM148" s="80"/>
      <c r="AN148" s="80"/>
      <c r="AO148" s="82">
        <v>41037.491018518522</v>
      </c>
      <c r="AP148" s="84" t="str">
        <f>HYPERLINK("https://pbs.twimg.com/profile_banners/574493037/1607242249")</f>
        <v>https://pbs.twimg.com/profile_banners/574493037/1607242249</v>
      </c>
      <c r="AQ148" s="80" t="b">
        <v>0</v>
      </c>
      <c r="AR148" s="80" t="b">
        <v>0</v>
      </c>
      <c r="AS148" s="80" t="b">
        <v>1</v>
      </c>
      <c r="AT148" s="80"/>
      <c r="AU148" s="80">
        <v>0</v>
      </c>
      <c r="AV148" s="84" t="str">
        <f>HYPERLINK("https://abs.twimg.com/images/themes/theme1/bg.png")</f>
        <v>https://abs.twimg.com/images/themes/theme1/bg.png</v>
      </c>
      <c r="AW148" s="80" t="b">
        <v>0</v>
      </c>
      <c r="AX148" s="80" t="s">
        <v>7173</v>
      </c>
      <c r="AY148" s="84" t="str">
        <f>HYPERLINK("https://twitter.com/hoelstfup")</f>
        <v>https://twitter.com/hoelstfup</v>
      </c>
      <c r="AZ148" s="80" t="s">
        <v>66</v>
      </c>
      <c r="BA148" s="2"/>
      <c r="BB148" s="3"/>
      <c r="BC148" s="3"/>
      <c r="BD148" s="3"/>
      <c r="BE148" s="3"/>
    </row>
    <row r="149" spans="1:57" x14ac:dyDescent="0.35">
      <c r="A149" s="66" t="s">
        <v>309</v>
      </c>
      <c r="B149" s="67"/>
      <c r="C149" s="67"/>
      <c r="D149" s="68"/>
      <c r="E149" s="70"/>
      <c r="F149" s="106" t="str">
        <f>HYPERLINK("https://pbs.twimg.com/profile_images/1427413643436593153/zRSKIgJK_normal.jpg")</f>
        <v>https://pbs.twimg.com/profile_images/1427413643436593153/zRSKIgJK_normal.jpg</v>
      </c>
      <c r="G149" s="67"/>
      <c r="H149" s="71"/>
      <c r="I149" s="72"/>
      <c r="J149" s="72"/>
      <c r="K149" s="71" t="s">
        <v>7319</v>
      </c>
      <c r="L149" s="75"/>
      <c r="M149" s="76"/>
      <c r="N149" s="76"/>
      <c r="O149" s="77"/>
      <c r="P149" s="78"/>
      <c r="Q149" s="78"/>
      <c r="R149" s="90"/>
      <c r="S149" s="90"/>
      <c r="T149" s="90"/>
      <c r="U149" s="90"/>
      <c r="V149" s="52"/>
      <c r="W149" s="52"/>
      <c r="X149" s="52"/>
      <c r="Y149" s="52"/>
      <c r="Z149" s="51"/>
      <c r="AA149" s="73"/>
      <c r="AB149" s="73"/>
      <c r="AC149" s="74"/>
      <c r="AD149" s="80" t="s">
        <v>4326</v>
      </c>
      <c r="AE149" s="86" t="s">
        <v>5257</v>
      </c>
      <c r="AF149" s="80">
        <v>446</v>
      </c>
      <c r="AG149" s="80">
        <v>974</v>
      </c>
      <c r="AH149" s="80">
        <v>50438</v>
      </c>
      <c r="AI149" s="80">
        <v>7</v>
      </c>
      <c r="AJ149" s="80"/>
      <c r="AK149" s="80" t="s">
        <v>6054</v>
      </c>
      <c r="AL149" s="80" t="s">
        <v>6785</v>
      </c>
      <c r="AM149" s="80"/>
      <c r="AN149" s="80"/>
      <c r="AO149" s="82">
        <v>42726.481134259258</v>
      </c>
      <c r="AP149" s="84" t="str">
        <f>HYPERLINK("https://pbs.twimg.com/profile_banners/811897280563290112/1622503826")</f>
        <v>https://pbs.twimg.com/profile_banners/811897280563290112/1622503826</v>
      </c>
      <c r="AQ149" s="80" t="b">
        <v>0</v>
      </c>
      <c r="AR149" s="80" t="b">
        <v>0</v>
      </c>
      <c r="AS149" s="80" t="b">
        <v>0</v>
      </c>
      <c r="AT149" s="80"/>
      <c r="AU149" s="80">
        <v>3</v>
      </c>
      <c r="AV149" s="84" t="str">
        <f>HYPERLINK("https://abs.twimg.com/images/themes/theme1/bg.png")</f>
        <v>https://abs.twimg.com/images/themes/theme1/bg.png</v>
      </c>
      <c r="AW149" s="80" t="b">
        <v>0</v>
      </c>
      <c r="AX149" s="80" t="s">
        <v>7173</v>
      </c>
      <c r="AY149" s="84" t="str">
        <f>HYPERLINK("https://twitter.com/koranbumn")</f>
        <v>https://twitter.com/koranbumn</v>
      </c>
      <c r="AZ149" s="80" t="s">
        <v>66</v>
      </c>
      <c r="BA149" s="2"/>
      <c r="BB149" s="3"/>
      <c r="BC149" s="3"/>
      <c r="BD149" s="3"/>
      <c r="BE149" s="3"/>
    </row>
    <row r="150" spans="1:57" x14ac:dyDescent="0.35">
      <c r="A150" s="66" t="s">
        <v>1042</v>
      </c>
      <c r="B150" s="67"/>
      <c r="C150" s="67"/>
      <c r="D150" s="68"/>
      <c r="E150" s="70"/>
      <c r="F150" s="106" t="str">
        <f>HYPERLINK("https://pbs.twimg.com/profile_images/1441733497454923777/he_eX2kk_normal.jpg")</f>
        <v>https://pbs.twimg.com/profile_images/1441733497454923777/he_eX2kk_normal.jpg</v>
      </c>
      <c r="G150" s="67"/>
      <c r="H150" s="71"/>
      <c r="I150" s="72"/>
      <c r="J150" s="72"/>
      <c r="K150" s="71" t="s">
        <v>7320</v>
      </c>
      <c r="L150" s="75"/>
      <c r="M150" s="76"/>
      <c r="N150" s="76"/>
      <c r="O150" s="77"/>
      <c r="P150" s="78"/>
      <c r="Q150" s="78"/>
      <c r="R150" s="90"/>
      <c r="S150" s="90"/>
      <c r="T150" s="90"/>
      <c r="U150" s="90"/>
      <c r="V150" s="52"/>
      <c r="W150" s="52"/>
      <c r="X150" s="52"/>
      <c r="Y150" s="52"/>
      <c r="Z150" s="51"/>
      <c r="AA150" s="73"/>
      <c r="AB150" s="73"/>
      <c r="AC150" s="74"/>
      <c r="AD150" s="80" t="s">
        <v>4327</v>
      </c>
      <c r="AE150" s="86" t="s">
        <v>5258</v>
      </c>
      <c r="AF150" s="80">
        <v>172</v>
      </c>
      <c r="AG150" s="80">
        <v>1170389</v>
      </c>
      <c r="AH150" s="80">
        <v>28656</v>
      </c>
      <c r="AI150" s="80">
        <v>512</v>
      </c>
      <c r="AJ150" s="80"/>
      <c r="AK150" s="80" t="s">
        <v>6055</v>
      </c>
      <c r="AL150" s="80" t="s">
        <v>6824</v>
      </c>
      <c r="AM150" s="84" t="str">
        <f>HYPERLINK("https://t.co/D7aq8ojptM")</f>
        <v>https://t.co/D7aq8ojptM</v>
      </c>
      <c r="AN150" s="80"/>
      <c r="AO150" s="82">
        <v>40403.253425925926</v>
      </c>
      <c r="AP150" s="84" t="str">
        <f>HYPERLINK("https://pbs.twimg.com/profile_banners/177848697/1600855978")</f>
        <v>https://pbs.twimg.com/profile_banners/177848697/1600855978</v>
      </c>
      <c r="AQ150" s="80" t="b">
        <v>0</v>
      </c>
      <c r="AR150" s="80" t="b">
        <v>0</v>
      </c>
      <c r="AS150" s="80" t="b">
        <v>1</v>
      </c>
      <c r="AT150" s="80"/>
      <c r="AU150" s="80">
        <v>754</v>
      </c>
      <c r="AV150" s="84" t="str">
        <f>HYPERLINK("https://abs.twimg.com/images/themes/theme1/bg.png")</f>
        <v>https://abs.twimg.com/images/themes/theme1/bg.png</v>
      </c>
      <c r="AW150" s="80" t="b">
        <v>1</v>
      </c>
      <c r="AX150" s="80" t="s">
        <v>7173</v>
      </c>
      <c r="AY150" s="84" t="str">
        <f>HYPERLINK("https://twitter.com/kemkominfo")</f>
        <v>https://twitter.com/kemkominfo</v>
      </c>
      <c r="AZ150" s="80" t="s">
        <v>65</v>
      </c>
      <c r="BA150" s="2"/>
      <c r="BB150" s="3"/>
      <c r="BC150" s="3"/>
      <c r="BD150" s="3"/>
      <c r="BE150" s="3"/>
    </row>
    <row r="151" spans="1:57" x14ac:dyDescent="0.35">
      <c r="A151" s="66" t="s">
        <v>1043</v>
      </c>
      <c r="B151" s="67"/>
      <c r="C151" s="67"/>
      <c r="D151" s="68"/>
      <c r="E151" s="70"/>
      <c r="F151" s="106" t="str">
        <f>HYPERLINK("https://pbs.twimg.com/profile_images/1278247035498409985/1A_DZked_normal.jpg")</f>
        <v>https://pbs.twimg.com/profile_images/1278247035498409985/1A_DZked_normal.jpg</v>
      </c>
      <c r="G151" s="67"/>
      <c r="H151" s="71"/>
      <c r="I151" s="72"/>
      <c r="J151" s="72"/>
      <c r="K151" s="71" t="s">
        <v>7321</v>
      </c>
      <c r="L151" s="75"/>
      <c r="M151" s="76"/>
      <c r="N151" s="76"/>
      <c r="O151" s="77"/>
      <c r="P151" s="78"/>
      <c r="Q151" s="78"/>
      <c r="R151" s="90"/>
      <c r="S151" s="90"/>
      <c r="T151" s="90"/>
      <c r="U151" s="90"/>
      <c r="V151" s="52"/>
      <c r="W151" s="52"/>
      <c r="X151" s="52"/>
      <c r="Y151" s="52"/>
      <c r="Z151" s="51"/>
      <c r="AA151" s="73"/>
      <c r="AB151" s="73"/>
      <c r="AC151" s="74"/>
      <c r="AD151" s="80" t="s">
        <v>4328</v>
      </c>
      <c r="AE151" s="86" t="s">
        <v>5259</v>
      </c>
      <c r="AF151" s="80">
        <v>322</v>
      </c>
      <c r="AG151" s="80">
        <v>585579</v>
      </c>
      <c r="AH151" s="80">
        <v>33331</v>
      </c>
      <c r="AI151" s="80">
        <v>1748</v>
      </c>
      <c r="AJ151" s="80"/>
      <c r="AK151" s="80" t="s">
        <v>6056</v>
      </c>
      <c r="AL151" s="80" t="s">
        <v>6825</v>
      </c>
      <c r="AM151" s="84" t="str">
        <f>HYPERLINK("https://t.co/bt5mfEpOdq")</f>
        <v>https://t.co/bt5mfEpOdq</v>
      </c>
      <c r="AN151" s="80"/>
      <c r="AO151" s="82">
        <v>42128.184120370373</v>
      </c>
      <c r="AP151" s="84" t="str">
        <f>HYPERLINK("https://pbs.twimg.com/profile_banners/3184723542/1593593113")</f>
        <v>https://pbs.twimg.com/profile_banners/3184723542/1593593113</v>
      </c>
      <c r="AQ151" s="80" t="b">
        <v>0</v>
      </c>
      <c r="AR151" s="80" t="b">
        <v>0</v>
      </c>
      <c r="AS151" s="80" t="b">
        <v>1</v>
      </c>
      <c r="AT151" s="80"/>
      <c r="AU151" s="80">
        <v>341</v>
      </c>
      <c r="AV151" s="84" t="str">
        <f>HYPERLINK("https://abs.twimg.com/images/themes/theme1/bg.png")</f>
        <v>https://abs.twimg.com/images/themes/theme1/bg.png</v>
      </c>
      <c r="AW151" s="80" t="b">
        <v>1</v>
      </c>
      <c r="AX151" s="80" t="s">
        <v>7173</v>
      </c>
      <c r="AY151" s="84" t="str">
        <f>HYPERLINK("https://twitter.com/kemenbumn")</f>
        <v>https://twitter.com/kemenbumn</v>
      </c>
      <c r="AZ151" s="80" t="s">
        <v>65</v>
      </c>
      <c r="BA151" s="2"/>
      <c r="BB151" s="3"/>
      <c r="BC151" s="3"/>
      <c r="BD151" s="3"/>
      <c r="BE151" s="3"/>
    </row>
    <row r="152" spans="1:57" x14ac:dyDescent="0.35">
      <c r="A152" s="66" t="s">
        <v>310</v>
      </c>
      <c r="B152" s="67"/>
      <c r="C152" s="67"/>
      <c r="D152" s="68"/>
      <c r="E152" s="70"/>
      <c r="F152" s="106" t="str">
        <f>HYPERLINK("https://pbs.twimg.com/profile_images/1392551945970151424/zcbRLxcq_normal.jpg")</f>
        <v>https://pbs.twimg.com/profile_images/1392551945970151424/zcbRLxcq_normal.jpg</v>
      </c>
      <c r="G152" s="67"/>
      <c r="H152" s="71"/>
      <c r="I152" s="72"/>
      <c r="J152" s="72"/>
      <c r="K152" s="71" t="s">
        <v>7322</v>
      </c>
      <c r="L152" s="75"/>
      <c r="M152" s="76"/>
      <c r="N152" s="76"/>
      <c r="O152" s="77"/>
      <c r="P152" s="78"/>
      <c r="Q152" s="78"/>
      <c r="R152" s="90"/>
      <c r="S152" s="90"/>
      <c r="T152" s="90"/>
      <c r="U152" s="90"/>
      <c r="V152" s="52"/>
      <c r="W152" s="52"/>
      <c r="X152" s="52"/>
      <c r="Y152" s="52"/>
      <c r="Z152" s="51"/>
      <c r="AA152" s="73"/>
      <c r="AB152" s="73"/>
      <c r="AC152" s="74"/>
      <c r="AD152" s="80" t="s">
        <v>4329</v>
      </c>
      <c r="AE152" s="86" t="s">
        <v>5260</v>
      </c>
      <c r="AF152" s="80">
        <v>1003</v>
      </c>
      <c r="AG152" s="80">
        <v>700</v>
      </c>
      <c r="AH152" s="80">
        <v>9781</v>
      </c>
      <c r="AI152" s="80">
        <v>11177</v>
      </c>
      <c r="AJ152" s="80"/>
      <c r="AK152" s="80" t="s">
        <v>6057</v>
      </c>
      <c r="AL152" s="80" t="s">
        <v>6826</v>
      </c>
      <c r="AM152" s="80"/>
      <c r="AN152" s="80"/>
      <c r="AO152" s="82">
        <v>43646.417222222219</v>
      </c>
      <c r="AP152" s="84" t="str">
        <f>HYPERLINK("https://pbs.twimg.com/profile_banners/1145270952617340929/1631784832")</f>
        <v>https://pbs.twimg.com/profile_banners/1145270952617340929/1631784832</v>
      </c>
      <c r="AQ152" s="80" t="b">
        <v>1</v>
      </c>
      <c r="AR152" s="80" t="b">
        <v>0</v>
      </c>
      <c r="AS152" s="80" t="b">
        <v>1</v>
      </c>
      <c r="AT152" s="80"/>
      <c r="AU152" s="80">
        <v>0</v>
      </c>
      <c r="AV152" s="80"/>
      <c r="AW152" s="80" t="b">
        <v>0</v>
      </c>
      <c r="AX152" s="80" t="s">
        <v>7173</v>
      </c>
      <c r="AY152" s="84" t="str">
        <f>HYPERLINK("https://twitter.com/crimmminal")</f>
        <v>https://twitter.com/crimmminal</v>
      </c>
      <c r="AZ152" s="80" t="s">
        <v>66</v>
      </c>
      <c r="BA152" s="2"/>
      <c r="BB152" s="3"/>
      <c r="BC152" s="3"/>
      <c r="BD152" s="3"/>
      <c r="BE152" s="3"/>
    </row>
    <row r="153" spans="1:57" x14ac:dyDescent="0.35">
      <c r="A153" s="66" t="s">
        <v>1044</v>
      </c>
      <c r="B153" s="67"/>
      <c r="C153" s="67"/>
      <c r="D153" s="68"/>
      <c r="E153" s="70"/>
      <c r="F153" s="106" t="str">
        <f>HYPERLINK("https://pbs.twimg.com/profile_images/1426777797276536842/RXnb_9ai_normal.jpg")</f>
        <v>https://pbs.twimg.com/profile_images/1426777797276536842/RXnb_9ai_normal.jpg</v>
      </c>
      <c r="G153" s="67"/>
      <c r="H153" s="71"/>
      <c r="I153" s="72"/>
      <c r="J153" s="72"/>
      <c r="K153" s="71" t="s">
        <v>7323</v>
      </c>
      <c r="L153" s="75"/>
      <c r="M153" s="76"/>
      <c r="N153" s="76"/>
      <c r="O153" s="77"/>
      <c r="P153" s="78"/>
      <c r="Q153" s="78"/>
      <c r="R153" s="90"/>
      <c r="S153" s="90"/>
      <c r="T153" s="90"/>
      <c r="U153" s="90"/>
      <c r="V153" s="52"/>
      <c r="W153" s="52"/>
      <c r="X153" s="52"/>
      <c r="Y153" s="52"/>
      <c r="Z153" s="51"/>
      <c r="AA153" s="73"/>
      <c r="AB153" s="73"/>
      <c r="AC153" s="74"/>
      <c r="AD153" s="80" t="s">
        <v>4330</v>
      </c>
      <c r="AE153" s="86" t="s">
        <v>3920</v>
      </c>
      <c r="AF153" s="80">
        <v>685</v>
      </c>
      <c r="AG153" s="80">
        <v>284</v>
      </c>
      <c r="AH153" s="80">
        <v>7457</v>
      </c>
      <c r="AI153" s="80">
        <v>5359</v>
      </c>
      <c r="AJ153" s="80"/>
      <c r="AK153" s="80" t="s">
        <v>6058</v>
      </c>
      <c r="AL153" s="80"/>
      <c r="AM153" s="80"/>
      <c r="AN153" s="80"/>
      <c r="AO153" s="82">
        <v>40706.372048611112</v>
      </c>
      <c r="AP153" s="84" t="str">
        <f>HYPERLINK("https://pbs.twimg.com/profile_banners/315693949/1629099724")</f>
        <v>https://pbs.twimg.com/profile_banners/315693949/1629099724</v>
      </c>
      <c r="AQ153" s="80" t="b">
        <v>0</v>
      </c>
      <c r="AR153" s="80" t="b">
        <v>0</v>
      </c>
      <c r="AS153" s="80" t="b">
        <v>0</v>
      </c>
      <c r="AT153" s="80"/>
      <c r="AU153" s="80">
        <v>0</v>
      </c>
      <c r="AV153" s="84" t="str">
        <f>HYPERLINK("https://abs.twimg.com/images/themes/theme9/bg.gif")</f>
        <v>https://abs.twimg.com/images/themes/theme9/bg.gif</v>
      </c>
      <c r="AW153" s="80" t="b">
        <v>0</v>
      </c>
      <c r="AX153" s="80" t="s">
        <v>7173</v>
      </c>
      <c r="AY153" s="84" t="str">
        <f>HYPERLINK("https://twitter.com/andriandefri")</f>
        <v>https://twitter.com/andriandefri</v>
      </c>
      <c r="AZ153" s="80" t="s">
        <v>65</v>
      </c>
      <c r="BA153" s="2"/>
      <c r="BB153" s="3"/>
      <c r="BC153" s="3"/>
      <c r="BD153" s="3"/>
      <c r="BE153" s="3"/>
    </row>
    <row r="154" spans="1:57" x14ac:dyDescent="0.35">
      <c r="A154" s="66" t="s">
        <v>1045</v>
      </c>
      <c r="B154" s="67"/>
      <c r="C154" s="67"/>
      <c r="D154" s="68"/>
      <c r="E154" s="70"/>
      <c r="F154" s="106" t="str">
        <f>HYPERLINK("https://pbs.twimg.com/profile_images/1152442228041666560/_BIx9Z2l_normal.jpg")</f>
        <v>https://pbs.twimg.com/profile_images/1152442228041666560/_BIx9Z2l_normal.jpg</v>
      </c>
      <c r="G154" s="67"/>
      <c r="H154" s="71"/>
      <c r="I154" s="72"/>
      <c r="J154" s="72"/>
      <c r="K154" s="71" t="s">
        <v>7324</v>
      </c>
      <c r="L154" s="75"/>
      <c r="M154" s="76"/>
      <c r="N154" s="76"/>
      <c r="O154" s="77"/>
      <c r="P154" s="78"/>
      <c r="Q154" s="78"/>
      <c r="R154" s="90"/>
      <c r="S154" s="90"/>
      <c r="T154" s="90"/>
      <c r="U154" s="90"/>
      <c r="V154" s="52"/>
      <c r="W154" s="52"/>
      <c r="X154" s="52"/>
      <c r="Y154" s="52"/>
      <c r="Z154" s="51"/>
      <c r="AA154" s="73"/>
      <c r="AB154" s="73"/>
      <c r="AC154" s="74"/>
      <c r="AD154" s="80" t="s">
        <v>4331</v>
      </c>
      <c r="AE154" s="86" t="s">
        <v>4045</v>
      </c>
      <c r="AF154" s="80">
        <v>4241</v>
      </c>
      <c r="AG154" s="80">
        <v>105012</v>
      </c>
      <c r="AH154" s="80">
        <v>652283</v>
      </c>
      <c r="AI154" s="80">
        <v>71</v>
      </c>
      <c r="AJ154" s="80"/>
      <c r="AK154" s="80" t="s">
        <v>6059</v>
      </c>
      <c r="AL154" s="80" t="s">
        <v>6779</v>
      </c>
      <c r="AM154" s="80"/>
      <c r="AN154" s="80"/>
      <c r="AO154" s="82">
        <v>43666.19222222222</v>
      </c>
      <c r="AP154" s="84" t="str">
        <f>HYPERLINK("https://pbs.twimg.com/profile_banners/1152437175587241985/1563598745")</f>
        <v>https://pbs.twimg.com/profile_banners/1152437175587241985/1563598745</v>
      </c>
      <c r="AQ154" s="80" t="b">
        <v>1</v>
      </c>
      <c r="AR154" s="80" t="b">
        <v>0</v>
      </c>
      <c r="AS154" s="80" t="b">
        <v>1</v>
      </c>
      <c r="AT154" s="80"/>
      <c r="AU154" s="80">
        <v>482</v>
      </c>
      <c r="AV154" s="80"/>
      <c r="AW154" s="80" t="b">
        <v>0</v>
      </c>
      <c r="AX154" s="80" t="s">
        <v>7173</v>
      </c>
      <c r="AY154" s="84" t="str">
        <f>HYPERLINK("https://twitter.com/sbyfess")</f>
        <v>https://twitter.com/sbyfess</v>
      </c>
      <c r="AZ154" s="80" t="s">
        <v>65</v>
      </c>
      <c r="BA154" s="2"/>
      <c r="BB154" s="3"/>
      <c r="BC154" s="3"/>
      <c r="BD154" s="3"/>
      <c r="BE154" s="3"/>
    </row>
    <row r="155" spans="1:57" x14ac:dyDescent="0.35">
      <c r="A155" s="66" t="s">
        <v>311</v>
      </c>
      <c r="B155" s="67"/>
      <c r="C155" s="67"/>
      <c r="D155" s="68"/>
      <c r="E155" s="70"/>
      <c r="F155" s="106" t="str">
        <f>HYPERLINK("https://pbs.twimg.com/profile_images/1218902427417464833/fj3Fex17_normal.jpg")</f>
        <v>https://pbs.twimg.com/profile_images/1218902427417464833/fj3Fex17_normal.jpg</v>
      </c>
      <c r="G155" s="67"/>
      <c r="H155" s="71"/>
      <c r="I155" s="72"/>
      <c r="J155" s="72"/>
      <c r="K155" s="71" t="s">
        <v>7325</v>
      </c>
      <c r="L155" s="75"/>
      <c r="M155" s="76"/>
      <c r="N155" s="76"/>
      <c r="O155" s="77"/>
      <c r="P155" s="78"/>
      <c r="Q155" s="78"/>
      <c r="R155" s="90"/>
      <c r="S155" s="90"/>
      <c r="T155" s="90"/>
      <c r="U155" s="90"/>
      <c r="V155" s="52"/>
      <c r="W155" s="52"/>
      <c r="X155" s="52"/>
      <c r="Y155" s="52"/>
      <c r="Z155" s="51"/>
      <c r="AA155" s="73"/>
      <c r="AB155" s="73"/>
      <c r="AC155" s="74"/>
      <c r="AD155" s="80" t="s">
        <v>4332</v>
      </c>
      <c r="AE155" s="86" t="s">
        <v>5261</v>
      </c>
      <c r="AF155" s="80">
        <v>725</v>
      </c>
      <c r="AG155" s="80">
        <v>647</v>
      </c>
      <c r="AH155" s="80">
        <v>28975</v>
      </c>
      <c r="AI155" s="80">
        <v>453</v>
      </c>
      <c r="AJ155" s="80"/>
      <c r="AK155" s="80"/>
      <c r="AL155" s="80" t="s">
        <v>6827</v>
      </c>
      <c r="AM155" s="80"/>
      <c r="AN155" s="80"/>
      <c r="AO155" s="82">
        <v>40096.390335648146</v>
      </c>
      <c r="AP155" s="80"/>
      <c r="AQ155" s="80" t="b">
        <v>0</v>
      </c>
      <c r="AR155" s="80" t="b">
        <v>0</v>
      </c>
      <c r="AS155" s="80" t="b">
        <v>1</v>
      </c>
      <c r="AT155" s="80"/>
      <c r="AU155" s="80">
        <v>0</v>
      </c>
      <c r="AV155" s="84" t="str">
        <f>HYPERLINK("https://abs.twimg.com/images/themes/theme14/bg.gif")</f>
        <v>https://abs.twimg.com/images/themes/theme14/bg.gif</v>
      </c>
      <c r="AW155" s="80" t="b">
        <v>0</v>
      </c>
      <c r="AX155" s="80" t="s">
        <v>7173</v>
      </c>
      <c r="AY155" s="84" t="str">
        <f>HYPERLINK("https://twitter.com/ronimputra")</f>
        <v>https://twitter.com/ronimputra</v>
      </c>
      <c r="AZ155" s="80" t="s">
        <v>66</v>
      </c>
      <c r="BA155" s="2"/>
      <c r="BB155" s="3"/>
      <c r="BC155" s="3"/>
      <c r="BD155" s="3"/>
      <c r="BE155" s="3"/>
    </row>
    <row r="156" spans="1:57" x14ac:dyDescent="0.35">
      <c r="A156" s="66" t="s">
        <v>312</v>
      </c>
      <c r="B156" s="67"/>
      <c r="C156" s="67"/>
      <c r="D156" s="68"/>
      <c r="E156" s="70"/>
      <c r="F156" s="106" t="str">
        <f>HYPERLINK("https://pbs.twimg.com/profile_images/1433359017716301824/uxVF51Ke_normal.jpg")</f>
        <v>https://pbs.twimg.com/profile_images/1433359017716301824/uxVF51Ke_normal.jpg</v>
      </c>
      <c r="G156" s="67"/>
      <c r="H156" s="71"/>
      <c r="I156" s="72"/>
      <c r="J156" s="72"/>
      <c r="K156" s="71" t="s">
        <v>7326</v>
      </c>
      <c r="L156" s="75"/>
      <c r="M156" s="76"/>
      <c r="N156" s="76"/>
      <c r="O156" s="77"/>
      <c r="P156" s="78"/>
      <c r="Q156" s="78"/>
      <c r="R156" s="90"/>
      <c r="S156" s="90"/>
      <c r="T156" s="90"/>
      <c r="U156" s="90"/>
      <c r="V156" s="52"/>
      <c r="W156" s="52"/>
      <c r="X156" s="52"/>
      <c r="Y156" s="52"/>
      <c r="Z156" s="51"/>
      <c r="AA156" s="73"/>
      <c r="AB156" s="73"/>
      <c r="AC156" s="74"/>
      <c r="AD156" s="80" t="s">
        <v>4333</v>
      </c>
      <c r="AE156" s="86" t="s">
        <v>5262</v>
      </c>
      <c r="AF156" s="80">
        <v>10</v>
      </c>
      <c r="AG156" s="80">
        <v>6</v>
      </c>
      <c r="AH156" s="80">
        <v>9</v>
      </c>
      <c r="AI156" s="80">
        <v>2</v>
      </c>
      <c r="AJ156" s="80"/>
      <c r="AK156" s="80" t="s">
        <v>6060</v>
      </c>
      <c r="AL156" s="80" t="s">
        <v>6828</v>
      </c>
      <c r="AM156" s="84" t="str">
        <f>HYPERLINK("https://t.co/gLtP9zP4eE")</f>
        <v>https://t.co/gLtP9zP4eE</v>
      </c>
      <c r="AN156" s="80"/>
      <c r="AO156" s="82">
        <v>44418.197523148148</v>
      </c>
      <c r="AP156" s="84" t="str">
        <f>HYPERLINK("https://pbs.twimg.com/profile_banners/1424954670649266180/1630574369")</f>
        <v>https://pbs.twimg.com/profile_banners/1424954670649266180/1630574369</v>
      </c>
      <c r="AQ156" s="80" t="b">
        <v>1</v>
      </c>
      <c r="AR156" s="80" t="b">
        <v>0</v>
      </c>
      <c r="AS156" s="80" t="b">
        <v>0</v>
      </c>
      <c r="AT156" s="80"/>
      <c r="AU156" s="80">
        <v>0</v>
      </c>
      <c r="AV156" s="80"/>
      <c r="AW156" s="80" t="b">
        <v>0</v>
      </c>
      <c r="AX156" s="80" t="s">
        <v>7173</v>
      </c>
      <c r="AY156" s="84" t="str">
        <f>HYPERLINK("https://twitter.com/flagamedia")</f>
        <v>https://twitter.com/flagamedia</v>
      </c>
      <c r="AZ156" s="80" t="s">
        <v>66</v>
      </c>
      <c r="BA156" s="2"/>
      <c r="BB156" s="3"/>
      <c r="BC156" s="3"/>
      <c r="BD156" s="3"/>
      <c r="BE156" s="3"/>
    </row>
    <row r="157" spans="1:57" x14ac:dyDescent="0.35">
      <c r="A157" s="66" t="s">
        <v>313</v>
      </c>
      <c r="B157" s="67"/>
      <c r="C157" s="67"/>
      <c r="D157" s="68"/>
      <c r="E157" s="70"/>
      <c r="F157" s="106" t="str">
        <f>HYPERLINK("https://pbs.twimg.com/profile_images/1252222788120702977/XUSi0vRj_normal.png")</f>
        <v>https://pbs.twimg.com/profile_images/1252222788120702977/XUSi0vRj_normal.png</v>
      </c>
      <c r="G157" s="67"/>
      <c r="H157" s="71"/>
      <c r="I157" s="72"/>
      <c r="J157" s="72"/>
      <c r="K157" s="71" t="s">
        <v>7327</v>
      </c>
      <c r="L157" s="75"/>
      <c r="M157" s="76"/>
      <c r="N157" s="76"/>
      <c r="O157" s="77"/>
      <c r="P157" s="78"/>
      <c r="Q157" s="78"/>
      <c r="R157" s="90"/>
      <c r="S157" s="90"/>
      <c r="T157" s="90"/>
      <c r="U157" s="90"/>
      <c r="V157" s="52"/>
      <c r="W157" s="52"/>
      <c r="X157" s="52"/>
      <c r="Y157" s="52"/>
      <c r="Z157" s="51"/>
      <c r="AA157" s="73"/>
      <c r="AB157" s="73"/>
      <c r="AC157" s="74"/>
      <c r="AD157" s="80" t="s">
        <v>4334</v>
      </c>
      <c r="AE157" s="86" t="s">
        <v>5263</v>
      </c>
      <c r="AF157" s="80">
        <v>16</v>
      </c>
      <c r="AG157" s="80">
        <v>1154</v>
      </c>
      <c r="AH157" s="80">
        <v>57728</v>
      </c>
      <c r="AI157" s="80">
        <v>0</v>
      </c>
      <c r="AJ157" s="80"/>
      <c r="AK157" s="80" t="s">
        <v>6061</v>
      </c>
      <c r="AL157" s="80" t="s">
        <v>6829</v>
      </c>
      <c r="AM157" s="84" t="str">
        <f>HYPERLINK("https://t.co/rFxkgRzuwi")</f>
        <v>https://t.co/rFxkgRzuwi</v>
      </c>
      <c r="AN157" s="80"/>
      <c r="AO157" s="82">
        <v>43941.547314814816</v>
      </c>
      <c r="AP157" s="84" t="str">
        <f>HYPERLINK("https://pbs.twimg.com/profile_banners/1252222427267907586/1589281654")</f>
        <v>https://pbs.twimg.com/profile_banners/1252222427267907586/1589281654</v>
      </c>
      <c r="AQ157" s="80" t="b">
        <v>1</v>
      </c>
      <c r="AR157" s="80" t="b">
        <v>0</v>
      </c>
      <c r="AS157" s="80" t="b">
        <v>0</v>
      </c>
      <c r="AT157" s="80"/>
      <c r="AU157" s="80">
        <v>23</v>
      </c>
      <c r="AV157" s="80"/>
      <c r="AW157" s="80" t="b">
        <v>0</v>
      </c>
      <c r="AX157" s="80" t="s">
        <v>7173</v>
      </c>
      <c r="AY157" s="84" t="str">
        <f>HYPERLINK("https://twitter.com/seotips_vanprob")</f>
        <v>https://twitter.com/seotips_vanprob</v>
      </c>
      <c r="AZ157" s="80" t="s">
        <v>66</v>
      </c>
      <c r="BA157" s="2"/>
      <c r="BB157" s="3"/>
      <c r="BC157" s="3"/>
      <c r="BD157" s="3"/>
      <c r="BE157" s="3"/>
    </row>
    <row r="158" spans="1:57" x14ac:dyDescent="0.35">
      <c r="A158" s="66" t="s">
        <v>314</v>
      </c>
      <c r="B158" s="67"/>
      <c r="C158" s="67"/>
      <c r="D158" s="68"/>
      <c r="E158" s="70"/>
      <c r="F158" s="106" t="str">
        <f>HYPERLINK("https://pbs.twimg.com/profile_images/1439311685248905216/fI9qnqrE_normal.jpg")</f>
        <v>https://pbs.twimg.com/profile_images/1439311685248905216/fI9qnqrE_normal.jpg</v>
      </c>
      <c r="G158" s="67"/>
      <c r="H158" s="71"/>
      <c r="I158" s="72"/>
      <c r="J158" s="72"/>
      <c r="K158" s="71" t="s">
        <v>7328</v>
      </c>
      <c r="L158" s="75"/>
      <c r="M158" s="76"/>
      <c r="N158" s="76"/>
      <c r="O158" s="77"/>
      <c r="P158" s="78"/>
      <c r="Q158" s="78"/>
      <c r="R158" s="90"/>
      <c r="S158" s="90"/>
      <c r="T158" s="90"/>
      <c r="U158" s="90"/>
      <c r="V158" s="52"/>
      <c r="W158" s="52"/>
      <c r="X158" s="52"/>
      <c r="Y158" s="52"/>
      <c r="Z158" s="51"/>
      <c r="AA158" s="73"/>
      <c r="AB158" s="73"/>
      <c r="AC158" s="74"/>
      <c r="AD158" s="80" t="s">
        <v>4335</v>
      </c>
      <c r="AE158" s="86" t="s">
        <v>5264</v>
      </c>
      <c r="AF158" s="80">
        <v>204</v>
      </c>
      <c r="AG158" s="80">
        <v>347</v>
      </c>
      <c r="AH158" s="80">
        <v>30205</v>
      </c>
      <c r="AI158" s="80">
        <v>438</v>
      </c>
      <c r="AJ158" s="80"/>
      <c r="AK158" s="80" t="s">
        <v>6062</v>
      </c>
      <c r="AL158" s="80" t="s">
        <v>6830</v>
      </c>
      <c r="AM158" s="84" t="str">
        <f>HYPERLINK("https://t.co/9OdSIZfUwU")</f>
        <v>https://t.co/9OdSIZfUwU</v>
      </c>
      <c r="AN158" s="80"/>
      <c r="AO158" s="82">
        <v>43554.738009259258</v>
      </c>
      <c r="AP158" s="84" t="str">
        <f>HYPERLINK("https://pbs.twimg.com/profile_banners/1112047522543886336/1624967029")</f>
        <v>https://pbs.twimg.com/profile_banners/1112047522543886336/1624967029</v>
      </c>
      <c r="AQ158" s="80" t="b">
        <v>0</v>
      </c>
      <c r="AR158" s="80" t="b">
        <v>0</v>
      </c>
      <c r="AS158" s="80" t="b">
        <v>1</v>
      </c>
      <c r="AT158" s="80"/>
      <c r="AU158" s="80">
        <v>2</v>
      </c>
      <c r="AV158" s="84" t="str">
        <f>HYPERLINK("https://abs.twimg.com/images/themes/theme1/bg.png")</f>
        <v>https://abs.twimg.com/images/themes/theme1/bg.png</v>
      </c>
      <c r="AW158" s="80" t="b">
        <v>0</v>
      </c>
      <c r="AX158" s="80" t="s">
        <v>7173</v>
      </c>
      <c r="AY158" s="84" t="str">
        <f>HYPERLINK("https://twitter.com/daionysus203")</f>
        <v>https://twitter.com/daionysus203</v>
      </c>
      <c r="AZ158" s="80" t="s">
        <v>66</v>
      </c>
      <c r="BA158" s="2"/>
      <c r="BB158" s="3"/>
      <c r="BC158" s="3"/>
      <c r="BD158" s="3"/>
      <c r="BE158" s="3"/>
    </row>
    <row r="159" spans="1:57" x14ac:dyDescent="0.35">
      <c r="A159" s="66" t="s">
        <v>315</v>
      </c>
      <c r="B159" s="67"/>
      <c r="C159" s="67"/>
      <c r="D159" s="68"/>
      <c r="E159" s="70"/>
      <c r="F159" s="106" t="str">
        <f>HYPERLINK("https://pbs.twimg.com/profile_images/1080716483401904128/GZuVp-MC_normal.jpg")</f>
        <v>https://pbs.twimg.com/profile_images/1080716483401904128/GZuVp-MC_normal.jpg</v>
      </c>
      <c r="G159" s="67"/>
      <c r="H159" s="71"/>
      <c r="I159" s="72"/>
      <c r="J159" s="72"/>
      <c r="K159" s="71" t="s">
        <v>7329</v>
      </c>
      <c r="L159" s="75"/>
      <c r="M159" s="76"/>
      <c r="N159" s="76"/>
      <c r="O159" s="77"/>
      <c r="P159" s="78"/>
      <c r="Q159" s="78"/>
      <c r="R159" s="90"/>
      <c r="S159" s="90"/>
      <c r="T159" s="90"/>
      <c r="U159" s="90"/>
      <c r="V159" s="52"/>
      <c r="W159" s="52"/>
      <c r="X159" s="52"/>
      <c r="Y159" s="52"/>
      <c r="Z159" s="51"/>
      <c r="AA159" s="73"/>
      <c r="AB159" s="73"/>
      <c r="AC159" s="74"/>
      <c r="AD159" s="80" t="s">
        <v>4336</v>
      </c>
      <c r="AE159" s="86" t="s">
        <v>5265</v>
      </c>
      <c r="AF159" s="80">
        <v>243</v>
      </c>
      <c r="AG159" s="80">
        <v>1448</v>
      </c>
      <c r="AH159" s="80">
        <v>5097</v>
      </c>
      <c r="AI159" s="80">
        <v>2475</v>
      </c>
      <c r="AJ159" s="80"/>
      <c r="AK159" s="80" t="s">
        <v>6063</v>
      </c>
      <c r="AL159" s="80" t="s">
        <v>6831</v>
      </c>
      <c r="AM159" s="84" t="str">
        <f>HYPERLINK("https://t.co/96xlBuEWej")</f>
        <v>https://t.co/96xlBuEWej</v>
      </c>
      <c r="AN159" s="80"/>
      <c r="AO159" s="82">
        <v>41759.236666666664</v>
      </c>
      <c r="AP159" s="84" t="str">
        <f>HYPERLINK("https://pbs.twimg.com/profile_banners/2470396172/1614159795")</f>
        <v>https://pbs.twimg.com/profile_banners/2470396172/1614159795</v>
      </c>
      <c r="AQ159" s="80" t="b">
        <v>1</v>
      </c>
      <c r="AR159" s="80" t="b">
        <v>0</v>
      </c>
      <c r="AS159" s="80" t="b">
        <v>1</v>
      </c>
      <c r="AT159" s="80"/>
      <c r="AU159" s="80">
        <v>0</v>
      </c>
      <c r="AV159" s="84" t="str">
        <f>HYPERLINK("https://abs.twimg.com/images/themes/theme1/bg.png")</f>
        <v>https://abs.twimg.com/images/themes/theme1/bg.png</v>
      </c>
      <c r="AW159" s="80" t="b">
        <v>0</v>
      </c>
      <c r="AX159" s="80" t="s">
        <v>7173</v>
      </c>
      <c r="AY159" s="84" t="str">
        <f>HYPERLINK("https://twitter.com/pajakkaltimtara")</f>
        <v>https://twitter.com/pajakkaltimtara</v>
      </c>
      <c r="AZ159" s="80" t="s">
        <v>66</v>
      </c>
      <c r="BA159" s="2"/>
      <c r="BB159" s="3"/>
      <c r="BC159" s="3"/>
      <c r="BD159" s="3"/>
      <c r="BE159" s="3"/>
    </row>
    <row r="160" spans="1:57" x14ac:dyDescent="0.35">
      <c r="A160" s="66" t="s">
        <v>1046</v>
      </c>
      <c r="B160" s="67"/>
      <c r="C160" s="67"/>
      <c r="D160" s="68"/>
      <c r="E160" s="70"/>
      <c r="F160" s="106" t="str">
        <f>HYPERLINK("https://pbs.twimg.com/profile_images/1080425508494499841/P6_OY-qe_normal.jpg")</f>
        <v>https://pbs.twimg.com/profile_images/1080425508494499841/P6_OY-qe_normal.jpg</v>
      </c>
      <c r="G160" s="67"/>
      <c r="H160" s="71"/>
      <c r="I160" s="72"/>
      <c r="J160" s="72"/>
      <c r="K160" s="71" t="s">
        <v>7330</v>
      </c>
      <c r="L160" s="75"/>
      <c r="M160" s="76"/>
      <c r="N160" s="76"/>
      <c r="O160" s="77"/>
      <c r="P160" s="78"/>
      <c r="Q160" s="78"/>
      <c r="R160" s="90"/>
      <c r="S160" s="90"/>
      <c r="T160" s="90"/>
      <c r="U160" s="90"/>
      <c r="V160" s="52"/>
      <c r="W160" s="52"/>
      <c r="X160" s="52"/>
      <c r="Y160" s="52"/>
      <c r="Z160" s="51"/>
      <c r="AA160" s="73"/>
      <c r="AB160" s="73"/>
      <c r="AC160" s="74"/>
      <c r="AD160" s="80" t="s">
        <v>4337</v>
      </c>
      <c r="AE160" s="86" t="s">
        <v>5266</v>
      </c>
      <c r="AF160" s="80">
        <v>33</v>
      </c>
      <c r="AG160" s="80">
        <v>203100</v>
      </c>
      <c r="AH160" s="80">
        <v>27794</v>
      </c>
      <c r="AI160" s="80">
        <v>49</v>
      </c>
      <c r="AJ160" s="80"/>
      <c r="AK160" s="80" t="s">
        <v>6064</v>
      </c>
      <c r="AL160" s="80" t="s">
        <v>4145</v>
      </c>
      <c r="AM160" s="84" t="str">
        <f>HYPERLINK("https://t.co/KVYY3F85Hk")</f>
        <v>https://t.co/KVYY3F85Hk</v>
      </c>
      <c r="AN160" s="80"/>
      <c r="AO160" s="82">
        <v>41001.431967592594</v>
      </c>
      <c r="AP160" s="84" t="str">
        <f>HYPERLINK("https://pbs.twimg.com/profile_banners/543294959/1599032342")</f>
        <v>https://pbs.twimg.com/profile_banners/543294959/1599032342</v>
      </c>
      <c r="AQ160" s="80" t="b">
        <v>0</v>
      </c>
      <c r="AR160" s="80" t="b">
        <v>0</v>
      </c>
      <c r="AS160" s="80" t="b">
        <v>1</v>
      </c>
      <c r="AT160" s="80"/>
      <c r="AU160" s="80">
        <v>185</v>
      </c>
      <c r="AV160" s="84" t="str">
        <f>HYPERLINK("https://abs.twimg.com/images/themes/theme19/bg.gif")</f>
        <v>https://abs.twimg.com/images/themes/theme19/bg.gif</v>
      </c>
      <c r="AW160" s="80" t="b">
        <v>1</v>
      </c>
      <c r="AX160" s="80" t="s">
        <v>7173</v>
      </c>
      <c r="AY160" s="84" t="str">
        <f>HYPERLINK("https://twitter.com/ditjenpajakri")</f>
        <v>https://twitter.com/ditjenpajakri</v>
      </c>
      <c r="AZ160" s="80" t="s">
        <v>65</v>
      </c>
      <c r="BA160" s="2"/>
      <c r="BB160" s="3"/>
      <c r="BC160" s="3"/>
      <c r="BD160" s="3"/>
      <c r="BE160" s="3"/>
    </row>
    <row r="161" spans="1:57" x14ac:dyDescent="0.35">
      <c r="A161" s="66" t="s">
        <v>316</v>
      </c>
      <c r="B161" s="67"/>
      <c r="C161" s="67"/>
      <c r="D161" s="68"/>
      <c r="E161" s="70"/>
      <c r="F161" s="106" t="str">
        <f>HYPERLINK("https://pbs.twimg.com/profile_images/1405339937101262851/eWcS84DG_normal.jpg")</f>
        <v>https://pbs.twimg.com/profile_images/1405339937101262851/eWcS84DG_normal.jpg</v>
      </c>
      <c r="G161" s="67"/>
      <c r="H161" s="71"/>
      <c r="I161" s="72"/>
      <c r="J161" s="72"/>
      <c r="K161" s="71" t="s">
        <v>7331</v>
      </c>
      <c r="L161" s="75"/>
      <c r="M161" s="76"/>
      <c r="N161" s="76"/>
      <c r="O161" s="77"/>
      <c r="P161" s="78"/>
      <c r="Q161" s="78"/>
      <c r="R161" s="90"/>
      <c r="S161" s="90"/>
      <c r="T161" s="90"/>
      <c r="U161" s="90"/>
      <c r="V161" s="52"/>
      <c r="W161" s="52"/>
      <c r="X161" s="52"/>
      <c r="Y161" s="52"/>
      <c r="Z161" s="51"/>
      <c r="AA161" s="73"/>
      <c r="AB161" s="73"/>
      <c r="AC161" s="74"/>
      <c r="AD161" s="80" t="s">
        <v>4338</v>
      </c>
      <c r="AE161" s="86" t="s">
        <v>5267</v>
      </c>
      <c r="AF161" s="80">
        <v>75</v>
      </c>
      <c r="AG161" s="80">
        <v>43</v>
      </c>
      <c r="AH161" s="80">
        <v>416</v>
      </c>
      <c r="AI161" s="80">
        <v>2349</v>
      </c>
      <c r="AJ161" s="80"/>
      <c r="AK161" s="80" t="s">
        <v>6065</v>
      </c>
      <c r="AL161" s="80" t="s">
        <v>4145</v>
      </c>
      <c r="AM161" s="80"/>
      <c r="AN161" s="80"/>
      <c r="AO161" s="82">
        <v>43886.785127314812</v>
      </c>
      <c r="AP161" s="84" t="str">
        <f>HYPERLINK("https://pbs.twimg.com/profile_banners/1232377301125328896/1629556392")</f>
        <v>https://pbs.twimg.com/profile_banners/1232377301125328896/1629556392</v>
      </c>
      <c r="AQ161" s="80" t="b">
        <v>1</v>
      </c>
      <c r="AR161" s="80" t="b">
        <v>0</v>
      </c>
      <c r="AS161" s="80" t="b">
        <v>0</v>
      </c>
      <c r="AT161" s="80"/>
      <c r="AU161" s="80">
        <v>0</v>
      </c>
      <c r="AV161" s="80"/>
      <c r="AW161" s="80" t="b">
        <v>0</v>
      </c>
      <c r="AX161" s="80" t="s">
        <v>7173</v>
      </c>
      <c r="AY161" s="84" t="str">
        <f>HYPERLINK("https://twitter.com/novitaaak")</f>
        <v>https://twitter.com/novitaaak</v>
      </c>
      <c r="AZ161" s="80" t="s">
        <v>66</v>
      </c>
      <c r="BA161" s="2"/>
      <c r="BB161" s="3"/>
      <c r="BC161" s="3"/>
      <c r="BD161" s="3"/>
      <c r="BE161" s="3"/>
    </row>
    <row r="162" spans="1:57" x14ac:dyDescent="0.35">
      <c r="A162" s="66" t="s">
        <v>317</v>
      </c>
      <c r="B162" s="67"/>
      <c r="C162" s="67"/>
      <c r="D162" s="68"/>
      <c r="E162" s="70"/>
      <c r="F162" s="106" t="str">
        <f>HYPERLINK("https://pbs.twimg.com/profile_images/1327549353674690560/DR-6sBQH_normal.png")</f>
        <v>https://pbs.twimg.com/profile_images/1327549353674690560/DR-6sBQH_normal.png</v>
      </c>
      <c r="G162" s="67"/>
      <c r="H162" s="71"/>
      <c r="I162" s="72"/>
      <c r="J162" s="72"/>
      <c r="K162" s="71" t="s">
        <v>7332</v>
      </c>
      <c r="L162" s="75"/>
      <c r="M162" s="76"/>
      <c r="N162" s="76"/>
      <c r="O162" s="77"/>
      <c r="P162" s="78"/>
      <c r="Q162" s="78"/>
      <c r="R162" s="90"/>
      <c r="S162" s="90"/>
      <c r="T162" s="90"/>
      <c r="U162" s="90"/>
      <c r="V162" s="52"/>
      <c r="W162" s="52"/>
      <c r="X162" s="52"/>
      <c r="Y162" s="52"/>
      <c r="Z162" s="51"/>
      <c r="AA162" s="73"/>
      <c r="AB162" s="73"/>
      <c r="AC162" s="74"/>
      <c r="AD162" s="80" t="s">
        <v>4339</v>
      </c>
      <c r="AE162" s="86" t="s">
        <v>5268</v>
      </c>
      <c r="AF162" s="80">
        <v>88</v>
      </c>
      <c r="AG162" s="80">
        <v>534</v>
      </c>
      <c r="AH162" s="80">
        <v>36323</v>
      </c>
      <c r="AI162" s="80">
        <v>65977</v>
      </c>
      <c r="AJ162" s="80"/>
      <c r="AK162" s="80" t="s">
        <v>6066</v>
      </c>
      <c r="AL162" s="80" t="s">
        <v>6832</v>
      </c>
      <c r="AM162" s="84" t="str">
        <f>HYPERLINK("https://t.co/Y8E6KhWFWQ")</f>
        <v>https://t.co/Y8E6KhWFWQ</v>
      </c>
      <c r="AN162" s="80"/>
      <c r="AO162" s="82">
        <v>40426.566828703704</v>
      </c>
      <c r="AP162" s="84" t="str">
        <f>HYPERLINK("https://pbs.twimg.com/profile_banners/187171638/1595332313")</f>
        <v>https://pbs.twimg.com/profile_banners/187171638/1595332313</v>
      </c>
      <c r="AQ162" s="80" t="b">
        <v>0</v>
      </c>
      <c r="AR162" s="80" t="b">
        <v>0</v>
      </c>
      <c r="AS162" s="80" t="b">
        <v>1</v>
      </c>
      <c r="AT162" s="80"/>
      <c r="AU162" s="80">
        <v>6</v>
      </c>
      <c r="AV162" s="84" t="str">
        <f>HYPERLINK("https://abs.twimg.com/images/themes/theme9/bg.gif")</f>
        <v>https://abs.twimg.com/images/themes/theme9/bg.gif</v>
      </c>
      <c r="AW162" s="80" t="b">
        <v>0</v>
      </c>
      <c r="AX162" s="80" t="s">
        <v>7173</v>
      </c>
      <c r="AY162" s="84" t="str">
        <f>HYPERLINK("https://twitter.com/ann13nn")</f>
        <v>https://twitter.com/ann13nn</v>
      </c>
      <c r="AZ162" s="80" t="s">
        <v>66</v>
      </c>
      <c r="BA162" s="2"/>
      <c r="BB162" s="3"/>
      <c r="BC162" s="3"/>
      <c r="BD162" s="3"/>
      <c r="BE162" s="3"/>
    </row>
    <row r="163" spans="1:57" x14ac:dyDescent="0.35">
      <c r="A163" s="66" t="s">
        <v>1047</v>
      </c>
      <c r="B163" s="67"/>
      <c r="C163" s="67"/>
      <c r="D163" s="68"/>
      <c r="E163" s="70"/>
      <c r="F163" s="106" t="str">
        <f>HYPERLINK("https://pbs.twimg.com/profile_images/1414768823085895685/_EJzCQyx_normal.jpg")</f>
        <v>https://pbs.twimg.com/profile_images/1414768823085895685/_EJzCQyx_normal.jpg</v>
      </c>
      <c r="G163" s="67"/>
      <c r="H163" s="71"/>
      <c r="I163" s="72"/>
      <c r="J163" s="72"/>
      <c r="K163" s="71" t="s">
        <v>7333</v>
      </c>
      <c r="L163" s="75"/>
      <c r="M163" s="76"/>
      <c r="N163" s="76"/>
      <c r="O163" s="77"/>
      <c r="P163" s="78"/>
      <c r="Q163" s="78"/>
      <c r="R163" s="90"/>
      <c r="S163" s="90"/>
      <c r="T163" s="90"/>
      <c r="U163" s="90"/>
      <c r="V163" s="52"/>
      <c r="W163" s="52"/>
      <c r="X163" s="52"/>
      <c r="Y163" s="52"/>
      <c r="Z163" s="51"/>
      <c r="AA163" s="73"/>
      <c r="AB163" s="73"/>
      <c r="AC163" s="74"/>
      <c r="AD163" s="80" t="s">
        <v>4340</v>
      </c>
      <c r="AE163" s="86" t="s">
        <v>3921</v>
      </c>
      <c r="AF163" s="80">
        <v>514</v>
      </c>
      <c r="AG163" s="80">
        <v>752</v>
      </c>
      <c r="AH163" s="80">
        <v>89166</v>
      </c>
      <c r="AI163" s="80">
        <v>2534</v>
      </c>
      <c r="AJ163" s="80"/>
      <c r="AK163" s="80" t="s">
        <v>6067</v>
      </c>
      <c r="AL163" s="80"/>
      <c r="AM163" s="80"/>
      <c r="AN163" s="80"/>
      <c r="AO163" s="82">
        <v>40728.233148148145</v>
      </c>
      <c r="AP163" s="84" t="str">
        <f>HYPERLINK("https://pbs.twimg.com/profile_banners/328875677/1626142820")</f>
        <v>https://pbs.twimg.com/profile_banners/328875677/1626142820</v>
      </c>
      <c r="AQ163" s="80" t="b">
        <v>0</v>
      </c>
      <c r="AR163" s="80" t="b">
        <v>0</v>
      </c>
      <c r="AS163" s="80" t="b">
        <v>0</v>
      </c>
      <c r="AT163" s="80"/>
      <c r="AU163" s="80">
        <v>6</v>
      </c>
      <c r="AV163" s="84" t="str">
        <f>HYPERLINK("https://abs.twimg.com/images/themes/theme1/bg.png")</f>
        <v>https://abs.twimg.com/images/themes/theme1/bg.png</v>
      </c>
      <c r="AW163" s="80" t="b">
        <v>0</v>
      </c>
      <c r="AX163" s="80" t="s">
        <v>7173</v>
      </c>
      <c r="AY163" s="84" t="str">
        <f>HYPERLINK("https://twitter.com/hyukssii")</f>
        <v>https://twitter.com/hyukssii</v>
      </c>
      <c r="AZ163" s="80" t="s">
        <v>65</v>
      </c>
      <c r="BA163" s="2"/>
      <c r="BB163" s="3"/>
      <c r="BC163" s="3"/>
      <c r="BD163" s="3"/>
      <c r="BE163" s="3"/>
    </row>
    <row r="164" spans="1:57" x14ac:dyDescent="0.35">
      <c r="A164" s="66" t="s">
        <v>318</v>
      </c>
      <c r="B164" s="67"/>
      <c r="C164" s="67"/>
      <c r="D164" s="68"/>
      <c r="E164" s="70"/>
      <c r="F164" s="106" t="str">
        <f>HYPERLINK("https://pbs.twimg.com/profile_images/1433601734085996574/E1uaFObJ_normal.jpg")</f>
        <v>https://pbs.twimg.com/profile_images/1433601734085996574/E1uaFObJ_normal.jpg</v>
      </c>
      <c r="G164" s="67"/>
      <c r="H164" s="71"/>
      <c r="I164" s="72"/>
      <c r="J164" s="72"/>
      <c r="K164" s="71" t="s">
        <v>7334</v>
      </c>
      <c r="L164" s="75"/>
      <c r="M164" s="76"/>
      <c r="N164" s="76"/>
      <c r="O164" s="77"/>
      <c r="P164" s="78"/>
      <c r="Q164" s="78"/>
      <c r="R164" s="90"/>
      <c r="S164" s="90"/>
      <c r="T164" s="90"/>
      <c r="U164" s="90"/>
      <c r="V164" s="52"/>
      <c r="W164" s="52"/>
      <c r="X164" s="52"/>
      <c r="Y164" s="52"/>
      <c r="Z164" s="51"/>
      <c r="AA164" s="73"/>
      <c r="AB164" s="73"/>
      <c r="AC164" s="74"/>
      <c r="AD164" s="80" t="s">
        <v>4341</v>
      </c>
      <c r="AE164" s="86" t="s">
        <v>5269</v>
      </c>
      <c r="AF164" s="80">
        <v>950</v>
      </c>
      <c r="AG164" s="80">
        <v>1055</v>
      </c>
      <c r="AH164" s="80">
        <v>3113</v>
      </c>
      <c r="AI164" s="80">
        <v>17103</v>
      </c>
      <c r="AJ164" s="80"/>
      <c r="AK164" s="80"/>
      <c r="AL164" s="80" t="s">
        <v>6833</v>
      </c>
      <c r="AM164" s="80"/>
      <c r="AN164" s="80"/>
      <c r="AO164" s="82">
        <v>42454.431064814817</v>
      </c>
      <c r="AP164" s="84" t="str">
        <f>HYPERLINK("https://pbs.twimg.com/profile_banners/713309636690976769/1609662652")</f>
        <v>https://pbs.twimg.com/profile_banners/713309636690976769/1609662652</v>
      </c>
      <c r="AQ164" s="80" t="b">
        <v>1</v>
      </c>
      <c r="AR164" s="80" t="b">
        <v>0</v>
      </c>
      <c r="AS164" s="80" t="b">
        <v>0</v>
      </c>
      <c r="AT164" s="80"/>
      <c r="AU164" s="80">
        <v>0</v>
      </c>
      <c r="AV164" s="80"/>
      <c r="AW164" s="80" t="b">
        <v>0</v>
      </c>
      <c r="AX164" s="80" t="s">
        <v>7173</v>
      </c>
      <c r="AY164" s="84" t="str">
        <f>HYPERLINK("https://twitter.com/odhsbnsjhgg")</f>
        <v>https://twitter.com/odhsbnsjhgg</v>
      </c>
      <c r="AZ164" s="80" t="s">
        <v>66</v>
      </c>
      <c r="BA164" s="2"/>
      <c r="BB164" s="3"/>
      <c r="BC164" s="3"/>
      <c r="BD164" s="3"/>
      <c r="BE164" s="3"/>
    </row>
    <row r="165" spans="1:57" x14ac:dyDescent="0.35">
      <c r="A165" s="66" t="s">
        <v>1048</v>
      </c>
      <c r="B165" s="67"/>
      <c r="C165" s="67"/>
      <c r="D165" s="68"/>
      <c r="E165" s="70"/>
      <c r="F165" s="106" t="str">
        <f>HYPERLINK("https://pbs.twimg.com/profile_images/1428758593352835074/BiB38fUa_normal.jpg")</f>
        <v>https://pbs.twimg.com/profile_images/1428758593352835074/BiB38fUa_normal.jpg</v>
      </c>
      <c r="G165" s="67"/>
      <c r="H165" s="71"/>
      <c r="I165" s="72"/>
      <c r="J165" s="72"/>
      <c r="K165" s="71" t="s">
        <v>7335</v>
      </c>
      <c r="L165" s="75"/>
      <c r="M165" s="76"/>
      <c r="N165" s="76"/>
      <c r="O165" s="77"/>
      <c r="P165" s="78"/>
      <c r="Q165" s="78"/>
      <c r="R165" s="90"/>
      <c r="S165" s="90"/>
      <c r="T165" s="90"/>
      <c r="U165" s="90"/>
      <c r="V165" s="52"/>
      <c r="W165" s="52"/>
      <c r="X165" s="52"/>
      <c r="Y165" s="52"/>
      <c r="Z165" s="51"/>
      <c r="AA165" s="73"/>
      <c r="AB165" s="73"/>
      <c r="AC165" s="74"/>
      <c r="AD165" s="80" t="s">
        <v>4342</v>
      </c>
      <c r="AE165" s="86" t="s">
        <v>3922</v>
      </c>
      <c r="AF165" s="80">
        <v>2241</v>
      </c>
      <c r="AG165" s="80">
        <v>65704</v>
      </c>
      <c r="AH165" s="80">
        <v>376174</v>
      </c>
      <c r="AI165" s="80">
        <v>3</v>
      </c>
      <c r="AJ165" s="80"/>
      <c r="AK165" s="80" t="s">
        <v>6068</v>
      </c>
      <c r="AL165" s="80" t="s">
        <v>6834</v>
      </c>
      <c r="AM165" s="84" t="str">
        <f>HYPERLINK("https://t.co/1gfU4Zlpj1")</f>
        <v>https://t.co/1gfU4Zlpj1</v>
      </c>
      <c r="AN165" s="80"/>
      <c r="AO165" s="82">
        <v>43952.265972222223</v>
      </c>
      <c r="AP165" s="84" t="str">
        <f>HYPERLINK("https://pbs.twimg.com/profile_banners/1256106786915880960/1591971276")</f>
        <v>https://pbs.twimg.com/profile_banners/1256106786915880960/1591971276</v>
      </c>
      <c r="AQ165" s="80" t="b">
        <v>1</v>
      </c>
      <c r="AR165" s="80" t="b">
        <v>0</v>
      </c>
      <c r="AS165" s="80" t="b">
        <v>0</v>
      </c>
      <c r="AT165" s="80"/>
      <c r="AU165" s="80">
        <v>851</v>
      </c>
      <c r="AV165" s="80"/>
      <c r="AW165" s="80" t="b">
        <v>0</v>
      </c>
      <c r="AX165" s="80" t="s">
        <v>7173</v>
      </c>
      <c r="AY165" s="84" t="str">
        <f>HYPERLINK("https://twitter.com/sygfess")</f>
        <v>https://twitter.com/sygfess</v>
      </c>
      <c r="AZ165" s="80" t="s">
        <v>65</v>
      </c>
      <c r="BA165" s="2"/>
      <c r="BB165" s="3"/>
      <c r="BC165" s="3"/>
      <c r="BD165" s="3"/>
      <c r="BE165" s="3"/>
    </row>
    <row r="166" spans="1:57" x14ac:dyDescent="0.35">
      <c r="A166" s="66" t="s">
        <v>319</v>
      </c>
      <c r="B166" s="67"/>
      <c r="C166" s="67"/>
      <c r="D166" s="68"/>
      <c r="E166" s="70"/>
      <c r="F166" s="106" t="str">
        <f>HYPERLINK("https://pbs.twimg.com/profile_images/1373647706887835651/ZJ5DAnVd_normal.jpg")</f>
        <v>https://pbs.twimg.com/profile_images/1373647706887835651/ZJ5DAnVd_normal.jpg</v>
      </c>
      <c r="G166" s="67"/>
      <c r="H166" s="71"/>
      <c r="I166" s="72"/>
      <c r="J166" s="72"/>
      <c r="K166" s="71" t="s">
        <v>7336</v>
      </c>
      <c r="L166" s="75"/>
      <c r="M166" s="76"/>
      <c r="N166" s="76"/>
      <c r="O166" s="77"/>
      <c r="P166" s="78"/>
      <c r="Q166" s="78"/>
      <c r="R166" s="90"/>
      <c r="S166" s="90"/>
      <c r="T166" s="90"/>
      <c r="U166" s="90"/>
      <c r="V166" s="52"/>
      <c r="W166" s="52"/>
      <c r="X166" s="52"/>
      <c r="Y166" s="52"/>
      <c r="Z166" s="51"/>
      <c r="AA166" s="73"/>
      <c r="AB166" s="73"/>
      <c r="AC166" s="74"/>
      <c r="AD166" s="80" t="s">
        <v>4343</v>
      </c>
      <c r="AE166" s="86" t="s">
        <v>5270</v>
      </c>
      <c r="AF166" s="80">
        <v>3351</v>
      </c>
      <c r="AG166" s="80">
        <v>1056</v>
      </c>
      <c r="AH166" s="80">
        <v>14040</v>
      </c>
      <c r="AI166" s="80">
        <v>63469</v>
      </c>
      <c r="AJ166" s="80"/>
      <c r="AK166" s="80" t="s">
        <v>6069</v>
      </c>
      <c r="AL166" s="80" t="s">
        <v>6835</v>
      </c>
      <c r="AM166" s="80"/>
      <c r="AN166" s="80"/>
      <c r="AO166" s="82">
        <v>43955.439259259256</v>
      </c>
      <c r="AP166" s="84" t="str">
        <f>HYPERLINK("https://pbs.twimg.com/profile_banners/1257256586793213952/1631892485")</f>
        <v>https://pbs.twimg.com/profile_banners/1257256586793213952/1631892485</v>
      </c>
      <c r="AQ166" s="80" t="b">
        <v>1</v>
      </c>
      <c r="AR166" s="80" t="b">
        <v>0</v>
      </c>
      <c r="AS166" s="80" t="b">
        <v>1</v>
      </c>
      <c r="AT166" s="80"/>
      <c r="AU166" s="80">
        <v>0</v>
      </c>
      <c r="AV166" s="80"/>
      <c r="AW166" s="80" t="b">
        <v>0</v>
      </c>
      <c r="AX166" s="80" t="s">
        <v>7173</v>
      </c>
      <c r="AY166" s="84" t="str">
        <f>HYPERLINK("https://twitter.com/outak_udang")</f>
        <v>https://twitter.com/outak_udang</v>
      </c>
      <c r="AZ166" s="80" t="s">
        <v>66</v>
      </c>
      <c r="BA166" s="2"/>
      <c r="BB166" s="3"/>
      <c r="BC166" s="3"/>
      <c r="BD166" s="3"/>
      <c r="BE166" s="3"/>
    </row>
    <row r="167" spans="1:57" x14ac:dyDescent="0.35">
      <c r="A167" s="66" t="s">
        <v>1049</v>
      </c>
      <c r="B167" s="67"/>
      <c r="C167" s="67"/>
      <c r="D167" s="68"/>
      <c r="E167" s="70"/>
      <c r="F167" s="106" t="str">
        <f>HYPERLINK("https://pbs.twimg.com/profile_images/1440675642790449153/-cwif5eC_normal.jpg")</f>
        <v>https://pbs.twimg.com/profile_images/1440675642790449153/-cwif5eC_normal.jpg</v>
      </c>
      <c r="G167" s="67"/>
      <c r="H167" s="71"/>
      <c r="I167" s="72"/>
      <c r="J167" s="72"/>
      <c r="K167" s="71" t="s">
        <v>7337</v>
      </c>
      <c r="L167" s="75"/>
      <c r="M167" s="76"/>
      <c r="N167" s="76"/>
      <c r="O167" s="77"/>
      <c r="P167" s="78"/>
      <c r="Q167" s="78"/>
      <c r="R167" s="90"/>
      <c r="S167" s="90"/>
      <c r="T167" s="90"/>
      <c r="U167" s="90"/>
      <c r="V167" s="52"/>
      <c r="W167" s="52"/>
      <c r="X167" s="52"/>
      <c r="Y167" s="52"/>
      <c r="Z167" s="51"/>
      <c r="AA167" s="73"/>
      <c r="AB167" s="73"/>
      <c r="AC167" s="74"/>
      <c r="AD167" s="80" t="s">
        <v>4344</v>
      </c>
      <c r="AE167" s="86" t="s">
        <v>3923</v>
      </c>
      <c r="AF167" s="80">
        <v>4431</v>
      </c>
      <c r="AG167" s="80">
        <v>5569</v>
      </c>
      <c r="AH167" s="80">
        <v>93035</v>
      </c>
      <c r="AI167" s="80">
        <v>1797</v>
      </c>
      <c r="AJ167" s="80"/>
      <c r="AK167" s="80" t="s">
        <v>6070</v>
      </c>
      <c r="AL167" s="80" t="s">
        <v>6836</v>
      </c>
      <c r="AM167" s="84" t="str">
        <f>HYPERLINK("https://t.co/CEhjaSlBVM")</f>
        <v>https://t.co/CEhjaSlBVM</v>
      </c>
      <c r="AN167" s="80"/>
      <c r="AO167" s="82">
        <v>43679.705393518518</v>
      </c>
      <c r="AP167" s="84" t="str">
        <f>HYPERLINK("https://pbs.twimg.com/profile_banners/1157334183204642816/1631459511")</f>
        <v>https://pbs.twimg.com/profile_banners/1157334183204642816/1631459511</v>
      </c>
      <c r="AQ167" s="80" t="b">
        <v>1</v>
      </c>
      <c r="AR167" s="80" t="b">
        <v>0</v>
      </c>
      <c r="AS167" s="80" t="b">
        <v>0</v>
      </c>
      <c r="AT167" s="80"/>
      <c r="AU167" s="80">
        <v>17</v>
      </c>
      <c r="AV167" s="80"/>
      <c r="AW167" s="80" t="b">
        <v>0</v>
      </c>
      <c r="AX167" s="80" t="s">
        <v>7173</v>
      </c>
      <c r="AY167" s="84" t="str">
        <f>HYPERLINK("https://twitter.com/sakmadik_")</f>
        <v>https://twitter.com/sakmadik_</v>
      </c>
      <c r="AZ167" s="80" t="s">
        <v>65</v>
      </c>
      <c r="BA167" s="2"/>
      <c r="BB167" s="3"/>
      <c r="BC167" s="3"/>
      <c r="BD167" s="3"/>
      <c r="BE167" s="3"/>
    </row>
    <row r="168" spans="1:57" x14ac:dyDescent="0.35">
      <c r="A168" s="66" t="s">
        <v>320</v>
      </c>
      <c r="B168" s="67"/>
      <c r="C168" s="67"/>
      <c r="D168" s="68"/>
      <c r="E168" s="70"/>
      <c r="F168" s="106" t="str">
        <f>HYPERLINK("https://pbs.twimg.com/profile_images/1277580324965191680/zzTeHE-c_normal.jpg")</f>
        <v>https://pbs.twimg.com/profile_images/1277580324965191680/zzTeHE-c_normal.jpg</v>
      </c>
      <c r="G168" s="67"/>
      <c r="H168" s="71"/>
      <c r="I168" s="72"/>
      <c r="J168" s="72"/>
      <c r="K168" s="71" t="s">
        <v>7338</v>
      </c>
      <c r="L168" s="75"/>
      <c r="M168" s="76"/>
      <c r="N168" s="76"/>
      <c r="O168" s="77"/>
      <c r="P168" s="78"/>
      <c r="Q168" s="78"/>
      <c r="R168" s="90"/>
      <c r="S168" s="90"/>
      <c r="T168" s="90"/>
      <c r="U168" s="90"/>
      <c r="V168" s="52"/>
      <c r="W168" s="52"/>
      <c r="X168" s="52"/>
      <c r="Y168" s="52"/>
      <c r="Z168" s="51"/>
      <c r="AA168" s="73"/>
      <c r="AB168" s="73"/>
      <c r="AC168" s="74"/>
      <c r="AD168" s="80" t="s">
        <v>4345</v>
      </c>
      <c r="AE168" s="86" t="s">
        <v>3924</v>
      </c>
      <c r="AF168" s="80">
        <v>256</v>
      </c>
      <c r="AG168" s="80">
        <v>575</v>
      </c>
      <c r="AH168" s="80">
        <v>3028</v>
      </c>
      <c r="AI168" s="80">
        <v>3040</v>
      </c>
      <c r="AJ168" s="80"/>
      <c r="AK168" s="80"/>
      <c r="AL168" s="80"/>
      <c r="AM168" s="80"/>
      <c r="AN168" s="80"/>
      <c r="AO168" s="82">
        <v>42508.127939814818</v>
      </c>
      <c r="AP168" s="80"/>
      <c r="AQ168" s="80" t="b">
        <v>1</v>
      </c>
      <c r="AR168" s="80" t="b">
        <v>0</v>
      </c>
      <c r="AS168" s="80" t="b">
        <v>0</v>
      </c>
      <c r="AT168" s="80"/>
      <c r="AU168" s="80">
        <v>2</v>
      </c>
      <c r="AV168" s="80"/>
      <c r="AW168" s="80" t="b">
        <v>0</v>
      </c>
      <c r="AX168" s="80" t="s">
        <v>7173</v>
      </c>
      <c r="AY168" s="84" t="str">
        <f>HYPERLINK("https://twitter.com/karantinapdg")</f>
        <v>https://twitter.com/karantinapdg</v>
      </c>
      <c r="AZ168" s="80" t="s">
        <v>66</v>
      </c>
      <c r="BA168" s="2"/>
      <c r="BB168" s="3"/>
      <c r="BC168" s="3"/>
      <c r="BD168" s="3"/>
      <c r="BE168" s="3"/>
    </row>
    <row r="169" spans="1:57" x14ac:dyDescent="0.35">
      <c r="A169" s="66" t="s">
        <v>321</v>
      </c>
      <c r="B169" s="67"/>
      <c r="C169" s="67"/>
      <c r="D169" s="68"/>
      <c r="E169" s="70"/>
      <c r="F169" s="106" t="str">
        <f>HYPERLINK("https://pbs.twimg.com/profile_images/1413044392483459072/r-AIBdCA_normal.jpg")</f>
        <v>https://pbs.twimg.com/profile_images/1413044392483459072/r-AIBdCA_normal.jpg</v>
      </c>
      <c r="G169" s="67"/>
      <c r="H169" s="71"/>
      <c r="I169" s="72"/>
      <c r="J169" s="72"/>
      <c r="K169" s="71" t="s">
        <v>7339</v>
      </c>
      <c r="L169" s="75"/>
      <c r="M169" s="76"/>
      <c r="N169" s="76"/>
      <c r="O169" s="77"/>
      <c r="P169" s="78"/>
      <c r="Q169" s="78"/>
      <c r="R169" s="90"/>
      <c r="S169" s="90"/>
      <c r="T169" s="90"/>
      <c r="U169" s="90"/>
      <c r="V169" s="52"/>
      <c r="W169" s="52"/>
      <c r="X169" s="52"/>
      <c r="Y169" s="52"/>
      <c r="Z169" s="51"/>
      <c r="AA169" s="73"/>
      <c r="AB169" s="73"/>
      <c r="AC169" s="74"/>
      <c r="AD169" s="80" t="s">
        <v>4346</v>
      </c>
      <c r="AE169" s="86" t="s">
        <v>5271</v>
      </c>
      <c r="AF169" s="80">
        <v>2161</v>
      </c>
      <c r="AG169" s="80">
        <v>3627</v>
      </c>
      <c r="AH169" s="80">
        <v>78328</v>
      </c>
      <c r="AI169" s="80">
        <v>37567</v>
      </c>
      <c r="AJ169" s="80"/>
      <c r="AK169" s="80" t="s">
        <v>6071</v>
      </c>
      <c r="AL169" s="80"/>
      <c r="AM169" s="84" t="str">
        <f>HYPERLINK("https://t.co/Q4qjTqo373")</f>
        <v>https://t.co/Q4qjTqo373</v>
      </c>
      <c r="AN169" s="80"/>
      <c r="AO169" s="82">
        <v>44004.228275462963</v>
      </c>
      <c r="AP169" s="84" t="str">
        <f>HYPERLINK("https://pbs.twimg.com/profile_banners/1274937219568959489/1613361689")</f>
        <v>https://pbs.twimg.com/profile_banners/1274937219568959489/1613361689</v>
      </c>
      <c r="AQ169" s="80" t="b">
        <v>1</v>
      </c>
      <c r="AR169" s="80" t="b">
        <v>0</v>
      </c>
      <c r="AS169" s="80" t="b">
        <v>0</v>
      </c>
      <c r="AT169" s="80"/>
      <c r="AU169" s="80">
        <v>3</v>
      </c>
      <c r="AV169" s="80"/>
      <c r="AW169" s="80" t="b">
        <v>0</v>
      </c>
      <c r="AX169" s="80" t="s">
        <v>7173</v>
      </c>
      <c r="AY169" s="84" t="str">
        <f>HYPERLINK("https://twitter.com/udinbikul")</f>
        <v>https://twitter.com/udinbikul</v>
      </c>
      <c r="AZ169" s="80" t="s">
        <v>66</v>
      </c>
      <c r="BA169" s="2"/>
      <c r="BB169" s="3"/>
      <c r="BC169" s="3"/>
      <c r="BD169" s="3"/>
      <c r="BE169" s="3"/>
    </row>
    <row r="170" spans="1:57" x14ac:dyDescent="0.35">
      <c r="A170" s="66" t="s">
        <v>1050</v>
      </c>
      <c r="B170" s="67"/>
      <c r="C170" s="67"/>
      <c r="D170" s="68"/>
      <c r="E170" s="70"/>
      <c r="F170" s="106" t="str">
        <f>HYPERLINK("https://pbs.twimg.com/profile_images/1439920722457948162/QOnkGuy9_normal.jpg")</f>
        <v>https://pbs.twimg.com/profile_images/1439920722457948162/QOnkGuy9_normal.jpg</v>
      </c>
      <c r="G170" s="67"/>
      <c r="H170" s="71"/>
      <c r="I170" s="72"/>
      <c r="J170" s="72"/>
      <c r="K170" s="71" t="s">
        <v>7340</v>
      </c>
      <c r="L170" s="75"/>
      <c r="M170" s="76"/>
      <c r="N170" s="76"/>
      <c r="O170" s="77"/>
      <c r="P170" s="78"/>
      <c r="Q170" s="78"/>
      <c r="R170" s="90"/>
      <c r="S170" s="90"/>
      <c r="T170" s="90"/>
      <c r="U170" s="90"/>
      <c r="V170" s="52"/>
      <c r="W170" s="52"/>
      <c r="X170" s="52"/>
      <c r="Y170" s="52"/>
      <c r="Z170" s="51"/>
      <c r="AA170" s="73"/>
      <c r="AB170" s="73"/>
      <c r="AC170" s="74"/>
      <c r="AD170" s="80" t="s">
        <v>4347</v>
      </c>
      <c r="AE170" s="86" t="s">
        <v>3925</v>
      </c>
      <c r="AF170" s="80">
        <v>981</v>
      </c>
      <c r="AG170" s="80">
        <v>1060</v>
      </c>
      <c r="AH170" s="80">
        <v>19435</v>
      </c>
      <c r="AI170" s="80">
        <v>27</v>
      </c>
      <c r="AJ170" s="80"/>
      <c r="AK170" s="80" t="s">
        <v>6072</v>
      </c>
      <c r="AL170" s="80"/>
      <c r="AM170" s="80"/>
      <c r="AN170" s="80"/>
      <c r="AO170" s="82">
        <v>44355.74722222222</v>
      </c>
      <c r="AP170" s="84" t="str">
        <f>HYPERLINK("https://pbs.twimg.com/profile_banners/1402323473997860864/1623175090")</f>
        <v>https://pbs.twimg.com/profile_banners/1402323473997860864/1623175090</v>
      </c>
      <c r="AQ170" s="80" t="b">
        <v>1</v>
      </c>
      <c r="AR170" s="80" t="b">
        <v>0</v>
      </c>
      <c r="AS170" s="80" t="b">
        <v>0</v>
      </c>
      <c r="AT170" s="80"/>
      <c r="AU170" s="80">
        <v>0</v>
      </c>
      <c r="AV170" s="80"/>
      <c r="AW170" s="80" t="b">
        <v>0</v>
      </c>
      <c r="AX170" s="80" t="s">
        <v>7173</v>
      </c>
      <c r="AY170" s="84" t="str">
        <f>HYPERLINK("https://twitter.com/disss83186478")</f>
        <v>https://twitter.com/disss83186478</v>
      </c>
      <c r="AZ170" s="80" t="s">
        <v>65</v>
      </c>
      <c r="BA170" s="2"/>
      <c r="BB170" s="3"/>
      <c r="BC170" s="3"/>
      <c r="BD170" s="3"/>
      <c r="BE170" s="3"/>
    </row>
    <row r="171" spans="1:57" x14ac:dyDescent="0.35">
      <c r="A171" s="66" t="s">
        <v>322</v>
      </c>
      <c r="B171" s="67"/>
      <c r="C171" s="67"/>
      <c r="D171" s="68"/>
      <c r="E171" s="70"/>
      <c r="F171" s="106" t="str">
        <f>HYPERLINK("https://pbs.twimg.com/profile_images/1419435387773014016/P5-cjMFz_normal.jpg")</f>
        <v>https://pbs.twimg.com/profile_images/1419435387773014016/P5-cjMFz_normal.jpg</v>
      </c>
      <c r="G171" s="67"/>
      <c r="H171" s="71"/>
      <c r="I171" s="72"/>
      <c r="J171" s="72"/>
      <c r="K171" s="71" t="s">
        <v>7341</v>
      </c>
      <c r="L171" s="75"/>
      <c r="M171" s="76"/>
      <c r="N171" s="76"/>
      <c r="O171" s="77"/>
      <c r="P171" s="78"/>
      <c r="Q171" s="78"/>
      <c r="R171" s="90"/>
      <c r="S171" s="90"/>
      <c r="T171" s="90"/>
      <c r="U171" s="90"/>
      <c r="V171" s="52"/>
      <c r="W171" s="52"/>
      <c r="X171" s="52"/>
      <c r="Y171" s="52"/>
      <c r="Z171" s="51"/>
      <c r="AA171" s="73"/>
      <c r="AB171" s="73"/>
      <c r="AC171" s="74"/>
      <c r="AD171" s="80" t="s">
        <v>4348</v>
      </c>
      <c r="AE171" s="86" t="s">
        <v>5272</v>
      </c>
      <c r="AF171" s="80">
        <v>390</v>
      </c>
      <c r="AG171" s="80">
        <v>118</v>
      </c>
      <c r="AH171" s="80">
        <v>1799</v>
      </c>
      <c r="AI171" s="80">
        <v>6584</v>
      </c>
      <c r="AJ171" s="80"/>
      <c r="AK171" s="80"/>
      <c r="AL171" s="80"/>
      <c r="AM171" s="80"/>
      <c r="AN171" s="80"/>
      <c r="AO171" s="82">
        <v>41346.316886574074</v>
      </c>
      <c r="AP171" s="84" t="str">
        <f>HYPERLINK("https://pbs.twimg.com/profile_banners/1263835856/1618463272")</f>
        <v>https://pbs.twimg.com/profile_banners/1263835856/1618463272</v>
      </c>
      <c r="AQ171" s="80" t="b">
        <v>1</v>
      </c>
      <c r="AR171" s="80" t="b">
        <v>0</v>
      </c>
      <c r="AS171" s="80" t="b">
        <v>1</v>
      </c>
      <c r="AT171" s="80"/>
      <c r="AU171" s="80">
        <v>0</v>
      </c>
      <c r="AV171" s="84" t="str">
        <f>HYPERLINK("https://abs.twimg.com/images/themes/theme1/bg.png")</f>
        <v>https://abs.twimg.com/images/themes/theme1/bg.png</v>
      </c>
      <c r="AW171" s="80" t="b">
        <v>0</v>
      </c>
      <c r="AX171" s="80" t="s">
        <v>7173</v>
      </c>
      <c r="AY171" s="84" t="str">
        <f>HYPERLINK("https://twitter.com/dkardiwanto")</f>
        <v>https://twitter.com/dkardiwanto</v>
      </c>
      <c r="AZ171" s="80" t="s">
        <v>66</v>
      </c>
      <c r="BA171" s="2"/>
      <c r="BB171" s="3"/>
      <c r="BC171" s="3"/>
      <c r="BD171" s="3"/>
      <c r="BE171" s="3"/>
    </row>
    <row r="172" spans="1:57" x14ac:dyDescent="0.35">
      <c r="A172" s="66" t="s">
        <v>1051</v>
      </c>
      <c r="B172" s="67"/>
      <c r="C172" s="67"/>
      <c r="D172" s="68"/>
      <c r="E172" s="70"/>
      <c r="F172" s="106" t="str">
        <f>HYPERLINK("https://pbs.twimg.com/profile_images/1184408993088724994/MC06j95i_normal.png")</f>
        <v>https://pbs.twimg.com/profile_images/1184408993088724994/MC06j95i_normal.png</v>
      </c>
      <c r="G172" s="67"/>
      <c r="H172" s="71"/>
      <c r="I172" s="72"/>
      <c r="J172" s="72"/>
      <c r="K172" s="71" t="s">
        <v>7342</v>
      </c>
      <c r="L172" s="75"/>
      <c r="M172" s="76"/>
      <c r="N172" s="76"/>
      <c r="O172" s="77"/>
      <c r="P172" s="78"/>
      <c r="Q172" s="78"/>
      <c r="R172" s="90"/>
      <c r="S172" s="90"/>
      <c r="T172" s="90"/>
      <c r="U172" s="90"/>
      <c r="V172" s="52"/>
      <c r="W172" s="52"/>
      <c r="X172" s="52"/>
      <c r="Y172" s="52"/>
      <c r="Z172" s="51"/>
      <c r="AA172" s="73"/>
      <c r="AB172" s="73"/>
      <c r="AC172" s="74"/>
      <c r="AD172" s="80" t="s">
        <v>4349</v>
      </c>
      <c r="AE172" s="86" t="s">
        <v>5273</v>
      </c>
      <c r="AF172" s="80">
        <v>133</v>
      </c>
      <c r="AG172" s="80">
        <v>141552</v>
      </c>
      <c r="AH172" s="80">
        <v>31495</v>
      </c>
      <c r="AI172" s="80">
        <v>343</v>
      </c>
      <c r="AJ172" s="80"/>
      <c r="AK172" s="80" t="s">
        <v>6073</v>
      </c>
      <c r="AL172" s="80" t="s">
        <v>4145</v>
      </c>
      <c r="AM172" s="84" t="str">
        <f>HYPERLINK("https://t.co/D2HEi6nsqo")</f>
        <v>https://t.co/D2HEi6nsqo</v>
      </c>
      <c r="AN172" s="80"/>
      <c r="AO172" s="82">
        <v>40092.146203703705</v>
      </c>
      <c r="AP172" s="84" t="str">
        <f>HYPERLINK("https://pbs.twimg.com/profile_banners/80204488/1625522690")</f>
        <v>https://pbs.twimg.com/profile_banners/80204488/1625522690</v>
      </c>
      <c r="AQ172" s="80" t="b">
        <v>0</v>
      </c>
      <c r="AR172" s="80" t="b">
        <v>0</v>
      </c>
      <c r="AS172" s="80" t="b">
        <v>1</v>
      </c>
      <c r="AT172" s="80"/>
      <c r="AU172" s="80">
        <v>307</v>
      </c>
      <c r="AV172" s="84" t="str">
        <f>HYPERLINK("https://abs.twimg.com/images/themes/theme16/bg.gif")</f>
        <v>https://abs.twimg.com/images/themes/theme16/bg.gif</v>
      </c>
      <c r="AW172" s="80" t="b">
        <v>1</v>
      </c>
      <c r="AX172" s="80" t="s">
        <v>7173</v>
      </c>
      <c r="AY172" s="84" t="str">
        <f>HYPERLINK("https://twitter.com/telkomindonesia")</f>
        <v>https://twitter.com/telkomindonesia</v>
      </c>
      <c r="AZ172" s="80" t="s">
        <v>65</v>
      </c>
      <c r="BA172" s="2"/>
      <c r="BB172" s="3"/>
      <c r="BC172" s="3"/>
      <c r="BD172" s="3"/>
      <c r="BE172" s="3"/>
    </row>
    <row r="173" spans="1:57" x14ac:dyDescent="0.35">
      <c r="A173" s="66" t="s">
        <v>323</v>
      </c>
      <c r="B173" s="67"/>
      <c r="C173" s="67"/>
      <c r="D173" s="68"/>
      <c r="E173" s="70"/>
      <c r="F173" s="106" t="str">
        <f>HYPERLINK("https://pbs.twimg.com/profile_images/1441597969883488259/Ip7EE70Z_normal.jpg")</f>
        <v>https://pbs.twimg.com/profile_images/1441597969883488259/Ip7EE70Z_normal.jpg</v>
      </c>
      <c r="G173" s="67"/>
      <c r="H173" s="71"/>
      <c r="I173" s="72"/>
      <c r="J173" s="72"/>
      <c r="K173" s="71" t="s">
        <v>7343</v>
      </c>
      <c r="L173" s="75"/>
      <c r="M173" s="76"/>
      <c r="N173" s="76"/>
      <c r="O173" s="77"/>
      <c r="P173" s="78"/>
      <c r="Q173" s="78"/>
      <c r="R173" s="90"/>
      <c r="S173" s="90"/>
      <c r="T173" s="90"/>
      <c r="U173" s="90"/>
      <c r="V173" s="52"/>
      <c r="W173" s="52"/>
      <c r="X173" s="52"/>
      <c r="Y173" s="52"/>
      <c r="Z173" s="51"/>
      <c r="AA173" s="73"/>
      <c r="AB173" s="73"/>
      <c r="AC173" s="74"/>
      <c r="AD173" s="80" t="s">
        <v>4350</v>
      </c>
      <c r="AE173" s="86" t="s">
        <v>5274</v>
      </c>
      <c r="AF173" s="80">
        <v>408</v>
      </c>
      <c r="AG173" s="80">
        <v>639</v>
      </c>
      <c r="AH173" s="80">
        <v>101179</v>
      </c>
      <c r="AI173" s="80">
        <v>738</v>
      </c>
      <c r="AJ173" s="80"/>
      <c r="AK173" s="80" t="s">
        <v>6074</v>
      </c>
      <c r="AL173" s="80" t="s">
        <v>6837</v>
      </c>
      <c r="AM173" s="84" t="str">
        <f>HYPERLINK("https://t.co/JvnOiFQgBS")</f>
        <v>https://t.co/JvnOiFQgBS</v>
      </c>
      <c r="AN173" s="80"/>
      <c r="AO173" s="82">
        <v>42529.546666666669</v>
      </c>
      <c r="AP173" s="84" t="str">
        <f>HYPERLINK("https://pbs.twimg.com/profile_banners/740530619264819200/1632538714")</f>
        <v>https://pbs.twimg.com/profile_banners/740530619264819200/1632538714</v>
      </c>
      <c r="AQ173" s="80" t="b">
        <v>0</v>
      </c>
      <c r="AR173" s="80" t="b">
        <v>0</v>
      </c>
      <c r="AS173" s="80" t="b">
        <v>0</v>
      </c>
      <c r="AT173" s="80"/>
      <c r="AU173" s="80">
        <v>7</v>
      </c>
      <c r="AV173" s="84" t="str">
        <f>HYPERLINK("https://abs.twimg.com/images/themes/theme1/bg.png")</f>
        <v>https://abs.twimg.com/images/themes/theme1/bg.png</v>
      </c>
      <c r="AW173" s="80" t="b">
        <v>0</v>
      </c>
      <c r="AX173" s="80" t="s">
        <v>7173</v>
      </c>
      <c r="AY173" s="84" t="str">
        <f>HYPERLINK("https://twitter.com/kaakikkaki")</f>
        <v>https://twitter.com/kaakikkaki</v>
      </c>
      <c r="AZ173" s="80" t="s">
        <v>66</v>
      </c>
      <c r="BA173" s="2"/>
      <c r="BB173" s="3"/>
      <c r="BC173" s="3"/>
      <c r="BD173" s="3"/>
      <c r="BE173" s="3"/>
    </row>
    <row r="174" spans="1:57" x14ac:dyDescent="0.35">
      <c r="A174" s="66" t="s">
        <v>324</v>
      </c>
      <c r="B174" s="67"/>
      <c r="C174" s="67"/>
      <c r="D174" s="68"/>
      <c r="E174" s="70"/>
      <c r="F174" s="106" t="str">
        <f>HYPERLINK("https://pbs.twimg.com/profile_images/1430030321177698304/qvPpbqlh_normal.jpg")</f>
        <v>https://pbs.twimg.com/profile_images/1430030321177698304/qvPpbqlh_normal.jpg</v>
      </c>
      <c r="G174" s="67"/>
      <c r="H174" s="71"/>
      <c r="I174" s="72"/>
      <c r="J174" s="72"/>
      <c r="K174" s="71" t="s">
        <v>7344</v>
      </c>
      <c r="L174" s="75"/>
      <c r="M174" s="76"/>
      <c r="N174" s="76"/>
      <c r="O174" s="77"/>
      <c r="P174" s="78"/>
      <c r="Q174" s="78"/>
      <c r="R174" s="90"/>
      <c r="S174" s="90"/>
      <c r="T174" s="90"/>
      <c r="U174" s="90"/>
      <c r="V174" s="52"/>
      <c r="W174" s="52"/>
      <c r="X174" s="52"/>
      <c r="Y174" s="52"/>
      <c r="Z174" s="51"/>
      <c r="AA174" s="73"/>
      <c r="AB174" s="73"/>
      <c r="AC174" s="74"/>
      <c r="AD174" s="80" t="s">
        <v>4351</v>
      </c>
      <c r="AE174" s="86" t="s">
        <v>5275</v>
      </c>
      <c r="AF174" s="80">
        <v>1639</v>
      </c>
      <c r="AG174" s="80">
        <v>1576</v>
      </c>
      <c r="AH174" s="80">
        <v>16243</v>
      </c>
      <c r="AI174" s="80">
        <v>20260</v>
      </c>
      <c r="AJ174" s="80"/>
      <c r="AK174" s="80" t="s">
        <v>6075</v>
      </c>
      <c r="AL174" s="80" t="s">
        <v>6838</v>
      </c>
      <c r="AM174" s="80"/>
      <c r="AN174" s="80"/>
      <c r="AO174" s="82">
        <v>41730.94158564815</v>
      </c>
      <c r="AP174" s="84" t="str">
        <f>HYPERLINK("https://pbs.twimg.com/profile_banners/2422762921/1629780773")</f>
        <v>https://pbs.twimg.com/profile_banners/2422762921/1629780773</v>
      </c>
      <c r="AQ174" s="80" t="b">
        <v>1</v>
      </c>
      <c r="AR174" s="80" t="b">
        <v>0</v>
      </c>
      <c r="AS174" s="80" t="b">
        <v>0</v>
      </c>
      <c r="AT174" s="80"/>
      <c r="AU174" s="80">
        <v>14</v>
      </c>
      <c r="AV174" s="84" t="str">
        <f>HYPERLINK("https://abs.twimg.com/images/themes/theme1/bg.png")</f>
        <v>https://abs.twimg.com/images/themes/theme1/bg.png</v>
      </c>
      <c r="AW174" s="80" t="b">
        <v>0</v>
      </c>
      <c r="AX174" s="80" t="s">
        <v>7173</v>
      </c>
      <c r="AY174" s="84" t="str">
        <f>HYPERLINK("https://twitter.com/peachhpeachy_")</f>
        <v>https://twitter.com/peachhpeachy_</v>
      </c>
      <c r="AZ174" s="80" t="s">
        <v>66</v>
      </c>
      <c r="BA174" s="2"/>
      <c r="BB174" s="3"/>
      <c r="BC174" s="3"/>
      <c r="BD174" s="3"/>
      <c r="BE174" s="3"/>
    </row>
    <row r="175" spans="1:57" x14ac:dyDescent="0.35">
      <c r="A175" s="66" t="s">
        <v>1052</v>
      </c>
      <c r="B175" s="67"/>
      <c r="C175" s="67"/>
      <c r="D175" s="68"/>
      <c r="E175" s="70"/>
      <c r="F175" s="106" t="str">
        <f>HYPERLINK("https://pbs.twimg.com/profile_images/1441840295847497732/ztcxXDS__normal.jpg")</f>
        <v>https://pbs.twimg.com/profile_images/1441840295847497732/ztcxXDS__normal.jpg</v>
      </c>
      <c r="G175" s="67"/>
      <c r="H175" s="71"/>
      <c r="I175" s="72"/>
      <c r="J175" s="72"/>
      <c r="K175" s="71" t="s">
        <v>7345</v>
      </c>
      <c r="L175" s="75"/>
      <c r="M175" s="76"/>
      <c r="N175" s="76"/>
      <c r="O175" s="77"/>
      <c r="P175" s="78"/>
      <c r="Q175" s="78"/>
      <c r="R175" s="90"/>
      <c r="S175" s="90"/>
      <c r="T175" s="90"/>
      <c r="U175" s="90"/>
      <c r="V175" s="52"/>
      <c r="W175" s="52"/>
      <c r="X175" s="52"/>
      <c r="Y175" s="52"/>
      <c r="Z175" s="51"/>
      <c r="AA175" s="73"/>
      <c r="AB175" s="73"/>
      <c r="AC175" s="74"/>
      <c r="AD175" s="80" t="s">
        <v>4352</v>
      </c>
      <c r="AE175" s="86" t="s">
        <v>3927</v>
      </c>
      <c r="AF175" s="80">
        <v>3088</v>
      </c>
      <c r="AG175" s="80">
        <v>2994</v>
      </c>
      <c r="AH175" s="80">
        <v>225</v>
      </c>
      <c r="AI175" s="80">
        <v>688</v>
      </c>
      <c r="AJ175" s="80"/>
      <c r="AK175" s="80" t="s">
        <v>6076</v>
      </c>
      <c r="AL175" s="80" t="s">
        <v>6839</v>
      </c>
      <c r="AM175" s="84" t="str">
        <f>HYPERLINK("https://t.co/pkiB2o7sQW")</f>
        <v>https://t.co/pkiB2o7sQW</v>
      </c>
      <c r="AN175" s="80"/>
      <c r="AO175" s="82">
        <v>44118.723703703705</v>
      </c>
      <c r="AP175" s="84" t="str">
        <f>HYPERLINK("https://pbs.twimg.com/profile_banners/1316429009752780800/1632593591")</f>
        <v>https://pbs.twimg.com/profile_banners/1316429009752780800/1632593591</v>
      </c>
      <c r="AQ175" s="80" t="b">
        <v>1</v>
      </c>
      <c r="AR175" s="80" t="b">
        <v>0</v>
      </c>
      <c r="AS175" s="80" t="b">
        <v>0</v>
      </c>
      <c r="AT175" s="80"/>
      <c r="AU175" s="80">
        <v>13</v>
      </c>
      <c r="AV175" s="80"/>
      <c r="AW175" s="80" t="b">
        <v>0</v>
      </c>
      <c r="AX175" s="80" t="s">
        <v>7173</v>
      </c>
      <c r="AY175" s="84" t="str">
        <f>HYPERLINK("https://twitter.com/itsroccoce")</f>
        <v>https://twitter.com/itsroccoce</v>
      </c>
      <c r="AZ175" s="80" t="s">
        <v>65</v>
      </c>
      <c r="BA175" s="2"/>
      <c r="BB175" s="3"/>
      <c r="BC175" s="3"/>
      <c r="BD175" s="3"/>
      <c r="BE175" s="3"/>
    </row>
    <row r="176" spans="1:57" x14ac:dyDescent="0.35">
      <c r="A176" s="66" t="s">
        <v>325</v>
      </c>
      <c r="B176" s="67"/>
      <c r="C176" s="67"/>
      <c r="D176" s="68"/>
      <c r="E176" s="70"/>
      <c r="F176" s="106" t="str">
        <f>HYPERLINK("https://pbs.twimg.com/profile_images/1325713555358806016/5XcnqK4i_normal.jpg")</f>
        <v>https://pbs.twimg.com/profile_images/1325713555358806016/5XcnqK4i_normal.jpg</v>
      </c>
      <c r="G176" s="67"/>
      <c r="H176" s="71"/>
      <c r="I176" s="72"/>
      <c r="J176" s="72"/>
      <c r="K176" s="71" t="s">
        <v>7346</v>
      </c>
      <c r="L176" s="75"/>
      <c r="M176" s="76"/>
      <c r="N176" s="76"/>
      <c r="O176" s="77"/>
      <c r="P176" s="78"/>
      <c r="Q176" s="78"/>
      <c r="R176" s="90"/>
      <c r="S176" s="90"/>
      <c r="T176" s="90"/>
      <c r="U176" s="90"/>
      <c r="V176" s="52"/>
      <c r="W176" s="52"/>
      <c r="X176" s="52"/>
      <c r="Y176" s="52"/>
      <c r="Z176" s="51"/>
      <c r="AA176" s="73"/>
      <c r="AB176" s="73"/>
      <c r="AC176" s="74"/>
      <c r="AD176" s="80" t="s">
        <v>4353</v>
      </c>
      <c r="AE176" s="86" t="s">
        <v>5276</v>
      </c>
      <c r="AF176" s="80">
        <v>8689</v>
      </c>
      <c r="AG176" s="80">
        <v>103394</v>
      </c>
      <c r="AH176" s="80">
        <v>213162</v>
      </c>
      <c r="AI176" s="80">
        <v>11</v>
      </c>
      <c r="AJ176" s="80"/>
      <c r="AK176" s="80" t="s">
        <v>6077</v>
      </c>
      <c r="AL176" s="80" t="s">
        <v>6840</v>
      </c>
      <c r="AM176" s="84" t="str">
        <f>HYPERLINK("https://t.co/hF5woDARxK")</f>
        <v>https://t.co/hF5woDARxK</v>
      </c>
      <c r="AN176" s="80"/>
      <c r="AO176" s="82">
        <v>43920.506111111114</v>
      </c>
      <c r="AP176" s="84" t="str">
        <f>HYPERLINK("https://pbs.twimg.com/profile_banners/1244597361826885636/1627983346")</f>
        <v>https://pbs.twimg.com/profile_banners/1244597361826885636/1627983346</v>
      </c>
      <c r="AQ176" s="80" t="b">
        <v>1</v>
      </c>
      <c r="AR176" s="80" t="b">
        <v>0</v>
      </c>
      <c r="AS176" s="80" t="b">
        <v>0</v>
      </c>
      <c r="AT176" s="80"/>
      <c r="AU176" s="80">
        <v>885</v>
      </c>
      <c r="AV176" s="80"/>
      <c r="AW176" s="80" t="b">
        <v>0</v>
      </c>
      <c r="AX176" s="80" t="s">
        <v>7173</v>
      </c>
      <c r="AY176" s="84" t="str">
        <f>HYPERLINK("https://twitter.com/worksfess")</f>
        <v>https://twitter.com/worksfess</v>
      </c>
      <c r="AZ176" s="80" t="s">
        <v>66</v>
      </c>
      <c r="BA176" s="2"/>
      <c r="BB176" s="3"/>
      <c r="BC176" s="3"/>
      <c r="BD176" s="3"/>
      <c r="BE176" s="3"/>
    </row>
    <row r="177" spans="1:57" x14ac:dyDescent="0.35">
      <c r="A177" s="66" t="s">
        <v>326</v>
      </c>
      <c r="B177" s="67"/>
      <c r="C177" s="67"/>
      <c r="D177" s="68"/>
      <c r="E177" s="70"/>
      <c r="F177" s="106" t="str">
        <f>HYPERLINK("https://pbs.twimg.com/profile_images/1441400195250409472/XHShUUj4_normal.jpg")</f>
        <v>https://pbs.twimg.com/profile_images/1441400195250409472/XHShUUj4_normal.jpg</v>
      </c>
      <c r="G177" s="67"/>
      <c r="H177" s="71"/>
      <c r="I177" s="72"/>
      <c r="J177" s="72"/>
      <c r="K177" s="71" t="s">
        <v>7347</v>
      </c>
      <c r="L177" s="75"/>
      <c r="M177" s="76"/>
      <c r="N177" s="76"/>
      <c r="O177" s="77"/>
      <c r="P177" s="78"/>
      <c r="Q177" s="78"/>
      <c r="R177" s="90"/>
      <c r="S177" s="90"/>
      <c r="T177" s="90"/>
      <c r="U177" s="90"/>
      <c r="V177" s="52"/>
      <c r="W177" s="52"/>
      <c r="X177" s="52"/>
      <c r="Y177" s="52"/>
      <c r="Z177" s="51"/>
      <c r="AA177" s="73"/>
      <c r="AB177" s="73"/>
      <c r="AC177" s="74"/>
      <c r="AD177" s="80" t="s">
        <v>4354</v>
      </c>
      <c r="AE177" s="86" t="s">
        <v>3929</v>
      </c>
      <c r="AF177" s="80">
        <v>2976</v>
      </c>
      <c r="AG177" s="80">
        <v>686</v>
      </c>
      <c r="AH177" s="80">
        <v>25642</v>
      </c>
      <c r="AI177" s="80">
        <v>3162</v>
      </c>
      <c r="AJ177" s="80"/>
      <c r="AK177" s="80" t="s">
        <v>6078</v>
      </c>
      <c r="AL177" s="80"/>
      <c r="AM177" s="80"/>
      <c r="AN177" s="80"/>
      <c r="AO177" s="82">
        <v>43615.924768518518</v>
      </c>
      <c r="AP177" s="84" t="str">
        <f>HYPERLINK("https://pbs.twimg.com/profile_banners/1134220860045139968/1632493154")</f>
        <v>https://pbs.twimg.com/profile_banners/1134220860045139968/1632493154</v>
      </c>
      <c r="AQ177" s="80" t="b">
        <v>1</v>
      </c>
      <c r="AR177" s="80" t="b">
        <v>0</v>
      </c>
      <c r="AS177" s="80" t="b">
        <v>1</v>
      </c>
      <c r="AT177" s="80"/>
      <c r="AU177" s="80">
        <v>2</v>
      </c>
      <c r="AV177" s="80"/>
      <c r="AW177" s="80" t="b">
        <v>0</v>
      </c>
      <c r="AX177" s="80" t="s">
        <v>7173</v>
      </c>
      <c r="AY177" s="84" t="str">
        <f>HYPERLINK("https://twitter.com/jensom_")</f>
        <v>https://twitter.com/jensom_</v>
      </c>
      <c r="AZ177" s="80" t="s">
        <v>66</v>
      </c>
      <c r="BA177" s="2"/>
      <c r="BB177" s="3"/>
      <c r="BC177" s="3"/>
      <c r="BD177" s="3"/>
      <c r="BE177" s="3"/>
    </row>
    <row r="178" spans="1:57" x14ac:dyDescent="0.35">
      <c r="A178" s="66" t="s">
        <v>327</v>
      </c>
      <c r="B178" s="67"/>
      <c r="C178" s="67"/>
      <c r="D178" s="68"/>
      <c r="E178" s="70"/>
      <c r="F178" s="106" t="str">
        <f>HYPERLINK("https://pbs.twimg.com/profile_images/1371802579877855233/BIgUnRgI_normal.jpg")</f>
        <v>https://pbs.twimg.com/profile_images/1371802579877855233/BIgUnRgI_normal.jpg</v>
      </c>
      <c r="G178" s="67"/>
      <c r="H178" s="71"/>
      <c r="I178" s="72"/>
      <c r="J178" s="72"/>
      <c r="K178" s="71" t="s">
        <v>7348</v>
      </c>
      <c r="L178" s="75"/>
      <c r="M178" s="76"/>
      <c r="N178" s="76"/>
      <c r="O178" s="77"/>
      <c r="P178" s="78"/>
      <c r="Q178" s="78"/>
      <c r="R178" s="90"/>
      <c r="S178" s="90"/>
      <c r="T178" s="90"/>
      <c r="U178" s="90"/>
      <c r="V178" s="52"/>
      <c r="W178" s="52"/>
      <c r="X178" s="52"/>
      <c r="Y178" s="52"/>
      <c r="Z178" s="51"/>
      <c r="AA178" s="73"/>
      <c r="AB178" s="73"/>
      <c r="AC178" s="74"/>
      <c r="AD178" s="80" t="s">
        <v>4355</v>
      </c>
      <c r="AE178" s="86" t="s">
        <v>3928</v>
      </c>
      <c r="AF178" s="80">
        <v>7</v>
      </c>
      <c r="AG178" s="80">
        <v>1</v>
      </c>
      <c r="AH178" s="80">
        <v>38</v>
      </c>
      <c r="AI178" s="80">
        <v>22</v>
      </c>
      <c r="AJ178" s="80"/>
      <c r="AK178" s="80"/>
      <c r="AL178" s="80" t="s">
        <v>6841</v>
      </c>
      <c r="AM178" s="80"/>
      <c r="AN178" s="80"/>
      <c r="AO178" s="82">
        <v>44016.092685185184</v>
      </c>
      <c r="AP178" s="80"/>
      <c r="AQ178" s="80" t="b">
        <v>1</v>
      </c>
      <c r="AR178" s="80" t="b">
        <v>0</v>
      </c>
      <c r="AS178" s="80" t="b">
        <v>0</v>
      </c>
      <c r="AT178" s="80"/>
      <c r="AU178" s="80">
        <v>0</v>
      </c>
      <c r="AV178" s="80"/>
      <c r="AW178" s="80" t="b">
        <v>0</v>
      </c>
      <c r="AX178" s="80" t="s">
        <v>7173</v>
      </c>
      <c r="AY178" s="84" t="str">
        <f>HYPERLINK("https://twitter.com/milahyt09")</f>
        <v>https://twitter.com/milahyt09</v>
      </c>
      <c r="AZ178" s="80" t="s">
        <v>66</v>
      </c>
      <c r="BA178" s="2"/>
      <c r="BB178" s="3"/>
      <c r="BC178" s="3"/>
      <c r="BD178" s="3"/>
      <c r="BE178" s="3"/>
    </row>
    <row r="179" spans="1:57" x14ac:dyDescent="0.35">
      <c r="A179" s="66" t="s">
        <v>328</v>
      </c>
      <c r="B179" s="67"/>
      <c r="C179" s="67"/>
      <c r="D179" s="68"/>
      <c r="E179" s="70"/>
      <c r="F179" s="106" t="str">
        <f>HYPERLINK("https://pbs.twimg.com/profile_images/1438010947830833160/JtbKNaBu_normal.jpg")</f>
        <v>https://pbs.twimg.com/profile_images/1438010947830833160/JtbKNaBu_normal.jpg</v>
      </c>
      <c r="G179" s="67"/>
      <c r="H179" s="71"/>
      <c r="I179" s="72"/>
      <c r="J179" s="72"/>
      <c r="K179" s="71" t="s">
        <v>7349</v>
      </c>
      <c r="L179" s="75"/>
      <c r="M179" s="76"/>
      <c r="N179" s="76"/>
      <c r="O179" s="77"/>
      <c r="P179" s="78"/>
      <c r="Q179" s="78"/>
      <c r="R179" s="90"/>
      <c r="S179" s="90"/>
      <c r="T179" s="90"/>
      <c r="U179" s="90"/>
      <c r="V179" s="52"/>
      <c r="W179" s="52"/>
      <c r="X179" s="52"/>
      <c r="Y179" s="52"/>
      <c r="Z179" s="51"/>
      <c r="AA179" s="73"/>
      <c r="AB179" s="73"/>
      <c r="AC179" s="74"/>
      <c r="AD179" s="80" t="s">
        <v>4356</v>
      </c>
      <c r="AE179" s="86" t="s">
        <v>5277</v>
      </c>
      <c r="AF179" s="80">
        <v>374</v>
      </c>
      <c r="AG179" s="80">
        <v>295</v>
      </c>
      <c r="AH179" s="80">
        <v>5275</v>
      </c>
      <c r="AI179" s="80">
        <v>1536</v>
      </c>
      <c r="AJ179" s="80"/>
      <c r="AK179" s="80" t="s">
        <v>6079</v>
      </c>
      <c r="AL179" s="80" t="s">
        <v>6842</v>
      </c>
      <c r="AM179" s="80"/>
      <c r="AN179" s="80"/>
      <c r="AO179" s="82">
        <v>44240.729664351849</v>
      </c>
      <c r="AP179" s="84" t="str">
        <f>HYPERLINK("https://pbs.twimg.com/profile_banners/1360642529838813185/1632155941")</f>
        <v>https://pbs.twimg.com/profile_banners/1360642529838813185/1632155941</v>
      </c>
      <c r="AQ179" s="80" t="b">
        <v>1</v>
      </c>
      <c r="AR179" s="80" t="b">
        <v>0</v>
      </c>
      <c r="AS179" s="80" t="b">
        <v>0</v>
      </c>
      <c r="AT179" s="80"/>
      <c r="AU179" s="80">
        <v>0</v>
      </c>
      <c r="AV179" s="80"/>
      <c r="AW179" s="80" t="b">
        <v>0</v>
      </c>
      <c r="AX179" s="80" t="s">
        <v>7173</v>
      </c>
      <c r="AY179" s="84" t="str">
        <f>HYPERLINK("https://twitter.com/haeyerichan")</f>
        <v>https://twitter.com/haeyerichan</v>
      </c>
      <c r="AZ179" s="80" t="s">
        <v>66</v>
      </c>
      <c r="BA179" s="2"/>
      <c r="BB179" s="3"/>
      <c r="BC179" s="3"/>
      <c r="BD179" s="3"/>
      <c r="BE179" s="3"/>
    </row>
    <row r="180" spans="1:57" x14ac:dyDescent="0.35">
      <c r="A180" s="66" t="s">
        <v>330</v>
      </c>
      <c r="B180" s="67"/>
      <c r="C180" s="67"/>
      <c r="D180" s="68"/>
      <c r="E180" s="70"/>
      <c r="F180" s="106" t="str">
        <f>HYPERLINK("https://pbs.twimg.com/profile_images/1436535039311765507/4S4Kvo94_normal.jpg")</f>
        <v>https://pbs.twimg.com/profile_images/1436535039311765507/4S4Kvo94_normal.jpg</v>
      </c>
      <c r="G180" s="67"/>
      <c r="H180" s="71"/>
      <c r="I180" s="72"/>
      <c r="J180" s="72"/>
      <c r="K180" s="71" t="s">
        <v>7350</v>
      </c>
      <c r="L180" s="75"/>
      <c r="M180" s="76"/>
      <c r="N180" s="76"/>
      <c r="O180" s="77"/>
      <c r="P180" s="78"/>
      <c r="Q180" s="78"/>
      <c r="R180" s="90"/>
      <c r="S180" s="90"/>
      <c r="T180" s="90"/>
      <c r="U180" s="90"/>
      <c r="V180" s="52"/>
      <c r="W180" s="52"/>
      <c r="X180" s="52"/>
      <c r="Y180" s="52"/>
      <c r="Z180" s="51"/>
      <c r="AA180" s="73"/>
      <c r="AB180" s="73"/>
      <c r="AC180" s="74"/>
      <c r="AD180" s="80" t="s">
        <v>4357</v>
      </c>
      <c r="AE180" s="86" t="s">
        <v>3930</v>
      </c>
      <c r="AF180" s="80">
        <v>238</v>
      </c>
      <c r="AG180" s="80">
        <v>210</v>
      </c>
      <c r="AH180" s="80">
        <v>1702</v>
      </c>
      <c r="AI180" s="80">
        <v>337</v>
      </c>
      <c r="AJ180" s="80"/>
      <c r="AK180" s="80" t="s">
        <v>6080</v>
      </c>
      <c r="AL180" s="80" t="s">
        <v>6843</v>
      </c>
      <c r="AM180" s="80"/>
      <c r="AN180" s="80"/>
      <c r="AO180" s="82">
        <v>44146.661990740744</v>
      </c>
      <c r="AP180" s="84" t="str">
        <f>HYPERLINK("https://pbs.twimg.com/profile_banners/1326553551804399624/1631331618")</f>
        <v>https://pbs.twimg.com/profile_banners/1326553551804399624/1631331618</v>
      </c>
      <c r="AQ180" s="80" t="b">
        <v>1</v>
      </c>
      <c r="AR180" s="80" t="b">
        <v>0</v>
      </c>
      <c r="AS180" s="80" t="b">
        <v>0</v>
      </c>
      <c r="AT180" s="80"/>
      <c r="AU180" s="80">
        <v>0</v>
      </c>
      <c r="AV180" s="80"/>
      <c r="AW180" s="80" t="b">
        <v>0</v>
      </c>
      <c r="AX180" s="80" t="s">
        <v>7173</v>
      </c>
      <c r="AY180" s="84" t="str">
        <f>HYPERLINK("https://twitter.com/rennhyvck")</f>
        <v>https://twitter.com/rennhyvck</v>
      </c>
      <c r="AZ180" s="80" t="s">
        <v>66</v>
      </c>
      <c r="BA180" s="2"/>
      <c r="BB180" s="3"/>
      <c r="BC180" s="3"/>
      <c r="BD180" s="3"/>
      <c r="BE180" s="3"/>
    </row>
    <row r="181" spans="1:57" x14ac:dyDescent="0.35">
      <c r="A181" s="66" t="s">
        <v>329</v>
      </c>
      <c r="B181" s="67"/>
      <c r="C181" s="67"/>
      <c r="D181" s="68"/>
      <c r="E181" s="70"/>
      <c r="F181" s="106" t="str">
        <f>HYPERLINK("https://pbs.twimg.com/profile_images/1435820721775644677/16SZjdHf_normal.jpg")</f>
        <v>https://pbs.twimg.com/profile_images/1435820721775644677/16SZjdHf_normal.jpg</v>
      </c>
      <c r="G181" s="67"/>
      <c r="H181" s="71"/>
      <c r="I181" s="72"/>
      <c r="J181" s="72"/>
      <c r="K181" s="71" t="s">
        <v>7351</v>
      </c>
      <c r="L181" s="75"/>
      <c r="M181" s="76"/>
      <c r="N181" s="76"/>
      <c r="O181" s="77"/>
      <c r="P181" s="78"/>
      <c r="Q181" s="78"/>
      <c r="R181" s="90"/>
      <c r="S181" s="90"/>
      <c r="T181" s="90"/>
      <c r="U181" s="90"/>
      <c r="V181" s="52"/>
      <c r="W181" s="52"/>
      <c r="X181" s="52"/>
      <c r="Y181" s="52"/>
      <c r="Z181" s="51"/>
      <c r="AA181" s="73"/>
      <c r="AB181" s="73"/>
      <c r="AC181" s="74"/>
      <c r="AD181" s="80" t="s">
        <v>4358</v>
      </c>
      <c r="AE181" s="86" t="s">
        <v>5278</v>
      </c>
      <c r="AF181" s="80">
        <v>1346</v>
      </c>
      <c r="AG181" s="80">
        <v>1306</v>
      </c>
      <c r="AH181" s="80">
        <v>27950</v>
      </c>
      <c r="AI181" s="80">
        <v>14250</v>
      </c>
      <c r="AJ181" s="80"/>
      <c r="AK181" s="80" t="s">
        <v>6081</v>
      </c>
      <c r="AL181" s="80" t="s">
        <v>6844</v>
      </c>
      <c r="AM181" s="80"/>
      <c r="AN181" s="80"/>
      <c r="AO181" s="82">
        <v>43584.966192129628</v>
      </c>
      <c r="AP181" s="84" t="str">
        <f>HYPERLINK("https://pbs.twimg.com/profile_banners/1123001845482344448/1625677043")</f>
        <v>https://pbs.twimg.com/profile_banners/1123001845482344448/1625677043</v>
      </c>
      <c r="AQ181" s="80" t="b">
        <v>1</v>
      </c>
      <c r="AR181" s="80" t="b">
        <v>0</v>
      </c>
      <c r="AS181" s="80" t="b">
        <v>0</v>
      </c>
      <c r="AT181" s="80"/>
      <c r="AU181" s="80">
        <v>17</v>
      </c>
      <c r="AV181" s="80"/>
      <c r="AW181" s="80" t="b">
        <v>0</v>
      </c>
      <c r="AX181" s="80" t="s">
        <v>7173</v>
      </c>
      <c r="AY181" s="84" t="str">
        <f>HYPERLINK("https://twitter.com/reyochi")</f>
        <v>https://twitter.com/reyochi</v>
      </c>
      <c r="AZ181" s="80" t="s">
        <v>66</v>
      </c>
      <c r="BA181" s="2"/>
      <c r="BB181" s="3"/>
      <c r="BC181" s="3"/>
      <c r="BD181" s="3"/>
      <c r="BE181" s="3"/>
    </row>
    <row r="182" spans="1:57" x14ac:dyDescent="0.35">
      <c r="A182" s="66" t="s">
        <v>331</v>
      </c>
      <c r="B182" s="67"/>
      <c r="C182" s="67"/>
      <c r="D182" s="68"/>
      <c r="E182" s="70"/>
      <c r="F182" s="106" t="str">
        <f>HYPERLINK("https://pbs.twimg.com/profile_images/1360005537799102464/tBMtE4fZ_normal.jpg")</f>
        <v>https://pbs.twimg.com/profile_images/1360005537799102464/tBMtE4fZ_normal.jpg</v>
      </c>
      <c r="G182" s="67"/>
      <c r="H182" s="71"/>
      <c r="I182" s="72"/>
      <c r="J182" s="72"/>
      <c r="K182" s="71" t="s">
        <v>7352</v>
      </c>
      <c r="L182" s="75"/>
      <c r="M182" s="76"/>
      <c r="N182" s="76"/>
      <c r="O182" s="77"/>
      <c r="P182" s="78"/>
      <c r="Q182" s="78"/>
      <c r="R182" s="90"/>
      <c r="S182" s="90"/>
      <c r="T182" s="90"/>
      <c r="U182" s="90"/>
      <c r="V182" s="52"/>
      <c r="W182" s="52"/>
      <c r="X182" s="52"/>
      <c r="Y182" s="52"/>
      <c r="Z182" s="51"/>
      <c r="AA182" s="73"/>
      <c r="AB182" s="73"/>
      <c r="AC182" s="74"/>
      <c r="AD182" s="80" t="s">
        <v>4359</v>
      </c>
      <c r="AE182" s="86" t="s">
        <v>5279</v>
      </c>
      <c r="AF182" s="80">
        <v>131</v>
      </c>
      <c r="AG182" s="80">
        <v>99</v>
      </c>
      <c r="AH182" s="80">
        <v>17</v>
      </c>
      <c r="AI182" s="80">
        <v>94</v>
      </c>
      <c r="AJ182" s="80"/>
      <c r="AK182" s="80" t="s">
        <v>6082</v>
      </c>
      <c r="AL182" s="80" t="s">
        <v>6845</v>
      </c>
      <c r="AM182" s="80"/>
      <c r="AN182" s="80"/>
      <c r="AO182" s="82">
        <v>44092.97074074074</v>
      </c>
      <c r="AP182" s="84" t="str">
        <f>HYPERLINK("https://pbs.twimg.com/profile_banners/1307096460031193088/1613085561")</f>
        <v>https://pbs.twimg.com/profile_banners/1307096460031193088/1613085561</v>
      </c>
      <c r="AQ182" s="80" t="b">
        <v>1</v>
      </c>
      <c r="AR182" s="80" t="b">
        <v>0</v>
      </c>
      <c r="AS182" s="80" t="b">
        <v>0</v>
      </c>
      <c r="AT182" s="80"/>
      <c r="AU182" s="80">
        <v>0</v>
      </c>
      <c r="AV182" s="80"/>
      <c r="AW182" s="80" t="b">
        <v>0</v>
      </c>
      <c r="AX182" s="80" t="s">
        <v>7173</v>
      </c>
      <c r="AY182" s="84" t="str">
        <f>HYPERLINK("https://twitter.com/retaesung")</f>
        <v>https://twitter.com/retaesung</v>
      </c>
      <c r="AZ182" s="80" t="s">
        <v>66</v>
      </c>
      <c r="BA182" s="2"/>
      <c r="BB182" s="3"/>
      <c r="BC182" s="3"/>
      <c r="BD182" s="3"/>
      <c r="BE182" s="3"/>
    </row>
    <row r="183" spans="1:57" x14ac:dyDescent="0.35">
      <c r="A183" s="66" t="s">
        <v>332</v>
      </c>
      <c r="B183" s="67"/>
      <c r="C183" s="67"/>
      <c r="D183" s="68"/>
      <c r="E183" s="70"/>
      <c r="F183" s="106" t="str">
        <f>HYPERLINK("https://pbs.twimg.com/profile_images/1437576886167560196/QFLcGiPZ_normal.jpg")</f>
        <v>https://pbs.twimg.com/profile_images/1437576886167560196/QFLcGiPZ_normal.jpg</v>
      </c>
      <c r="G183" s="67"/>
      <c r="H183" s="71"/>
      <c r="I183" s="72"/>
      <c r="J183" s="72"/>
      <c r="K183" s="71" t="s">
        <v>7353</v>
      </c>
      <c r="L183" s="75"/>
      <c r="M183" s="76"/>
      <c r="N183" s="76"/>
      <c r="O183" s="77"/>
      <c r="P183" s="78"/>
      <c r="Q183" s="78"/>
      <c r="R183" s="90"/>
      <c r="S183" s="90"/>
      <c r="T183" s="90"/>
      <c r="U183" s="90"/>
      <c r="V183" s="52"/>
      <c r="W183" s="52"/>
      <c r="X183" s="52"/>
      <c r="Y183" s="52"/>
      <c r="Z183" s="51"/>
      <c r="AA183" s="73"/>
      <c r="AB183" s="73"/>
      <c r="AC183" s="74"/>
      <c r="AD183" s="80" t="s">
        <v>4360</v>
      </c>
      <c r="AE183" s="86" t="s">
        <v>5280</v>
      </c>
      <c r="AF183" s="80">
        <v>1053</v>
      </c>
      <c r="AG183" s="80">
        <v>2076</v>
      </c>
      <c r="AH183" s="80">
        <v>57963</v>
      </c>
      <c r="AI183" s="80">
        <v>44529</v>
      </c>
      <c r="AJ183" s="80"/>
      <c r="AK183" s="80" t="s">
        <v>6083</v>
      </c>
      <c r="AL183" s="80" t="s">
        <v>6767</v>
      </c>
      <c r="AM183" s="80"/>
      <c r="AN183" s="80"/>
      <c r="AO183" s="82">
        <v>41381.277743055558</v>
      </c>
      <c r="AP183" s="84" t="str">
        <f>HYPERLINK("https://pbs.twimg.com/profile_banners/1358744234/1622992131")</f>
        <v>https://pbs.twimg.com/profile_banners/1358744234/1622992131</v>
      </c>
      <c r="AQ183" s="80" t="b">
        <v>0</v>
      </c>
      <c r="AR183" s="80" t="b">
        <v>0</v>
      </c>
      <c r="AS183" s="80" t="b">
        <v>1</v>
      </c>
      <c r="AT183" s="80"/>
      <c r="AU183" s="80">
        <v>1</v>
      </c>
      <c r="AV183" s="84" t="str">
        <f>HYPERLINK("https://abs.twimg.com/images/themes/theme1/bg.png")</f>
        <v>https://abs.twimg.com/images/themes/theme1/bg.png</v>
      </c>
      <c r="AW183" s="80" t="b">
        <v>0</v>
      </c>
      <c r="AX183" s="80" t="s">
        <v>7173</v>
      </c>
      <c r="AY183" s="84" t="str">
        <f>HYPERLINK("https://twitter.com/sanahmaswi")</f>
        <v>https://twitter.com/sanahmaswi</v>
      </c>
      <c r="AZ183" s="80" t="s">
        <v>66</v>
      </c>
      <c r="BA183" s="2"/>
      <c r="BB183" s="3"/>
      <c r="BC183" s="3"/>
      <c r="BD183" s="3"/>
      <c r="BE183" s="3"/>
    </row>
    <row r="184" spans="1:57" x14ac:dyDescent="0.35">
      <c r="A184" s="66" t="s">
        <v>333</v>
      </c>
      <c r="B184" s="67"/>
      <c r="C184" s="67"/>
      <c r="D184" s="68"/>
      <c r="E184" s="70"/>
      <c r="F184" s="106" t="str">
        <f>HYPERLINK("https://pbs.twimg.com/profile_images/1434713203657744386/YNQdOGN2_normal.jpg")</f>
        <v>https://pbs.twimg.com/profile_images/1434713203657744386/YNQdOGN2_normal.jpg</v>
      </c>
      <c r="G184" s="67"/>
      <c r="H184" s="71"/>
      <c r="I184" s="72"/>
      <c r="J184" s="72"/>
      <c r="K184" s="71" t="s">
        <v>7354</v>
      </c>
      <c r="L184" s="75"/>
      <c r="M184" s="76"/>
      <c r="N184" s="76"/>
      <c r="O184" s="77"/>
      <c r="P184" s="78"/>
      <c r="Q184" s="78"/>
      <c r="R184" s="90"/>
      <c r="S184" s="90"/>
      <c r="T184" s="90"/>
      <c r="U184" s="90"/>
      <c r="V184" s="52"/>
      <c r="W184" s="52"/>
      <c r="X184" s="52"/>
      <c r="Y184" s="52"/>
      <c r="Z184" s="51"/>
      <c r="AA184" s="73"/>
      <c r="AB184" s="73"/>
      <c r="AC184" s="74"/>
      <c r="AD184" s="80" t="s">
        <v>4361</v>
      </c>
      <c r="AE184" s="86" t="s">
        <v>5281</v>
      </c>
      <c r="AF184" s="80">
        <v>1782</v>
      </c>
      <c r="AG184" s="80">
        <v>1701</v>
      </c>
      <c r="AH184" s="80">
        <v>28980</v>
      </c>
      <c r="AI184" s="80">
        <v>993</v>
      </c>
      <c r="AJ184" s="80"/>
      <c r="AK184" s="80" t="s">
        <v>6084</v>
      </c>
      <c r="AL184" s="80" t="s">
        <v>6762</v>
      </c>
      <c r="AM184" s="80"/>
      <c r="AN184" s="80"/>
      <c r="AO184" s="82">
        <v>41363.370949074073</v>
      </c>
      <c r="AP184" s="84" t="str">
        <f>HYPERLINK("https://pbs.twimg.com/profile_banners/1316071879/1612324932")</f>
        <v>https://pbs.twimg.com/profile_banners/1316071879/1612324932</v>
      </c>
      <c r="AQ184" s="80" t="b">
        <v>0</v>
      </c>
      <c r="AR184" s="80" t="b">
        <v>0</v>
      </c>
      <c r="AS184" s="80" t="b">
        <v>1</v>
      </c>
      <c r="AT184" s="80"/>
      <c r="AU184" s="80">
        <v>0</v>
      </c>
      <c r="AV184" s="84" t="str">
        <f>HYPERLINK("https://abs.twimg.com/images/themes/theme1/bg.png")</f>
        <v>https://abs.twimg.com/images/themes/theme1/bg.png</v>
      </c>
      <c r="AW184" s="80" t="b">
        <v>0</v>
      </c>
      <c r="AX184" s="80" t="s">
        <v>7173</v>
      </c>
      <c r="AY184" s="84" t="str">
        <f>HYPERLINK("https://twitter.com/agakemosi")</f>
        <v>https://twitter.com/agakemosi</v>
      </c>
      <c r="AZ184" s="80" t="s">
        <v>66</v>
      </c>
      <c r="BA184" s="2"/>
      <c r="BB184" s="3"/>
      <c r="BC184" s="3"/>
      <c r="BD184" s="3"/>
      <c r="BE184" s="3"/>
    </row>
    <row r="185" spans="1:57" x14ac:dyDescent="0.35">
      <c r="A185" s="66" t="s">
        <v>334</v>
      </c>
      <c r="B185" s="67"/>
      <c r="C185" s="67"/>
      <c r="D185" s="68"/>
      <c r="E185" s="70"/>
      <c r="F185" s="106" t="str">
        <f>HYPERLINK("https://pbs.twimg.com/profile_images/1426146238106275843/L3Me2Akk_normal.jpg")</f>
        <v>https://pbs.twimg.com/profile_images/1426146238106275843/L3Me2Akk_normal.jpg</v>
      </c>
      <c r="G185" s="67"/>
      <c r="H185" s="71"/>
      <c r="I185" s="72"/>
      <c r="J185" s="72"/>
      <c r="K185" s="71" t="s">
        <v>7355</v>
      </c>
      <c r="L185" s="75"/>
      <c r="M185" s="76"/>
      <c r="N185" s="76"/>
      <c r="O185" s="77"/>
      <c r="P185" s="78"/>
      <c r="Q185" s="78"/>
      <c r="R185" s="90"/>
      <c r="S185" s="90"/>
      <c r="T185" s="90"/>
      <c r="U185" s="90"/>
      <c r="V185" s="52"/>
      <c r="W185" s="52"/>
      <c r="X185" s="52"/>
      <c r="Y185" s="52"/>
      <c r="Z185" s="51"/>
      <c r="AA185" s="73"/>
      <c r="AB185" s="73"/>
      <c r="AC185" s="74"/>
      <c r="AD185" s="80" t="s">
        <v>4362</v>
      </c>
      <c r="AE185" s="86" t="s">
        <v>5282</v>
      </c>
      <c r="AF185" s="80">
        <v>859</v>
      </c>
      <c r="AG185" s="80">
        <v>199</v>
      </c>
      <c r="AH185" s="80">
        <v>23953</v>
      </c>
      <c r="AI185" s="80">
        <v>2635</v>
      </c>
      <c r="AJ185" s="80"/>
      <c r="AK185" s="80" t="s">
        <v>6085</v>
      </c>
      <c r="AL185" s="80" t="s">
        <v>6846</v>
      </c>
      <c r="AM185" s="80"/>
      <c r="AN185" s="80"/>
      <c r="AO185" s="82">
        <v>40516.378622685188</v>
      </c>
      <c r="AP185" s="84" t="str">
        <f>HYPERLINK("https://pbs.twimg.com/profile_banners/222740463/1548631647")</f>
        <v>https://pbs.twimg.com/profile_banners/222740463/1548631647</v>
      </c>
      <c r="AQ185" s="80" t="b">
        <v>0</v>
      </c>
      <c r="AR185" s="80" t="b">
        <v>0</v>
      </c>
      <c r="AS185" s="80" t="b">
        <v>1</v>
      </c>
      <c r="AT185" s="80"/>
      <c r="AU185" s="80">
        <v>0</v>
      </c>
      <c r="AV185" s="84" t="str">
        <f>HYPERLINK("https://abs.twimg.com/images/themes/theme14/bg.gif")</f>
        <v>https://abs.twimg.com/images/themes/theme14/bg.gif</v>
      </c>
      <c r="AW185" s="80" t="b">
        <v>0</v>
      </c>
      <c r="AX185" s="80" t="s">
        <v>7173</v>
      </c>
      <c r="AY185" s="84" t="str">
        <f>HYPERLINK("https://twitter.com/rifkansaf")</f>
        <v>https://twitter.com/rifkansaf</v>
      </c>
      <c r="AZ185" s="80" t="s">
        <v>66</v>
      </c>
      <c r="BA185" s="2"/>
      <c r="BB185" s="3"/>
      <c r="BC185" s="3"/>
      <c r="BD185" s="3"/>
      <c r="BE185" s="3"/>
    </row>
    <row r="186" spans="1:57" x14ac:dyDescent="0.35">
      <c r="A186" s="66" t="s">
        <v>1053</v>
      </c>
      <c r="B186" s="67"/>
      <c r="C186" s="67"/>
      <c r="D186" s="68"/>
      <c r="E186" s="70"/>
      <c r="F186" s="106" t="str">
        <f>HYPERLINK("https://pbs.twimg.com/profile_images/1435877566464757761/apTCB4Xj_normal.jpg")</f>
        <v>https://pbs.twimg.com/profile_images/1435877566464757761/apTCB4Xj_normal.jpg</v>
      </c>
      <c r="G186" s="67"/>
      <c r="H186" s="71"/>
      <c r="I186" s="72"/>
      <c r="J186" s="72"/>
      <c r="K186" s="71" t="s">
        <v>7356</v>
      </c>
      <c r="L186" s="75"/>
      <c r="M186" s="76"/>
      <c r="N186" s="76"/>
      <c r="O186" s="77"/>
      <c r="P186" s="78"/>
      <c r="Q186" s="78"/>
      <c r="R186" s="90"/>
      <c r="S186" s="90"/>
      <c r="T186" s="90"/>
      <c r="U186" s="90"/>
      <c r="V186" s="52"/>
      <c r="W186" s="52"/>
      <c r="X186" s="52"/>
      <c r="Y186" s="52"/>
      <c r="Z186" s="51"/>
      <c r="AA186" s="73"/>
      <c r="AB186" s="73"/>
      <c r="AC186" s="74"/>
      <c r="AD186" s="80" t="s">
        <v>4363</v>
      </c>
      <c r="AE186" s="86" t="s">
        <v>5283</v>
      </c>
      <c r="AF186" s="80">
        <v>904</v>
      </c>
      <c r="AG186" s="80">
        <v>773</v>
      </c>
      <c r="AH186" s="80">
        <v>24319</v>
      </c>
      <c r="AI186" s="80">
        <v>1168</v>
      </c>
      <c r="AJ186" s="80"/>
      <c r="AK186" s="80" t="s">
        <v>6086</v>
      </c>
      <c r="AL186" s="80" t="s">
        <v>6847</v>
      </c>
      <c r="AM186" s="80"/>
      <c r="AN186" s="80"/>
      <c r="AO186" s="82">
        <v>40205.284201388888</v>
      </c>
      <c r="AP186" s="84" t="str">
        <f>HYPERLINK("https://pbs.twimg.com/profile_banners/108860923/1572435815")</f>
        <v>https://pbs.twimg.com/profile_banners/108860923/1572435815</v>
      </c>
      <c r="AQ186" s="80" t="b">
        <v>0</v>
      </c>
      <c r="AR186" s="80" t="b">
        <v>0</v>
      </c>
      <c r="AS186" s="80" t="b">
        <v>1</v>
      </c>
      <c r="AT186" s="80"/>
      <c r="AU186" s="80">
        <v>1</v>
      </c>
      <c r="AV186" s="84" t="str">
        <f>HYPERLINK("https://abs.twimg.com/images/themes/theme13/bg.gif")</f>
        <v>https://abs.twimg.com/images/themes/theme13/bg.gif</v>
      </c>
      <c r="AW186" s="80" t="b">
        <v>0</v>
      </c>
      <c r="AX186" s="80" t="s">
        <v>7173</v>
      </c>
      <c r="AY186" s="84" t="str">
        <f>HYPERLINK("https://twitter.com/jimintberry")</f>
        <v>https://twitter.com/jimintberry</v>
      </c>
      <c r="AZ186" s="80" t="s">
        <v>65</v>
      </c>
      <c r="BA186" s="2"/>
      <c r="BB186" s="3"/>
      <c r="BC186" s="3"/>
      <c r="BD186" s="3"/>
      <c r="BE186" s="3"/>
    </row>
    <row r="187" spans="1:57" x14ac:dyDescent="0.35">
      <c r="A187" s="66" t="s">
        <v>335</v>
      </c>
      <c r="B187" s="67"/>
      <c r="C187" s="67"/>
      <c r="D187" s="68"/>
      <c r="E187" s="70"/>
      <c r="F187" s="106" t="str">
        <f>HYPERLINK("https://pbs.twimg.com/profile_images/1300235489249640449/Cds6orNk_normal.jpg")</f>
        <v>https://pbs.twimg.com/profile_images/1300235489249640449/Cds6orNk_normal.jpg</v>
      </c>
      <c r="G187" s="67"/>
      <c r="H187" s="71"/>
      <c r="I187" s="72"/>
      <c r="J187" s="72"/>
      <c r="K187" s="71" t="s">
        <v>7357</v>
      </c>
      <c r="L187" s="75"/>
      <c r="M187" s="76"/>
      <c r="N187" s="76"/>
      <c r="O187" s="77"/>
      <c r="P187" s="78"/>
      <c r="Q187" s="78"/>
      <c r="R187" s="90"/>
      <c r="S187" s="90"/>
      <c r="T187" s="90"/>
      <c r="U187" s="90"/>
      <c r="V187" s="52"/>
      <c r="W187" s="52"/>
      <c r="X187" s="52"/>
      <c r="Y187" s="52"/>
      <c r="Z187" s="51"/>
      <c r="AA187" s="73"/>
      <c r="AB187" s="73"/>
      <c r="AC187" s="74"/>
      <c r="AD187" s="80" t="s">
        <v>4364</v>
      </c>
      <c r="AE187" s="86" t="s">
        <v>5284</v>
      </c>
      <c r="AF187" s="80">
        <v>418</v>
      </c>
      <c r="AG187" s="80">
        <v>2587</v>
      </c>
      <c r="AH187" s="80">
        <v>23140</v>
      </c>
      <c r="AI187" s="80">
        <v>33132</v>
      </c>
      <c r="AJ187" s="80"/>
      <c r="AK187" s="80" t="s">
        <v>6087</v>
      </c>
      <c r="AL187" s="80" t="s">
        <v>6848</v>
      </c>
      <c r="AM187" s="80"/>
      <c r="AN187" s="80"/>
      <c r="AO187" s="82">
        <v>43283.396238425928</v>
      </c>
      <c r="AP187" s="84" t="str">
        <f>HYPERLINK("https://pbs.twimg.com/profile_banners/1013716555111149568/1571752619")</f>
        <v>https://pbs.twimg.com/profile_banners/1013716555111149568/1571752619</v>
      </c>
      <c r="AQ187" s="80" t="b">
        <v>1</v>
      </c>
      <c r="AR187" s="80" t="b">
        <v>0</v>
      </c>
      <c r="AS187" s="80" t="b">
        <v>1</v>
      </c>
      <c r="AT187" s="80"/>
      <c r="AU187" s="80">
        <v>3</v>
      </c>
      <c r="AV187" s="80"/>
      <c r="AW187" s="80" t="b">
        <v>0</v>
      </c>
      <c r="AX187" s="80" t="s">
        <v>7173</v>
      </c>
      <c r="AY187" s="84" t="str">
        <f>HYPERLINK("https://twitter.com/memangakugendut")</f>
        <v>https://twitter.com/memangakugendut</v>
      </c>
      <c r="AZ187" s="80" t="s">
        <v>66</v>
      </c>
      <c r="BA187" s="2"/>
      <c r="BB187" s="3"/>
      <c r="BC187" s="3"/>
      <c r="BD187" s="3"/>
      <c r="BE187" s="3"/>
    </row>
    <row r="188" spans="1:57" x14ac:dyDescent="0.35">
      <c r="A188" s="66" t="s">
        <v>1054</v>
      </c>
      <c r="B188" s="67"/>
      <c r="C188" s="67"/>
      <c r="D188" s="68"/>
      <c r="E188" s="70"/>
      <c r="F188" s="106" t="str">
        <f>HYPERLINK("https://pbs.twimg.com/profile_images/1413090167636709382/cZnfazSv_normal.jpg")</f>
        <v>https://pbs.twimg.com/profile_images/1413090167636709382/cZnfazSv_normal.jpg</v>
      </c>
      <c r="G188" s="67"/>
      <c r="H188" s="71"/>
      <c r="I188" s="72"/>
      <c r="J188" s="72"/>
      <c r="K188" s="71" t="s">
        <v>7358</v>
      </c>
      <c r="L188" s="75"/>
      <c r="M188" s="76"/>
      <c r="N188" s="76"/>
      <c r="O188" s="77"/>
      <c r="P188" s="78"/>
      <c r="Q188" s="78"/>
      <c r="R188" s="90"/>
      <c r="S188" s="90"/>
      <c r="T188" s="90"/>
      <c r="U188" s="90"/>
      <c r="V188" s="52"/>
      <c r="W188" s="52"/>
      <c r="X188" s="52"/>
      <c r="Y188" s="52"/>
      <c r="Z188" s="51"/>
      <c r="AA188" s="73"/>
      <c r="AB188" s="73"/>
      <c r="AC188" s="74"/>
      <c r="AD188" s="80" t="s">
        <v>4365</v>
      </c>
      <c r="AE188" s="86" t="s">
        <v>3931</v>
      </c>
      <c r="AF188" s="80">
        <v>893</v>
      </c>
      <c r="AG188" s="80">
        <v>817</v>
      </c>
      <c r="AH188" s="80">
        <v>14323</v>
      </c>
      <c r="AI188" s="80">
        <v>1142</v>
      </c>
      <c r="AJ188" s="80"/>
      <c r="AK188" s="80"/>
      <c r="AL188" s="80"/>
      <c r="AM188" s="80"/>
      <c r="AN188" s="80"/>
      <c r="AO188" s="82">
        <v>40728.248067129629</v>
      </c>
      <c r="AP188" s="84" t="str">
        <f>HYPERLINK("https://pbs.twimg.com/profile_banners/328882133/1603388705")</f>
        <v>https://pbs.twimg.com/profile_banners/328882133/1603388705</v>
      </c>
      <c r="AQ188" s="80" t="b">
        <v>0</v>
      </c>
      <c r="AR188" s="80" t="b">
        <v>0</v>
      </c>
      <c r="AS188" s="80" t="b">
        <v>1</v>
      </c>
      <c r="AT188" s="80"/>
      <c r="AU188" s="80">
        <v>2</v>
      </c>
      <c r="AV188" s="84" t="str">
        <f>HYPERLINK("https://abs.twimg.com/images/themes/theme1/bg.png")</f>
        <v>https://abs.twimg.com/images/themes/theme1/bg.png</v>
      </c>
      <c r="AW188" s="80" t="b">
        <v>0</v>
      </c>
      <c r="AX188" s="80" t="s">
        <v>7173</v>
      </c>
      <c r="AY188" s="84" t="str">
        <f>HYPERLINK("https://twitter.com/chubbified")</f>
        <v>https://twitter.com/chubbified</v>
      </c>
      <c r="AZ188" s="80" t="s">
        <v>65</v>
      </c>
      <c r="BA188" s="2"/>
      <c r="BB188" s="3"/>
      <c r="BC188" s="3"/>
      <c r="BD188" s="3"/>
      <c r="BE188" s="3"/>
    </row>
    <row r="189" spans="1:57" x14ac:dyDescent="0.35">
      <c r="A189" s="66" t="s">
        <v>336</v>
      </c>
      <c r="B189" s="67"/>
      <c r="C189" s="67"/>
      <c r="D189" s="68"/>
      <c r="E189" s="70"/>
      <c r="F189" s="106" t="str">
        <f>HYPERLINK("https://pbs.twimg.com/profile_images/1237998373275197441/sz8_BwfX_normal.jpg")</f>
        <v>https://pbs.twimg.com/profile_images/1237998373275197441/sz8_BwfX_normal.jpg</v>
      </c>
      <c r="G189" s="67"/>
      <c r="H189" s="71"/>
      <c r="I189" s="72"/>
      <c r="J189" s="72"/>
      <c r="K189" s="71" t="s">
        <v>7359</v>
      </c>
      <c r="L189" s="75"/>
      <c r="M189" s="76"/>
      <c r="N189" s="76"/>
      <c r="O189" s="77"/>
      <c r="P189" s="78"/>
      <c r="Q189" s="78"/>
      <c r="R189" s="90"/>
      <c r="S189" s="90"/>
      <c r="T189" s="90"/>
      <c r="U189" s="90"/>
      <c r="V189" s="52"/>
      <c r="W189" s="52"/>
      <c r="X189" s="52"/>
      <c r="Y189" s="52"/>
      <c r="Z189" s="51"/>
      <c r="AA189" s="73"/>
      <c r="AB189" s="73"/>
      <c r="AC189" s="74"/>
      <c r="AD189" s="80" t="s">
        <v>4366</v>
      </c>
      <c r="AE189" s="86" t="s">
        <v>5285</v>
      </c>
      <c r="AF189" s="80">
        <v>262</v>
      </c>
      <c r="AG189" s="80">
        <v>302</v>
      </c>
      <c r="AH189" s="80">
        <v>12335</v>
      </c>
      <c r="AI189" s="80">
        <v>1246</v>
      </c>
      <c r="AJ189" s="80"/>
      <c r="AK189" s="80" t="s">
        <v>6088</v>
      </c>
      <c r="AL189" s="80" t="s">
        <v>6849</v>
      </c>
      <c r="AM189" s="80"/>
      <c r="AN189" s="80"/>
      <c r="AO189" s="82">
        <v>40017.085682870369</v>
      </c>
      <c r="AP189" s="84" t="str">
        <f>HYPERLINK("https://pbs.twimg.com/profile_banners/59327489/1573491507")</f>
        <v>https://pbs.twimg.com/profile_banners/59327489/1573491507</v>
      </c>
      <c r="AQ189" s="80" t="b">
        <v>0</v>
      </c>
      <c r="AR189" s="80" t="b">
        <v>0</v>
      </c>
      <c r="AS189" s="80" t="b">
        <v>1</v>
      </c>
      <c r="AT189" s="80"/>
      <c r="AU189" s="80">
        <v>1</v>
      </c>
      <c r="AV189" s="84" t="str">
        <f>HYPERLINK("https://abs.twimg.com/images/themes/theme9/bg.gif")</f>
        <v>https://abs.twimg.com/images/themes/theme9/bg.gif</v>
      </c>
      <c r="AW189" s="80" t="b">
        <v>0</v>
      </c>
      <c r="AX189" s="80" t="s">
        <v>7173</v>
      </c>
      <c r="AY189" s="84" t="str">
        <f>HYPERLINK("https://twitter.com/jcawu")</f>
        <v>https://twitter.com/jcawu</v>
      </c>
      <c r="AZ189" s="80" t="s">
        <v>66</v>
      </c>
      <c r="BA189" s="2"/>
      <c r="BB189" s="3"/>
      <c r="BC189" s="3"/>
      <c r="BD189" s="3"/>
      <c r="BE189" s="3"/>
    </row>
    <row r="190" spans="1:57" x14ac:dyDescent="0.35">
      <c r="A190" s="66" t="s">
        <v>337</v>
      </c>
      <c r="B190" s="67"/>
      <c r="C190" s="67"/>
      <c r="D190" s="68"/>
      <c r="E190" s="70"/>
      <c r="F190" s="106" t="str">
        <f>HYPERLINK("https://pbs.twimg.com/profile_images/1430486611599392770/Jb6KWmpW_normal.jpg")</f>
        <v>https://pbs.twimg.com/profile_images/1430486611599392770/Jb6KWmpW_normal.jpg</v>
      </c>
      <c r="G190" s="67"/>
      <c r="H190" s="71"/>
      <c r="I190" s="72"/>
      <c r="J190" s="72"/>
      <c r="K190" s="71" t="s">
        <v>7360</v>
      </c>
      <c r="L190" s="75"/>
      <c r="M190" s="76"/>
      <c r="N190" s="76"/>
      <c r="O190" s="77"/>
      <c r="P190" s="78"/>
      <c r="Q190" s="78"/>
      <c r="R190" s="90"/>
      <c r="S190" s="90"/>
      <c r="T190" s="90"/>
      <c r="U190" s="90"/>
      <c r="V190" s="52"/>
      <c r="W190" s="52"/>
      <c r="X190" s="52"/>
      <c r="Y190" s="52"/>
      <c r="Z190" s="51"/>
      <c r="AA190" s="73"/>
      <c r="AB190" s="73"/>
      <c r="AC190" s="74"/>
      <c r="AD190" s="80" t="s">
        <v>4367</v>
      </c>
      <c r="AE190" s="86" t="s">
        <v>5286</v>
      </c>
      <c r="AF190" s="80">
        <v>16</v>
      </c>
      <c r="AG190" s="80">
        <v>2149</v>
      </c>
      <c r="AH190" s="80">
        <v>24373</v>
      </c>
      <c r="AI190" s="80">
        <v>42</v>
      </c>
      <c r="AJ190" s="80"/>
      <c r="AK190" s="80" t="s">
        <v>6089</v>
      </c>
      <c r="AL190" s="80" t="s">
        <v>6850</v>
      </c>
      <c r="AM190" s="84" t="str">
        <f>HYPERLINK("https://t.co/GLm6pSWUpU")</f>
        <v>https://t.co/GLm6pSWUpU</v>
      </c>
      <c r="AN190" s="80"/>
      <c r="AO190" s="82">
        <v>40183.328738425924</v>
      </c>
      <c r="AP190" s="84" t="str">
        <f>HYPERLINK("https://pbs.twimg.com/profile_banners/101995429/1555039835")</f>
        <v>https://pbs.twimg.com/profile_banners/101995429/1555039835</v>
      </c>
      <c r="AQ190" s="80" t="b">
        <v>0</v>
      </c>
      <c r="AR190" s="80" t="b">
        <v>0</v>
      </c>
      <c r="AS190" s="80" t="b">
        <v>1</v>
      </c>
      <c r="AT190" s="80"/>
      <c r="AU190" s="80">
        <v>17</v>
      </c>
      <c r="AV190" s="84" t="str">
        <f>HYPERLINK("https://abs.twimg.com/images/themes/theme9/bg.gif")</f>
        <v>https://abs.twimg.com/images/themes/theme9/bg.gif</v>
      </c>
      <c r="AW190" s="80" t="b">
        <v>0</v>
      </c>
      <c r="AX190" s="80" t="s">
        <v>7173</v>
      </c>
      <c r="AY190" s="84" t="str">
        <f>HYPERLINK("https://twitter.com/eljohnfmpku")</f>
        <v>https://twitter.com/eljohnfmpku</v>
      </c>
      <c r="AZ190" s="80" t="s">
        <v>66</v>
      </c>
      <c r="BA190" s="2"/>
      <c r="BB190" s="3"/>
      <c r="BC190" s="3"/>
      <c r="BD190" s="3"/>
      <c r="BE190" s="3"/>
    </row>
    <row r="191" spans="1:57" x14ac:dyDescent="0.35">
      <c r="A191" s="66" t="s">
        <v>338</v>
      </c>
      <c r="B191" s="67"/>
      <c r="C191" s="67"/>
      <c r="D191" s="68"/>
      <c r="E191" s="70"/>
      <c r="F191" s="106" t="str">
        <f>HYPERLINK("https://pbs.twimg.com/profile_images/1433798418787287049/CyTC1i9j_normal.jpg")</f>
        <v>https://pbs.twimg.com/profile_images/1433798418787287049/CyTC1i9j_normal.jpg</v>
      </c>
      <c r="G191" s="67"/>
      <c r="H191" s="71"/>
      <c r="I191" s="72"/>
      <c r="J191" s="72"/>
      <c r="K191" s="71" t="s">
        <v>7361</v>
      </c>
      <c r="L191" s="75"/>
      <c r="M191" s="76"/>
      <c r="N191" s="76"/>
      <c r="O191" s="77"/>
      <c r="P191" s="78"/>
      <c r="Q191" s="78"/>
      <c r="R191" s="90"/>
      <c r="S191" s="90"/>
      <c r="T191" s="90"/>
      <c r="U191" s="90"/>
      <c r="V191" s="52"/>
      <c r="W191" s="52"/>
      <c r="X191" s="52"/>
      <c r="Y191" s="52"/>
      <c r="Z191" s="51"/>
      <c r="AA191" s="73"/>
      <c r="AB191" s="73"/>
      <c r="AC191" s="74"/>
      <c r="AD191" s="80" t="s">
        <v>4368</v>
      </c>
      <c r="AE191" s="86" t="s">
        <v>5287</v>
      </c>
      <c r="AF191" s="80">
        <v>3118</v>
      </c>
      <c r="AG191" s="80">
        <v>3075</v>
      </c>
      <c r="AH191" s="80">
        <v>2168</v>
      </c>
      <c r="AI191" s="80">
        <v>6118</v>
      </c>
      <c r="AJ191" s="80"/>
      <c r="AK191" s="80"/>
      <c r="AL191" s="80"/>
      <c r="AM191" s="80"/>
      <c r="AN191" s="80"/>
      <c r="AO191" s="82">
        <v>44157.391967592594</v>
      </c>
      <c r="AP191" s="84" t="str">
        <f>HYPERLINK("https://pbs.twimg.com/profile_banners/1330441969852563457/1606037171")</f>
        <v>https://pbs.twimg.com/profile_banners/1330441969852563457/1606037171</v>
      </c>
      <c r="AQ191" s="80" t="b">
        <v>1</v>
      </c>
      <c r="AR191" s="80" t="b">
        <v>0</v>
      </c>
      <c r="AS191" s="80" t="b">
        <v>0</v>
      </c>
      <c r="AT191" s="80"/>
      <c r="AU191" s="80">
        <v>0</v>
      </c>
      <c r="AV191" s="80"/>
      <c r="AW191" s="80" t="b">
        <v>0</v>
      </c>
      <c r="AX191" s="80" t="s">
        <v>7173</v>
      </c>
      <c r="AY191" s="84" t="str">
        <f>HYPERLINK("https://twitter.com/sagita81774027")</f>
        <v>https://twitter.com/sagita81774027</v>
      </c>
      <c r="AZ191" s="80" t="s">
        <v>66</v>
      </c>
      <c r="BA191" s="2"/>
      <c r="BB191" s="3"/>
      <c r="BC191" s="3"/>
      <c r="BD191" s="3"/>
      <c r="BE191" s="3"/>
    </row>
    <row r="192" spans="1:57" x14ac:dyDescent="0.35">
      <c r="A192" s="66" t="s">
        <v>1055</v>
      </c>
      <c r="B192" s="67"/>
      <c r="C192" s="67"/>
      <c r="D192" s="68"/>
      <c r="E192" s="70"/>
      <c r="F192" s="106" t="str">
        <f>HYPERLINK("https://pbs.twimg.com/profile_images/554303773/icon_normal.jpg")</f>
        <v>https://pbs.twimg.com/profile_images/554303773/icon_normal.jpg</v>
      </c>
      <c r="G192" s="67"/>
      <c r="H192" s="71"/>
      <c r="I192" s="72"/>
      <c r="J192" s="72"/>
      <c r="K192" s="71" t="s">
        <v>7362</v>
      </c>
      <c r="L192" s="75"/>
      <c r="M192" s="76"/>
      <c r="N192" s="76"/>
      <c r="O192" s="77"/>
      <c r="P192" s="78"/>
      <c r="Q192" s="78"/>
      <c r="R192" s="90"/>
      <c r="S192" s="90"/>
      <c r="T192" s="90"/>
      <c r="U192" s="90"/>
      <c r="V192" s="52"/>
      <c r="W192" s="52"/>
      <c r="X192" s="52"/>
      <c r="Y192" s="52"/>
      <c r="Z192" s="51"/>
      <c r="AA192" s="73"/>
      <c r="AB192" s="73"/>
      <c r="AC192" s="74"/>
      <c r="AD192" s="80" t="s">
        <v>4369</v>
      </c>
      <c r="AE192" s="86" t="s">
        <v>5288</v>
      </c>
      <c r="AF192" s="80">
        <v>0</v>
      </c>
      <c r="AG192" s="80">
        <v>1403</v>
      </c>
      <c r="AH192" s="80">
        <v>5</v>
      </c>
      <c r="AI192" s="80">
        <v>0</v>
      </c>
      <c r="AJ192" s="80"/>
      <c r="AK192" s="80"/>
      <c r="AL192" s="80" t="s">
        <v>6851</v>
      </c>
      <c r="AM192" s="84" t="str">
        <f>HYPERLINK("http://t.co/1eRNQlFked")</f>
        <v>http://t.co/1eRNQlFked</v>
      </c>
      <c r="AN192" s="80"/>
      <c r="AO192" s="82">
        <v>40149.114247685182</v>
      </c>
      <c r="AP192" s="80"/>
      <c r="AQ192" s="80" t="b">
        <v>0</v>
      </c>
      <c r="AR192" s="80" t="b">
        <v>0</v>
      </c>
      <c r="AS192" s="80" t="b">
        <v>1</v>
      </c>
      <c r="AT192" s="80"/>
      <c r="AU192" s="80">
        <v>3</v>
      </c>
      <c r="AV192" s="84" t="str">
        <f>HYPERLINK("https://abs.twimg.com/images/themes/theme1/bg.png")</f>
        <v>https://abs.twimg.com/images/themes/theme1/bg.png</v>
      </c>
      <c r="AW192" s="80" t="b">
        <v>0</v>
      </c>
      <c r="AX192" s="80" t="s">
        <v>7173</v>
      </c>
      <c r="AY192" s="84" t="str">
        <f>HYPERLINK("https://twitter.com/posindo")</f>
        <v>https://twitter.com/posindo</v>
      </c>
      <c r="AZ192" s="80" t="s">
        <v>65</v>
      </c>
      <c r="BA192" s="2"/>
      <c r="BB192" s="3"/>
      <c r="BC192" s="3"/>
      <c r="BD192" s="3"/>
      <c r="BE192" s="3"/>
    </row>
    <row r="193" spans="1:57" x14ac:dyDescent="0.35">
      <c r="A193" s="66" t="s">
        <v>910</v>
      </c>
      <c r="B193" s="67"/>
      <c r="C193" s="67"/>
      <c r="D193" s="68"/>
      <c r="E193" s="70"/>
      <c r="F193" s="106" t="str">
        <f>HYPERLINK("https://pbs.twimg.com/profile_images/1428888419950743555/FV7XGf5o_normal.jpg")</f>
        <v>https://pbs.twimg.com/profile_images/1428888419950743555/FV7XGf5o_normal.jpg</v>
      </c>
      <c r="G193" s="67"/>
      <c r="H193" s="71"/>
      <c r="I193" s="72"/>
      <c r="J193" s="72"/>
      <c r="K193" s="71" t="s">
        <v>7363</v>
      </c>
      <c r="L193" s="75"/>
      <c r="M193" s="76"/>
      <c r="N193" s="76"/>
      <c r="O193" s="77"/>
      <c r="P193" s="78"/>
      <c r="Q193" s="78"/>
      <c r="R193" s="90"/>
      <c r="S193" s="90"/>
      <c r="T193" s="90"/>
      <c r="U193" s="90"/>
      <c r="V193" s="52"/>
      <c r="W193" s="52"/>
      <c r="X193" s="52"/>
      <c r="Y193" s="52"/>
      <c r="Z193" s="51"/>
      <c r="AA193" s="73"/>
      <c r="AB193" s="73"/>
      <c r="AC193" s="74"/>
      <c r="AD193" s="80" t="s">
        <v>4370</v>
      </c>
      <c r="AE193" s="86" t="s">
        <v>4060</v>
      </c>
      <c r="AF193" s="80">
        <v>2194</v>
      </c>
      <c r="AG193" s="80">
        <v>2224</v>
      </c>
      <c r="AH193" s="80">
        <v>5470</v>
      </c>
      <c r="AI193" s="80">
        <v>4572</v>
      </c>
      <c r="AJ193" s="80"/>
      <c r="AK193" s="80" t="s">
        <v>6090</v>
      </c>
      <c r="AL193" s="80" t="s">
        <v>6805</v>
      </c>
      <c r="AM193" s="84" t="str">
        <f>HYPERLINK("https://t.co/nMTNCAPm14")</f>
        <v>https://t.co/nMTNCAPm14</v>
      </c>
      <c r="AN193" s="80"/>
      <c r="AO193" s="82">
        <v>41409.048298611109</v>
      </c>
      <c r="AP193" s="84" t="str">
        <f>HYPERLINK("https://pbs.twimg.com/profile_banners/1429237147/1629983365")</f>
        <v>https://pbs.twimg.com/profile_banners/1429237147/1629983365</v>
      </c>
      <c r="AQ193" s="80" t="b">
        <v>1</v>
      </c>
      <c r="AR193" s="80" t="b">
        <v>0</v>
      </c>
      <c r="AS193" s="80" t="b">
        <v>1</v>
      </c>
      <c r="AT193" s="80"/>
      <c r="AU193" s="80">
        <v>1</v>
      </c>
      <c r="AV193" s="84" t="str">
        <f>HYPERLINK("https://abs.twimg.com/images/themes/theme1/bg.png")</f>
        <v>https://abs.twimg.com/images/themes/theme1/bg.png</v>
      </c>
      <c r="AW193" s="80" t="b">
        <v>0</v>
      </c>
      <c r="AX193" s="80" t="s">
        <v>7173</v>
      </c>
      <c r="AY193" s="84" t="str">
        <f>HYPERLINK("https://twitter.com/ib_ost")</f>
        <v>https://twitter.com/ib_ost</v>
      </c>
      <c r="AZ193" s="80" t="s">
        <v>66</v>
      </c>
      <c r="BA193" s="2"/>
      <c r="BB193" s="3"/>
      <c r="BC193" s="3"/>
      <c r="BD193" s="3"/>
      <c r="BE193" s="3"/>
    </row>
    <row r="194" spans="1:57" x14ac:dyDescent="0.35">
      <c r="A194" s="66" t="s">
        <v>339</v>
      </c>
      <c r="B194" s="67"/>
      <c r="C194" s="67"/>
      <c r="D194" s="68"/>
      <c r="E194" s="70"/>
      <c r="F194" s="106" t="str">
        <f>HYPERLINK("https://pbs.twimg.com/profile_images/1440949866755080194/km39W1Ij_normal.jpg")</f>
        <v>https://pbs.twimg.com/profile_images/1440949866755080194/km39W1Ij_normal.jpg</v>
      </c>
      <c r="G194" s="67"/>
      <c r="H194" s="71"/>
      <c r="I194" s="72"/>
      <c r="J194" s="72"/>
      <c r="K194" s="71" t="s">
        <v>7364</v>
      </c>
      <c r="L194" s="75"/>
      <c r="M194" s="76"/>
      <c r="N194" s="76"/>
      <c r="O194" s="77"/>
      <c r="P194" s="78"/>
      <c r="Q194" s="78"/>
      <c r="R194" s="90"/>
      <c r="S194" s="90"/>
      <c r="T194" s="90"/>
      <c r="U194" s="90"/>
      <c r="V194" s="52"/>
      <c r="W194" s="52"/>
      <c r="X194" s="52"/>
      <c r="Y194" s="52"/>
      <c r="Z194" s="51"/>
      <c r="AA194" s="73"/>
      <c r="AB194" s="73"/>
      <c r="AC194" s="74"/>
      <c r="AD194" s="80" t="s">
        <v>4371</v>
      </c>
      <c r="AE194" s="86" t="s">
        <v>5289</v>
      </c>
      <c r="AF194" s="80">
        <v>7353</v>
      </c>
      <c r="AG194" s="80">
        <v>7382</v>
      </c>
      <c r="AH194" s="80">
        <v>15063</v>
      </c>
      <c r="AI194" s="80">
        <v>26388</v>
      </c>
      <c r="AJ194" s="80"/>
      <c r="AK194" s="80" t="s">
        <v>6091</v>
      </c>
      <c r="AL194" s="80" t="s">
        <v>6852</v>
      </c>
      <c r="AM194" s="84" t="str">
        <f>HYPERLINK("https://t.co/VgttmeZFZW")</f>
        <v>https://t.co/VgttmeZFZW</v>
      </c>
      <c r="AN194" s="80"/>
      <c r="AO194" s="82">
        <v>41423.210520833331</v>
      </c>
      <c r="AP194" s="84" t="str">
        <f>HYPERLINK("https://pbs.twimg.com/profile_banners/1466450377/1627730212")</f>
        <v>https://pbs.twimg.com/profile_banners/1466450377/1627730212</v>
      </c>
      <c r="AQ194" s="80" t="b">
        <v>1</v>
      </c>
      <c r="AR194" s="80" t="b">
        <v>0</v>
      </c>
      <c r="AS194" s="80" t="b">
        <v>1</v>
      </c>
      <c r="AT194" s="80"/>
      <c r="AU194" s="80">
        <v>6</v>
      </c>
      <c r="AV194" s="84" t="str">
        <f>HYPERLINK("https://abs.twimg.com/images/themes/theme1/bg.png")</f>
        <v>https://abs.twimg.com/images/themes/theme1/bg.png</v>
      </c>
      <c r="AW194" s="80" t="b">
        <v>0</v>
      </c>
      <c r="AX194" s="80" t="s">
        <v>7173</v>
      </c>
      <c r="AY194" s="84" t="str">
        <f>HYPERLINK("https://twitter.com/jho_junior911")</f>
        <v>https://twitter.com/jho_junior911</v>
      </c>
      <c r="AZ194" s="80" t="s">
        <v>66</v>
      </c>
      <c r="BA194" s="2"/>
      <c r="BB194" s="3"/>
      <c r="BC194" s="3"/>
      <c r="BD194" s="3"/>
      <c r="BE194" s="3"/>
    </row>
    <row r="195" spans="1:57" x14ac:dyDescent="0.35">
      <c r="A195" s="66" t="s">
        <v>340</v>
      </c>
      <c r="B195" s="67"/>
      <c r="C195" s="67"/>
      <c r="D195" s="68"/>
      <c r="E195" s="70"/>
      <c r="F195" s="106" t="str">
        <f>HYPERLINK("https://pbs.twimg.com/profile_images/1419454465971679232/i8gypQK__normal.jpg")</f>
        <v>https://pbs.twimg.com/profile_images/1419454465971679232/i8gypQK__normal.jpg</v>
      </c>
      <c r="G195" s="67"/>
      <c r="H195" s="71"/>
      <c r="I195" s="72"/>
      <c r="J195" s="72"/>
      <c r="K195" s="71" t="s">
        <v>7365</v>
      </c>
      <c r="L195" s="75"/>
      <c r="M195" s="76"/>
      <c r="N195" s="76"/>
      <c r="O195" s="77"/>
      <c r="P195" s="78"/>
      <c r="Q195" s="78"/>
      <c r="R195" s="90"/>
      <c r="S195" s="90"/>
      <c r="T195" s="90"/>
      <c r="U195" s="90"/>
      <c r="V195" s="52"/>
      <c r="W195" s="52"/>
      <c r="X195" s="52"/>
      <c r="Y195" s="52"/>
      <c r="Z195" s="51"/>
      <c r="AA195" s="73"/>
      <c r="AB195" s="73"/>
      <c r="AC195" s="74"/>
      <c r="AD195" s="80" t="s">
        <v>4372</v>
      </c>
      <c r="AE195" s="86" t="s">
        <v>5290</v>
      </c>
      <c r="AF195" s="80">
        <v>1214</v>
      </c>
      <c r="AG195" s="80">
        <v>1121</v>
      </c>
      <c r="AH195" s="80">
        <v>4971</v>
      </c>
      <c r="AI195" s="80">
        <v>9649</v>
      </c>
      <c r="AJ195" s="80"/>
      <c r="AK195" s="80" t="s">
        <v>6092</v>
      </c>
      <c r="AL195" s="80" t="s">
        <v>6853</v>
      </c>
      <c r="AM195" s="80"/>
      <c r="AN195" s="80"/>
      <c r="AO195" s="82">
        <v>44403.018483796295</v>
      </c>
      <c r="AP195" s="80"/>
      <c r="AQ195" s="80" t="b">
        <v>1</v>
      </c>
      <c r="AR195" s="80" t="b">
        <v>0</v>
      </c>
      <c r="AS195" s="80" t="b">
        <v>0</v>
      </c>
      <c r="AT195" s="80"/>
      <c r="AU195" s="80">
        <v>0</v>
      </c>
      <c r="AV195" s="80"/>
      <c r="AW195" s="80" t="b">
        <v>0</v>
      </c>
      <c r="AX195" s="80" t="s">
        <v>7173</v>
      </c>
      <c r="AY195" s="84" t="str">
        <f>HYPERLINK("https://twitter.com/imadesuarsa7")</f>
        <v>https://twitter.com/imadesuarsa7</v>
      </c>
      <c r="AZ195" s="80" t="s">
        <v>66</v>
      </c>
      <c r="BA195" s="2"/>
      <c r="BB195" s="3"/>
      <c r="BC195" s="3"/>
      <c r="BD195" s="3"/>
      <c r="BE195" s="3"/>
    </row>
    <row r="196" spans="1:57" x14ac:dyDescent="0.35">
      <c r="A196" s="66" t="s">
        <v>341</v>
      </c>
      <c r="B196" s="67"/>
      <c r="C196" s="67"/>
      <c r="D196" s="68"/>
      <c r="E196" s="70"/>
      <c r="F196" s="106" t="str">
        <f>HYPERLINK("https://pbs.twimg.com/profile_images/1433542097085235203/jWD1K5cx_normal.jpg")</f>
        <v>https://pbs.twimg.com/profile_images/1433542097085235203/jWD1K5cx_normal.jpg</v>
      </c>
      <c r="G196" s="67"/>
      <c r="H196" s="71"/>
      <c r="I196" s="72"/>
      <c r="J196" s="72"/>
      <c r="K196" s="71" t="s">
        <v>7366</v>
      </c>
      <c r="L196" s="75"/>
      <c r="M196" s="76"/>
      <c r="N196" s="76"/>
      <c r="O196" s="77"/>
      <c r="P196" s="78"/>
      <c r="Q196" s="78"/>
      <c r="R196" s="90"/>
      <c r="S196" s="90"/>
      <c r="T196" s="90"/>
      <c r="U196" s="90"/>
      <c r="V196" s="52"/>
      <c r="W196" s="52"/>
      <c r="X196" s="52"/>
      <c r="Y196" s="52"/>
      <c r="Z196" s="51"/>
      <c r="AA196" s="73"/>
      <c r="AB196" s="73"/>
      <c r="AC196" s="74"/>
      <c r="AD196" s="80" t="s">
        <v>4373</v>
      </c>
      <c r="AE196" s="86" t="s">
        <v>5291</v>
      </c>
      <c r="AF196" s="80">
        <v>4714</v>
      </c>
      <c r="AG196" s="80">
        <v>16190</v>
      </c>
      <c r="AH196" s="80">
        <v>117354</v>
      </c>
      <c r="AI196" s="80">
        <v>231507</v>
      </c>
      <c r="AJ196" s="80"/>
      <c r="AK196" s="80" t="s">
        <v>6093</v>
      </c>
      <c r="AL196" s="80"/>
      <c r="AM196" s="80"/>
      <c r="AN196" s="80"/>
      <c r="AO196" s="82">
        <v>43997.487256944441</v>
      </c>
      <c r="AP196" s="84" t="str">
        <f>HYPERLINK("https://pbs.twimg.com/profile_banners/1272494372513148928/1629520282")</f>
        <v>https://pbs.twimg.com/profile_banners/1272494372513148928/1629520282</v>
      </c>
      <c r="AQ196" s="80" t="b">
        <v>1</v>
      </c>
      <c r="AR196" s="80" t="b">
        <v>0</v>
      </c>
      <c r="AS196" s="80" t="b">
        <v>1</v>
      </c>
      <c r="AT196" s="80"/>
      <c r="AU196" s="80">
        <v>3</v>
      </c>
      <c r="AV196" s="80"/>
      <c r="AW196" s="80" t="b">
        <v>0</v>
      </c>
      <c r="AX196" s="80" t="s">
        <v>7173</v>
      </c>
      <c r="AY196" s="84" t="str">
        <f>HYPERLINK("https://twitter.com/listy9021")</f>
        <v>https://twitter.com/listy9021</v>
      </c>
      <c r="AZ196" s="80" t="s">
        <v>66</v>
      </c>
      <c r="BA196" s="2"/>
      <c r="BB196" s="3"/>
      <c r="BC196" s="3"/>
      <c r="BD196" s="3"/>
      <c r="BE196" s="3"/>
    </row>
    <row r="197" spans="1:57" x14ac:dyDescent="0.35">
      <c r="A197" s="66" t="s">
        <v>342</v>
      </c>
      <c r="B197" s="67"/>
      <c r="C197" s="67"/>
      <c r="D197" s="68"/>
      <c r="E197" s="70"/>
      <c r="F197" s="106" t="str">
        <f>HYPERLINK("https://pbs.twimg.com/profile_images/1441603889057304588/YCg56qSX_normal.jpg")</f>
        <v>https://pbs.twimg.com/profile_images/1441603889057304588/YCg56qSX_normal.jpg</v>
      </c>
      <c r="G197" s="67"/>
      <c r="H197" s="71"/>
      <c r="I197" s="72"/>
      <c r="J197" s="72"/>
      <c r="K197" s="71" t="s">
        <v>7367</v>
      </c>
      <c r="L197" s="75"/>
      <c r="M197" s="76"/>
      <c r="N197" s="76"/>
      <c r="O197" s="77"/>
      <c r="P197" s="78"/>
      <c r="Q197" s="78"/>
      <c r="R197" s="90"/>
      <c r="S197" s="90"/>
      <c r="T197" s="90"/>
      <c r="U197" s="90"/>
      <c r="V197" s="52"/>
      <c r="W197" s="52"/>
      <c r="X197" s="52"/>
      <c r="Y197" s="52"/>
      <c r="Z197" s="51"/>
      <c r="AA197" s="73"/>
      <c r="AB197" s="73"/>
      <c r="AC197" s="74"/>
      <c r="AD197" s="80" t="s">
        <v>4374</v>
      </c>
      <c r="AE197" s="86" t="s">
        <v>5292</v>
      </c>
      <c r="AF197" s="80">
        <v>2175</v>
      </c>
      <c r="AG197" s="80">
        <v>2108</v>
      </c>
      <c r="AH197" s="80">
        <v>5059</v>
      </c>
      <c r="AI197" s="80">
        <v>8537</v>
      </c>
      <c r="AJ197" s="80"/>
      <c r="AK197" s="80" t="s">
        <v>6094</v>
      </c>
      <c r="AL197" s="80"/>
      <c r="AM197" s="80"/>
      <c r="AN197" s="80"/>
      <c r="AO197" s="82">
        <v>44087.395868055559</v>
      </c>
      <c r="AP197" s="84" t="str">
        <f>HYPERLINK("https://pbs.twimg.com/profile_banners/1305076157516099590/1631428852")</f>
        <v>https://pbs.twimg.com/profile_banners/1305076157516099590/1631428852</v>
      </c>
      <c r="AQ197" s="80" t="b">
        <v>1</v>
      </c>
      <c r="AR197" s="80" t="b">
        <v>0</v>
      </c>
      <c r="AS197" s="80" t="b">
        <v>0</v>
      </c>
      <c r="AT197" s="80"/>
      <c r="AU197" s="80">
        <v>0</v>
      </c>
      <c r="AV197" s="80"/>
      <c r="AW197" s="80" t="b">
        <v>0</v>
      </c>
      <c r="AX197" s="80" t="s">
        <v>7173</v>
      </c>
      <c r="AY197" s="84" t="str">
        <f>HYPERLINK("https://twitter.com/lembuso36194672")</f>
        <v>https://twitter.com/lembuso36194672</v>
      </c>
      <c r="AZ197" s="80" t="s">
        <v>66</v>
      </c>
      <c r="BA197" s="2"/>
      <c r="BB197" s="3"/>
      <c r="BC197" s="3"/>
      <c r="BD197" s="3"/>
      <c r="BE197" s="3"/>
    </row>
    <row r="198" spans="1:57" x14ac:dyDescent="0.35">
      <c r="A198" s="66" t="s">
        <v>343</v>
      </c>
      <c r="B198" s="67"/>
      <c r="C198" s="67"/>
      <c r="D198" s="68"/>
      <c r="E198" s="70"/>
      <c r="F198" s="106" t="str">
        <f>HYPERLINK("https://pbs.twimg.com/profile_images/1433461743838130176/DwJSddZP_normal.jpg")</f>
        <v>https://pbs.twimg.com/profile_images/1433461743838130176/DwJSddZP_normal.jpg</v>
      </c>
      <c r="G198" s="67"/>
      <c r="H198" s="71"/>
      <c r="I198" s="72"/>
      <c r="J198" s="72"/>
      <c r="K198" s="71" t="s">
        <v>7368</v>
      </c>
      <c r="L198" s="75"/>
      <c r="M198" s="76"/>
      <c r="N198" s="76"/>
      <c r="O198" s="77"/>
      <c r="P198" s="78"/>
      <c r="Q198" s="78"/>
      <c r="R198" s="90"/>
      <c r="S198" s="90"/>
      <c r="T198" s="90"/>
      <c r="U198" s="90"/>
      <c r="V198" s="52"/>
      <c r="W198" s="52"/>
      <c r="X198" s="52"/>
      <c r="Y198" s="52"/>
      <c r="Z198" s="51"/>
      <c r="AA198" s="73"/>
      <c r="AB198" s="73"/>
      <c r="AC198" s="74"/>
      <c r="AD198" s="80" t="s">
        <v>4375</v>
      </c>
      <c r="AE198" s="86" t="s">
        <v>5293</v>
      </c>
      <c r="AF198" s="80">
        <v>2804</v>
      </c>
      <c r="AG198" s="80">
        <v>2544</v>
      </c>
      <c r="AH198" s="80">
        <v>10962</v>
      </c>
      <c r="AI198" s="80">
        <v>6336</v>
      </c>
      <c r="AJ198" s="80"/>
      <c r="AK198" s="80" t="s">
        <v>6095</v>
      </c>
      <c r="AL198" s="80" t="s">
        <v>4145</v>
      </c>
      <c r="AM198" s="80"/>
      <c r="AN198" s="80"/>
      <c r="AO198" s="82">
        <v>43533.511724537035</v>
      </c>
      <c r="AP198" s="84" t="str">
        <f>HYPERLINK("https://pbs.twimg.com/profile_banners/1104355370506477569/1610174476")</f>
        <v>https://pbs.twimg.com/profile_banners/1104355370506477569/1610174476</v>
      </c>
      <c r="AQ198" s="80" t="b">
        <v>1</v>
      </c>
      <c r="AR198" s="80" t="b">
        <v>0</v>
      </c>
      <c r="AS198" s="80" t="b">
        <v>0</v>
      </c>
      <c r="AT198" s="80"/>
      <c r="AU198" s="80">
        <v>0</v>
      </c>
      <c r="AV198" s="80"/>
      <c r="AW198" s="80" t="b">
        <v>0</v>
      </c>
      <c r="AX198" s="80" t="s">
        <v>7173</v>
      </c>
      <c r="AY198" s="84" t="str">
        <f>HYPERLINK("https://twitter.com/gjxx41")</f>
        <v>https://twitter.com/gjxx41</v>
      </c>
      <c r="AZ198" s="80" t="s">
        <v>66</v>
      </c>
      <c r="BA198" s="2"/>
      <c r="BB198" s="3"/>
      <c r="BC198" s="3"/>
      <c r="BD198" s="3"/>
      <c r="BE198" s="3"/>
    </row>
    <row r="199" spans="1:57" x14ac:dyDescent="0.35">
      <c r="A199" s="66" t="s">
        <v>344</v>
      </c>
      <c r="B199" s="67"/>
      <c r="C199" s="67"/>
      <c r="D199" s="68"/>
      <c r="E199" s="70"/>
      <c r="F199" s="106" t="str">
        <f>HYPERLINK("https://pbs.twimg.com/profile_images/1430795504070184962/vW7Yb-wS_normal.jpg")</f>
        <v>https://pbs.twimg.com/profile_images/1430795504070184962/vW7Yb-wS_normal.jpg</v>
      </c>
      <c r="G199" s="67"/>
      <c r="H199" s="71"/>
      <c r="I199" s="72"/>
      <c r="J199" s="72"/>
      <c r="K199" s="71" t="s">
        <v>7369</v>
      </c>
      <c r="L199" s="75"/>
      <c r="M199" s="76"/>
      <c r="N199" s="76"/>
      <c r="O199" s="77"/>
      <c r="P199" s="78"/>
      <c r="Q199" s="78"/>
      <c r="R199" s="90"/>
      <c r="S199" s="90"/>
      <c r="T199" s="90"/>
      <c r="U199" s="90"/>
      <c r="V199" s="52"/>
      <c r="W199" s="52"/>
      <c r="X199" s="52"/>
      <c r="Y199" s="52"/>
      <c r="Z199" s="51"/>
      <c r="AA199" s="73"/>
      <c r="AB199" s="73"/>
      <c r="AC199" s="74"/>
      <c r="AD199" s="80" t="s">
        <v>4376</v>
      </c>
      <c r="AE199" s="86" t="s">
        <v>5294</v>
      </c>
      <c r="AF199" s="80">
        <v>1959</v>
      </c>
      <c r="AG199" s="80">
        <v>589</v>
      </c>
      <c r="AH199" s="80">
        <v>6358</v>
      </c>
      <c r="AI199" s="80">
        <v>7013</v>
      </c>
      <c r="AJ199" s="80"/>
      <c r="AK199" s="80" t="s">
        <v>6096</v>
      </c>
      <c r="AL199" s="80" t="s">
        <v>6854</v>
      </c>
      <c r="AM199" s="80"/>
      <c r="AN199" s="80"/>
      <c r="AO199" s="82">
        <v>44124.042303240742</v>
      </c>
      <c r="AP199" s="84" t="str">
        <f>HYPERLINK("https://pbs.twimg.com/profile_banners/1318356423550496768/1617584863")</f>
        <v>https://pbs.twimg.com/profile_banners/1318356423550496768/1617584863</v>
      </c>
      <c r="AQ199" s="80" t="b">
        <v>1</v>
      </c>
      <c r="AR199" s="80" t="b">
        <v>0</v>
      </c>
      <c r="AS199" s="80" t="b">
        <v>0</v>
      </c>
      <c r="AT199" s="80"/>
      <c r="AU199" s="80">
        <v>0</v>
      </c>
      <c r="AV199" s="80"/>
      <c r="AW199" s="80" t="b">
        <v>0</v>
      </c>
      <c r="AX199" s="80" t="s">
        <v>7173</v>
      </c>
      <c r="AY199" s="84" t="str">
        <f>HYPERLINK("https://twitter.com/lampahingurip")</f>
        <v>https://twitter.com/lampahingurip</v>
      </c>
      <c r="AZ199" s="80" t="s">
        <v>66</v>
      </c>
      <c r="BA199" s="2"/>
      <c r="BB199" s="3"/>
      <c r="BC199" s="3"/>
      <c r="BD199" s="3"/>
      <c r="BE199" s="3"/>
    </row>
    <row r="200" spans="1:57" x14ac:dyDescent="0.35">
      <c r="A200" s="66" t="s">
        <v>345</v>
      </c>
      <c r="B200" s="67"/>
      <c r="C200" s="67"/>
      <c r="D200" s="68"/>
      <c r="E200" s="70"/>
      <c r="F200" s="106" t="str">
        <f>HYPERLINK("https://pbs.twimg.com/profile_images/1433299418287992838/gFK2agEG_normal.jpg")</f>
        <v>https://pbs.twimg.com/profile_images/1433299418287992838/gFK2agEG_normal.jpg</v>
      </c>
      <c r="G200" s="67"/>
      <c r="H200" s="71"/>
      <c r="I200" s="72"/>
      <c r="J200" s="72"/>
      <c r="K200" s="71" t="s">
        <v>7370</v>
      </c>
      <c r="L200" s="75"/>
      <c r="M200" s="76"/>
      <c r="N200" s="76"/>
      <c r="O200" s="77"/>
      <c r="P200" s="78"/>
      <c r="Q200" s="78"/>
      <c r="R200" s="90"/>
      <c r="S200" s="90"/>
      <c r="T200" s="90"/>
      <c r="U200" s="90"/>
      <c r="V200" s="52"/>
      <c r="W200" s="52"/>
      <c r="X200" s="52"/>
      <c r="Y200" s="52"/>
      <c r="Z200" s="51"/>
      <c r="AA200" s="73"/>
      <c r="AB200" s="73"/>
      <c r="AC200" s="74"/>
      <c r="AD200" s="80" t="s">
        <v>4377</v>
      </c>
      <c r="AE200" s="86" t="s">
        <v>5295</v>
      </c>
      <c r="AF200" s="80">
        <v>787</v>
      </c>
      <c r="AG200" s="80">
        <v>213</v>
      </c>
      <c r="AH200" s="80">
        <v>1512</v>
      </c>
      <c r="AI200" s="80">
        <v>1412</v>
      </c>
      <c r="AJ200" s="80"/>
      <c r="AK200" s="80" t="s">
        <v>6097</v>
      </c>
      <c r="AL200" s="80" t="s">
        <v>6805</v>
      </c>
      <c r="AM200" s="80"/>
      <c r="AN200" s="80"/>
      <c r="AO200" s="82">
        <v>43814.408773148149</v>
      </c>
      <c r="AP200" s="84" t="str">
        <f>HYPERLINK("https://pbs.twimg.com/profile_banners/1206148923686969347/1589576530")</f>
        <v>https://pbs.twimg.com/profile_banners/1206148923686969347/1589576530</v>
      </c>
      <c r="AQ200" s="80" t="b">
        <v>1</v>
      </c>
      <c r="AR200" s="80" t="b">
        <v>0</v>
      </c>
      <c r="AS200" s="80" t="b">
        <v>0</v>
      </c>
      <c r="AT200" s="80"/>
      <c r="AU200" s="80">
        <v>0</v>
      </c>
      <c r="AV200" s="80"/>
      <c r="AW200" s="80" t="b">
        <v>0</v>
      </c>
      <c r="AX200" s="80" t="s">
        <v>7173</v>
      </c>
      <c r="AY200" s="84" t="str">
        <f>HYPERLINK("https://twitter.com/boytanj95264248")</f>
        <v>https://twitter.com/boytanj95264248</v>
      </c>
      <c r="AZ200" s="80" t="s">
        <v>66</v>
      </c>
      <c r="BA200" s="2"/>
      <c r="BB200" s="3"/>
      <c r="BC200" s="3"/>
      <c r="BD200" s="3"/>
      <c r="BE200" s="3"/>
    </row>
    <row r="201" spans="1:57" x14ac:dyDescent="0.35">
      <c r="A201" s="66" t="s">
        <v>346</v>
      </c>
      <c r="B201" s="67"/>
      <c r="C201" s="67"/>
      <c r="D201" s="68"/>
      <c r="E201" s="70"/>
      <c r="F201" s="106" t="str">
        <f>HYPERLINK("https://pbs.twimg.com/profile_images/1390340574188752898/Lu3BoBDh_normal.jpg")</f>
        <v>https://pbs.twimg.com/profile_images/1390340574188752898/Lu3BoBDh_normal.jpg</v>
      </c>
      <c r="G201" s="67"/>
      <c r="H201" s="71"/>
      <c r="I201" s="72"/>
      <c r="J201" s="72"/>
      <c r="K201" s="71" t="s">
        <v>7371</v>
      </c>
      <c r="L201" s="75"/>
      <c r="M201" s="76"/>
      <c r="N201" s="76"/>
      <c r="O201" s="77"/>
      <c r="P201" s="78"/>
      <c r="Q201" s="78"/>
      <c r="R201" s="90"/>
      <c r="S201" s="90"/>
      <c r="T201" s="90"/>
      <c r="U201" s="90"/>
      <c r="V201" s="52"/>
      <c r="W201" s="52"/>
      <c r="X201" s="52"/>
      <c r="Y201" s="52"/>
      <c r="Z201" s="51"/>
      <c r="AA201" s="73"/>
      <c r="AB201" s="73"/>
      <c r="AC201" s="74"/>
      <c r="AD201" s="80" t="s">
        <v>4378</v>
      </c>
      <c r="AE201" s="86" t="s">
        <v>5296</v>
      </c>
      <c r="AF201" s="80">
        <v>3476</v>
      </c>
      <c r="AG201" s="80">
        <v>2829</v>
      </c>
      <c r="AH201" s="80">
        <v>8971</v>
      </c>
      <c r="AI201" s="80">
        <v>15698</v>
      </c>
      <c r="AJ201" s="80"/>
      <c r="AK201" s="80" t="s">
        <v>6098</v>
      </c>
      <c r="AL201" s="80" t="s">
        <v>6785</v>
      </c>
      <c r="AM201" s="80"/>
      <c r="AN201" s="80"/>
      <c r="AO201" s="82">
        <v>44193.482638888891</v>
      </c>
      <c r="AP201" s="84" t="str">
        <f>HYPERLINK("https://pbs.twimg.com/profile_banners/1343520719825641472/1628831698")</f>
        <v>https://pbs.twimg.com/profile_banners/1343520719825641472/1628831698</v>
      </c>
      <c r="AQ201" s="80" t="b">
        <v>1</v>
      </c>
      <c r="AR201" s="80" t="b">
        <v>0</v>
      </c>
      <c r="AS201" s="80" t="b">
        <v>0</v>
      </c>
      <c r="AT201" s="80"/>
      <c r="AU201" s="80">
        <v>2</v>
      </c>
      <c r="AV201" s="80"/>
      <c r="AW201" s="80" t="b">
        <v>0</v>
      </c>
      <c r="AX201" s="80" t="s">
        <v>7173</v>
      </c>
      <c r="AY201" s="84" t="str">
        <f>HYPERLINK("https://twitter.com/lewan_p")</f>
        <v>https://twitter.com/lewan_p</v>
      </c>
      <c r="AZ201" s="80" t="s">
        <v>66</v>
      </c>
      <c r="BA201" s="2"/>
      <c r="BB201" s="3"/>
      <c r="BC201" s="3"/>
      <c r="BD201" s="3"/>
      <c r="BE201" s="3"/>
    </row>
    <row r="202" spans="1:57" x14ac:dyDescent="0.35">
      <c r="A202" s="66" t="s">
        <v>347</v>
      </c>
      <c r="B202" s="67"/>
      <c r="C202" s="67"/>
      <c r="D202" s="68"/>
      <c r="E202" s="70"/>
      <c r="F202" s="106" t="str">
        <f>HYPERLINK("https://pbs.twimg.com/profile_images/1399174634587623432/fq4ZQD3O_normal.jpg")</f>
        <v>https://pbs.twimg.com/profile_images/1399174634587623432/fq4ZQD3O_normal.jpg</v>
      </c>
      <c r="G202" s="67"/>
      <c r="H202" s="71"/>
      <c r="I202" s="72"/>
      <c r="J202" s="72"/>
      <c r="K202" s="71" t="s">
        <v>7372</v>
      </c>
      <c r="L202" s="75"/>
      <c r="M202" s="76"/>
      <c r="N202" s="76"/>
      <c r="O202" s="77"/>
      <c r="P202" s="78"/>
      <c r="Q202" s="78"/>
      <c r="R202" s="90"/>
      <c r="S202" s="90"/>
      <c r="T202" s="90"/>
      <c r="U202" s="90"/>
      <c r="V202" s="52"/>
      <c r="W202" s="52"/>
      <c r="X202" s="52"/>
      <c r="Y202" s="52"/>
      <c r="Z202" s="51"/>
      <c r="AA202" s="73"/>
      <c r="AB202" s="73"/>
      <c r="AC202" s="74"/>
      <c r="AD202" s="80" t="s">
        <v>4379</v>
      </c>
      <c r="AE202" s="86" t="s">
        <v>5297</v>
      </c>
      <c r="AF202" s="80">
        <v>2030</v>
      </c>
      <c r="AG202" s="80">
        <v>1805</v>
      </c>
      <c r="AH202" s="80">
        <v>1133</v>
      </c>
      <c r="AI202" s="80">
        <v>6734</v>
      </c>
      <c r="AJ202" s="80"/>
      <c r="AK202" s="80" t="s">
        <v>6099</v>
      </c>
      <c r="AL202" s="80" t="s">
        <v>6855</v>
      </c>
      <c r="AM202" s="80"/>
      <c r="AN202" s="80"/>
      <c r="AO202" s="82">
        <v>44306.15966435185</v>
      </c>
      <c r="AP202" s="84" t="str">
        <f>HYPERLINK("https://pbs.twimg.com/profile_banners/1384353546737356808/1618892373")</f>
        <v>https://pbs.twimg.com/profile_banners/1384353546737356808/1618892373</v>
      </c>
      <c r="AQ202" s="80" t="b">
        <v>1</v>
      </c>
      <c r="AR202" s="80" t="b">
        <v>0</v>
      </c>
      <c r="AS202" s="80" t="b">
        <v>0</v>
      </c>
      <c r="AT202" s="80"/>
      <c r="AU202" s="80">
        <v>0</v>
      </c>
      <c r="AV202" s="80"/>
      <c r="AW202" s="80" t="b">
        <v>0</v>
      </c>
      <c r="AX202" s="80" t="s">
        <v>7173</v>
      </c>
      <c r="AY202" s="84" t="str">
        <f>HYPERLINK("https://twitter.com/wonk_jawi")</f>
        <v>https://twitter.com/wonk_jawi</v>
      </c>
      <c r="AZ202" s="80" t="s">
        <v>66</v>
      </c>
      <c r="BA202" s="2"/>
      <c r="BB202" s="3"/>
      <c r="BC202" s="3"/>
      <c r="BD202" s="3"/>
      <c r="BE202" s="3"/>
    </row>
    <row r="203" spans="1:57" x14ac:dyDescent="0.35">
      <c r="A203" s="66" t="s">
        <v>348</v>
      </c>
      <c r="B203" s="67"/>
      <c r="C203" s="67"/>
      <c r="D203" s="68"/>
      <c r="E203" s="70"/>
      <c r="F203" s="106" t="str">
        <f>HYPERLINK("https://pbs.twimg.com/profile_images/1436196149048668171/FBrsUiKY_normal.jpg")</f>
        <v>https://pbs.twimg.com/profile_images/1436196149048668171/FBrsUiKY_normal.jpg</v>
      </c>
      <c r="G203" s="67"/>
      <c r="H203" s="71"/>
      <c r="I203" s="72"/>
      <c r="J203" s="72"/>
      <c r="K203" s="71" t="s">
        <v>7373</v>
      </c>
      <c r="L203" s="75"/>
      <c r="M203" s="76"/>
      <c r="N203" s="76"/>
      <c r="O203" s="77"/>
      <c r="P203" s="78"/>
      <c r="Q203" s="78"/>
      <c r="R203" s="90"/>
      <c r="S203" s="90"/>
      <c r="T203" s="90"/>
      <c r="U203" s="90"/>
      <c r="V203" s="52"/>
      <c r="W203" s="52"/>
      <c r="X203" s="52"/>
      <c r="Y203" s="52"/>
      <c r="Z203" s="51"/>
      <c r="AA203" s="73"/>
      <c r="AB203" s="73"/>
      <c r="AC203" s="74"/>
      <c r="AD203" s="80" t="s">
        <v>4380</v>
      </c>
      <c r="AE203" s="86" t="s">
        <v>5298</v>
      </c>
      <c r="AF203" s="80">
        <v>586</v>
      </c>
      <c r="AG203" s="80">
        <v>350</v>
      </c>
      <c r="AH203" s="80">
        <v>587</v>
      </c>
      <c r="AI203" s="80">
        <v>396</v>
      </c>
      <c r="AJ203" s="80"/>
      <c r="AK203" s="80" t="s">
        <v>6100</v>
      </c>
      <c r="AL203" s="80" t="s">
        <v>6856</v>
      </c>
      <c r="AM203" s="80"/>
      <c r="AN203" s="80"/>
      <c r="AO203" s="82">
        <v>44449.14199074074</v>
      </c>
      <c r="AP203" s="84" t="str">
        <f>HYPERLINK("https://pbs.twimg.com/profile_banners/1436168580412829697/1631245013")</f>
        <v>https://pbs.twimg.com/profile_banners/1436168580412829697/1631245013</v>
      </c>
      <c r="AQ203" s="80" t="b">
        <v>1</v>
      </c>
      <c r="AR203" s="80" t="b">
        <v>0</v>
      </c>
      <c r="AS203" s="80" t="b">
        <v>1</v>
      </c>
      <c r="AT203" s="80"/>
      <c r="AU203" s="80">
        <v>0</v>
      </c>
      <c r="AV203" s="80"/>
      <c r="AW203" s="80" t="b">
        <v>0</v>
      </c>
      <c r="AX203" s="80" t="s">
        <v>7173</v>
      </c>
      <c r="AY203" s="84" t="str">
        <f>HYPERLINK("https://twitter.com/kuasaangin02")</f>
        <v>https://twitter.com/kuasaangin02</v>
      </c>
      <c r="AZ203" s="80" t="s">
        <v>66</v>
      </c>
      <c r="BA203" s="2"/>
      <c r="BB203" s="3"/>
      <c r="BC203" s="3"/>
      <c r="BD203" s="3"/>
      <c r="BE203" s="3"/>
    </row>
    <row r="204" spans="1:57" x14ac:dyDescent="0.35">
      <c r="A204" s="66" t="s">
        <v>349</v>
      </c>
      <c r="B204" s="67"/>
      <c r="C204" s="67"/>
      <c r="D204" s="68"/>
      <c r="E204" s="70"/>
      <c r="F204" s="106" t="str">
        <f>HYPERLINK("https://pbs.twimg.com/profile_images/1135115153257582592/9U24Yc7K_normal.jpg")</f>
        <v>https://pbs.twimg.com/profile_images/1135115153257582592/9U24Yc7K_normal.jpg</v>
      </c>
      <c r="G204" s="67"/>
      <c r="H204" s="71"/>
      <c r="I204" s="72"/>
      <c r="J204" s="72"/>
      <c r="K204" s="71" t="s">
        <v>7374</v>
      </c>
      <c r="L204" s="75"/>
      <c r="M204" s="76"/>
      <c r="N204" s="76"/>
      <c r="O204" s="77"/>
      <c r="P204" s="78"/>
      <c r="Q204" s="78"/>
      <c r="R204" s="90"/>
      <c r="S204" s="90"/>
      <c r="T204" s="90"/>
      <c r="U204" s="90"/>
      <c r="V204" s="52"/>
      <c r="W204" s="52"/>
      <c r="X204" s="52"/>
      <c r="Y204" s="52"/>
      <c r="Z204" s="51"/>
      <c r="AA204" s="73"/>
      <c r="AB204" s="73"/>
      <c r="AC204" s="74"/>
      <c r="AD204" s="80" t="s">
        <v>4381</v>
      </c>
      <c r="AE204" s="86" t="s">
        <v>5299</v>
      </c>
      <c r="AF204" s="80">
        <v>649</v>
      </c>
      <c r="AG204" s="80">
        <v>490</v>
      </c>
      <c r="AH204" s="80">
        <v>5762</v>
      </c>
      <c r="AI204" s="80">
        <v>4562</v>
      </c>
      <c r="AJ204" s="80"/>
      <c r="AK204" s="80"/>
      <c r="AL204" s="80"/>
      <c r="AM204" s="80"/>
      <c r="AN204" s="80"/>
      <c r="AO204" s="82">
        <v>42151.678495370368</v>
      </c>
      <c r="AP204" s="84" t="str">
        <f>HYPERLINK("https://pbs.twimg.com/profile_banners/3300521847/1559467398")</f>
        <v>https://pbs.twimg.com/profile_banners/3300521847/1559467398</v>
      </c>
      <c r="AQ204" s="80" t="b">
        <v>1</v>
      </c>
      <c r="AR204" s="80" t="b">
        <v>0</v>
      </c>
      <c r="AS204" s="80" t="b">
        <v>0</v>
      </c>
      <c r="AT204" s="80"/>
      <c r="AU204" s="80">
        <v>0</v>
      </c>
      <c r="AV204" s="84" t="str">
        <f>HYPERLINK("https://abs.twimg.com/images/themes/theme1/bg.png")</f>
        <v>https://abs.twimg.com/images/themes/theme1/bg.png</v>
      </c>
      <c r="AW204" s="80" t="b">
        <v>0</v>
      </c>
      <c r="AX204" s="80" t="s">
        <v>7173</v>
      </c>
      <c r="AY204" s="84" t="str">
        <f>HYPERLINK("https://twitter.com/fs_fms")</f>
        <v>https://twitter.com/fs_fms</v>
      </c>
      <c r="AZ204" s="80" t="s">
        <v>66</v>
      </c>
      <c r="BA204" s="2"/>
      <c r="BB204" s="3"/>
      <c r="BC204" s="3"/>
      <c r="BD204" s="3"/>
      <c r="BE204" s="3"/>
    </row>
    <row r="205" spans="1:57" x14ac:dyDescent="0.35">
      <c r="A205" s="66" t="s">
        <v>350</v>
      </c>
      <c r="B205" s="67"/>
      <c r="C205" s="67"/>
      <c r="D205" s="68"/>
      <c r="E205" s="70"/>
      <c r="F205" s="106" t="str">
        <f>HYPERLINK("https://pbs.twimg.com/profile_images/947697786123821056/XsKtt7Ef_normal.jpg")</f>
        <v>https://pbs.twimg.com/profile_images/947697786123821056/XsKtt7Ef_normal.jpg</v>
      </c>
      <c r="G205" s="67"/>
      <c r="H205" s="71"/>
      <c r="I205" s="72"/>
      <c r="J205" s="72"/>
      <c r="K205" s="71" t="s">
        <v>7375</v>
      </c>
      <c r="L205" s="75"/>
      <c r="M205" s="76"/>
      <c r="N205" s="76"/>
      <c r="O205" s="77"/>
      <c r="P205" s="78"/>
      <c r="Q205" s="78"/>
      <c r="R205" s="90"/>
      <c r="S205" s="90"/>
      <c r="T205" s="90"/>
      <c r="U205" s="90"/>
      <c r="V205" s="52"/>
      <c r="W205" s="52"/>
      <c r="X205" s="52"/>
      <c r="Y205" s="52"/>
      <c r="Z205" s="51"/>
      <c r="AA205" s="73"/>
      <c r="AB205" s="73"/>
      <c r="AC205" s="74"/>
      <c r="AD205" s="80" t="s">
        <v>4382</v>
      </c>
      <c r="AE205" s="86" t="s">
        <v>5300</v>
      </c>
      <c r="AF205" s="80">
        <v>3996</v>
      </c>
      <c r="AG205" s="80">
        <v>2790</v>
      </c>
      <c r="AH205" s="80">
        <v>43795</v>
      </c>
      <c r="AI205" s="80">
        <v>51907</v>
      </c>
      <c r="AJ205" s="80"/>
      <c r="AK205" s="80" t="s">
        <v>6101</v>
      </c>
      <c r="AL205" s="80" t="s">
        <v>4145</v>
      </c>
      <c r="AM205" s="80"/>
      <c r="AN205" s="80"/>
      <c r="AO205" s="82">
        <v>43080.469652777778</v>
      </c>
      <c r="AP205" s="84" t="str">
        <f>HYPERLINK("https://pbs.twimg.com/profile_banners/940178423380451328/1566993123")</f>
        <v>https://pbs.twimg.com/profile_banners/940178423380451328/1566993123</v>
      </c>
      <c r="AQ205" s="80" t="b">
        <v>1</v>
      </c>
      <c r="AR205" s="80" t="b">
        <v>0</v>
      </c>
      <c r="AS205" s="80" t="b">
        <v>0</v>
      </c>
      <c r="AT205" s="80"/>
      <c r="AU205" s="80">
        <v>0</v>
      </c>
      <c r="AV205" s="80"/>
      <c r="AW205" s="80" t="b">
        <v>0</v>
      </c>
      <c r="AX205" s="80" t="s">
        <v>7173</v>
      </c>
      <c r="AY205" s="84" t="str">
        <f>HYPERLINK("https://twitter.com/atha879")</f>
        <v>https://twitter.com/atha879</v>
      </c>
      <c r="AZ205" s="80" t="s">
        <v>66</v>
      </c>
      <c r="BA205" s="2"/>
      <c r="BB205" s="3"/>
      <c r="BC205" s="3"/>
      <c r="BD205" s="3"/>
      <c r="BE205" s="3"/>
    </row>
    <row r="206" spans="1:57" x14ac:dyDescent="0.35">
      <c r="A206" s="66" t="s">
        <v>351</v>
      </c>
      <c r="B206" s="67"/>
      <c r="C206" s="67"/>
      <c r="D206" s="68"/>
      <c r="E206" s="70"/>
      <c r="F206" s="106" t="str">
        <f>HYPERLINK("https://pbs.twimg.com/profile_images/1437712212492120068/GMSsy_nr_normal.jpg")</f>
        <v>https://pbs.twimg.com/profile_images/1437712212492120068/GMSsy_nr_normal.jpg</v>
      </c>
      <c r="G206" s="67"/>
      <c r="H206" s="71"/>
      <c r="I206" s="72"/>
      <c r="J206" s="72"/>
      <c r="K206" s="71" t="s">
        <v>7376</v>
      </c>
      <c r="L206" s="75"/>
      <c r="M206" s="76"/>
      <c r="N206" s="76"/>
      <c r="O206" s="77"/>
      <c r="P206" s="78"/>
      <c r="Q206" s="78"/>
      <c r="R206" s="90"/>
      <c r="S206" s="90"/>
      <c r="T206" s="90"/>
      <c r="U206" s="90"/>
      <c r="V206" s="52"/>
      <c r="W206" s="52"/>
      <c r="X206" s="52"/>
      <c r="Y206" s="52"/>
      <c r="Z206" s="51"/>
      <c r="AA206" s="73"/>
      <c r="AB206" s="73"/>
      <c r="AC206" s="74"/>
      <c r="AD206" s="80" t="s">
        <v>4383</v>
      </c>
      <c r="AE206" s="86" t="s">
        <v>5301</v>
      </c>
      <c r="AF206" s="80">
        <v>7786</v>
      </c>
      <c r="AG206" s="80">
        <v>7102</v>
      </c>
      <c r="AH206" s="80">
        <v>45489</v>
      </c>
      <c r="AI206" s="80">
        <v>71011</v>
      </c>
      <c r="AJ206" s="80"/>
      <c r="AK206" s="80" t="s">
        <v>6102</v>
      </c>
      <c r="AL206" s="80"/>
      <c r="AM206" s="80"/>
      <c r="AN206" s="80"/>
      <c r="AO206" s="82">
        <v>43487.244791666664</v>
      </c>
      <c r="AP206" s="84" t="str">
        <f>HYPERLINK("https://pbs.twimg.com/profile_banners/1087588796479070208/1630476326")</f>
        <v>https://pbs.twimg.com/profile_banners/1087588796479070208/1630476326</v>
      </c>
      <c r="AQ206" s="80" t="b">
        <v>1</v>
      </c>
      <c r="AR206" s="80" t="b">
        <v>0</v>
      </c>
      <c r="AS206" s="80" t="b">
        <v>1</v>
      </c>
      <c r="AT206" s="80"/>
      <c r="AU206" s="80">
        <v>0</v>
      </c>
      <c r="AV206" s="80"/>
      <c r="AW206" s="80" t="b">
        <v>0</v>
      </c>
      <c r="AX206" s="80" t="s">
        <v>7173</v>
      </c>
      <c r="AY206" s="84" t="str">
        <f>HYPERLINK("https://twitter.com/syanazmanis")</f>
        <v>https://twitter.com/syanazmanis</v>
      </c>
      <c r="AZ206" s="80" t="s">
        <v>66</v>
      </c>
      <c r="BA206" s="2"/>
      <c r="BB206" s="3"/>
      <c r="BC206" s="3"/>
      <c r="BD206" s="3"/>
      <c r="BE206" s="3"/>
    </row>
    <row r="207" spans="1:57" x14ac:dyDescent="0.35">
      <c r="A207" s="66" t="s">
        <v>352</v>
      </c>
      <c r="B207" s="67"/>
      <c r="C207" s="67"/>
      <c r="D207" s="68"/>
      <c r="E207" s="70"/>
      <c r="F207" s="106" t="str">
        <f>HYPERLINK("https://pbs.twimg.com/profile_images/1410274630602919938/6iXnRKRN_normal.jpg")</f>
        <v>https://pbs.twimg.com/profile_images/1410274630602919938/6iXnRKRN_normal.jpg</v>
      </c>
      <c r="G207" s="67"/>
      <c r="H207" s="71"/>
      <c r="I207" s="72"/>
      <c r="J207" s="72"/>
      <c r="K207" s="71" t="s">
        <v>7377</v>
      </c>
      <c r="L207" s="75"/>
      <c r="M207" s="76"/>
      <c r="N207" s="76"/>
      <c r="O207" s="77"/>
      <c r="P207" s="78"/>
      <c r="Q207" s="78"/>
      <c r="R207" s="90"/>
      <c r="S207" s="90"/>
      <c r="T207" s="90"/>
      <c r="U207" s="90"/>
      <c r="V207" s="52"/>
      <c r="W207" s="52"/>
      <c r="X207" s="52"/>
      <c r="Y207" s="52"/>
      <c r="Z207" s="51"/>
      <c r="AA207" s="73"/>
      <c r="AB207" s="73"/>
      <c r="AC207" s="74"/>
      <c r="AD207" s="80" t="s">
        <v>4384</v>
      </c>
      <c r="AE207" s="86" t="s">
        <v>5302</v>
      </c>
      <c r="AF207" s="80">
        <v>1392</v>
      </c>
      <c r="AG207" s="80">
        <v>1253</v>
      </c>
      <c r="AH207" s="80">
        <v>1613</v>
      </c>
      <c r="AI207" s="80">
        <v>4229</v>
      </c>
      <c r="AJ207" s="80"/>
      <c r="AK207" s="80" t="s">
        <v>6103</v>
      </c>
      <c r="AL207" s="80" t="s">
        <v>6857</v>
      </c>
      <c r="AM207" s="80"/>
      <c r="AN207" s="80"/>
      <c r="AO207" s="82">
        <v>44377.684328703705</v>
      </c>
      <c r="AP207" s="84" t="str">
        <f>HYPERLINK("https://pbs.twimg.com/profile_banners/1410273169307365376/1627803649")</f>
        <v>https://pbs.twimg.com/profile_banners/1410273169307365376/1627803649</v>
      </c>
      <c r="AQ207" s="80" t="b">
        <v>1</v>
      </c>
      <c r="AR207" s="80" t="b">
        <v>0</v>
      </c>
      <c r="AS207" s="80" t="b">
        <v>0</v>
      </c>
      <c r="AT207" s="80"/>
      <c r="AU207" s="80">
        <v>0</v>
      </c>
      <c r="AV207" s="80"/>
      <c r="AW207" s="80" t="b">
        <v>0</v>
      </c>
      <c r="AX207" s="80" t="s">
        <v>7173</v>
      </c>
      <c r="AY207" s="84" t="str">
        <f>HYPERLINK("https://twitter.com/mark_zepper")</f>
        <v>https://twitter.com/mark_zepper</v>
      </c>
      <c r="AZ207" s="80" t="s">
        <v>66</v>
      </c>
      <c r="BA207" s="2"/>
      <c r="BB207" s="3"/>
      <c r="BC207" s="3"/>
      <c r="BD207" s="3"/>
      <c r="BE207" s="3"/>
    </row>
    <row r="208" spans="1:57" x14ac:dyDescent="0.35">
      <c r="A208" s="66" t="s">
        <v>353</v>
      </c>
      <c r="B208" s="67"/>
      <c r="C208" s="67"/>
      <c r="D208" s="68"/>
      <c r="E208" s="70"/>
      <c r="F208" s="106" t="str">
        <f>HYPERLINK("https://pbs.twimg.com/profile_images/1430581626019319812/fCbwL8Hy_normal.jpg")</f>
        <v>https://pbs.twimg.com/profile_images/1430581626019319812/fCbwL8Hy_normal.jpg</v>
      </c>
      <c r="G208" s="67"/>
      <c r="H208" s="71"/>
      <c r="I208" s="72"/>
      <c r="J208" s="72"/>
      <c r="K208" s="71" t="s">
        <v>7378</v>
      </c>
      <c r="L208" s="75"/>
      <c r="M208" s="76"/>
      <c r="N208" s="76"/>
      <c r="O208" s="77"/>
      <c r="P208" s="78"/>
      <c r="Q208" s="78"/>
      <c r="R208" s="90"/>
      <c r="S208" s="90"/>
      <c r="T208" s="90"/>
      <c r="U208" s="90"/>
      <c r="V208" s="52"/>
      <c r="W208" s="52"/>
      <c r="X208" s="52"/>
      <c r="Y208" s="52"/>
      <c r="Z208" s="51"/>
      <c r="AA208" s="73"/>
      <c r="AB208" s="73"/>
      <c r="AC208" s="74"/>
      <c r="AD208" s="80" t="s">
        <v>4385</v>
      </c>
      <c r="AE208" s="86" t="s">
        <v>5303</v>
      </c>
      <c r="AF208" s="80">
        <v>297</v>
      </c>
      <c r="AG208" s="80">
        <v>105</v>
      </c>
      <c r="AH208" s="80">
        <v>2504</v>
      </c>
      <c r="AI208" s="80">
        <v>7192</v>
      </c>
      <c r="AJ208" s="80"/>
      <c r="AK208" s="80" t="s">
        <v>6104</v>
      </c>
      <c r="AL208" s="80"/>
      <c r="AM208" s="80"/>
      <c r="AN208" s="80"/>
      <c r="AO208" s="82">
        <v>44347.783217592594</v>
      </c>
      <c r="AP208" s="84" t="str">
        <f>HYPERLINK("https://pbs.twimg.com/profile_banners/1399437305572577280/1625407183")</f>
        <v>https://pbs.twimg.com/profile_banners/1399437305572577280/1625407183</v>
      </c>
      <c r="AQ208" s="80" t="b">
        <v>1</v>
      </c>
      <c r="AR208" s="80" t="b">
        <v>0</v>
      </c>
      <c r="AS208" s="80" t="b">
        <v>0</v>
      </c>
      <c r="AT208" s="80"/>
      <c r="AU208" s="80">
        <v>0</v>
      </c>
      <c r="AV208" s="80"/>
      <c r="AW208" s="80" t="b">
        <v>0</v>
      </c>
      <c r="AX208" s="80" t="s">
        <v>7173</v>
      </c>
      <c r="AY208" s="84" t="str">
        <f>HYPERLINK("https://twitter.com/telorfadar")</f>
        <v>https://twitter.com/telorfadar</v>
      </c>
      <c r="AZ208" s="80" t="s">
        <v>66</v>
      </c>
      <c r="BA208" s="2"/>
      <c r="BB208" s="3"/>
      <c r="BC208" s="3"/>
      <c r="BD208" s="3"/>
      <c r="BE208" s="3"/>
    </row>
    <row r="209" spans="1:57" x14ac:dyDescent="0.35">
      <c r="A209" s="66" t="s">
        <v>354</v>
      </c>
      <c r="B209" s="67"/>
      <c r="C209" s="67"/>
      <c r="D209" s="68"/>
      <c r="E209" s="70"/>
      <c r="F209" s="106" t="str">
        <f>HYPERLINK("https://pbs.twimg.com/profile_images/1408831249725091846/kXGGSQ8b_normal.jpg")</f>
        <v>https://pbs.twimg.com/profile_images/1408831249725091846/kXGGSQ8b_normal.jpg</v>
      </c>
      <c r="G209" s="67"/>
      <c r="H209" s="71"/>
      <c r="I209" s="72"/>
      <c r="J209" s="72"/>
      <c r="K209" s="71" t="s">
        <v>7379</v>
      </c>
      <c r="L209" s="75"/>
      <c r="M209" s="76"/>
      <c r="N209" s="76"/>
      <c r="O209" s="77"/>
      <c r="P209" s="78"/>
      <c r="Q209" s="78"/>
      <c r="R209" s="90"/>
      <c r="S209" s="90"/>
      <c r="T209" s="90"/>
      <c r="U209" s="90"/>
      <c r="V209" s="52"/>
      <c r="W209" s="52"/>
      <c r="X209" s="52"/>
      <c r="Y209" s="52"/>
      <c r="Z209" s="51"/>
      <c r="AA209" s="73"/>
      <c r="AB209" s="73"/>
      <c r="AC209" s="74"/>
      <c r="AD209" s="80" t="s">
        <v>4386</v>
      </c>
      <c r="AE209" s="86" t="s">
        <v>5304</v>
      </c>
      <c r="AF209" s="80">
        <v>714</v>
      </c>
      <c r="AG209" s="80">
        <v>632</v>
      </c>
      <c r="AH209" s="80">
        <v>9787</v>
      </c>
      <c r="AI209" s="80">
        <v>38412</v>
      </c>
      <c r="AJ209" s="80"/>
      <c r="AK209" s="80" t="s">
        <v>6105</v>
      </c>
      <c r="AL209" s="80"/>
      <c r="AM209" s="80"/>
      <c r="AN209" s="80"/>
      <c r="AO209" s="82">
        <v>43791.584618055553</v>
      </c>
      <c r="AP209" s="80"/>
      <c r="AQ209" s="80" t="b">
        <v>1</v>
      </c>
      <c r="AR209" s="80" t="b">
        <v>0</v>
      </c>
      <c r="AS209" s="80" t="b">
        <v>0</v>
      </c>
      <c r="AT209" s="80"/>
      <c r="AU209" s="80">
        <v>0</v>
      </c>
      <c r="AV209" s="80"/>
      <c r="AW209" s="80" t="b">
        <v>0</v>
      </c>
      <c r="AX209" s="80" t="s">
        <v>7173</v>
      </c>
      <c r="AY209" s="84" t="str">
        <f>HYPERLINK("https://twitter.com/umbetik")</f>
        <v>https://twitter.com/umbetik</v>
      </c>
      <c r="AZ209" s="80" t="s">
        <v>66</v>
      </c>
      <c r="BA209" s="2"/>
      <c r="BB209" s="3"/>
      <c r="BC209" s="3"/>
      <c r="BD209" s="3"/>
      <c r="BE209" s="3"/>
    </row>
    <row r="210" spans="1:57" x14ac:dyDescent="0.35">
      <c r="A210" s="66" t="s">
        <v>355</v>
      </c>
      <c r="B210" s="67"/>
      <c r="C210" s="67"/>
      <c r="D210" s="68"/>
      <c r="E210" s="70"/>
      <c r="F210" s="106" t="str">
        <f>HYPERLINK("https://pbs.twimg.com/profile_images/1408993038597124096/iBf2D5Wn_normal.jpg")</f>
        <v>https://pbs.twimg.com/profile_images/1408993038597124096/iBf2D5Wn_normal.jpg</v>
      </c>
      <c r="G210" s="67"/>
      <c r="H210" s="71"/>
      <c r="I210" s="72"/>
      <c r="J210" s="72"/>
      <c r="K210" s="71" t="s">
        <v>7380</v>
      </c>
      <c r="L210" s="75"/>
      <c r="M210" s="76"/>
      <c r="N210" s="76"/>
      <c r="O210" s="77"/>
      <c r="P210" s="78"/>
      <c r="Q210" s="78"/>
      <c r="R210" s="90"/>
      <c r="S210" s="90"/>
      <c r="T210" s="90"/>
      <c r="U210" s="90"/>
      <c r="V210" s="52"/>
      <c r="W210" s="52"/>
      <c r="X210" s="52"/>
      <c r="Y210" s="52"/>
      <c r="Z210" s="51"/>
      <c r="AA210" s="73"/>
      <c r="AB210" s="73"/>
      <c r="AC210" s="74"/>
      <c r="AD210" s="80" t="s">
        <v>4387</v>
      </c>
      <c r="AE210" s="86" t="s">
        <v>5305</v>
      </c>
      <c r="AF210" s="80">
        <v>626</v>
      </c>
      <c r="AG210" s="80">
        <v>600</v>
      </c>
      <c r="AH210" s="80">
        <v>52677</v>
      </c>
      <c r="AI210" s="80">
        <v>71880</v>
      </c>
      <c r="AJ210" s="80"/>
      <c r="AK210" s="80" t="s">
        <v>6106</v>
      </c>
      <c r="AL210" s="80" t="s">
        <v>6858</v>
      </c>
      <c r="AM210" s="80"/>
      <c r="AN210" s="80"/>
      <c r="AO210" s="82">
        <v>42156.760567129626</v>
      </c>
      <c r="AP210" s="84" t="str">
        <f>HYPERLINK("https://pbs.twimg.com/profile_banners/3232823192/1624765093")</f>
        <v>https://pbs.twimg.com/profile_banners/3232823192/1624765093</v>
      </c>
      <c r="AQ210" s="80" t="b">
        <v>1</v>
      </c>
      <c r="AR210" s="80" t="b">
        <v>0</v>
      </c>
      <c r="AS210" s="80" t="b">
        <v>1</v>
      </c>
      <c r="AT210" s="80"/>
      <c r="AU210" s="80">
        <v>1</v>
      </c>
      <c r="AV210" s="84" t="str">
        <f>HYPERLINK("https://abs.twimg.com/images/themes/theme1/bg.png")</f>
        <v>https://abs.twimg.com/images/themes/theme1/bg.png</v>
      </c>
      <c r="AW210" s="80" t="b">
        <v>0</v>
      </c>
      <c r="AX210" s="80" t="s">
        <v>7173</v>
      </c>
      <c r="AY210" s="84" t="str">
        <f>HYPERLINK("https://twitter.com/toddylauw1")</f>
        <v>https://twitter.com/toddylauw1</v>
      </c>
      <c r="AZ210" s="80" t="s">
        <v>66</v>
      </c>
      <c r="BA210" s="2"/>
      <c r="BB210" s="3"/>
      <c r="BC210" s="3"/>
      <c r="BD210" s="3"/>
      <c r="BE210" s="3"/>
    </row>
    <row r="211" spans="1:57" x14ac:dyDescent="0.35">
      <c r="A211" s="66" t="s">
        <v>356</v>
      </c>
      <c r="B211" s="67"/>
      <c r="C211" s="67"/>
      <c r="D211" s="68"/>
      <c r="E211" s="70"/>
      <c r="F211" s="106" t="str">
        <f>HYPERLINK("https://pbs.twimg.com/profile_images/1367640744295497731/Xcu7mREk_normal.jpg")</f>
        <v>https://pbs.twimg.com/profile_images/1367640744295497731/Xcu7mREk_normal.jpg</v>
      </c>
      <c r="G211" s="67"/>
      <c r="H211" s="71"/>
      <c r="I211" s="72"/>
      <c r="J211" s="72"/>
      <c r="K211" s="71" t="s">
        <v>7381</v>
      </c>
      <c r="L211" s="75"/>
      <c r="M211" s="76"/>
      <c r="N211" s="76"/>
      <c r="O211" s="77"/>
      <c r="P211" s="78"/>
      <c r="Q211" s="78"/>
      <c r="R211" s="90"/>
      <c r="S211" s="90"/>
      <c r="T211" s="90"/>
      <c r="U211" s="90"/>
      <c r="V211" s="52"/>
      <c r="W211" s="52"/>
      <c r="X211" s="52"/>
      <c r="Y211" s="52"/>
      <c r="Z211" s="51"/>
      <c r="AA211" s="73"/>
      <c r="AB211" s="73"/>
      <c r="AC211" s="74"/>
      <c r="AD211" s="80" t="s">
        <v>4388</v>
      </c>
      <c r="AE211" s="86" t="s">
        <v>5306</v>
      </c>
      <c r="AF211" s="80">
        <v>890</v>
      </c>
      <c r="AG211" s="80">
        <v>782</v>
      </c>
      <c r="AH211" s="80">
        <v>2172</v>
      </c>
      <c r="AI211" s="80">
        <v>18338</v>
      </c>
      <c r="AJ211" s="80"/>
      <c r="AK211" s="80" t="s">
        <v>6107</v>
      </c>
      <c r="AL211" s="80"/>
      <c r="AM211" s="80"/>
      <c r="AN211" s="80"/>
      <c r="AO211" s="82">
        <v>44260.040543981479</v>
      </c>
      <c r="AP211" s="80"/>
      <c r="AQ211" s="80" t="b">
        <v>1</v>
      </c>
      <c r="AR211" s="80" t="b">
        <v>0</v>
      </c>
      <c r="AS211" s="80" t="b">
        <v>1</v>
      </c>
      <c r="AT211" s="80"/>
      <c r="AU211" s="80">
        <v>1</v>
      </c>
      <c r="AV211" s="80"/>
      <c r="AW211" s="80" t="b">
        <v>0</v>
      </c>
      <c r="AX211" s="80" t="s">
        <v>7173</v>
      </c>
      <c r="AY211" s="84" t="str">
        <f>HYPERLINK("https://twitter.com/fahayabi")</f>
        <v>https://twitter.com/fahayabi</v>
      </c>
      <c r="AZ211" s="80" t="s">
        <v>66</v>
      </c>
      <c r="BA211" s="2"/>
      <c r="BB211" s="3"/>
      <c r="BC211" s="3"/>
      <c r="BD211" s="3"/>
      <c r="BE211" s="3"/>
    </row>
    <row r="212" spans="1:57" x14ac:dyDescent="0.35">
      <c r="A212" s="66" t="s">
        <v>357</v>
      </c>
      <c r="B212" s="67"/>
      <c r="C212" s="67"/>
      <c r="D212" s="68"/>
      <c r="E212" s="70"/>
      <c r="F212" s="106" t="str">
        <f>HYPERLINK("https://pbs.twimg.com/profile_images/1249980802483408898/UenosmeG_normal.jpg")</f>
        <v>https://pbs.twimg.com/profile_images/1249980802483408898/UenosmeG_normal.jpg</v>
      </c>
      <c r="G212" s="67"/>
      <c r="H212" s="71"/>
      <c r="I212" s="72"/>
      <c r="J212" s="72"/>
      <c r="K212" s="71" t="s">
        <v>7382</v>
      </c>
      <c r="L212" s="75"/>
      <c r="M212" s="76"/>
      <c r="N212" s="76"/>
      <c r="O212" s="77"/>
      <c r="P212" s="78"/>
      <c r="Q212" s="78"/>
      <c r="R212" s="90"/>
      <c r="S212" s="90"/>
      <c r="T212" s="90"/>
      <c r="U212" s="90"/>
      <c r="V212" s="52"/>
      <c r="W212" s="52"/>
      <c r="X212" s="52"/>
      <c r="Y212" s="52"/>
      <c r="Z212" s="51"/>
      <c r="AA212" s="73"/>
      <c r="AB212" s="73"/>
      <c r="AC212" s="74"/>
      <c r="AD212" s="80" t="s">
        <v>4389</v>
      </c>
      <c r="AE212" s="86" t="s">
        <v>5307</v>
      </c>
      <c r="AF212" s="80">
        <v>890</v>
      </c>
      <c r="AG212" s="80">
        <v>873</v>
      </c>
      <c r="AH212" s="80">
        <v>30998</v>
      </c>
      <c r="AI212" s="80">
        <v>9387</v>
      </c>
      <c r="AJ212" s="80"/>
      <c r="AK212" s="80" t="s">
        <v>6108</v>
      </c>
      <c r="AL212" s="80" t="s">
        <v>4145</v>
      </c>
      <c r="AM212" s="80"/>
      <c r="AN212" s="80"/>
      <c r="AO212" s="82">
        <v>40805.009247685186</v>
      </c>
      <c r="AP212" s="80"/>
      <c r="AQ212" s="80" t="b">
        <v>1</v>
      </c>
      <c r="AR212" s="80" t="b">
        <v>0</v>
      </c>
      <c r="AS212" s="80" t="b">
        <v>0</v>
      </c>
      <c r="AT212" s="80"/>
      <c r="AU212" s="80">
        <v>3</v>
      </c>
      <c r="AV212" s="84" t="str">
        <f>HYPERLINK("https://abs.twimg.com/images/themes/theme1/bg.png")</f>
        <v>https://abs.twimg.com/images/themes/theme1/bg.png</v>
      </c>
      <c r="AW212" s="80" t="b">
        <v>0</v>
      </c>
      <c r="AX212" s="80" t="s">
        <v>7173</v>
      </c>
      <c r="AY212" s="84" t="str">
        <f>HYPERLINK("https://twitter.com/boncusho")</f>
        <v>https://twitter.com/boncusho</v>
      </c>
      <c r="AZ212" s="80" t="s">
        <v>66</v>
      </c>
      <c r="BA212" s="2"/>
      <c r="BB212" s="3"/>
      <c r="BC212" s="3"/>
      <c r="BD212" s="3"/>
      <c r="BE212" s="3"/>
    </row>
    <row r="213" spans="1:57" x14ac:dyDescent="0.35">
      <c r="A213" s="66" t="s">
        <v>358</v>
      </c>
      <c r="B213" s="67"/>
      <c r="C213" s="67"/>
      <c r="D213" s="68"/>
      <c r="E213" s="70"/>
      <c r="F213" s="106" t="str">
        <f>HYPERLINK("https://pbs.twimg.com/profile_images/1266579589418979329/pR5Ft1Eu_normal.jpg")</f>
        <v>https://pbs.twimg.com/profile_images/1266579589418979329/pR5Ft1Eu_normal.jpg</v>
      </c>
      <c r="G213" s="67"/>
      <c r="H213" s="71"/>
      <c r="I213" s="72"/>
      <c r="J213" s="72"/>
      <c r="K213" s="71" t="s">
        <v>7383</v>
      </c>
      <c r="L213" s="75"/>
      <c r="M213" s="76"/>
      <c r="N213" s="76"/>
      <c r="O213" s="77"/>
      <c r="P213" s="78"/>
      <c r="Q213" s="78"/>
      <c r="R213" s="90"/>
      <c r="S213" s="90"/>
      <c r="T213" s="90"/>
      <c r="U213" s="90"/>
      <c r="V213" s="52"/>
      <c r="W213" s="52"/>
      <c r="X213" s="52"/>
      <c r="Y213" s="52"/>
      <c r="Z213" s="51"/>
      <c r="AA213" s="73"/>
      <c r="AB213" s="73"/>
      <c r="AC213" s="74"/>
      <c r="AD213" s="80" t="s">
        <v>4390</v>
      </c>
      <c r="AE213" s="86" t="s">
        <v>5308</v>
      </c>
      <c r="AF213" s="80">
        <v>2245</v>
      </c>
      <c r="AG213" s="80">
        <v>1090</v>
      </c>
      <c r="AH213" s="80">
        <v>2849</v>
      </c>
      <c r="AI213" s="80">
        <v>3506</v>
      </c>
      <c r="AJ213" s="80"/>
      <c r="AK213" s="80" t="s">
        <v>6109</v>
      </c>
      <c r="AL213" s="80"/>
      <c r="AM213" s="80"/>
      <c r="AN213" s="80"/>
      <c r="AO213" s="82">
        <v>43981.160879629628</v>
      </c>
      <c r="AP213" s="80"/>
      <c r="AQ213" s="80" t="b">
        <v>1</v>
      </c>
      <c r="AR213" s="80" t="b">
        <v>0</v>
      </c>
      <c r="AS213" s="80" t="b">
        <v>0</v>
      </c>
      <c r="AT213" s="80"/>
      <c r="AU213" s="80">
        <v>0</v>
      </c>
      <c r="AV213" s="80"/>
      <c r="AW213" s="80" t="b">
        <v>0</v>
      </c>
      <c r="AX213" s="80" t="s">
        <v>7173</v>
      </c>
      <c r="AY213" s="84" t="str">
        <f>HYPERLINK("https://twitter.com/hdayak1")</f>
        <v>https://twitter.com/hdayak1</v>
      </c>
      <c r="AZ213" s="80" t="s">
        <v>66</v>
      </c>
      <c r="BA213" s="2"/>
      <c r="BB213" s="3"/>
      <c r="BC213" s="3"/>
      <c r="BD213" s="3"/>
      <c r="BE213" s="3"/>
    </row>
    <row r="214" spans="1:57" x14ac:dyDescent="0.35">
      <c r="A214" s="66" t="s">
        <v>359</v>
      </c>
      <c r="B214" s="67"/>
      <c r="C214" s="67"/>
      <c r="D214" s="68"/>
      <c r="E214" s="70"/>
      <c r="F214" s="106" t="str">
        <f>HYPERLINK("https://pbs.twimg.com/profile_images/1431460552996319233/8WQCdxkh_normal.jpg")</f>
        <v>https://pbs.twimg.com/profile_images/1431460552996319233/8WQCdxkh_normal.jpg</v>
      </c>
      <c r="G214" s="67"/>
      <c r="H214" s="71"/>
      <c r="I214" s="72"/>
      <c r="J214" s="72"/>
      <c r="K214" s="71" t="s">
        <v>7384</v>
      </c>
      <c r="L214" s="75"/>
      <c r="M214" s="76"/>
      <c r="N214" s="76"/>
      <c r="O214" s="77"/>
      <c r="P214" s="78"/>
      <c r="Q214" s="78"/>
      <c r="R214" s="90"/>
      <c r="S214" s="90"/>
      <c r="T214" s="90"/>
      <c r="U214" s="90"/>
      <c r="V214" s="52"/>
      <c r="W214" s="52"/>
      <c r="X214" s="52"/>
      <c r="Y214" s="52"/>
      <c r="Z214" s="51"/>
      <c r="AA214" s="73"/>
      <c r="AB214" s="73"/>
      <c r="AC214" s="74"/>
      <c r="AD214" s="80" t="s">
        <v>4391</v>
      </c>
      <c r="AE214" s="86" t="s">
        <v>5309</v>
      </c>
      <c r="AF214" s="80">
        <v>3882</v>
      </c>
      <c r="AG214" s="80">
        <v>3233</v>
      </c>
      <c r="AH214" s="80">
        <v>12623</v>
      </c>
      <c r="AI214" s="80">
        <v>30779</v>
      </c>
      <c r="AJ214" s="80"/>
      <c r="AK214" s="80" t="s">
        <v>6110</v>
      </c>
      <c r="AL214" s="80" t="s">
        <v>4145</v>
      </c>
      <c r="AM214" s="80"/>
      <c r="AN214" s="80"/>
      <c r="AO214" s="82">
        <v>43769.093472222223</v>
      </c>
      <c r="AP214" s="84" t="str">
        <f>HYPERLINK("https://pbs.twimg.com/profile_banners/1189727230009602048/1627864044")</f>
        <v>https://pbs.twimg.com/profile_banners/1189727230009602048/1627864044</v>
      </c>
      <c r="AQ214" s="80" t="b">
        <v>1</v>
      </c>
      <c r="AR214" s="80" t="b">
        <v>0</v>
      </c>
      <c r="AS214" s="80" t="b">
        <v>0</v>
      </c>
      <c r="AT214" s="80"/>
      <c r="AU214" s="80">
        <v>1</v>
      </c>
      <c r="AV214" s="80"/>
      <c r="AW214" s="80" t="b">
        <v>0</v>
      </c>
      <c r="AX214" s="80" t="s">
        <v>7173</v>
      </c>
      <c r="AY214" s="84" t="str">
        <f>HYPERLINK("https://twitter.com/reemeora1")</f>
        <v>https://twitter.com/reemeora1</v>
      </c>
      <c r="AZ214" s="80" t="s">
        <v>66</v>
      </c>
      <c r="BA214" s="2"/>
      <c r="BB214" s="3"/>
      <c r="BC214" s="3"/>
      <c r="BD214" s="3"/>
      <c r="BE214" s="3"/>
    </row>
    <row r="215" spans="1:57" x14ac:dyDescent="0.35">
      <c r="A215" s="66" t="s">
        <v>360</v>
      </c>
      <c r="B215" s="67"/>
      <c r="C215" s="67"/>
      <c r="D215" s="68"/>
      <c r="E215" s="70"/>
      <c r="F215" s="106" t="str">
        <f>HYPERLINK("https://pbs.twimg.com/profile_images/1259447734995611649/xgOR1ZRX_normal.jpg")</f>
        <v>https://pbs.twimg.com/profile_images/1259447734995611649/xgOR1ZRX_normal.jpg</v>
      </c>
      <c r="G215" s="67"/>
      <c r="H215" s="71"/>
      <c r="I215" s="72"/>
      <c r="J215" s="72"/>
      <c r="K215" s="71" t="s">
        <v>7385</v>
      </c>
      <c r="L215" s="75"/>
      <c r="M215" s="76"/>
      <c r="N215" s="76"/>
      <c r="O215" s="77"/>
      <c r="P215" s="78"/>
      <c r="Q215" s="78"/>
      <c r="R215" s="90"/>
      <c r="S215" s="90"/>
      <c r="T215" s="90"/>
      <c r="U215" s="90"/>
      <c r="V215" s="52"/>
      <c r="W215" s="52"/>
      <c r="X215" s="52"/>
      <c r="Y215" s="52"/>
      <c r="Z215" s="51"/>
      <c r="AA215" s="73"/>
      <c r="AB215" s="73"/>
      <c r="AC215" s="74"/>
      <c r="AD215" s="80" t="s">
        <v>4392</v>
      </c>
      <c r="AE215" s="86" t="s">
        <v>5310</v>
      </c>
      <c r="AF215" s="80">
        <v>64</v>
      </c>
      <c r="AG215" s="80">
        <v>218</v>
      </c>
      <c r="AH215" s="80">
        <v>5974</v>
      </c>
      <c r="AI215" s="80">
        <v>19746</v>
      </c>
      <c r="AJ215" s="80"/>
      <c r="AK215" s="80"/>
      <c r="AL215" s="80"/>
      <c r="AM215" s="80"/>
      <c r="AN215" s="80"/>
      <c r="AO215" s="82">
        <v>43929.907673611109</v>
      </c>
      <c r="AP215" s="80"/>
      <c r="AQ215" s="80" t="b">
        <v>1</v>
      </c>
      <c r="AR215" s="80" t="b">
        <v>0</v>
      </c>
      <c r="AS215" s="80" t="b">
        <v>0</v>
      </c>
      <c r="AT215" s="80"/>
      <c r="AU215" s="80">
        <v>0</v>
      </c>
      <c r="AV215" s="80"/>
      <c r="AW215" s="80" t="b">
        <v>0</v>
      </c>
      <c r="AX215" s="80" t="s">
        <v>7173</v>
      </c>
      <c r="AY215" s="84" t="str">
        <f>HYPERLINK("https://twitter.com/nurcahy02969790")</f>
        <v>https://twitter.com/nurcahy02969790</v>
      </c>
      <c r="AZ215" s="80" t="s">
        <v>66</v>
      </c>
      <c r="BA215" s="2"/>
      <c r="BB215" s="3"/>
      <c r="BC215" s="3"/>
      <c r="BD215" s="3"/>
      <c r="BE215" s="3"/>
    </row>
    <row r="216" spans="1:57" x14ac:dyDescent="0.35">
      <c r="A216" s="66" t="s">
        <v>361</v>
      </c>
      <c r="B216" s="67"/>
      <c r="C216" s="67"/>
      <c r="D216" s="68"/>
      <c r="E216" s="70"/>
      <c r="F216" s="106" t="str">
        <f>HYPERLINK("https://pbs.twimg.com/profile_images/613542702819311616/fgQ69aEZ_normal.jpg")</f>
        <v>https://pbs.twimg.com/profile_images/613542702819311616/fgQ69aEZ_normal.jpg</v>
      </c>
      <c r="G216" s="67"/>
      <c r="H216" s="71"/>
      <c r="I216" s="72"/>
      <c r="J216" s="72"/>
      <c r="K216" s="71" t="s">
        <v>7386</v>
      </c>
      <c r="L216" s="75"/>
      <c r="M216" s="76"/>
      <c r="N216" s="76"/>
      <c r="O216" s="77"/>
      <c r="P216" s="78"/>
      <c r="Q216" s="78"/>
      <c r="R216" s="90"/>
      <c r="S216" s="90"/>
      <c r="T216" s="90"/>
      <c r="U216" s="90"/>
      <c r="V216" s="52"/>
      <c r="W216" s="52"/>
      <c r="X216" s="52"/>
      <c r="Y216" s="52"/>
      <c r="Z216" s="51"/>
      <c r="AA216" s="73"/>
      <c r="AB216" s="73"/>
      <c r="AC216" s="74"/>
      <c r="AD216" s="80" t="s">
        <v>4393</v>
      </c>
      <c r="AE216" s="86" t="s">
        <v>5311</v>
      </c>
      <c r="AF216" s="80">
        <v>5122</v>
      </c>
      <c r="AG216" s="80">
        <v>5101</v>
      </c>
      <c r="AH216" s="80">
        <v>15430</v>
      </c>
      <c r="AI216" s="80">
        <v>106699</v>
      </c>
      <c r="AJ216" s="80"/>
      <c r="AK216" s="80"/>
      <c r="AL216" s="80"/>
      <c r="AM216" s="80"/>
      <c r="AN216" s="80"/>
      <c r="AO216" s="82">
        <v>42159.589490740742</v>
      </c>
      <c r="AP216" s="80"/>
      <c r="AQ216" s="80" t="b">
        <v>1</v>
      </c>
      <c r="AR216" s="80" t="b">
        <v>0</v>
      </c>
      <c r="AS216" s="80" t="b">
        <v>1</v>
      </c>
      <c r="AT216" s="80"/>
      <c r="AU216" s="80">
        <v>0</v>
      </c>
      <c r="AV216" s="84" t="str">
        <f>HYPERLINK("https://abs.twimg.com/images/themes/theme1/bg.png")</f>
        <v>https://abs.twimg.com/images/themes/theme1/bg.png</v>
      </c>
      <c r="AW216" s="80" t="b">
        <v>0</v>
      </c>
      <c r="AX216" s="80" t="s">
        <v>7173</v>
      </c>
      <c r="AY216" s="84" t="str">
        <f>HYPERLINK("https://twitter.com/reddytanubrata")</f>
        <v>https://twitter.com/reddytanubrata</v>
      </c>
      <c r="AZ216" s="80" t="s">
        <v>66</v>
      </c>
      <c r="BA216" s="2"/>
      <c r="BB216" s="3"/>
      <c r="BC216" s="3"/>
      <c r="BD216" s="3"/>
      <c r="BE216" s="3"/>
    </row>
    <row r="217" spans="1:57" x14ac:dyDescent="0.35">
      <c r="A217" s="66" t="s">
        <v>362</v>
      </c>
      <c r="B217" s="67"/>
      <c r="C217" s="67"/>
      <c r="D217" s="68"/>
      <c r="E217" s="70"/>
      <c r="F217" s="106" t="str">
        <f>HYPERLINK("https://pbs.twimg.com/profile_images/1421272135578750976/9IwTFoVW_normal.jpg")</f>
        <v>https://pbs.twimg.com/profile_images/1421272135578750976/9IwTFoVW_normal.jpg</v>
      </c>
      <c r="G217" s="67"/>
      <c r="H217" s="71"/>
      <c r="I217" s="72"/>
      <c r="J217" s="72"/>
      <c r="K217" s="71" t="s">
        <v>7387</v>
      </c>
      <c r="L217" s="75"/>
      <c r="M217" s="76"/>
      <c r="N217" s="76"/>
      <c r="O217" s="77"/>
      <c r="P217" s="78"/>
      <c r="Q217" s="78"/>
      <c r="R217" s="90"/>
      <c r="S217" s="90"/>
      <c r="T217" s="90"/>
      <c r="U217" s="90"/>
      <c r="V217" s="52"/>
      <c r="W217" s="52"/>
      <c r="X217" s="52"/>
      <c r="Y217" s="52"/>
      <c r="Z217" s="51"/>
      <c r="AA217" s="73"/>
      <c r="AB217" s="73"/>
      <c r="AC217" s="74"/>
      <c r="AD217" s="80" t="s">
        <v>4394</v>
      </c>
      <c r="AE217" s="86" t="s">
        <v>5312</v>
      </c>
      <c r="AF217" s="80">
        <v>3661</v>
      </c>
      <c r="AG217" s="80">
        <v>3094</v>
      </c>
      <c r="AH217" s="80">
        <v>12845</v>
      </c>
      <c r="AI217" s="80">
        <v>189764</v>
      </c>
      <c r="AJ217" s="80"/>
      <c r="AK217" s="80" t="s">
        <v>6111</v>
      </c>
      <c r="AL217" s="80" t="s">
        <v>6859</v>
      </c>
      <c r="AM217" s="80"/>
      <c r="AN217" s="80"/>
      <c r="AO217" s="82">
        <v>43535.118831018517</v>
      </c>
      <c r="AP217" s="84" t="str">
        <f>HYPERLINK("https://pbs.twimg.com/profile_banners/1104937766587052032/1572854876")</f>
        <v>https://pbs.twimg.com/profile_banners/1104937766587052032/1572854876</v>
      </c>
      <c r="AQ217" s="80" t="b">
        <v>1</v>
      </c>
      <c r="AR217" s="80" t="b">
        <v>0</v>
      </c>
      <c r="AS217" s="80" t="b">
        <v>1</v>
      </c>
      <c r="AT217" s="80"/>
      <c r="AU217" s="80">
        <v>0</v>
      </c>
      <c r="AV217" s="80"/>
      <c r="AW217" s="80" t="b">
        <v>0</v>
      </c>
      <c r="AX217" s="80" t="s">
        <v>7173</v>
      </c>
      <c r="AY217" s="84" t="str">
        <f>HYPERLINK("https://twitter.com/saukur1heureuy2")</f>
        <v>https://twitter.com/saukur1heureuy2</v>
      </c>
      <c r="AZ217" s="80" t="s">
        <v>66</v>
      </c>
      <c r="BA217" s="2"/>
      <c r="BB217" s="3"/>
      <c r="BC217" s="3"/>
      <c r="BD217" s="3"/>
      <c r="BE217" s="3"/>
    </row>
    <row r="218" spans="1:57" x14ac:dyDescent="0.35">
      <c r="A218" s="66" t="s">
        <v>363</v>
      </c>
      <c r="B218" s="67"/>
      <c r="C218" s="67"/>
      <c r="D218" s="68"/>
      <c r="E218" s="70"/>
      <c r="F218" s="106" t="str">
        <f>HYPERLINK("https://pbs.twimg.com/profile_images/1281741748864036865/jO4qDw6L_normal.jpg")</f>
        <v>https://pbs.twimg.com/profile_images/1281741748864036865/jO4qDw6L_normal.jpg</v>
      </c>
      <c r="G218" s="67"/>
      <c r="H218" s="71"/>
      <c r="I218" s="72"/>
      <c r="J218" s="72"/>
      <c r="K218" s="71" t="s">
        <v>7388</v>
      </c>
      <c r="L218" s="75"/>
      <c r="M218" s="76"/>
      <c r="N218" s="76"/>
      <c r="O218" s="77"/>
      <c r="P218" s="78"/>
      <c r="Q218" s="78"/>
      <c r="R218" s="90"/>
      <c r="S218" s="90"/>
      <c r="T218" s="90"/>
      <c r="U218" s="90"/>
      <c r="V218" s="52"/>
      <c r="W218" s="52"/>
      <c r="X218" s="52"/>
      <c r="Y218" s="52"/>
      <c r="Z218" s="51"/>
      <c r="AA218" s="73"/>
      <c r="AB218" s="73"/>
      <c r="AC218" s="74"/>
      <c r="AD218" s="80" t="s">
        <v>4395</v>
      </c>
      <c r="AE218" s="86" t="s">
        <v>5313</v>
      </c>
      <c r="AF218" s="80">
        <v>3164</v>
      </c>
      <c r="AG218" s="80">
        <v>2862</v>
      </c>
      <c r="AH218" s="80">
        <v>6119</v>
      </c>
      <c r="AI218" s="80">
        <v>12975</v>
      </c>
      <c r="AJ218" s="80"/>
      <c r="AK218" s="80" t="s">
        <v>6112</v>
      </c>
      <c r="AL218" s="80" t="s">
        <v>6860</v>
      </c>
      <c r="AM218" s="80"/>
      <c r="AN218" s="80"/>
      <c r="AO218" s="82">
        <v>43534.221099537041</v>
      </c>
      <c r="AP218" s="80"/>
      <c r="AQ218" s="80" t="b">
        <v>1</v>
      </c>
      <c r="AR218" s="80" t="b">
        <v>0</v>
      </c>
      <c r="AS218" s="80" t="b">
        <v>0</v>
      </c>
      <c r="AT218" s="80"/>
      <c r="AU218" s="80">
        <v>1</v>
      </c>
      <c r="AV218" s="80"/>
      <c r="AW218" s="80" t="b">
        <v>0</v>
      </c>
      <c r="AX218" s="80" t="s">
        <v>7173</v>
      </c>
      <c r="AY218" s="84" t="str">
        <f>HYPERLINK("https://twitter.com/anakmel53043582")</f>
        <v>https://twitter.com/anakmel53043582</v>
      </c>
      <c r="AZ218" s="80" t="s">
        <v>66</v>
      </c>
      <c r="BA218" s="2"/>
      <c r="BB218" s="3"/>
      <c r="BC218" s="3"/>
      <c r="BD218" s="3"/>
      <c r="BE218" s="3"/>
    </row>
    <row r="219" spans="1:57" x14ac:dyDescent="0.35">
      <c r="A219" s="66" t="s">
        <v>364</v>
      </c>
      <c r="B219" s="67"/>
      <c r="C219" s="67"/>
      <c r="D219" s="68"/>
      <c r="E219" s="70"/>
      <c r="F219" s="106" t="str">
        <f>HYPERLINK("https://pbs.twimg.com/profile_images/1439812802630217729/KsKIJ3db_normal.jpg")</f>
        <v>https://pbs.twimg.com/profile_images/1439812802630217729/KsKIJ3db_normal.jpg</v>
      </c>
      <c r="G219" s="67"/>
      <c r="H219" s="71"/>
      <c r="I219" s="72"/>
      <c r="J219" s="72"/>
      <c r="K219" s="71" t="s">
        <v>7389</v>
      </c>
      <c r="L219" s="75"/>
      <c r="M219" s="76"/>
      <c r="N219" s="76"/>
      <c r="O219" s="77"/>
      <c r="P219" s="78"/>
      <c r="Q219" s="78"/>
      <c r="R219" s="90"/>
      <c r="S219" s="90"/>
      <c r="T219" s="90"/>
      <c r="U219" s="90"/>
      <c r="V219" s="52"/>
      <c r="W219" s="52"/>
      <c r="X219" s="52"/>
      <c r="Y219" s="52"/>
      <c r="Z219" s="51"/>
      <c r="AA219" s="73"/>
      <c r="AB219" s="73"/>
      <c r="AC219" s="74"/>
      <c r="AD219" s="80" t="s">
        <v>4396</v>
      </c>
      <c r="AE219" s="86" t="s">
        <v>5314</v>
      </c>
      <c r="AF219" s="80">
        <v>6678</v>
      </c>
      <c r="AG219" s="80">
        <v>9318</v>
      </c>
      <c r="AH219" s="80">
        <v>126193</v>
      </c>
      <c r="AI219" s="80">
        <v>466839</v>
      </c>
      <c r="AJ219" s="80"/>
      <c r="AK219" s="80" t="s">
        <v>6113</v>
      </c>
      <c r="AL219" s="80" t="s">
        <v>6861</v>
      </c>
      <c r="AM219" s="80"/>
      <c r="AN219" s="80"/>
      <c r="AO219" s="82">
        <v>42948.200439814813</v>
      </c>
      <c r="AP219" s="84" t="str">
        <f>HYPERLINK("https://pbs.twimg.com/profile_banners/892245663106211846/1519239403")</f>
        <v>https://pbs.twimg.com/profile_banners/892245663106211846/1519239403</v>
      </c>
      <c r="AQ219" s="80" t="b">
        <v>1</v>
      </c>
      <c r="AR219" s="80" t="b">
        <v>0</v>
      </c>
      <c r="AS219" s="80" t="b">
        <v>0</v>
      </c>
      <c r="AT219" s="80"/>
      <c r="AU219" s="80">
        <v>0</v>
      </c>
      <c r="AV219" s="80"/>
      <c r="AW219" s="80" t="b">
        <v>0</v>
      </c>
      <c r="AX219" s="80" t="s">
        <v>7173</v>
      </c>
      <c r="AY219" s="84" t="str">
        <f>HYPERLINK("https://twitter.com/achzam_prabu")</f>
        <v>https://twitter.com/achzam_prabu</v>
      </c>
      <c r="AZ219" s="80" t="s">
        <v>66</v>
      </c>
      <c r="BA219" s="2"/>
      <c r="BB219" s="3"/>
      <c r="BC219" s="3"/>
      <c r="BD219" s="3"/>
      <c r="BE219" s="3"/>
    </row>
    <row r="220" spans="1:57" x14ac:dyDescent="0.35">
      <c r="A220" s="66" t="s">
        <v>365</v>
      </c>
      <c r="B220" s="67"/>
      <c r="C220" s="67"/>
      <c r="D220" s="68"/>
      <c r="E220" s="70"/>
      <c r="F220" s="106" t="str">
        <f>HYPERLINK("https://pbs.twimg.com/profile_images/1428204200366727171/cKhNzo7T_normal.jpg")</f>
        <v>https://pbs.twimg.com/profile_images/1428204200366727171/cKhNzo7T_normal.jpg</v>
      </c>
      <c r="G220" s="67"/>
      <c r="H220" s="71"/>
      <c r="I220" s="72"/>
      <c r="J220" s="72"/>
      <c r="K220" s="71" t="s">
        <v>7390</v>
      </c>
      <c r="L220" s="75"/>
      <c r="M220" s="76"/>
      <c r="N220" s="76"/>
      <c r="O220" s="77"/>
      <c r="P220" s="78"/>
      <c r="Q220" s="78"/>
      <c r="R220" s="90"/>
      <c r="S220" s="90"/>
      <c r="T220" s="90"/>
      <c r="U220" s="90"/>
      <c r="V220" s="52"/>
      <c r="W220" s="52"/>
      <c r="X220" s="52"/>
      <c r="Y220" s="52"/>
      <c r="Z220" s="51"/>
      <c r="AA220" s="73"/>
      <c r="AB220" s="73"/>
      <c r="AC220" s="74"/>
      <c r="AD220" s="80" t="s">
        <v>4397</v>
      </c>
      <c r="AE220" s="86" t="s">
        <v>5315</v>
      </c>
      <c r="AF220" s="80">
        <v>749</v>
      </c>
      <c r="AG220" s="80">
        <v>2301</v>
      </c>
      <c r="AH220" s="80">
        <v>34704</v>
      </c>
      <c r="AI220" s="80">
        <v>4532</v>
      </c>
      <c r="AJ220" s="80"/>
      <c r="AK220" s="80" t="s">
        <v>6114</v>
      </c>
      <c r="AL220" s="80" t="s">
        <v>6788</v>
      </c>
      <c r="AM220" s="80"/>
      <c r="AN220" s="80"/>
      <c r="AO220" s="82">
        <v>40888.365358796298</v>
      </c>
      <c r="AP220" s="84" t="str">
        <f>HYPERLINK("https://pbs.twimg.com/profile_banners/433996822/1630848259")</f>
        <v>https://pbs.twimg.com/profile_banners/433996822/1630848259</v>
      </c>
      <c r="AQ220" s="80" t="b">
        <v>1</v>
      </c>
      <c r="AR220" s="80" t="b">
        <v>0</v>
      </c>
      <c r="AS220" s="80" t="b">
        <v>0</v>
      </c>
      <c r="AT220" s="80"/>
      <c r="AU220" s="80">
        <v>8</v>
      </c>
      <c r="AV220" s="84" t="str">
        <f>HYPERLINK("https://abs.twimg.com/images/themes/theme1/bg.png")</f>
        <v>https://abs.twimg.com/images/themes/theme1/bg.png</v>
      </c>
      <c r="AW220" s="80" t="b">
        <v>0</v>
      </c>
      <c r="AX220" s="80" t="s">
        <v>7173</v>
      </c>
      <c r="AY220" s="84" t="str">
        <f>HYPERLINK("https://twitter.com/debley11")</f>
        <v>https://twitter.com/debley11</v>
      </c>
      <c r="AZ220" s="80" t="s">
        <v>66</v>
      </c>
      <c r="BA220" s="2"/>
      <c r="BB220" s="3"/>
      <c r="BC220" s="3"/>
      <c r="BD220" s="3"/>
      <c r="BE220" s="3"/>
    </row>
    <row r="221" spans="1:57" x14ac:dyDescent="0.35">
      <c r="A221" s="66" t="s">
        <v>366</v>
      </c>
      <c r="B221" s="67"/>
      <c r="C221" s="67"/>
      <c r="D221" s="68"/>
      <c r="E221" s="70"/>
      <c r="F221" s="106" t="str">
        <f>HYPERLINK("https://pbs.twimg.com/profile_images/1337691139449573379/mIrFx5z1_normal.jpg")</f>
        <v>https://pbs.twimg.com/profile_images/1337691139449573379/mIrFx5z1_normal.jpg</v>
      </c>
      <c r="G221" s="67"/>
      <c r="H221" s="71"/>
      <c r="I221" s="72"/>
      <c r="J221" s="72"/>
      <c r="K221" s="71" t="s">
        <v>7391</v>
      </c>
      <c r="L221" s="75"/>
      <c r="M221" s="76"/>
      <c r="N221" s="76"/>
      <c r="O221" s="77"/>
      <c r="P221" s="78"/>
      <c r="Q221" s="78"/>
      <c r="R221" s="90"/>
      <c r="S221" s="90"/>
      <c r="T221" s="90"/>
      <c r="U221" s="90"/>
      <c r="V221" s="52"/>
      <c r="W221" s="52"/>
      <c r="X221" s="52"/>
      <c r="Y221" s="52"/>
      <c r="Z221" s="51"/>
      <c r="AA221" s="73"/>
      <c r="AB221" s="73"/>
      <c r="AC221" s="74"/>
      <c r="AD221" s="80" t="s">
        <v>4398</v>
      </c>
      <c r="AE221" s="86" t="s">
        <v>5316</v>
      </c>
      <c r="AF221" s="80">
        <v>1869</v>
      </c>
      <c r="AG221" s="80">
        <v>1715</v>
      </c>
      <c r="AH221" s="80">
        <v>10547</v>
      </c>
      <c r="AI221" s="80">
        <v>15672</v>
      </c>
      <c r="AJ221" s="80"/>
      <c r="AK221" s="80" t="s">
        <v>6115</v>
      </c>
      <c r="AL221" s="80" t="s">
        <v>6862</v>
      </c>
      <c r="AM221" s="80"/>
      <c r="AN221" s="80"/>
      <c r="AO221" s="82">
        <v>40664.466782407406</v>
      </c>
      <c r="AP221" s="84" t="str">
        <f>HYPERLINK("https://pbs.twimg.com/profile_banners/291037444/1607052586")</f>
        <v>https://pbs.twimg.com/profile_banners/291037444/1607052586</v>
      </c>
      <c r="AQ221" s="80" t="b">
        <v>1</v>
      </c>
      <c r="AR221" s="80" t="b">
        <v>0</v>
      </c>
      <c r="AS221" s="80" t="b">
        <v>1</v>
      </c>
      <c r="AT221" s="80"/>
      <c r="AU221" s="80">
        <v>0</v>
      </c>
      <c r="AV221" s="84" t="str">
        <f>HYPERLINK("https://abs.twimg.com/images/themes/theme1/bg.png")</f>
        <v>https://abs.twimg.com/images/themes/theme1/bg.png</v>
      </c>
      <c r="AW221" s="80" t="b">
        <v>0</v>
      </c>
      <c r="AX221" s="80" t="s">
        <v>7173</v>
      </c>
      <c r="AY221" s="84" t="str">
        <f>HYPERLINK("https://twitter.com/indrazustisi")</f>
        <v>https://twitter.com/indrazustisi</v>
      </c>
      <c r="AZ221" s="80" t="s">
        <v>66</v>
      </c>
      <c r="BA221" s="2"/>
      <c r="BB221" s="3"/>
      <c r="BC221" s="3"/>
      <c r="BD221" s="3"/>
      <c r="BE221" s="3"/>
    </row>
    <row r="222" spans="1:57" x14ac:dyDescent="0.35">
      <c r="A222" s="66" t="s">
        <v>367</v>
      </c>
      <c r="B222" s="67"/>
      <c r="C222" s="67"/>
      <c r="D222" s="68"/>
      <c r="E222" s="70"/>
      <c r="F222" s="106" t="str">
        <f>HYPERLINK("https://pbs.twimg.com/profile_images/740919866983583744/UvBneGTD_normal.jpg")</f>
        <v>https://pbs.twimg.com/profile_images/740919866983583744/UvBneGTD_normal.jpg</v>
      </c>
      <c r="G222" s="67"/>
      <c r="H222" s="71"/>
      <c r="I222" s="72"/>
      <c r="J222" s="72"/>
      <c r="K222" s="71" t="s">
        <v>7392</v>
      </c>
      <c r="L222" s="75"/>
      <c r="M222" s="76"/>
      <c r="N222" s="76"/>
      <c r="O222" s="77"/>
      <c r="P222" s="78"/>
      <c r="Q222" s="78"/>
      <c r="R222" s="90"/>
      <c r="S222" s="90"/>
      <c r="T222" s="90"/>
      <c r="U222" s="90"/>
      <c r="V222" s="52"/>
      <c r="W222" s="52"/>
      <c r="X222" s="52"/>
      <c r="Y222" s="52"/>
      <c r="Z222" s="51"/>
      <c r="AA222" s="73"/>
      <c r="AB222" s="73"/>
      <c r="AC222" s="74"/>
      <c r="AD222" s="80" t="s">
        <v>4399</v>
      </c>
      <c r="AE222" s="86" t="s">
        <v>5317</v>
      </c>
      <c r="AF222" s="80">
        <v>4629</v>
      </c>
      <c r="AG222" s="80">
        <v>3168</v>
      </c>
      <c r="AH222" s="80">
        <v>29049</v>
      </c>
      <c r="AI222" s="80">
        <v>31792</v>
      </c>
      <c r="AJ222" s="80"/>
      <c r="AK222" s="80" t="s">
        <v>6116</v>
      </c>
      <c r="AL222" s="80" t="s">
        <v>6863</v>
      </c>
      <c r="AM222" s="80"/>
      <c r="AN222" s="80"/>
      <c r="AO222" s="82">
        <v>40447.526423611111</v>
      </c>
      <c r="AP222" s="84" t="str">
        <f>HYPERLINK("https://pbs.twimg.com/profile_banners/195333272/1465483886")</f>
        <v>https://pbs.twimg.com/profile_banners/195333272/1465483886</v>
      </c>
      <c r="AQ222" s="80" t="b">
        <v>1</v>
      </c>
      <c r="AR222" s="80" t="b">
        <v>0</v>
      </c>
      <c r="AS222" s="80" t="b">
        <v>0</v>
      </c>
      <c r="AT222" s="80"/>
      <c r="AU222" s="80">
        <v>1</v>
      </c>
      <c r="AV222" s="84" t="str">
        <f>HYPERLINK("https://abs.twimg.com/images/themes/theme1/bg.png")</f>
        <v>https://abs.twimg.com/images/themes/theme1/bg.png</v>
      </c>
      <c r="AW222" s="80" t="b">
        <v>0</v>
      </c>
      <c r="AX222" s="80" t="s">
        <v>7173</v>
      </c>
      <c r="AY222" s="84" t="str">
        <f>HYPERLINK("https://twitter.com/aw_astono")</f>
        <v>https://twitter.com/aw_astono</v>
      </c>
      <c r="AZ222" s="80" t="s">
        <v>66</v>
      </c>
      <c r="BA222" s="2"/>
      <c r="BB222" s="3"/>
      <c r="BC222" s="3"/>
      <c r="BD222" s="3"/>
      <c r="BE222" s="3"/>
    </row>
    <row r="223" spans="1:57" x14ac:dyDescent="0.35">
      <c r="A223" s="66" t="s">
        <v>368</v>
      </c>
      <c r="B223" s="67"/>
      <c r="C223" s="67"/>
      <c r="D223" s="68"/>
      <c r="E223" s="70"/>
      <c r="F223" s="106" t="str">
        <f>HYPERLINK("https://pbs.twimg.com/profile_images/1430044036920864768/tHIs3VhZ_normal.jpg")</f>
        <v>https://pbs.twimg.com/profile_images/1430044036920864768/tHIs3VhZ_normal.jpg</v>
      </c>
      <c r="G223" s="67"/>
      <c r="H223" s="71"/>
      <c r="I223" s="72"/>
      <c r="J223" s="72"/>
      <c r="K223" s="71" t="s">
        <v>7393</v>
      </c>
      <c r="L223" s="75"/>
      <c r="M223" s="76"/>
      <c r="N223" s="76"/>
      <c r="O223" s="77"/>
      <c r="P223" s="78"/>
      <c r="Q223" s="78"/>
      <c r="R223" s="90"/>
      <c r="S223" s="90"/>
      <c r="T223" s="90"/>
      <c r="U223" s="90"/>
      <c r="V223" s="52"/>
      <c r="W223" s="52"/>
      <c r="X223" s="52"/>
      <c r="Y223" s="52"/>
      <c r="Z223" s="51"/>
      <c r="AA223" s="73"/>
      <c r="AB223" s="73"/>
      <c r="AC223" s="74"/>
      <c r="AD223" s="80" t="s">
        <v>4400</v>
      </c>
      <c r="AE223" s="86" t="s">
        <v>5318</v>
      </c>
      <c r="AF223" s="80">
        <v>3662</v>
      </c>
      <c r="AG223" s="80">
        <v>3726</v>
      </c>
      <c r="AH223" s="80">
        <v>50466</v>
      </c>
      <c r="AI223" s="80">
        <v>106403</v>
      </c>
      <c r="AJ223" s="80"/>
      <c r="AK223" s="80" t="s">
        <v>6117</v>
      </c>
      <c r="AL223" s="80" t="s">
        <v>6864</v>
      </c>
      <c r="AM223" s="80"/>
      <c r="AN223" s="80"/>
      <c r="AO223" s="82">
        <v>40493.782986111109</v>
      </c>
      <c r="AP223" s="84" t="str">
        <f>HYPERLINK("https://pbs.twimg.com/profile_banners/214577481/1629784084")</f>
        <v>https://pbs.twimg.com/profile_banners/214577481/1629784084</v>
      </c>
      <c r="AQ223" s="80" t="b">
        <v>0</v>
      </c>
      <c r="AR223" s="80" t="b">
        <v>0</v>
      </c>
      <c r="AS223" s="80" t="b">
        <v>1</v>
      </c>
      <c r="AT223" s="80"/>
      <c r="AU223" s="80">
        <v>6</v>
      </c>
      <c r="AV223" s="84" t="str">
        <f>HYPERLINK("https://abs.twimg.com/images/themes/theme19/bg.gif")</f>
        <v>https://abs.twimg.com/images/themes/theme19/bg.gif</v>
      </c>
      <c r="AW223" s="80" t="b">
        <v>0</v>
      </c>
      <c r="AX223" s="80" t="s">
        <v>7173</v>
      </c>
      <c r="AY223" s="84" t="str">
        <f>HYPERLINK("https://twitter.com/dave_otek")</f>
        <v>https://twitter.com/dave_otek</v>
      </c>
      <c r="AZ223" s="80" t="s">
        <v>66</v>
      </c>
      <c r="BA223" s="2"/>
      <c r="BB223" s="3"/>
      <c r="BC223" s="3"/>
      <c r="BD223" s="3"/>
      <c r="BE223" s="3"/>
    </row>
    <row r="224" spans="1:57" x14ac:dyDescent="0.35">
      <c r="A224" s="66" t="s">
        <v>369</v>
      </c>
      <c r="B224" s="67"/>
      <c r="C224" s="67"/>
      <c r="D224" s="68"/>
      <c r="E224" s="70"/>
      <c r="F224" s="106" t="str">
        <f>HYPERLINK("https://pbs.twimg.com/profile_images/1441593778050011137/XdV-4M0r_normal.jpg")</f>
        <v>https://pbs.twimg.com/profile_images/1441593778050011137/XdV-4M0r_normal.jpg</v>
      </c>
      <c r="G224" s="67"/>
      <c r="H224" s="71"/>
      <c r="I224" s="72"/>
      <c r="J224" s="72"/>
      <c r="K224" s="71" t="s">
        <v>7394</v>
      </c>
      <c r="L224" s="75"/>
      <c r="M224" s="76"/>
      <c r="N224" s="76"/>
      <c r="O224" s="77"/>
      <c r="P224" s="78"/>
      <c r="Q224" s="78"/>
      <c r="R224" s="90"/>
      <c r="S224" s="90"/>
      <c r="T224" s="90"/>
      <c r="U224" s="90"/>
      <c r="V224" s="52"/>
      <c r="W224" s="52"/>
      <c r="X224" s="52"/>
      <c r="Y224" s="52"/>
      <c r="Z224" s="51"/>
      <c r="AA224" s="73"/>
      <c r="AB224" s="73"/>
      <c r="AC224" s="74"/>
      <c r="AD224" s="80" t="s">
        <v>4401</v>
      </c>
      <c r="AE224" s="86" t="s">
        <v>5319</v>
      </c>
      <c r="AF224" s="80">
        <v>394</v>
      </c>
      <c r="AG224" s="80">
        <v>435</v>
      </c>
      <c r="AH224" s="80">
        <v>2483</v>
      </c>
      <c r="AI224" s="80">
        <v>297</v>
      </c>
      <c r="AJ224" s="80"/>
      <c r="AK224" s="80" t="s">
        <v>6118</v>
      </c>
      <c r="AL224" s="80" t="s">
        <v>6865</v>
      </c>
      <c r="AM224" s="84" t="str">
        <f>HYPERLINK("https://t.co/rvKSXJkH8D")</f>
        <v>https://t.co/rvKSXJkH8D</v>
      </c>
      <c r="AN224" s="80"/>
      <c r="AO224" s="82">
        <v>41227.310937499999</v>
      </c>
      <c r="AP224" s="84" t="str">
        <f>HYPERLINK("https://pbs.twimg.com/profile_banners/947257669/1632201757")</f>
        <v>https://pbs.twimg.com/profile_banners/947257669/1632201757</v>
      </c>
      <c r="AQ224" s="80" t="b">
        <v>0</v>
      </c>
      <c r="AR224" s="80" t="b">
        <v>0</v>
      </c>
      <c r="AS224" s="80" t="b">
        <v>1</v>
      </c>
      <c r="AT224" s="80"/>
      <c r="AU224" s="80">
        <v>0</v>
      </c>
      <c r="AV224" s="84" t="str">
        <f>HYPERLINK("https://abs.twimg.com/images/themes/theme10/bg.gif")</f>
        <v>https://abs.twimg.com/images/themes/theme10/bg.gif</v>
      </c>
      <c r="AW224" s="80" t="b">
        <v>0</v>
      </c>
      <c r="AX224" s="80" t="s">
        <v>7173</v>
      </c>
      <c r="AY224" s="84" t="str">
        <f>HYPERLINK("https://twitter.com/diptanotes")</f>
        <v>https://twitter.com/diptanotes</v>
      </c>
      <c r="AZ224" s="80" t="s">
        <v>66</v>
      </c>
      <c r="BA224" s="2"/>
      <c r="BB224" s="3"/>
      <c r="BC224" s="3"/>
      <c r="BD224" s="3"/>
      <c r="BE224" s="3"/>
    </row>
    <row r="225" spans="1:57" x14ac:dyDescent="0.35">
      <c r="A225" s="66" t="s">
        <v>1056</v>
      </c>
      <c r="B225" s="67"/>
      <c r="C225" s="67"/>
      <c r="D225" s="68"/>
      <c r="E225" s="70"/>
      <c r="F225" s="106" t="str">
        <f>HYPERLINK("https://pbs.twimg.com/profile_images/1442306945335971842/L-IkohtQ_normal.jpg")</f>
        <v>https://pbs.twimg.com/profile_images/1442306945335971842/L-IkohtQ_normal.jpg</v>
      </c>
      <c r="G225" s="67"/>
      <c r="H225" s="71"/>
      <c r="I225" s="72"/>
      <c r="J225" s="72"/>
      <c r="K225" s="71" t="s">
        <v>7395</v>
      </c>
      <c r="L225" s="75"/>
      <c r="M225" s="76"/>
      <c r="N225" s="76"/>
      <c r="O225" s="77"/>
      <c r="P225" s="78"/>
      <c r="Q225" s="78"/>
      <c r="R225" s="90"/>
      <c r="S225" s="90"/>
      <c r="T225" s="90"/>
      <c r="U225" s="90"/>
      <c r="V225" s="52"/>
      <c r="W225" s="52"/>
      <c r="X225" s="52"/>
      <c r="Y225" s="52"/>
      <c r="Z225" s="51"/>
      <c r="AA225" s="73"/>
      <c r="AB225" s="73"/>
      <c r="AC225" s="74"/>
      <c r="AD225" s="80" t="s">
        <v>4402</v>
      </c>
      <c r="AE225" s="86" t="s">
        <v>5320</v>
      </c>
      <c r="AF225" s="80">
        <v>557</v>
      </c>
      <c r="AG225" s="80">
        <v>493</v>
      </c>
      <c r="AH225" s="80">
        <v>5367</v>
      </c>
      <c r="AI225" s="80">
        <v>1392</v>
      </c>
      <c r="AJ225" s="80"/>
      <c r="AK225" s="80" t="s">
        <v>6119</v>
      </c>
      <c r="AL225" s="80"/>
      <c r="AM225" s="84" t="str">
        <f>HYPERLINK("https://t.co/WQki3kl3pt")</f>
        <v>https://t.co/WQki3kl3pt</v>
      </c>
      <c r="AN225" s="80"/>
      <c r="AO225" s="82">
        <v>44220.507951388892</v>
      </c>
      <c r="AP225" s="84" t="str">
        <f>HYPERLINK("https://pbs.twimg.com/profile_banners/1353314385494642688/1630498293")</f>
        <v>https://pbs.twimg.com/profile_banners/1353314385494642688/1630498293</v>
      </c>
      <c r="AQ225" s="80" t="b">
        <v>1</v>
      </c>
      <c r="AR225" s="80" t="b">
        <v>0</v>
      </c>
      <c r="AS225" s="80" t="b">
        <v>0</v>
      </c>
      <c r="AT225" s="80"/>
      <c r="AU225" s="80">
        <v>3</v>
      </c>
      <c r="AV225" s="80"/>
      <c r="AW225" s="80" t="b">
        <v>0</v>
      </c>
      <c r="AX225" s="80" t="s">
        <v>7173</v>
      </c>
      <c r="AY225" s="84" t="str">
        <f>HYPERLINK("https://twitter.com/thenameofjake")</f>
        <v>https://twitter.com/thenameofjake</v>
      </c>
      <c r="AZ225" s="80" t="s">
        <v>65</v>
      </c>
      <c r="BA225" s="2"/>
      <c r="BB225" s="3"/>
      <c r="BC225" s="3"/>
      <c r="BD225" s="3"/>
      <c r="BE225" s="3"/>
    </row>
    <row r="226" spans="1:57" x14ac:dyDescent="0.35">
      <c r="A226" s="66" t="s">
        <v>1057</v>
      </c>
      <c r="B226" s="67"/>
      <c r="C226" s="67"/>
      <c r="D226" s="68"/>
      <c r="E226" s="70"/>
      <c r="F226" s="106" t="str">
        <f>HYPERLINK("https://pbs.twimg.com/profile_images/1442539459438800901/VI6YfcEA_normal.jpg")</f>
        <v>https://pbs.twimg.com/profile_images/1442539459438800901/VI6YfcEA_normal.jpg</v>
      </c>
      <c r="G226" s="67"/>
      <c r="H226" s="71"/>
      <c r="I226" s="72"/>
      <c r="J226" s="72"/>
      <c r="K226" s="71" t="s">
        <v>7396</v>
      </c>
      <c r="L226" s="75"/>
      <c r="M226" s="76"/>
      <c r="N226" s="76"/>
      <c r="O226" s="77"/>
      <c r="P226" s="78"/>
      <c r="Q226" s="78"/>
      <c r="R226" s="90"/>
      <c r="S226" s="90"/>
      <c r="T226" s="90"/>
      <c r="U226" s="90"/>
      <c r="V226" s="52"/>
      <c r="W226" s="52"/>
      <c r="X226" s="52"/>
      <c r="Y226" s="52"/>
      <c r="Z226" s="51"/>
      <c r="AA226" s="73"/>
      <c r="AB226" s="73"/>
      <c r="AC226" s="74"/>
      <c r="AD226" s="80" t="s">
        <v>4403</v>
      </c>
      <c r="AE226" s="86" t="s">
        <v>3932</v>
      </c>
      <c r="AF226" s="80">
        <v>205</v>
      </c>
      <c r="AG226" s="80">
        <v>178</v>
      </c>
      <c r="AH226" s="80">
        <v>3129</v>
      </c>
      <c r="AI226" s="80">
        <v>258</v>
      </c>
      <c r="AJ226" s="80"/>
      <c r="AK226" s="80" t="s">
        <v>6120</v>
      </c>
      <c r="AL226" s="80" t="s">
        <v>6866</v>
      </c>
      <c r="AM226" s="84" t="str">
        <f>HYPERLINK("https://t.co/6YpFZWxkgz")</f>
        <v>https://t.co/6YpFZWxkgz</v>
      </c>
      <c r="AN226" s="80"/>
      <c r="AO226" s="82">
        <v>44379.284918981481</v>
      </c>
      <c r="AP226" s="84" t="str">
        <f>HYPERLINK("https://pbs.twimg.com/profile_banners/1410853276795297799/1628047705")</f>
        <v>https://pbs.twimg.com/profile_banners/1410853276795297799/1628047705</v>
      </c>
      <c r="AQ226" s="80" t="b">
        <v>1</v>
      </c>
      <c r="AR226" s="80" t="b">
        <v>0</v>
      </c>
      <c r="AS226" s="80" t="b">
        <v>0</v>
      </c>
      <c r="AT226" s="80"/>
      <c r="AU226" s="80">
        <v>0</v>
      </c>
      <c r="AV226" s="80"/>
      <c r="AW226" s="80" t="b">
        <v>0</v>
      </c>
      <c r="AX226" s="80" t="s">
        <v>7173</v>
      </c>
      <c r="AY226" s="84" t="str">
        <f>HYPERLINK("https://twitter.com/rowoion")</f>
        <v>https://twitter.com/rowoion</v>
      </c>
      <c r="AZ226" s="80" t="s">
        <v>65</v>
      </c>
      <c r="BA226" s="2"/>
      <c r="BB226" s="3"/>
      <c r="BC226" s="3"/>
      <c r="BD226" s="3"/>
      <c r="BE226" s="3"/>
    </row>
    <row r="227" spans="1:57" x14ac:dyDescent="0.35">
      <c r="A227" s="66" t="s">
        <v>370</v>
      </c>
      <c r="B227" s="67"/>
      <c r="C227" s="67"/>
      <c r="D227" s="68"/>
      <c r="E227" s="70"/>
      <c r="F227" s="106" t="str">
        <f>HYPERLINK("https://pbs.twimg.com/profile_images/1430927425597177859/hJEOpNN5_normal.jpg")</f>
        <v>https://pbs.twimg.com/profile_images/1430927425597177859/hJEOpNN5_normal.jpg</v>
      </c>
      <c r="G227" s="67"/>
      <c r="H227" s="71"/>
      <c r="I227" s="72"/>
      <c r="J227" s="72"/>
      <c r="K227" s="71" t="s">
        <v>7397</v>
      </c>
      <c r="L227" s="75"/>
      <c r="M227" s="76"/>
      <c r="N227" s="76"/>
      <c r="O227" s="77"/>
      <c r="P227" s="78"/>
      <c r="Q227" s="78"/>
      <c r="R227" s="90"/>
      <c r="S227" s="90"/>
      <c r="T227" s="90"/>
      <c r="U227" s="90"/>
      <c r="V227" s="52"/>
      <c r="W227" s="52"/>
      <c r="X227" s="52"/>
      <c r="Y227" s="52"/>
      <c r="Z227" s="51"/>
      <c r="AA227" s="73"/>
      <c r="AB227" s="73"/>
      <c r="AC227" s="74"/>
      <c r="AD227" s="80" t="s">
        <v>4404</v>
      </c>
      <c r="AE227" s="86" t="s">
        <v>5321</v>
      </c>
      <c r="AF227" s="80">
        <v>1294</v>
      </c>
      <c r="AG227" s="80">
        <v>550</v>
      </c>
      <c r="AH227" s="80">
        <v>4801</v>
      </c>
      <c r="AI227" s="80">
        <v>5824</v>
      </c>
      <c r="AJ227" s="80"/>
      <c r="AK227" s="80" t="s">
        <v>6121</v>
      </c>
      <c r="AL227" s="80" t="s">
        <v>6805</v>
      </c>
      <c r="AM227" s="80"/>
      <c r="AN227" s="80"/>
      <c r="AO227" s="82">
        <v>44419.236354166664</v>
      </c>
      <c r="AP227" s="84" t="str">
        <f>HYPERLINK("https://pbs.twimg.com/profile_banners/1425331096422547457/1628660936")</f>
        <v>https://pbs.twimg.com/profile_banners/1425331096422547457/1628660936</v>
      </c>
      <c r="AQ227" s="80" t="b">
        <v>1</v>
      </c>
      <c r="AR227" s="80" t="b">
        <v>0</v>
      </c>
      <c r="AS227" s="80" t="b">
        <v>1</v>
      </c>
      <c r="AT227" s="80"/>
      <c r="AU227" s="80">
        <v>0</v>
      </c>
      <c r="AV227" s="80"/>
      <c r="AW227" s="80" t="b">
        <v>0</v>
      </c>
      <c r="AX227" s="80" t="s">
        <v>7173</v>
      </c>
      <c r="AY227" s="84" t="str">
        <f>HYPERLINK("https://twitter.com/pekaklonto67")</f>
        <v>https://twitter.com/pekaklonto67</v>
      </c>
      <c r="AZ227" s="80" t="s">
        <v>66</v>
      </c>
      <c r="BA227" s="2"/>
      <c r="BB227" s="3"/>
      <c r="BC227" s="3"/>
      <c r="BD227" s="3"/>
      <c r="BE227" s="3"/>
    </row>
    <row r="228" spans="1:57" x14ac:dyDescent="0.35">
      <c r="A228" s="66" t="s">
        <v>371</v>
      </c>
      <c r="B228" s="67"/>
      <c r="C228" s="67"/>
      <c r="D228" s="68"/>
      <c r="E228" s="70"/>
      <c r="F228" s="106" t="str">
        <f>HYPERLINK("https://pbs.twimg.com/profile_images/1427956582319497229/Ko9ClQDD_normal.jpg")</f>
        <v>https://pbs.twimg.com/profile_images/1427956582319497229/Ko9ClQDD_normal.jpg</v>
      </c>
      <c r="G228" s="67"/>
      <c r="H228" s="71"/>
      <c r="I228" s="72"/>
      <c r="J228" s="72"/>
      <c r="K228" s="71" t="s">
        <v>7398</v>
      </c>
      <c r="L228" s="75"/>
      <c r="M228" s="76"/>
      <c r="N228" s="76"/>
      <c r="O228" s="77"/>
      <c r="P228" s="78"/>
      <c r="Q228" s="78"/>
      <c r="R228" s="90"/>
      <c r="S228" s="90"/>
      <c r="T228" s="90"/>
      <c r="U228" s="90"/>
      <c r="V228" s="52"/>
      <c r="W228" s="52"/>
      <c r="X228" s="52"/>
      <c r="Y228" s="52"/>
      <c r="Z228" s="51"/>
      <c r="AA228" s="73"/>
      <c r="AB228" s="73"/>
      <c r="AC228" s="74"/>
      <c r="AD228" s="80" t="s">
        <v>4405</v>
      </c>
      <c r="AE228" s="86" t="s">
        <v>5322</v>
      </c>
      <c r="AF228" s="80">
        <v>4281</v>
      </c>
      <c r="AG228" s="80">
        <v>4401</v>
      </c>
      <c r="AH228" s="80">
        <v>10187</v>
      </c>
      <c r="AI228" s="80">
        <v>24342</v>
      </c>
      <c r="AJ228" s="80"/>
      <c r="AK228" s="80" t="s">
        <v>6122</v>
      </c>
      <c r="AL228" s="80"/>
      <c r="AM228" s="80"/>
      <c r="AN228" s="80"/>
      <c r="AO228" s="82">
        <v>43525.154166666667</v>
      </c>
      <c r="AP228" s="84" t="str">
        <f>HYPERLINK("https://pbs.twimg.com/profile_banners/1101326696576245760/1628173575")</f>
        <v>https://pbs.twimg.com/profile_banners/1101326696576245760/1628173575</v>
      </c>
      <c r="AQ228" s="80" t="b">
        <v>1</v>
      </c>
      <c r="AR228" s="80" t="b">
        <v>0</v>
      </c>
      <c r="AS228" s="80" t="b">
        <v>0</v>
      </c>
      <c r="AT228" s="80"/>
      <c r="AU228" s="80">
        <v>0</v>
      </c>
      <c r="AV228" s="80"/>
      <c r="AW228" s="80" t="b">
        <v>0</v>
      </c>
      <c r="AX228" s="80" t="s">
        <v>7173</v>
      </c>
      <c r="AY228" s="84" t="str">
        <f>HYPERLINK("https://twitter.com/toni_chelsky88")</f>
        <v>https://twitter.com/toni_chelsky88</v>
      </c>
      <c r="AZ228" s="80" t="s">
        <v>66</v>
      </c>
      <c r="BA228" s="2"/>
      <c r="BB228" s="3"/>
      <c r="BC228" s="3"/>
      <c r="BD228" s="3"/>
      <c r="BE228" s="3"/>
    </row>
    <row r="229" spans="1:57" x14ac:dyDescent="0.35">
      <c r="A229" s="66" t="s">
        <v>372</v>
      </c>
      <c r="B229" s="67"/>
      <c r="C229" s="67"/>
      <c r="D229" s="68"/>
      <c r="E229" s="70"/>
      <c r="F229" s="106" t="str">
        <f>HYPERLINK("https://pbs.twimg.com/profile_images/1162608521508077568/W_DdDEBp_normal.jpg")</f>
        <v>https://pbs.twimg.com/profile_images/1162608521508077568/W_DdDEBp_normal.jpg</v>
      </c>
      <c r="G229" s="67"/>
      <c r="H229" s="71"/>
      <c r="I229" s="72"/>
      <c r="J229" s="72"/>
      <c r="K229" s="71" t="s">
        <v>7399</v>
      </c>
      <c r="L229" s="75"/>
      <c r="M229" s="76"/>
      <c r="N229" s="76"/>
      <c r="O229" s="77"/>
      <c r="P229" s="78"/>
      <c r="Q229" s="78"/>
      <c r="R229" s="90"/>
      <c r="S229" s="90"/>
      <c r="T229" s="90"/>
      <c r="U229" s="90"/>
      <c r="V229" s="52"/>
      <c r="W229" s="52"/>
      <c r="X229" s="52"/>
      <c r="Y229" s="52"/>
      <c r="Z229" s="51"/>
      <c r="AA229" s="73"/>
      <c r="AB229" s="73"/>
      <c r="AC229" s="74"/>
      <c r="AD229" s="80" t="s">
        <v>4406</v>
      </c>
      <c r="AE229" s="86" t="s">
        <v>5323</v>
      </c>
      <c r="AF229" s="80">
        <v>4167</v>
      </c>
      <c r="AG229" s="80">
        <v>2553</v>
      </c>
      <c r="AH229" s="80">
        <v>84460</v>
      </c>
      <c r="AI229" s="80">
        <v>71710</v>
      </c>
      <c r="AJ229" s="80"/>
      <c r="AK229" s="80" t="s">
        <v>6123</v>
      </c>
      <c r="AL229" s="80" t="s">
        <v>4145</v>
      </c>
      <c r="AM229" s="80"/>
      <c r="AN229" s="80"/>
      <c r="AO229" s="82">
        <v>39986.280763888892</v>
      </c>
      <c r="AP229" s="84" t="str">
        <f>HYPERLINK("https://pbs.twimg.com/profile_banners/49559189/1416183175")</f>
        <v>https://pbs.twimg.com/profile_banners/49559189/1416183175</v>
      </c>
      <c r="AQ229" s="80" t="b">
        <v>0</v>
      </c>
      <c r="AR229" s="80" t="b">
        <v>0</v>
      </c>
      <c r="AS229" s="80" t="b">
        <v>0</v>
      </c>
      <c r="AT229" s="80"/>
      <c r="AU229" s="80">
        <v>24</v>
      </c>
      <c r="AV229" s="84" t="str">
        <f>HYPERLINK("https://abs.twimg.com/images/themes/theme18/bg.gif")</f>
        <v>https://abs.twimg.com/images/themes/theme18/bg.gif</v>
      </c>
      <c r="AW229" s="80" t="b">
        <v>0</v>
      </c>
      <c r="AX229" s="80" t="s">
        <v>7173</v>
      </c>
      <c r="AY229" s="84" t="str">
        <f>HYPERLINK("https://twitter.com/emastok")</f>
        <v>https://twitter.com/emastok</v>
      </c>
      <c r="AZ229" s="80" t="s">
        <v>66</v>
      </c>
      <c r="BA229" s="2"/>
      <c r="BB229" s="3"/>
      <c r="BC229" s="3"/>
      <c r="BD229" s="3"/>
      <c r="BE229" s="3"/>
    </row>
    <row r="230" spans="1:57" x14ac:dyDescent="0.35">
      <c r="A230" s="66" t="s">
        <v>373</v>
      </c>
      <c r="B230" s="67"/>
      <c r="C230" s="67"/>
      <c r="D230" s="68"/>
      <c r="E230" s="70"/>
      <c r="F230" s="106" t="str">
        <f>HYPERLINK("https://pbs.twimg.com/profile_images/1440139284225290241/4XTmlTnm_normal.jpg")</f>
        <v>https://pbs.twimg.com/profile_images/1440139284225290241/4XTmlTnm_normal.jpg</v>
      </c>
      <c r="G230" s="67"/>
      <c r="H230" s="71"/>
      <c r="I230" s="72"/>
      <c r="J230" s="72"/>
      <c r="K230" s="71" t="s">
        <v>7400</v>
      </c>
      <c r="L230" s="75"/>
      <c r="M230" s="76"/>
      <c r="N230" s="76"/>
      <c r="O230" s="77"/>
      <c r="P230" s="78"/>
      <c r="Q230" s="78"/>
      <c r="R230" s="90"/>
      <c r="S230" s="90"/>
      <c r="T230" s="90"/>
      <c r="U230" s="90"/>
      <c r="V230" s="52"/>
      <c r="W230" s="52"/>
      <c r="X230" s="52"/>
      <c r="Y230" s="52"/>
      <c r="Z230" s="51"/>
      <c r="AA230" s="73"/>
      <c r="AB230" s="73"/>
      <c r="AC230" s="74"/>
      <c r="AD230" s="80" t="s">
        <v>4407</v>
      </c>
      <c r="AE230" s="86" t="s">
        <v>5324</v>
      </c>
      <c r="AF230" s="80">
        <v>442</v>
      </c>
      <c r="AG230" s="80">
        <v>565</v>
      </c>
      <c r="AH230" s="80">
        <v>16478</v>
      </c>
      <c r="AI230" s="80">
        <v>51992</v>
      </c>
      <c r="AJ230" s="80"/>
      <c r="AK230" s="80" t="s">
        <v>6124</v>
      </c>
      <c r="AL230" s="80"/>
      <c r="AM230" s="80"/>
      <c r="AN230" s="80"/>
      <c r="AO230" s="82">
        <v>44293.163865740738</v>
      </c>
      <c r="AP230" s="84" t="str">
        <f>HYPERLINK("https://pbs.twimg.com/profile_banners/1379644010570993667/1617802337")</f>
        <v>https://pbs.twimg.com/profile_banners/1379644010570993667/1617802337</v>
      </c>
      <c r="AQ230" s="80" t="b">
        <v>1</v>
      </c>
      <c r="AR230" s="80" t="b">
        <v>0</v>
      </c>
      <c r="AS230" s="80" t="b">
        <v>1</v>
      </c>
      <c r="AT230" s="80"/>
      <c r="AU230" s="80">
        <v>0</v>
      </c>
      <c r="AV230" s="80"/>
      <c r="AW230" s="80" t="b">
        <v>0</v>
      </c>
      <c r="AX230" s="80" t="s">
        <v>7173</v>
      </c>
      <c r="AY230" s="84" t="str">
        <f>HYPERLINK("https://twitter.com/ewinwinarti")</f>
        <v>https://twitter.com/ewinwinarti</v>
      </c>
      <c r="AZ230" s="80" t="s">
        <v>66</v>
      </c>
      <c r="BA230" s="2"/>
      <c r="BB230" s="3"/>
      <c r="BC230" s="3"/>
      <c r="BD230" s="3"/>
      <c r="BE230" s="3"/>
    </row>
    <row r="231" spans="1:57" x14ac:dyDescent="0.35">
      <c r="A231" s="66" t="s">
        <v>374</v>
      </c>
      <c r="B231" s="67"/>
      <c r="C231" s="67"/>
      <c r="D231" s="68"/>
      <c r="E231" s="70"/>
      <c r="F231" s="106" t="str">
        <f>HYPERLINK("https://pbs.twimg.com/profile_images/1386640496840216579/CUAwBRGk_normal.jpg")</f>
        <v>https://pbs.twimg.com/profile_images/1386640496840216579/CUAwBRGk_normal.jpg</v>
      </c>
      <c r="G231" s="67"/>
      <c r="H231" s="71"/>
      <c r="I231" s="72"/>
      <c r="J231" s="72"/>
      <c r="K231" s="71" t="s">
        <v>7401</v>
      </c>
      <c r="L231" s="75"/>
      <c r="M231" s="76"/>
      <c r="N231" s="76"/>
      <c r="O231" s="77"/>
      <c r="P231" s="78"/>
      <c r="Q231" s="78"/>
      <c r="R231" s="90"/>
      <c r="S231" s="90"/>
      <c r="T231" s="90"/>
      <c r="U231" s="90"/>
      <c r="V231" s="52"/>
      <c r="W231" s="52"/>
      <c r="X231" s="52"/>
      <c r="Y231" s="52"/>
      <c r="Z231" s="51"/>
      <c r="AA231" s="73"/>
      <c r="AB231" s="73"/>
      <c r="AC231" s="74"/>
      <c r="AD231" s="80" t="s">
        <v>4408</v>
      </c>
      <c r="AE231" s="86" t="s">
        <v>5325</v>
      </c>
      <c r="AF231" s="80">
        <v>1293</v>
      </c>
      <c r="AG231" s="80">
        <v>853</v>
      </c>
      <c r="AH231" s="80">
        <v>8868</v>
      </c>
      <c r="AI231" s="80">
        <v>13266</v>
      </c>
      <c r="AJ231" s="80"/>
      <c r="AK231" s="80" t="s">
        <v>6125</v>
      </c>
      <c r="AL231" s="80" t="s">
        <v>6867</v>
      </c>
      <c r="AM231" s="80"/>
      <c r="AN231" s="80"/>
      <c r="AO231" s="82">
        <v>41175.188622685186</v>
      </c>
      <c r="AP231" s="80"/>
      <c r="AQ231" s="80" t="b">
        <v>1</v>
      </c>
      <c r="AR231" s="80" t="b">
        <v>0</v>
      </c>
      <c r="AS231" s="80" t="b">
        <v>0</v>
      </c>
      <c r="AT231" s="80"/>
      <c r="AU231" s="80">
        <v>0</v>
      </c>
      <c r="AV231" s="84" t="str">
        <f>HYPERLINK("https://abs.twimg.com/images/themes/theme1/bg.png")</f>
        <v>https://abs.twimg.com/images/themes/theme1/bg.png</v>
      </c>
      <c r="AW231" s="80" t="b">
        <v>0</v>
      </c>
      <c r="AX231" s="80" t="s">
        <v>7173</v>
      </c>
      <c r="AY231" s="84" t="str">
        <f>HYPERLINK("https://twitter.com/wisnukombot")</f>
        <v>https://twitter.com/wisnukombot</v>
      </c>
      <c r="AZ231" s="80" t="s">
        <v>66</v>
      </c>
      <c r="BA231" s="2"/>
      <c r="BB231" s="3"/>
      <c r="BC231" s="3"/>
      <c r="BD231" s="3"/>
      <c r="BE231" s="3"/>
    </row>
    <row r="232" spans="1:57" x14ac:dyDescent="0.35">
      <c r="A232" s="66" t="s">
        <v>376</v>
      </c>
      <c r="B232" s="67"/>
      <c r="C232" s="67"/>
      <c r="D232" s="68"/>
      <c r="E232" s="70"/>
      <c r="F232" s="106" t="str">
        <f>HYPERLINK("https://pbs.twimg.com/profile_images/1393511664851439619/8-0jz544_normal.jpg")</f>
        <v>https://pbs.twimg.com/profile_images/1393511664851439619/8-0jz544_normal.jpg</v>
      </c>
      <c r="G232" s="67"/>
      <c r="H232" s="71"/>
      <c r="I232" s="72"/>
      <c r="J232" s="72"/>
      <c r="K232" s="71" t="s">
        <v>7402</v>
      </c>
      <c r="L232" s="75"/>
      <c r="M232" s="76"/>
      <c r="N232" s="76"/>
      <c r="O232" s="77"/>
      <c r="P232" s="78"/>
      <c r="Q232" s="78"/>
      <c r="R232" s="90"/>
      <c r="S232" s="90"/>
      <c r="T232" s="90"/>
      <c r="U232" s="90"/>
      <c r="V232" s="52"/>
      <c r="W232" s="52"/>
      <c r="X232" s="52"/>
      <c r="Y232" s="52"/>
      <c r="Z232" s="51"/>
      <c r="AA232" s="73"/>
      <c r="AB232" s="73"/>
      <c r="AC232" s="74"/>
      <c r="AD232" s="80" t="s">
        <v>4409</v>
      </c>
      <c r="AE232" s="86" t="s">
        <v>5326</v>
      </c>
      <c r="AF232" s="80">
        <v>2920</v>
      </c>
      <c r="AG232" s="80">
        <v>2700</v>
      </c>
      <c r="AH232" s="80">
        <v>93382</v>
      </c>
      <c r="AI232" s="80">
        <v>6797</v>
      </c>
      <c r="AJ232" s="80"/>
      <c r="AK232" s="80" t="s">
        <v>6126</v>
      </c>
      <c r="AL232" s="80" t="s">
        <v>6868</v>
      </c>
      <c r="AM232" s="80"/>
      <c r="AN232" s="80"/>
      <c r="AO232" s="82">
        <v>41076.572777777779</v>
      </c>
      <c r="AP232" s="84" t="str">
        <f>HYPERLINK("https://pbs.twimg.com/profile_banners/609998771/1597663577")</f>
        <v>https://pbs.twimg.com/profile_banners/609998771/1597663577</v>
      </c>
      <c r="AQ232" s="80" t="b">
        <v>0</v>
      </c>
      <c r="AR232" s="80" t="b">
        <v>0</v>
      </c>
      <c r="AS232" s="80" t="b">
        <v>0</v>
      </c>
      <c r="AT232" s="80"/>
      <c r="AU232" s="80">
        <v>0</v>
      </c>
      <c r="AV232" s="84" t="str">
        <f>HYPERLINK("https://abs.twimg.com/images/themes/theme1/bg.png")</f>
        <v>https://abs.twimg.com/images/themes/theme1/bg.png</v>
      </c>
      <c r="AW232" s="80" t="b">
        <v>0</v>
      </c>
      <c r="AX232" s="80" t="s">
        <v>7173</v>
      </c>
      <c r="AY232" s="84" t="str">
        <f>HYPERLINK("https://twitter.com/moekartho")</f>
        <v>https://twitter.com/moekartho</v>
      </c>
      <c r="AZ232" s="80" t="s">
        <v>66</v>
      </c>
      <c r="BA232" s="2"/>
      <c r="BB232" s="3"/>
      <c r="BC232" s="3"/>
      <c r="BD232" s="3"/>
      <c r="BE232" s="3"/>
    </row>
    <row r="233" spans="1:57" x14ac:dyDescent="0.35">
      <c r="A233" s="66" t="s">
        <v>377</v>
      </c>
      <c r="B233" s="67"/>
      <c r="C233" s="67"/>
      <c r="D233" s="68"/>
      <c r="E233" s="70"/>
      <c r="F233" s="106" t="str">
        <f>HYPERLINK("https://pbs.twimg.com/profile_images/1440169848776974338/CN7ldEj6_normal.jpg")</f>
        <v>https://pbs.twimg.com/profile_images/1440169848776974338/CN7ldEj6_normal.jpg</v>
      </c>
      <c r="G233" s="67"/>
      <c r="H233" s="71"/>
      <c r="I233" s="72"/>
      <c r="J233" s="72"/>
      <c r="K233" s="71" t="s">
        <v>7403</v>
      </c>
      <c r="L233" s="75"/>
      <c r="M233" s="76"/>
      <c r="N233" s="76"/>
      <c r="O233" s="77"/>
      <c r="P233" s="78"/>
      <c r="Q233" s="78"/>
      <c r="R233" s="90"/>
      <c r="S233" s="90"/>
      <c r="T233" s="90"/>
      <c r="U233" s="90"/>
      <c r="V233" s="52"/>
      <c r="W233" s="52"/>
      <c r="X233" s="52"/>
      <c r="Y233" s="52"/>
      <c r="Z233" s="51"/>
      <c r="AA233" s="73"/>
      <c r="AB233" s="73"/>
      <c r="AC233" s="74"/>
      <c r="AD233" s="80" t="s">
        <v>4410</v>
      </c>
      <c r="AE233" s="86" t="s">
        <v>5327</v>
      </c>
      <c r="AF233" s="80">
        <v>188</v>
      </c>
      <c r="AG233" s="80">
        <v>7</v>
      </c>
      <c r="AH233" s="80">
        <v>2387</v>
      </c>
      <c r="AI233" s="80">
        <v>7</v>
      </c>
      <c r="AJ233" s="80"/>
      <c r="AK233" s="80" t="s">
        <v>6127</v>
      </c>
      <c r="AL233" s="80" t="s">
        <v>6869</v>
      </c>
      <c r="AM233" s="80"/>
      <c r="AN233" s="80"/>
      <c r="AO233" s="82">
        <v>44434.891423611109</v>
      </c>
      <c r="AP233" s="80"/>
      <c r="AQ233" s="80" t="b">
        <v>1</v>
      </c>
      <c r="AR233" s="80" t="b">
        <v>0</v>
      </c>
      <c r="AS233" s="80" t="b">
        <v>0</v>
      </c>
      <c r="AT233" s="80"/>
      <c r="AU233" s="80">
        <v>0</v>
      </c>
      <c r="AV233" s="80"/>
      <c r="AW233" s="80" t="b">
        <v>0</v>
      </c>
      <c r="AX233" s="80" t="s">
        <v>7173</v>
      </c>
      <c r="AY233" s="84" t="str">
        <f>HYPERLINK("https://twitter.com/kartasaputra7")</f>
        <v>https://twitter.com/kartasaputra7</v>
      </c>
      <c r="AZ233" s="80" t="s">
        <v>66</v>
      </c>
      <c r="BA233" s="2"/>
      <c r="BB233" s="3"/>
      <c r="BC233" s="3"/>
      <c r="BD233" s="3"/>
      <c r="BE233" s="3"/>
    </row>
    <row r="234" spans="1:57" x14ac:dyDescent="0.35">
      <c r="A234" s="66" t="s">
        <v>378</v>
      </c>
      <c r="B234" s="67"/>
      <c r="C234" s="67"/>
      <c r="D234" s="68"/>
      <c r="E234" s="70"/>
      <c r="F234" s="106" t="str">
        <f>HYPERLINK("https://pbs.twimg.com/profile_images/1341694257527078912/rDOl-y64_normal.jpg")</f>
        <v>https://pbs.twimg.com/profile_images/1341694257527078912/rDOl-y64_normal.jpg</v>
      </c>
      <c r="G234" s="67"/>
      <c r="H234" s="71"/>
      <c r="I234" s="72"/>
      <c r="J234" s="72"/>
      <c r="K234" s="71" t="s">
        <v>7404</v>
      </c>
      <c r="L234" s="75"/>
      <c r="M234" s="76"/>
      <c r="N234" s="76"/>
      <c r="O234" s="77"/>
      <c r="P234" s="78"/>
      <c r="Q234" s="78"/>
      <c r="R234" s="90"/>
      <c r="S234" s="90"/>
      <c r="T234" s="90"/>
      <c r="U234" s="90"/>
      <c r="V234" s="52"/>
      <c r="W234" s="52"/>
      <c r="X234" s="52"/>
      <c r="Y234" s="52"/>
      <c r="Z234" s="51"/>
      <c r="AA234" s="73"/>
      <c r="AB234" s="73"/>
      <c r="AC234" s="74"/>
      <c r="AD234" s="80" t="s">
        <v>4411</v>
      </c>
      <c r="AE234" s="86" t="s">
        <v>5328</v>
      </c>
      <c r="AF234" s="80">
        <v>161</v>
      </c>
      <c r="AG234" s="80">
        <v>125</v>
      </c>
      <c r="AH234" s="80">
        <v>2067</v>
      </c>
      <c r="AI234" s="80">
        <v>12936</v>
      </c>
      <c r="AJ234" s="80"/>
      <c r="AK234" s="80"/>
      <c r="AL234" s="80"/>
      <c r="AM234" s="80"/>
      <c r="AN234" s="80"/>
      <c r="AO234" s="82">
        <v>41452.679143518515</v>
      </c>
      <c r="AP234" s="80"/>
      <c r="AQ234" s="80" t="b">
        <v>1</v>
      </c>
      <c r="AR234" s="80" t="b">
        <v>0</v>
      </c>
      <c r="AS234" s="80" t="b">
        <v>0</v>
      </c>
      <c r="AT234" s="80"/>
      <c r="AU234" s="80">
        <v>0</v>
      </c>
      <c r="AV234" s="84" t="str">
        <f>HYPERLINK("https://abs.twimg.com/images/themes/theme1/bg.png")</f>
        <v>https://abs.twimg.com/images/themes/theme1/bg.png</v>
      </c>
      <c r="AW234" s="80" t="b">
        <v>0</v>
      </c>
      <c r="AX234" s="80" t="s">
        <v>7173</v>
      </c>
      <c r="AY234" s="84" t="str">
        <f>HYPERLINK("https://twitter.com/lennasjam")</f>
        <v>https://twitter.com/lennasjam</v>
      </c>
      <c r="AZ234" s="80" t="s">
        <v>66</v>
      </c>
      <c r="BA234" s="2"/>
      <c r="BB234" s="3"/>
      <c r="BC234" s="3"/>
      <c r="BD234" s="3"/>
      <c r="BE234" s="3"/>
    </row>
    <row r="235" spans="1:57" x14ac:dyDescent="0.35">
      <c r="A235" s="66" t="s">
        <v>379</v>
      </c>
      <c r="B235" s="67"/>
      <c r="C235" s="67"/>
      <c r="D235" s="68"/>
      <c r="E235" s="70"/>
      <c r="F235" s="106" t="str">
        <f>HYPERLINK("https://pbs.twimg.com/profile_images/594486392849240064/psolzsZm_normal.jpg")</f>
        <v>https://pbs.twimg.com/profile_images/594486392849240064/psolzsZm_normal.jpg</v>
      </c>
      <c r="G235" s="67"/>
      <c r="H235" s="71"/>
      <c r="I235" s="72"/>
      <c r="J235" s="72"/>
      <c r="K235" s="71" t="s">
        <v>7405</v>
      </c>
      <c r="L235" s="75"/>
      <c r="M235" s="76"/>
      <c r="N235" s="76"/>
      <c r="O235" s="77"/>
      <c r="P235" s="78"/>
      <c r="Q235" s="78"/>
      <c r="R235" s="90"/>
      <c r="S235" s="90"/>
      <c r="T235" s="90"/>
      <c r="U235" s="90"/>
      <c r="V235" s="52"/>
      <c r="W235" s="52"/>
      <c r="X235" s="52"/>
      <c r="Y235" s="52"/>
      <c r="Z235" s="51"/>
      <c r="AA235" s="73"/>
      <c r="AB235" s="73"/>
      <c r="AC235" s="74"/>
      <c r="AD235" s="80" t="s">
        <v>4412</v>
      </c>
      <c r="AE235" s="86" t="s">
        <v>5329</v>
      </c>
      <c r="AF235" s="80">
        <v>4906</v>
      </c>
      <c r="AG235" s="80">
        <v>5030</v>
      </c>
      <c r="AH235" s="80">
        <v>3410</v>
      </c>
      <c r="AI235" s="80">
        <v>30725</v>
      </c>
      <c r="AJ235" s="80"/>
      <c r="AK235" s="80" t="s">
        <v>6128</v>
      </c>
      <c r="AL235" s="80" t="s">
        <v>6870</v>
      </c>
      <c r="AM235" s="80"/>
      <c r="AN235" s="80"/>
      <c r="AO235" s="82">
        <v>41380.367881944447</v>
      </c>
      <c r="AP235" s="84" t="str">
        <f>HYPERLINK("https://pbs.twimg.com/profile_banners/1356409759/1430571574")</f>
        <v>https://pbs.twimg.com/profile_banners/1356409759/1430571574</v>
      </c>
      <c r="AQ235" s="80" t="b">
        <v>1</v>
      </c>
      <c r="AR235" s="80" t="b">
        <v>0</v>
      </c>
      <c r="AS235" s="80" t="b">
        <v>0</v>
      </c>
      <c r="AT235" s="80"/>
      <c r="AU235" s="80">
        <v>0</v>
      </c>
      <c r="AV235" s="84" t="str">
        <f>HYPERLINK("https://abs.twimg.com/images/themes/theme1/bg.png")</f>
        <v>https://abs.twimg.com/images/themes/theme1/bg.png</v>
      </c>
      <c r="AW235" s="80" t="b">
        <v>0</v>
      </c>
      <c r="AX235" s="80" t="s">
        <v>7173</v>
      </c>
      <c r="AY235" s="84" t="str">
        <f>HYPERLINK("https://twitter.com/agoessoesanto2")</f>
        <v>https://twitter.com/agoessoesanto2</v>
      </c>
      <c r="AZ235" s="80" t="s">
        <v>66</v>
      </c>
      <c r="BA235" s="2"/>
      <c r="BB235" s="3"/>
      <c r="BC235" s="3"/>
      <c r="BD235" s="3"/>
      <c r="BE235" s="3"/>
    </row>
    <row r="236" spans="1:57" x14ac:dyDescent="0.35">
      <c r="A236" s="66" t="s">
        <v>380</v>
      </c>
      <c r="B236" s="67"/>
      <c r="C236" s="67"/>
      <c r="D236" s="68"/>
      <c r="E236" s="70"/>
      <c r="F236" s="106" t="str">
        <f>HYPERLINK("https://pbs.twimg.com/profile_images/1434962757267308544/otLGlSVK_normal.jpg")</f>
        <v>https://pbs.twimg.com/profile_images/1434962757267308544/otLGlSVK_normal.jpg</v>
      </c>
      <c r="G236" s="67"/>
      <c r="H236" s="71"/>
      <c r="I236" s="72"/>
      <c r="J236" s="72"/>
      <c r="K236" s="71" t="s">
        <v>7406</v>
      </c>
      <c r="L236" s="75"/>
      <c r="M236" s="76"/>
      <c r="N236" s="76"/>
      <c r="O236" s="77"/>
      <c r="P236" s="78"/>
      <c r="Q236" s="78"/>
      <c r="R236" s="90"/>
      <c r="S236" s="90"/>
      <c r="T236" s="90"/>
      <c r="U236" s="90"/>
      <c r="V236" s="52"/>
      <c r="W236" s="52"/>
      <c r="X236" s="52"/>
      <c r="Y236" s="52"/>
      <c r="Z236" s="51"/>
      <c r="AA236" s="73"/>
      <c r="AB236" s="73"/>
      <c r="AC236" s="74"/>
      <c r="AD236" s="80" t="s">
        <v>4413</v>
      </c>
      <c r="AE236" s="86" t="s">
        <v>5330</v>
      </c>
      <c r="AF236" s="80">
        <v>1441</v>
      </c>
      <c r="AG236" s="80">
        <v>1452</v>
      </c>
      <c r="AH236" s="80">
        <v>1789</v>
      </c>
      <c r="AI236" s="80">
        <v>2849</v>
      </c>
      <c r="AJ236" s="80"/>
      <c r="AK236" s="80" t="s">
        <v>6129</v>
      </c>
      <c r="AL236" s="80"/>
      <c r="AM236" s="80"/>
      <c r="AN236" s="80"/>
      <c r="AO236" s="82">
        <v>44445.572974537034</v>
      </c>
      <c r="AP236" s="84" t="str">
        <f>HYPERLINK("https://pbs.twimg.com/profile_banners/1434875140836188167/1632505489")</f>
        <v>https://pbs.twimg.com/profile_banners/1434875140836188167/1632505489</v>
      </c>
      <c r="AQ236" s="80" t="b">
        <v>1</v>
      </c>
      <c r="AR236" s="80" t="b">
        <v>0</v>
      </c>
      <c r="AS236" s="80" t="b">
        <v>0</v>
      </c>
      <c r="AT236" s="80"/>
      <c r="AU236" s="80">
        <v>0</v>
      </c>
      <c r="AV236" s="80"/>
      <c r="AW236" s="80" t="b">
        <v>0</v>
      </c>
      <c r="AX236" s="80" t="s">
        <v>7173</v>
      </c>
      <c r="AY236" s="84" t="str">
        <f>HYPERLINK("https://twitter.com/bengkeltanah201")</f>
        <v>https://twitter.com/bengkeltanah201</v>
      </c>
      <c r="AZ236" s="80" t="s">
        <v>66</v>
      </c>
      <c r="BA236" s="2"/>
      <c r="BB236" s="3"/>
      <c r="BC236" s="3"/>
      <c r="BD236" s="3"/>
      <c r="BE236" s="3"/>
    </row>
    <row r="237" spans="1:57" x14ac:dyDescent="0.35">
      <c r="A237" s="66" t="s">
        <v>381</v>
      </c>
      <c r="B237" s="67"/>
      <c r="C237" s="67"/>
      <c r="D237" s="68"/>
      <c r="E237" s="70"/>
      <c r="F237" s="106" t="str">
        <f>HYPERLINK("https://pbs.twimg.com/profile_images/479652276353527809/BOYOmSgA_normal.jpeg")</f>
        <v>https://pbs.twimg.com/profile_images/479652276353527809/BOYOmSgA_normal.jpeg</v>
      </c>
      <c r="G237" s="67"/>
      <c r="H237" s="71"/>
      <c r="I237" s="72"/>
      <c r="J237" s="72"/>
      <c r="K237" s="71" t="s">
        <v>7407</v>
      </c>
      <c r="L237" s="75"/>
      <c r="M237" s="76"/>
      <c r="N237" s="76"/>
      <c r="O237" s="77"/>
      <c r="P237" s="78"/>
      <c r="Q237" s="78"/>
      <c r="R237" s="90"/>
      <c r="S237" s="90"/>
      <c r="T237" s="90"/>
      <c r="U237" s="90"/>
      <c r="V237" s="52"/>
      <c r="W237" s="52"/>
      <c r="X237" s="52"/>
      <c r="Y237" s="52"/>
      <c r="Z237" s="51"/>
      <c r="AA237" s="73"/>
      <c r="AB237" s="73"/>
      <c r="AC237" s="74"/>
      <c r="AD237" s="80" t="s">
        <v>4414</v>
      </c>
      <c r="AE237" s="86" t="s">
        <v>5331</v>
      </c>
      <c r="AF237" s="80">
        <v>204</v>
      </c>
      <c r="AG237" s="80">
        <v>59</v>
      </c>
      <c r="AH237" s="80">
        <v>511</v>
      </c>
      <c r="AI237" s="80">
        <v>2736</v>
      </c>
      <c r="AJ237" s="80"/>
      <c r="AK237" s="80"/>
      <c r="AL237" s="80" t="s">
        <v>6862</v>
      </c>
      <c r="AM237" s="80"/>
      <c r="AN237" s="80"/>
      <c r="AO237" s="82">
        <v>41634.349629629629</v>
      </c>
      <c r="AP237" s="80"/>
      <c r="AQ237" s="80" t="b">
        <v>1</v>
      </c>
      <c r="AR237" s="80" t="b">
        <v>0</v>
      </c>
      <c r="AS237" s="80" t="b">
        <v>1</v>
      </c>
      <c r="AT237" s="80"/>
      <c r="AU237" s="80">
        <v>0</v>
      </c>
      <c r="AV237" s="84" t="str">
        <f>HYPERLINK("https://abs.twimg.com/images/themes/theme1/bg.png")</f>
        <v>https://abs.twimg.com/images/themes/theme1/bg.png</v>
      </c>
      <c r="AW237" s="80" t="b">
        <v>0</v>
      </c>
      <c r="AX237" s="80" t="s">
        <v>7173</v>
      </c>
      <c r="AY237" s="84" t="str">
        <f>HYPERLINK("https://twitter.com/fery_hyaken")</f>
        <v>https://twitter.com/fery_hyaken</v>
      </c>
      <c r="AZ237" s="80" t="s">
        <v>66</v>
      </c>
      <c r="BA237" s="2"/>
      <c r="BB237" s="3"/>
      <c r="BC237" s="3"/>
      <c r="BD237" s="3"/>
      <c r="BE237" s="3"/>
    </row>
    <row r="238" spans="1:57" x14ac:dyDescent="0.35">
      <c r="A238" s="66" t="s">
        <v>382</v>
      </c>
      <c r="B238" s="67"/>
      <c r="C238" s="67"/>
      <c r="D238" s="68"/>
      <c r="E238" s="70"/>
      <c r="F238" s="106" t="str">
        <f>HYPERLINK("https://pbs.twimg.com/profile_images/1381958491707858951/9BQe96gn_normal.jpg")</f>
        <v>https://pbs.twimg.com/profile_images/1381958491707858951/9BQe96gn_normal.jpg</v>
      </c>
      <c r="G238" s="67"/>
      <c r="H238" s="71"/>
      <c r="I238" s="72"/>
      <c r="J238" s="72"/>
      <c r="K238" s="71" t="s">
        <v>7408</v>
      </c>
      <c r="L238" s="75"/>
      <c r="M238" s="76"/>
      <c r="N238" s="76"/>
      <c r="O238" s="77"/>
      <c r="P238" s="78"/>
      <c r="Q238" s="78"/>
      <c r="R238" s="90"/>
      <c r="S238" s="90"/>
      <c r="T238" s="90"/>
      <c r="U238" s="90"/>
      <c r="V238" s="52"/>
      <c r="W238" s="52"/>
      <c r="X238" s="52"/>
      <c r="Y238" s="52"/>
      <c r="Z238" s="51"/>
      <c r="AA238" s="73"/>
      <c r="AB238" s="73"/>
      <c r="AC238" s="74"/>
      <c r="AD238" s="80" t="s">
        <v>4415</v>
      </c>
      <c r="AE238" s="86" t="s">
        <v>5332</v>
      </c>
      <c r="AF238" s="80">
        <v>1960</v>
      </c>
      <c r="AG238" s="80">
        <v>1680</v>
      </c>
      <c r="AH238" s="80">
        <v>28697</v>
      </c>
      <c r="AI238" s="80">
        <v>21326</v>
      </c>
      <c r="AJ238" s="80"/>
      <c r="AK238" s="80"/>
      <c r="AL238" s="80" t="s">
        <v>6871</v>
      </c>
      <c r="AM238" s="80"/>
      <c r="AN238" s="80"/>
      <c r="AO238" s="82">
        <v>40630.66033564815</v>
      </c>
      <c r="AP238" s="84" t="str">
        <f>HYPERLINK("https://pbs.twimg.com/profile_banners/273486666/1586527793")</f>
        <v>https://pbs.twimg.com/profile_banners/273486666/1586527793</v>
      </c>
      <c r="AQ238" s="80" t="b">
        <v>1</v>
      </c>
      <c r="AR238" s="80" t="b">
        <v>0</v>
      </c>
      <c r="AS238" s="80" t="b">
        <v>1</v>
      </c>
      <c r="AT238" s="80"/>
      <c r="AU238" s="80">
        <v>1</v>
      </c>
      <c r="AV238" s="84" t="str">
        <f>HYPERLINK("https://abs.twimg.com/images/themes/theme1/bg.png")</f>
        <v>https://abs.twimg.com/images/themes/theme1/bg.png</v>
      </c>
      <c r="AW238" s="80" t="b">
        <v>0</v>
      </c>
      <c r="AX238" s="80" t="s">
        <v>7173</v>
      </c>
      <c r="AY238" s="84" t="str">
        <f>HYPERLINK("https://twitter.com/noni_nitha")</f>
        <v>https://twitter.com/noni_nitha</v>
      </c>
      <c r="AZ238" s="80" t="s">
        <v>66</v>
      </c>
      <c r="BA238" s="2"/>
      <c r="BB238" s="3"/>
      <c r="BC238" s="3"/>
      <c r="BD238" s="3"/>
      <c r="BE238" s="3"/>
    </row>
    <row r="239" spans="1:57" x14ac:dyDescent="0.35">
      <c r="A239" s="66" t="s">
        <v>383</v>
      </c>
      <c r="B239" s="67"/>
      <c r="C239" s="67"/>
      <c r="D239" s="68"/>
      <c r="E239" s="70"/>
      <c r="F239" s="106" t="str">
        <f>HYPERLINK("https://pbs.twimg.com/profile_images/1399920822815313921/HRkI1AAf_normal.jpg")</f>
        <v>https://pbs.twimg.com/profile_images/1399920822815313921/HRkI1AAf_normal.jpg</v>
      </c>
      <c r="G239" s="67"/>
      <c r="H239" s="71"/>
      <c r="I239" s="72"/>
      <c r="J239" s="72"/>
      <c r="K239" s="71" t="s">
        <v>7409</v>
      </c>
      <c r="L239" s="75"/>
      <c r="M239" s="76"/>
      <c r="N239" s="76"/>
      <c r="O239" s="77"/>
      <c r="P239" s="78"/>
      <c r="Q239" s="78"/>
      <c r="R239" s="90"/>
      <c r="S239" s="90"/>
      <c r="T239" s="90"/>
      <c r="U239" s="90"/>
      <c r="V239" s="52"/>
      <c r="W239" s="52"/>
      <c r="X239" s="52"/>
      <c r="Y239" s="52"/>
      <c r="Z239" s="51"/>
      <c r="AA239" s="73"/>
      <c r="AB239" s="73"/>
      <c r="AC239" s="74"/>
      <c r="AD239" s="80" t="s">
        <v>4416</v>
      </c>
      <c r="AE239" s="86" t="s">
        <v>5333</v>
      </c>
      <c r="AF239" s="80">
        <v>1335</v>
      </c>
      <c r="AG239" s="80">
        <v>559</v>
      </c>
      <c r="AH239" s="80">
        <v>9400</v>
      </c>
      <c r="AI239" s="80">
        <v>41550</v>
      </c>
      <c r="AJ239" s="80"/>
      <c r="AK239" s="80" t="s">
        <v>6130</v>
      </c>
      <c r="AL239" s="80" t="s">
        <v>4145</v>
      </c>
      <c r="AM239" s="80"/>
      <c r="AN239" s="80"/>
      <c r="AO239" s="82">
        <v>43534.69222222222</v>
      </c>
      <c r="AP239" s="80"/>
      <c r="AQ239" s="80" t="b">
        <v>1</v>
      </c>
      <c r="AR239" s="80" t="b">
        <v>0</v>
      </c>
      <c r="AS239" s="80" t="b">
        <v>0</v>
      </c>
      <c r="AT239" s="80"/>
      <c r="AU239" s="80">
        <v>0</v>
      </c>
      <c r="AV239" s="80"/>
      <c r="AW239" s="80" t="b">
        <v>0</v>
      </c>
      <c r="AX239" s="80" t="s">
        <v>7173</v>
      </c>
      <c r="AY239" s="84" t="str">
        <f>HYPERLINK("https://twitter.com/lilysatriah")</f>
        <v>https://twitter.com/lilysatriah</v>
      </c>
      <c r="AZ239" s="80" t="s">
        <v>66</v>
      </c>
      <c r="BA239" s="2"/>
      <c r="BB239" s="3"/>
      <c r="BC239" s="3"/>
      <c r="BD239" s="3"/>
      <c r="BE239" s="3"/>
    </row>
    <row r="240" spans="1:57" x14ac:dyDescent="0.35">
      <c r="A240" s="66" t="s">
        <v>384</v>
      </c>
      <c r="B240" s="67"/>
      <c r="C240" s="67"/>
      <c r="D240" s="68"/>
      <c r="E240" s="70"/>
      <c r="F240" s="106" t="str">
        <f>HYPERLINK("https://pbs.twimg.com/profile_images/1425996536274554890/0WBEKLw__normal.jpg")</f>
        <v>https://pbs.twimg.com/profile_images/1425996536274554890/0WBEKLw__normal.jpg</v>
      </c>
      <c r="G240" s="67"/>
      <c r="H240" s="71"/>
      <c r="I240" s="72"/>
      <c r="J240" s="72"/>
      <c r="K240" s="71" t="s">
        <v>7410</v>
      </c>
      <c r="L240" s="75"/>
      <c r="M240" s="76"/>
      <c r="N240" s="76"/>
      <c r="O240" s="77"/>
      <c r="P240" s="78"/>
      <c r="Q240" s="78"/>
      <c r="R240" s="90"/>
      <c r="S240" s="90"/>
      <c r="T240" s="90"/>
      <c r="U240" s="90"/>
      <c r="V240" s="52"/>
      <c r="W240" s="52"/>
      <c r="X240" s="52"/>
      <c r="Y240" s="52"/>
      <c r="Z240" s="51"/>
      <c r="AA240" s="73"/>
      <c r="AB240" s="73"/>
      <c r="AC240" s="74"/>
      <c r="AD240" s="80" t="s">
        <v>4417</v>
      </c>
      <c r="AE240" s="86" t="s">
        <v>5334</v>
      </c>
      <c r="AF240" s="80">
        <v>3892</v>
      </c>
      <c r="AG240" s="80">
        <v>3608</v>
      </c>
      <c r="AH240" s="80">
        <v>6166</v>
      </c>
      <c r="AI240" s="80">
        <v>3197</v>
      </c>
      <c r="AJ240" s="80"/>
      <c r="AK240" s="80" t="s">
        <v>6131</v>
      </c>
      <c r="AL240" s="80" t="s">
        <v>6872</v>
      </c>
      <c r="AM240" s="80"/>
      <c r="AN240" s="80"/>
      <c r="AO240" s="82">
        <v>43888.089849537035</v>
      </c>
      <c r="AP240" s="84" t="str">
        <f>HYPERLINK("https://pbs.twimg.com/profile_banners/1232850054425317379/1589032010")</f>
        <v>https://pbs.twimg.com/profile_banners/1232850054425317379/1589032010</v>
      </c>
      <c r="AQ240" s="80" t="b">
        <v>1</v>
      </c>
      <c r="AR240" s="80" t="b">
        <v>0</v>
      </c>
      <c r="AS240" s="80" t="b">
        <v>0</v>
      </c>
      <c r="AT240" s="80"/>
      <c r="AU240" s="80">
        <v>0</v>
      </c>
      <c r="AV240" s="80"/>
      <c r="AW240" s="80" t="b">
        <v>0</v>
      </c>
      <c r="AX240" s="80" t="s">
        <v>7173</v>
      </c>
      <c r="AY240" s="84" t="str">
        <f>HYPERLINK("https://twitter.com/yan_to999")</f>
        <v>https://twitter.com/yan_to999</v>
      </c>
      <c r="AZ240" s="80" t="s">
        <v>66</v>
      </c>
      <c r="BA240" s="2"/>
      <c r="BB240" s="3"/>
      <c r="BC240" s="3"/>
      <c r="BD240" s="3"/>
      <c r="BE240" s="3"/>
    </row>
    <row r="241" spans="1:57" x14ac:dyDescent="0.35">
      <c r="A241" s="66" t="s">
        <v>385</v>
      </c>
      <c r="B241" s="67"/>
      <c r="C241" s="67"/>
      <c r="D241" s="68"/>
      <c r="E241" s="70"/>
      <c r="F241" s="106" t="str">
        <f>HYPERLINK("https://pbs.twimg.com/profile_images/1440547401664643078/_BG8HIqf_normal.jpg")</f>
        <v>https://pbs.twimg.com/profile_images/1440547401664643078/_BG8HIqf_normal.jpg</v>
      </c>
      <c r="G241" s="67"/>
      <c r="H241" s="71"/>
      <c r="I241" s="72"/>
      <c r="J241" s="72"/>
      <c r="K241" s="71" t="s">
        <v>7411</v>
      </c>
      <c r="L241" s="75"/>
      <c r="M241" s="76"/>
      <c r="N241" s="76"/>
      <c r="O241" s="77"/>
      <c r="P241" s="78"/>
      <c r="Q241" s="78"/>
      <c r="R241" s="90"/>
      <c r="S241" s="90"/>
      <c r="T241" s="90"/>
      <c r="U241" s="90"/>
      <c r="V241" s="52"/>
      <c r="W241" s="52"/>
      <c r="X241" s="52"/>
      <c r="Y241" s="52"/>
      <c r="Z241" s="51"/>
      <c r="AA241" s="73"/>
      <c r="AB241" s="73"/>
      <c r="AC241" s="74"/>
      <c r="AD241" s="80" t="s">
        <v>4418</v>
      </c>
      <c r="AE241" s="86" t="s">
        <v>5335</v>
      </c>
      <c r="AF241" s="80">
        <v>326</v>
      </c>
      <c r="AG241" s="80">
        <v>112</v>
      </c>
      <c r="AH241" s="80">
        <v>3120</v>
      </c>
      <c r="AI241" s="80">
        <v>9073</v>
      </c>
      <c r="AJ241" s="80"/>
      <c r="AK241" s="80" t="s">
        <v>6132</v>
      </c>
      <c r="AL241" s="80" t="s">
        <v>6873</v>
      </c>
      <c r="AM241" s="80"/>
      <c r="AN241" s="80"/>
      <c r="AO241" s="82">
        <v>44050.624641203707</v>
      </c>
      <c r="AP241" s="84" t="str">
        <f>HYPERLINK("https://pbs.twimg.com/profile_banners/1291750712628531201/1625718589")</f>
        <v>https://pbs.twimg.com/profile_banners/1291750712628531201/1625718589</v>
      </c>
      <c r="AQ241" s="80" t="b">
        <v>1</v>
      </c>
      <c r="AR241" s="80" t="b">
        <v>0</v>
      </c>
      <c r="AS241" s="80" t="b">
        <v>0</v>
      </c>
      <c r="AT241" s="80"/>
      <c r="AU241" s="80">
        <v>0</v>
      </c>
      <c r="AV241" s="80"/>
      <c r="AW241" s="80" t="b">
        <v>0</v>
      </c>
      <c r="AX241" s="80" t="s">
        <v>7173</v>
      </c>
      <c r="AY241" s="84" t="str">
        <f>HYPERLINK("https://twitter.com/deepfriedamer")</f>
        <v>https://twitter.com/deepfriedamer</v>
      </c>
      <c r="AZ241" s="80" t="s">
        <v>66</v>
      </c>
      <c r="BA241" s="2"/>
      <c r="BB241" s="3"/>
      <c r="BC241" s="3"/>
      <c r="BD241" s="3"/>
      <c r="BE241" s="3"/>
    </row>
    <row r="242" spans="1:57" x14ac:dyDescent="0.35">
      <c r="A242" s="66" t="s">
        <v>1058</v>
      </c>
      <c r="B242" s="67"/>
      <c r="C242" s="67"/>
      <c r="D242" s="68"/>
      <c r="E242" s="70"/>
      <c r="F242" s="106" t="str">
        <f>HYPERLINK("https://pbs.twimg.com/profile_images/1442149793711550477/1lmKc_e9_normal.jpg")</f>
        <v>https://pbs.twimg.com/profile_images/1442149793711550477/1lmKc_e9_normal.jpg</v>
      </c>
      <c r="G242" s="67"/>
      <c r="H242" s="71"/>
      <c r="I242" s="72"/>
      <c r="J242" s="72"/>
      <c r="K242" s="71" t="s">
        <v>7412</v>
      </c>
      <c r="L242" s="75"/>
      <c r="M242" s="76"/>
      <c r="N242" s="76"/>
      <c r="O242" s="77"/>
      <c r="P242" s="78"/>
      <c r="Q242" s="78"/>
      <c r="R242" s="90"/>
      <c r="S242" s="90"/>
      <c r="T242" s="90"/>
      <c r="U242" s="90"/>
      <c r="V242" s="52"/>
      <c r="W242" s="52"/>
      <c r="X242" s="52"/>
      <c r="Y242" s="52"/>
      <c r="Z242" s="51"/>
      <c r="AA242" s="73"/>
      <c r="AB242" s="73"/>
      <c r="AC242" s="74"/>
      <c r="AD242" s="80" t="s">
        <v>4419</v>
      </c>
      <c r="AE242" s="86" t="s">
        <v>3933</v>
      </c>
      <c r="AF242" s="80">
        <v>499</v>
      </c>
      <c r="AG242" s="80">
        <v>111</v>
      </c>
      <c r="AH242" s="80">
        <v>25238</v>
      </c>
      <c r="AI242" s="80">
        <v>23697</v>
      </c>
      <c r="AJ242" s="80"/>
      <c r="AK242" s="80" t="s">
        <v>6133</v>
      </c>
      <c r="AL242" s="80"/>
      <c r="AM242" s="80"/>
      <c r="AN242" s="80"/>
      <c r="AO242" s="82">
        <v>43466.475219907406</v>
      </c>
      <c r="AP242" s="84" t="str">
        <f>HYPERLINK("https://pbs.twimg.com/profile_banners/1080062157474037760/1631175664")</f>
        <v>https://pbs.twimg.com/profile_banners/1080062157474037760/1631175664</v>
      </c>
      <c r="AQ242" s="80" t="b">
        <v>1</v>
      </c>
      <c r="AR242" s="80" t="b">
        <v>0</v>
      </c>
      <c r="AS242" s="80" t="b">
        <v>1</v>
      </c>
      <c r="AT242" s="80"/>
      <c r="AU242" s="80">
        <v>1</v>
      </c>
      <c r="AV242" s="80"/>
      <c r="AW242" s="80" t="b">
        <v>0</v>
      </c>
      <c r="AX242" s="80" t="s">
        <v>7173</v>
      </c>
      <c r="AY242" s="84" t="str">
        <f>HYPERLINK("https://twitter.com/pupuyeol")</f>
        <v>https://twitter.com/pupuyeol</v>
      </c>
      <c r="AZ242" s="80" t="s">
        <v>65</v>
      </c>
      <c r="BA242" s="2"/>
      <c r="BB242" s="3"/>
      <c r="BC242" s="3"/>
      <c r="BD242" s="3"/>
      <c r="BE242" s="3"/>
    </row>
    <row r="243" spans="1:57" x14ac:dyDescent="0.35">
      <c r="A243" s="66" t="s">
        <v>386</v>
      </c>
      <c r="B243" s="67"/>
      <c r="C243" s="67"/>
      <c r="D243" s="68"/>
      <c r="E243" s="70"/>
      <c r="F243" s="106" t="str">
        <f>HYPERLINK("https://pbs.twimg.com/profile_images/1373602539627716620/ZkTMb6SK_normal.jpg")</f>
        <v>https://pbs.twimg.com/profile_images/1373602539627716620/ZkTMb6SK_normal.jpg</v>
      </c>
      <c r="G243" s="67"/>
      <c r="H243" s="71"/>
      <c r="I243" s="72"/>
      <c r="J243" s="72"/>
      <c r="K243" s="71" t="s">
        <v>7413</v>
      </c>
      <c r="L243" s="75"/>
      <c r="M243" s="76"/>
      <c r="N243" s="76"/>
      <c r="O243" s="77"/>
      <c r="P243" s="78"/>
      <c r="Q243" s="78"/>
      <c r="R243" s="90"/>
      <c r="S243" s="90"/>
      <c r="T243" s="90"/>
      <c r="U243" s="90"/>
      <c r="V243" s="52"/>
      <c r="W243" s="52"/>
      <c r="X243" s="52"/>
      <c r="Y243" s="52"/>
      <c r="Z243" s="51"/>
      <c r="AA243" s="73"/>
      <c r="AB243" s="73"/>
      <c r="AC243" s="74"/>
      <c r="AD243" s="80" t="s">
        <v>4420</v>
      </c>
      <c r="AE243" s="86" t="s">
        <v>5336</v>
      </c>
      <c r="AF243" s="80">
        <v>3156</v>
      </c>
      <c r="AG243" s="80">
        <v>3242</v>
      </c>
      <c r="AH243" s="80">
        <v>41774</v>
      </c>
      <c r="AI243" s="80">
        <v>88172</v>
      </c>
      <c r="AJ243" s="80"/>
      <c r="AK243" s="80" t="s">
        <v>6134</v>
      </c>
      <c r="AL243" s="80" t="s">
        <v>6874</v>
      </c>
      <c r="AM243" s="80"/>
      <c r="AN243" s="80"/>
      <c r="AO243" s="82">
        <v>40768.357222222221</v>
      </c>
      <c r="AP243" s="84" t="str">
        <f>HYPERLINK("https://pbs.twimg.com/profile_banners/354188131/1628117579")</f>
        <v>https://pbs.twimg.com/profile_banners/354188131/1628117579</v>
      </c>
      <c r="AQ243" s="80" t="b">
        <v>1</v>
      </c>
      <c r="AR243" s="80" t="b">
        <v>0</v>
      </c>
      <c r="AS243" s="80" t="b">
        <v>0</v>
      </c>
      <c r="AT243" s="80"/>
      <c r="AU243" s="80">
        <v>0</v>
      </c>
      <c r="AV243" s="84" t="str">
        <f>HYPERLINK("https://abs.twimg.com/images/themes/theme1/bg.png")</f>
        <v>https://abs.twimg.com/images/themes/theme1/bg.png</v>
      </c>
      <c r="AW243" s="80" t="b">
        <v>0</v>
      </c>
      <c r="AX243" s="80" t="s">
        <v>7173</v>
      </c>
      <c r="AY243" s="84" t="str">
        <f>HYPERLINK("https://twitter.com/bud1_f1")</f>
        <v>https://twitter.com/bud1_f1</v>
      </c>
      <c r="AZ243" s="80" t="s">
        <v>66</v>
      </c>
      <c r="BA243" s="2"/>
      <c r="BB243" s="3"/>
      <c r="BC243" s="3"/>
      <c r="BD243" s="3"/>
      <c r="BE243" s="3"/>
    </row>
    <row r="244" spans="1:57" x14ac:dyDescent="0.35">
      <c r="A244" s="66" t="s">
        <v>387</v>
      </c>
      <c r="B244" s="67"/>
      <c r="C244" s="67"/>
      <c r="D244" s="68"/>
      <c r="E244" s="70"/>
      <c r="F244" s="106" t="str">
        <f>HYPERLINK("https://pbs.twimg.com/profile_images/1378368952007487495/dttKFgo8_normal.jpg")</f>
        <v>https://pbs.twimg.com/profile_images/1378368952007487495/dttKFgo8_normal.jpg</v>
      </c>
      <c r="G244" s="67"/>
      <c r="H244" s="71"/>
      <c r="I244" s="72"/>
      <c r="J244" s="72"/>
      <c r="K244" s="71" t="s">
        <v>7414</v>
      </c>
      <c r="L244" s="75"/>
      <c r="M244" s="76"/>
      <c r="N244" s="76"/>
      <c r="O244" s="77"/>
      <c r="P244" s="78"/>
      <c r="Q244" s="78"/>
      <c r="R244" s="90"/>
      <c r="S244" s="90"/>
      <c r="T244" s="90"/>
      <c r="U244" s="90"/>
      <c r="V244" s="52"/>
      <c r="W244" s="52"/>
      <c r="X244" s="52"/>
      <c r="Y244" s="52"/>
      <c r="Z244" s="51"/>
      <c r="AA244" s="73"/>
      <c r="AB244" s="73"/>
      <c r="AC244" s="74"/>
      <c r="AD244" s="80" t="s">
        <v>4421</v>
      </c>
      <c r="AE244" s="86" t="s">
        <v>5337</v>
      </c>
      <c r="AF244" s="80">
        <v>639</v>
      </c>
      <c r="AG244" s="80">
        <v>670</v>
      </c>
      <c r="AH244" s="80">
        <v>10005</v>
      </c>
      <c r="AI244" s="80">
        <v>203355</v>
      </c>
      <c r="AJ244" s="80"/>
      <c r="AK244" s="80" t="s">
        <v>6135</v>
      </c>
      <c r="AL244" s="80"/>
      <c r="AM244" s="80"/>
      <c r="AN244" s="80"/>
      <c r="AO244" s="82">
        <v>41784.024143518516</v>
      </c>
      <c r="AP244" s="84" t="str">
        <f>HYPERLINK("https://pbs.twimg.com/profile_banners/2521685576/1496393151")</f>
        <v>https://pbs.twimg.com/profile_banners/2521685576/1496393151</v>
      </c>
      <c r="AQ244" s="80" t="b">
        <v>1</v>
      </c>
      <c r="AR244" s="80" t="b">
        <v>0</v>
      </c>
      <c r="AS244" s="80" t="b">
        <v>0</v>
      </c>
      <c r="AT244" s="80"/>
      <c r="AU244" s="80">
        <v>0</v>
      </c>
      <c r="AV244" s="84" t="str">
        <f>HYPERLINK("https://abs.twimg.com/images/themes/theme1/bg.png")</f>
        <v>https://abs.twimg.com/images/themes/theme1/bg.png</v>
      </c>
      <c r="AW244" s="80" t="b">
        <v>0</v>
      </c>
      <c r="AX244" s="80" t="s">
        <v>7173</v>
      </c>
      <c r="AY244" s="84" t="str">
        <f>HYPERLINK("https://twitter.com/lilianl92090469")</f>
        <v>https://twitter.com/lilianl92090469</v>
      </c>
      <c r="AZ244" s="80" t="s">
        <v>66</v>
      </c>
      <c r="BA244" s="2"/>
      <c r="BB244" s="3"/>
      <c r="BC244" s="3"/>
      <c r="BD244" s="3"/>
      <c r="BE244" s="3"/>
    </row>
    <row r="245" spans="1:57" x14ac:dyDescent="0.35">
      <c r="A245" s="66" t="s">
        <v>388</v>
      </c>
      <c r="B245" s="67"/>
      <c r="C245" s="67"/>
      <c r="D245" s="68"/>
      <c r="E245" s="70"/>
      <c r="F245" s="106" t="str">
        <f>HYPERLINK("https://pbs.twimg.com/profile_images/1294116421220229121/pmS1W2M6_normal.jpg")</f>
        <v>https://pbs.twimg.com/profile_images/1294116421220229121/pmS1W2M6_normal.jpg</v>
      </c>
      <c r="G245" s="67"/>
      <c r="H245" s="71"/>
      <c r="I245" s="72"/>
      <c r="J245" s="72"/>
      <c r="K245" s="71" t="s">
        <v>7415</v>
      </c>
      <c r="L245" s="75"/>
      <c r="M245" s="76"/>
      <c r="N245" s="76"/>
      <c r="O245" s="77"/>
      <c r="P245" s="78"/>
      <c r="Q245" s="78"/>
      <c r="R245" s="90"/>
      <c r="S245" s="90"/>
      <c r="T245" s="90"/>
      <c r="U245" s="90"/>
      <c r="V245" s="52"/>
      <c r="W245" s="52"/>
      <c r="X245" s="52"/>
      <c r="Y245" s="52"/>
      <c r="Z245" s="51"/>
      <c r="AA245" s="73"/>
      <c r="AB245" s="73"/>
      <c r="AC245" s="74"/>
      <c r="AD245" s="80" t="s">
        <v>4422</v>
      </c>
      <c r="AE245" s="86" t="s">
        <v>5338</v>
      </c>
      <c r="AF245" s="80">
        <v>163</v>
      </c>
      <c r="AG245" s="80">
        <v>161</v>
      </c>
      <c r="AH245" s="80">
        <v>780</v>
      </c>
      <c r="AI245" s="80">
        <v>3010</v>
      </c>
      <c r="AJ245" s="80"/>
      <c r="AK245" s="80"/>
      <c r="AL245" s="80"/>
      <c r="AM245" s="80"/>
      <c r="AN245" s="80"/>
      <c r="AO245" s="82">
        <v>44057.151412037034</v>
      </c>
      <c r="AP245" s="80"/>
      <c r="AQ245" s="80" t="b">
        <v>1</v>
      </c>
      <c r="AR245" s="80" t="b">
        <v>0</v>
      </c>
      <c r="AS245" s="80" t="b">
        <v>0</v>
      </c>
      <c r="AT245" s="80"/>
      <c r="AU245" s="80">
        <v>0</v>
      </c>
      <c r="AV245" s="80"/>
      <c r="AW245" s="80" t="b">
        <v>0</v>
      </c>
      <c r="AX245" s="80" t="s">
        <v>7173</v>
      </c>
      <c r="AY245" s="84" t="str">
        <f>HYPERLINK("https://twitter.com/wisaksonowisak1")</f>
        <v>https://twitter.com/wisaksonowisak1</v>
      </c>
      <c r="AZ245" s="80" t="s">
        <v>66</v>
      </c>
      <c r="BA245" s="2"/>
      <c r="BB245" s="3"/>
      <c r="BC245" s="3"/>
      <c r="BD245" s="3"/>
      <c r="BE245" s="3"/>
    </row>
    <row r="246" spans="1:57" x14ac:dyDescent="0.35">
      <c r="A246" s="66" t="s">
        <v>389</v>
      </c>
      <c r="B246" s="67"/>
      <c r="C246" s="67"/>
      <c r="D246" s="68"/>
      <c r="E246" s="70"/>
      <c r="F246" s="106" t="str">
        <f>HYPERLINK("https://pbs.twimg.com/profile_images/1228954867881762816/zi32-vZy_normal.jpg")</f>
        <v>https://pbs.twimg.com/profile_images/1228954867881762816/zi32-vZy_normal.jpg</v>
      </c>
      <c r="G246" s="67"/>
      <c r="H246" s="71"/>
      <c r="I246" s="72"/>
      <c r="J246" s="72"/>
      <c r="K246" s="71" t="s">
        <v>7416</v>
      </c>
      <c r="L246" s="75"/>
      <c r="M246" s="76"/>
      <c r="N246" s="76"/>
      <c r="O246" s="77"/>
      <c r="P246" s="78"/>
      <c r="Q246" s="78"/>
      <c r="R246" s="90"/>
      <c r="S246" s="90"/>
      <c r="T246" s="90"/>
      <c r="U246" s="90"/>
      <c r="V246" s="52"/>
      <c r="W246" s="52"/>
      <c r="X246" s="52"/>
      <c r="Y246" s="52"/>
      <c r="Z246" s="51"/>
      <c r="AA246" s="73"/>
      <c r="AB246" s="73"/>
      <c r="AC246" s="74"/>
      <c r="AD246" s="80" t="s">
        <v>4423</v>
      </c>
      <c r="AE246" s="86" t="s">
        <v>5339</v>
      </c>
      <c r="AF246" s="80">
        <v>503</v>
      </c>
      <c r="AG246" s="80">
        <v>442</v>
      </c>
      <c r="AH246" s="80">
        <v>11671</v>
      </c>
      <c r="AI246" s="80">
        <v>20461</v>
      </c>
      <c r="AJ246" s="80"/>
      <c r="AK246" s="80" t="s">
        <v>6136</v>
      </c>
      <c r="AL246" s="80"/>
      <c r="AM246" s="80"/>
      <c r="AN246" s="80"/>
      <c r="AO246" s="82">
        <v>43868.447627314818</v>
      </c>
      <c r="AP246" s="84" t="str">
        <f>HYPERLINK("https://pbs.twimg.com/profile_banners/1225732038700883968/1587166963")</f>
        <v>https://pbs.twimg.com/profile_banners/1225732038700883968/1587166963</v>
      </c>
      <c r="AQ246" s="80" t="b">
        <v>1</v>
      </c>
      <c r="AR246" s="80" t="b">
        <v>0</v>
      </c>
      <c r="AS246" s="80" t="b">
        <v>0</v>
      </c>
      <c r="AT246" s="80"/>
      <c r="AU246" s="80">
        <v>0</v>
      </c>
      <c r="AV246" s="80"/>
      <c r="AW246" s="80" t="b">
        <v>0</v>
      </c>
      <c r="AX246" s="80" t="s">
        <v>7173</v>
      </c>
      <c r="AY246" s="84" t="str">
        <f>HYPERLINK("https://twitter.com/osoekaryo")</f>
        <v>https://twitter.com/osoekaryo</v>
      </c>
      <c r="AZ246" s="80" t="s">
        <v>66</v>
      </c>
      <c r="BA246" s="2"/>
      <c r="BB246" s="3"/>
      <c r="BC246" s="3"/>
      <c r="BD246" s="3"/>
      <c r="BE246" s="3"/>
    </row>
    <row r="247" spans="1:57" x14ac:dyDescent="0.35">
      <c r="A247" s="66" t="s">
        <v>390</v>
      </c>
      <c r="B247" s="67"/>
      <c r="C247" s="67"/>
      <c r="D247" s="68"/>
      <c r="E247" s="70"/>
      <c r="F247" s="106" t="str">
        <f>HYPERLINK("https://pbs.twimg.com/profile_images/1435740532441948160/NwrM3hGE_normal.jpg")</f>
        <v>https://pbs.twimg.com/profile_images/1435740532441948160/NwrM3hGE_normal.jpg</v>
      </c>
      <c r="G247" s="67"/>
      <c r="H247" s="71"/>
      <c r="I247" s="72"/>
      <c r="J247" s="72"/>
      <c r="K247" s="71" t="s">
        <v>7417</v>
      </c>
      <c r="L247" s="75"/>
      <c r="M247" s="76"/>
      <c r="N247" s="76"/>
      <c r="O247" s="77"/>
      <c r="P247" s="78"/>
      <c r="Q247" s="78"/>
      <c r="R247" s="90"/>
      <c r="S247" s="90"/>
      <c r="T247" s="90"/>
      <c r="U247" s="90"/>
      <c r="V247" s="52"/>
      <c r="W247" s="52"/>
      <c r="X247" s="52"/>
      <c r="Y247" s="52"/>
      <c r="Z247" s="51"/>
      <c r="AA247" s="73"/>
      <c r="AB247" s="73"/>
      <c r="AC247" s="74"/>
      <c r="AD247" s="80" t="s">
        <v>4424</v>
      </c>
      <c r="AE247" s="86" t="s">
        <v>5340</v>
      </c>
      <c r="AF247" s="80">
        <v>2337</v>
      </c>
      <c r="AG247" s="80">
        <v>919</v>
      </c>
      <c r="AH247" s="80">
        <v>1294</v>
      </c>
      <c r="AI247" s="80">
        <v>2321</v>
      </c>
      <c r="AJ247" s="80"/>
      <c r="AK247" s="80" t="s">
        <v>6137</v>
      </c>
      <c r="AL247" s="80"/>
      <c r="AM247" s="80"/>
      <c r="AN247" s="80"/>
      <c r="AO247" s="82">
        <v>44156.389143518521</v>
      </c>
      <c r="AP247" s="80"/>
      <c r="AQ247" s="80" t="b">
        <v>1</v>
      </c>
      <c r="AR247" s="80" t="b">
        <v>0</v>
      </c>
      <c r="AS247" s="80" t="b">
        <v>0</v>
      </c>
      <c r="AT247" s="80"/>
      <c r="AU247" s="80">
        <v>1</v>
      </c>
      <c r="AV247" s="80"/>
      <c r="AW247" s="80" t="b">
        <v>0</v>
      </c>
      <c r="AX247" s="80" t="s">
        <v>7173</v>
      </c>
      <c r="AY247" s="84" t="str">
        <f>HYPERLINK("https://twitter.com/trihart")</f>
        <v>https://twitter.com/trihart</v>
      </c>
      <c r="AZ247" s="80" t="s">
        <v>66</v>
      </c>
      <c r="BA247" s="2"/>
      <c r="BB247" s="3"/>
      <c r="BC247" s="3"/>
      <c r="BD247" s="3"/>
      <c r="BE247" s="3"/>
    </row>
    <row r="248" spans="1:57" x14ac:dyDescent="0.35">
      <c r="A248" s="66" t="s">
        <v>391</v>
      </c>
      <c r="B248" s="67"/>
      <c r="C248" s="67"/>
      <c r="D248" s="68"/>
      <c r="E248" s="70"/>
      <c r="F248" s="106" t="str">
        <f>HYPERLINK("https://pbs.twimg.com/profile_images/1440655890823073793/bg8xjgpn_normal.jpg")</f>
        <v>https://pbs.twimg.com/profile_images/1440655890823073793/bg8xjgpn_normal.jpg</v>
      </c>
      <c r="G248" s="67"/>
      <c r="H248" s="71"/>
      <c r="I248" s="72"/>
      <c r="J248" s="72"/>
      <c r="K248" s="71" t="s">
        <v>7418</v>
      </c>
      <c r="L248" s="75"/>
      <c r="M248" s="76"/>
      <c r="N248" s="76"/>
      <c r="O248" s="77"/>
      <c r="P248" s="78"/>
      <c r="Q248" s="78"/>
      <c r="R248" s="90"/>
      <c r="S248" s="90"/>
      <c r="T248" s="90"/>
      <c r="U248" s="90"/>
      <c r="V248" s="52"/>
      <c r="W248" s="52"/>
      <c r="X248" s="52"/>
      <c r="Y248" s="52"/>
      <c r="Z248" s="51"/>
      <c r="AA248" s="73"/>
      <c r="AB248" s="73"/>
      <c r="AC248" s="74"/>
      <c r="AD248" s="80" t="s">
        <v>4425</v>
      </c>
      <c r="AE248" s="86" t="s">
        <v>5341</v>
      </c>
      <c r="AF248" s="80">
        <v>315</v>
      </c>
      <c r="AG248" s="80">
        <v>295</v>
      </c>
      <c r="AH248" s="80">
        <v>53771</v>
      </c>
      <c r="AI248" s="80">
        <v>23672</v>
      </c>
      <c r="AJ248" s="80"/>
      <c r="AK248" s="80"/>
      <c r="AL248" s="80" t="s">
        <v>6875</v>
      </c>
      <c r="AM248" s="80"/>
      <c r="AN248" s="80"/>
      <c r="AO248" s="82">
        <v>42813.61787037037</v>
      </c>
      <c r="AP248" s="80"/>
      <c r="AQ248" s="80" t="b">
        <v>1</v>
      </c>
      <c r="AR248" s="80" t="b">
        <v>0</v>
      </c>
      <c r="AS248" s="80" t="b">
        <v>0</v>
      </c>
      <c r="AT248" s="80"/>
      <c r="AU248" s="80">
        <v>1</v>
      </c>
      <c r="AV248" s="80"/>
      <c r="AW248" s="80" t="b">
        <v>0</v>
      </c>
      <c r="AX248" s="80" t="s">
        <v>7173</v>
      </c>
      <c r="AY248" s="84" t="str">
        <f>HYPERLINK("https://twitter.com/pekikmenoreh")</f>
        <v>https://twitter.com/pekikmenoreh</v>
      </c>
      <c r="AZ248" s="80" t="s">
        <v>66</v>
      </c>
      <c r="BA248" s="2"/>
      <c r="BB248" s="3"/>
      <c r="BC248" s="3"/>
      <c r="BD248" s="3"/>
      <c r="BE248" s="3"/>
    </row>
    <row r="249" spans="1:57" x14ac:dyDescent="0.35">
      <c r="A249" s="66" t="s">
        <v>392</v>
      </c>
      <c r="B249" s="67"/>
      <c r="C249" s="67"/>
      <c r="D249" s="68"/>
      <c r="E249" s="70"/>
      <c r="F249" s="106" t="str">
        <f>HYPERLINK("https://pbs.twimg.com/profile_images/1286582066117611520/_MZ3noL0_normal.jpg")</f>
        <v>https://pbs.twimg.com/profile_images/1286582066117611520/_MZ3noL0_normal.jpg</v>
      </c>
      <c r="G249" s="67"/>
      <c r="H249" s="71"/>
      <c r="I249" s="72"/>
      <c r="J249" s="72"/>
      <c r="K249" s="71" t="s">
        <v>7419</v>
      </c>
      <c r="L249" s="75"/>
      <c r="M249" s="76"/>
      <c r="N249" s="76"/>
      <c r="O249" s="77"/>
      <c r="P249" s="78"/>
      <c r="Q249" s="78"/>
      <c r="R249" s="90"/>
      <c r="S249" s="90"/>
      <c r="T249" s="90"/>
      <c r="U249" s="90"/>
      <c r="V249" s="52"/>
      <c r="W249" s="52"/>
      <c r="X249" s="52"/>
      <c r="Y249" s="52"/>
      <c r="Z249" s="51"/>
      <c r="AA249" s="73"/>
      <c r="AB249" s="73"/>
      <c r="AC249" s="74"/>
      <c r="AD249" s="80" t="s">
        <v>4426</v>
      </c>
      <c r="AE249" s="86" t="s">
        <v>5342</v>
      </c>
      <c r="AF249" s="80">
        <v>826</v>
      </c>
      <c r="AG249" s="80">
        <v>578</v>
      </c>
      <c r="AH249" s="80">
        <v>18907</v>
      </c>
      <c r="AI249" s="80">
        <v>45555</v>
      </c>
      <c r="AJ249" s="80"/>
      <c r="AK249" s="80" t="s">
        <v>6138</v>
      </c>
      <c r="AL249" s="80"/>
      <c r="AM249" s="80"/>
      <c r="AN249" s="80"/>
      <c r="AO249" s="82">
        <v>40342.353854166664</v>
      </c>
      <c r="AP249" s="80"/>
      <c r="AQ249" s="80" t="b">
        <v>1</v>
      </c>
      <c r="AR249" s="80" t="b">
        <v>0</v>
      </c>
      <c r="AS249" s="80" t="b">
        <v>0</v>
      </c>
      <c r="AT249" s="80"/>
      <c r="AU249" s="80">
        <v>2</v>
      </c>
      <c r="AV249" s="84" t="str">
        <f>HYPERLINK("https://abs.twimg.com/images/themes/theme1/bg.png")</f>
        <v>https://abs.twimg.com/images/themes/theme1/bg.png</v>
      </c>
      <c r="AW249" s="80" t="b">
        <v>0</v>
      </c>
      <c r="AX249" s="80" t="s">
        <v>7173</v>
      </c>
      <c r="AY249" s="84" t="str">
        <f>HYPERLINK("https://twitter.com/fransiscakwee")</f>
        <v>https://twitter.com/fransiscakwee</v>
      </c>
      <c r="AZ249" s="80" t="s">
        <v>66</v>
      </c>
      <c r="BA249" s="2"/>
      <c r="BB249" s="3"/>
      <c r="BC249" s="3"/>
      <c r="BD249" s="3"/>
      <c r="BE249" s="3"/>
    </row>
    <row r="250" spans="1:57" x14ac:dyDescent="0.35">
      <c r="A250" s="66" t="s">
        <v>393</v>
      </c>
      <c r="B250" s="67"/>
      <c r="C250" s="67"/>
      <c r="D250" s="68"/>
      <c r="E250" s="70"/>
      <c r="F250" s="106" t="str">
        <f>HYPERLINK("https://pbs.twimg.com/profile_images/1434563786480893953/xH8jB62s_normal.jpg")</f>
        <v>https://pbs.twimg.com/profile_images/1434563786480893953/xH8jB62s_normal.jpg</v>
      </c>
      <c r="G250" s="67"/>
      <c r="H250" s="71"/>
      <c r="I250" s="72"/>
      <c r="J250" s="72"/>
      <c r="K250" s="71" t="s">
        <v>7420</v>
      </c>
      <c r="L250" s="75"/>
      <c r="M250" s="76"/>
      <c r="N250" s="76"/>
      <c r="O250" s="77"/>
      <c r="P250" s="78"/>
      <c r="Q250" s="78"/>
      <c r="R250" s="90"/>
      <c r="S250" s="90"/>
      <c r="T250" s="90"/>
      <c r="U250" s="90"/>
      <c r="V250" s="52"/>
      <c r="W250" s="52"/>
      <c r="X250" s="52"/>
      <c r="Y250" s="52"/>
      <c r="Z250" s="51"/>
      <c r="AA250" s="73"/>
      <c r="AB250" s="73"/>
      <c r="AC250" s="74"/>
      <c r="AD250" s="80" t="s">
        <v>4427</v>
      </c>
      <c r="AE250" s="86" t="s">
        <v>5343</v>
      </c>
      <c r="AF250" s="80">
        <v>54</v>
      </c>
      <c r="AG250" s="80">
        <v>5</v>
      </c>
      <c r="AH250" s="80">
        <v>27778</v>
      </c>
      <c r="AI250" s="80">
        <v>1944</v>
      </c>
      <c r="AJ250" s="80"/>
      <c r="AK250" s="80" t="s">
        <v>6139</v>
      </c>
      <c r="AL250" s="80" t="s">
        <v>6876</v>
      </c>
      <c r="AM250" s="80"/>
      <c r="AN250" s="80"/>
      <c r="AO250" s="82">
        <v>42160.609560185185</v>
      </c>
      <c r="AP250" s="84" t="str">
        <f>HYPERLINK("https://pbs.twimg.com/profile_banners/3237042488/1623336766")</f>
        <v>https://pbs.twimg.com/profile_banners/3237042488/1623336766</v>
      </c>
      <c r="AQ250" s="80" t="b">
        <v>0</v>
      </c>
      <c r="AR250" s="80" t="b">
        <v>0</v>
      </c>
      <c r="AS250" s="80" t="b">
        <v>0</v>
      </c>
      <c r="AT250" s="80"/>
      <c r="AU250" s="80">
        <v>0</v>
      </c>
      <c r="AV250" s="84" t="str">
        <f>HYPERLINK("https://abs.twimg.com/images/themes/theme1/bg.png")</f>
        <v>https://abs.twimg.com/images/themes/theme1/bg.png</v>
      </c>
      <c r="AW250" s="80" t="b">
        <v>0</v>
      </c>
      <c r="AX250" s="80" t="s">
        <v>7173</v>
      </c>
      <c r="AY250" s="84" t="str">
        <f>HYPERLINK("https://twitter.com/subakgrl")</f>
        <v>https://twitter.com/subakgrl</v>
      </c>
      <c r="AZ250" s="80" t="s">
        <v>66</v>
      </c>
      <c r="BA250" s="2"/>
      <c r="BB250" s="3"/>
      <c r="BC250" s="3"/>
      <c r="BD250" s="3"/>
      <c r="BE250" s="3"/>
    </row>
    <row r="251" spans="1:57" x14ac:dyDescent="0.35">
      <c r="A251" s="66" t="s">
        <v>1059</v>
      </c>
      <c r="B251" s="67"/>
      <c r="C251" s="67"/>
      <c r="D251" s="68"/>
      <c r="E251" s="70"/>
      <c r="F251" s="106" t="str">
        <f>HYPERLINK("https://pbs.twimg.com/profile_images/1424753550136025096/lTcRcDt9_normal.jpg")</f>
        <v>https://pbs.twimg.com/profile_images/1424753550136025096/lTcRcDt9_normal.jpg</v>
      </c>
      <c r="G251" s="67"/>
      <c r="H251" s="71"/>
      <c r="I251" s="72"/>
      <c r="J251" s="72"/>
      <c r="K251" s="71" t="s">
        <v>7421</v>
      </c>
      <c r="L251" s="75"/>
      <c r="M251" s="76"/>
      <c r="N251" s="76"/>
      <c r="O251" s="77"/>
      <c r="P251" s="78"/>
      <c r="Q251" s="78"/>
      <c r="R251" s="90"/>
      <c r="S251" s="90"/>
      <c r="T251" s="90"/>
      <c r="U251" s="90"/>
      <c r="V251" s="52"/>
      <c r="W251" s="52"/>
      <c r="X251" s="52"/>
      <c r="Y251" s="52"/>
      <c r="Z251" s="51"/>
      <c r="AA251" s="73"/>
      <c r="AB251" s="73"/>
      <c r="AC251" s="74"/>
      <c r="AD251" s="80" t="s">
        <v>4428</v>
      </c>
      <c r="AE251" s="86" t="s">
        <v>5344</v>
      </c>
      <c r="AF251" s="80">
        <v>21483</v>
      </c>
      <c r="AG251" s="80">
        <v>244741</v>
      </c>
      <c r="AH251" s="80">
        <v>252609</v>
      </c>
      <c r="AI251" s="80">
        <v>13</v>
      </c>
      <c r="AJ251" s="80"/>
      <c r="AK251" s="80" t="s">
        <v>6140</v>
      </c>
      <c r="AL251" s="80" t="s">
        <v>6877</v>
      </c>
      <c r="AM251" s="84" t="str">
        <f>HYPERLINK("https://t.co/d0gfMupUCZ")</f>
        <v>https://t.co/d0gfMupUCZ</v>
      </c>
      <c r="AN251" s="80"/>
      <c r="AO251" s="82">
        <v>41081.662488425929</v>
      </c>
      <c r="AP251" s="84" t="str">
        <f>HYPERLINK("https://pbs.twimg.com/profile_banners/614421259/1599226392")</f>
        <v>https://pbs.twimg.com/profile_banners/614421259/1599226392</v>
      </c>
      <c r="AQ251" s="80" t="b">
        <v>1</v>
      </c>
      <c r="AR251" s="80" t="b">
        <v>0</v>
      </c>
      <c r="AS251" s="80" t="b">
        <v>0</v>
      </c>
      <c r="AT251" s="80"/>
      <c r="AU251" s="80">
        <v>3075</v>
      </c>
      <c r="AV251" s="84" t="str">
        <f>HYPERLINK("https://abs.twimg.com/images/themes/theme1/bg.png")</f>
        <v>https://abs.twimg.com/images/themes/theme1/bg.png</v>
      </c>
      <c r="AW251" s="80" t="b">
        <v>0</v>
      </c>
      <c r="AX251" s="80" t="s">
        <v>7173</v>
      </c>
      <c r="AY251" s="84" t="str">
        <f>HYPERLINK("https://twitter.com/ffoodfess")</f>
        <v>https://twitter.com/ffoodfess</v>
      </c>
      <c r="AZ251" s="80" t="s">
        <v>65</v>
      </c>
      <c r="BA251" s="2"/>
      <c r="BB251" s="3"/>
      <c r="BC251" s="3"/>
      <c r="BD251" s="3"/>
      <c r="BE251" s="3"/>
    </row>
    <row r="252" spans="1:57" x14ac:dyDescent="0.35">
      <c r="A252" s="66" t="s">
        <v>1060</v>
      </c>
      <c r="B252" s="67"/>
      <c r="C252" s="67"/>
      <c r="D252" s="68"/>
      <c r="E252" s="70"/>
      <c r="F252" s="106" t="str">
        <f>HYPERLINK("https://pbs.twimg.com/profile_images/1439012871766044677/W_AWfPIT_normal.jpg")</f>
        <v>https://pbs.twimg.com/profile_images/1439012871766044677/W_AWfPIT_normal.jpg</v>
      </c>
      <c r="G252" s="67"/>
      <c r="H252" s="71"/>
      <c r="I252" s="72"/>
      <c r="J252" s="72"/>
      <c r="K252" s="71" t="s">
        <v>7422</v>
      </c>
      <c r="L252" s="75"/>
      <c r="M252" s="76"/>
      <c r="N252" s="76"/>
      <c r="O252" s="77"/>
      <c r="P252" s="78"/>
      <c r="Q252" s="78"/>
      <c r="R252" s="90"/>
      <c r="S252" s="90"/>
      <c r="T252" s="90"/>
      <c r="U252" s="90"/>
      <c r="V252" s="52"/>
      <c r="W252" s="52"/>
      <c r="X252" s="52"/>
      <c r="Y252" s="52"/>
      <c r="Z252" s="51"/>
      <c r="AA252" s="73"/>
      <c r="AB252" s="73"/>
      <c r="AC252" s="74"/>
      <c r="AD252" s="80" t="s">
        <v>4429</v>
      </c>
      <c r="AE252" s="86" t="s">
        <v>3934</v>
      </c>
      <c r="AF252" s="80">
        <v>167</v>
      </c>
      <c r="AG252" s="80">
        <v>162</v>
      </c>
      <c r="AH252" s="80">
        <v>539</v>
      </c>
      <c r="AI252" s="80">
        <v>1456</v>
      </c>
      <c r="AJ252" s="80"/>
      <c r="AK252" s="80" t="s">
        <v>6141</v>
      </c>
      <c r="AL252" s="80" t="s">
        <v>6878</v>
      </c>
      <c r="AM252" s="80"/>
      <c r="AN252" s="80"/>
      <c r="AO252" s="82">
        <v>44409.731157407405</v>
      </c>
      <c r="AP252" s="84" t="str">
        <f>HYPERLINK("https://pbs.twimg.com/profile_banners/1421886623520759808/1627839691")</f>
        <v>https://pbs.twimg.com/profile_banners/1421886623520759808/1627839691</v>
      </c>
      <c r="AQ252" s="80" t="b">
        <v>1</v>
      </c>
      <c r="AR252" s="80" t="b">
        <v>0</v>
      </c>
      <c r="AS252" s="80" t="b">
        <v>0</v>
      </c>
      <c r="AT252" s="80"/>
      <c r="AU252" s="80">
        <v>0</v>
      </c>
      <c r="AV252" s="80"/>
      <c r="AW252" s="80" t="b">
        <v>0</v>
      </c>
      <c r="AX252" s="80" t="s">
        <v>7173</v>
      </c>
      <c r="AY252" s="84" t="str">
        <f>HYPERLINK("https://twitter.com/klikcrackers")</f>
        <v>https://twitter.com/klikcrackers</v>
      </c>
      <c r="AZ252" s="80" t="s">
        <v>65</v>
      </c>
      <c r="BA252" s="2"/>
      <c r="BB252" s="3"/>
      <c r="BC252" s="3"/>
      <c r="BD252" s="3"/>
      <c r="BE252" s="3"/>
    </row>
    <row r="253" spans="1:57" x14ac:dyDescent="0.35">
      <c r="A253" s="66" t="s">
        <v>394</v>
      </c>
      <c r="B253" s="67"/>
      <c r="C253" s="67"/>
      <c r="D253" s="68"/>
      <c r="E253" s="70"/>
      <c r="F253" s="106" t="str">
        <f>HYPERLINK("https://pbs.twimg.com/profile_images/1048236932990480385/p4WO2NFV_normal.jpg")</f>
        <v>https://pbs.twimg.com/profile_images/1048236932990480385/p4WO2NFV_normal.jpg</v>
      </c>
      <c r="G253" s="67"/>
      <c r="H253" s="71"/>
      <c r="I253" s="72"/>
      <c r="J253" s="72"/>
      <c r="K253" s="71" t="s">
        <v>7423</v>
      </c>
      <c r="L253" s="75"/>
      <c r="M253" s="76"/>
      <c r="N253" s="76"/>
      <c r="O253" s="77"/>
      <c r="P253" s="78"/>
      <c r="Q253" s="78"/>
      <c r="R253" s="90"/>
      <c r="S253" s="90"/>
      <c r="T253" s="90"/>
      <c r="U253" s="90"/>
      <c r="V253" s="52"/>
      <c r="W253" s="52"/>
      <c r="X253" s="52"/>
      <c r="Y253" s="52"/>
      <c r="Z253" s="51"/>
      <c r="AA253" s="73"/>
      <c r="AB253" s="73"/>
      <c r="AC253" s="74"/>
      <c r="AD253" s="80" t="s">
        <v>4430</v>
      </c>
      <c r="AE253" s="86" t="s">
        <v>5345</v>
      </c>
      <c r="AF253" s="80">
        <v>405</v>
      </c>
      <c r="AG253" s="80">
        <v>189</v>
      </c>
      <c r="AH253" s="80">
        <v>4430</v>
      </c>
      <c r="AI253" s="80">
        <v>3</v>
      </c>
      <c r="AJ253" s="80"/>
      <c r="AK253" s="80" t="s">
        <v>6142</v>
      </c>
      <c r="AL253" s="80" t="s">
        <v>6879</v>
      </c>
      <c r="AM253" s="84" t="str">
        <f>HYPERLINK("https://t.co/k9C0KqsFTa")</f>
        <v>https://t.co/k9C0KqsFTa</v>
      </c>
      <c r="AN253" s="80"/>
      <c r="AO253" s="82">
        <v>40118.589062500003</v>
      </c>
      <c r="AP253" s="84" t="str">
        <f>HYPERLINK("https://pbs.twimg.com/profile_banners/86728042/1578314582")</f>
        <v>https://pbs.twimg.com/profile_banners/86728042/1578314582</v>
      </c>
      <c r="AQ253" s="80" t="b">
        <v>0</v>
      </c>
      <c r="AR253" s="80" t="b">
        <v>0</v>
      </c>
      <c r="AS253" s="80" t="b">
        <v>1</v>
      </c>
      <c r="AT253" s="80"/>
      <c r="AU253" s="80">
        <v>0</v>
      </c>
      <c r="AV253" s="84" t="str">
        <f>HYPERLINK("https://abs.twimg.com/images/themes/theme5/bg.gif")</f>
        <v>https://abs.twimg.com/images/themes/theme5/bg.gif</v>
      </c>
      <c r="AW253" s="80" t="b">
        <v>0</v>
      </c>
      <c r="AX253" s="80" t="s">
        <v>7173</v>
      </c>
      <c r="AY253" s="84" t="str">
        <f>HYPERLINK("https://twitter.com/bangbara_pos")</f>
        <v>https://twitter.com/bangbara_pos</v>
      </c>
      <c r="AZ253" s="80" t="s">
        <v>66</v>
      </c>
      <c r="BA253" s="2"/>
      <c r="BB253" s="3"/>
      <c r="BC253" s="3"/>
      <c r="BD253" s="3"/>
      <c r="BE253" s="3"/>
    </row>
    <row r="254" spans="1:57" x14ac:dyDescent="0.35">
      <c r="A254" s="66" t="s">
        <v>395</v>
      </c>
      <c r="B254" s="67"/>
      <c r="C254" s="67"/>
      <c r="D254" s="68"/>
      <c r="E254" s="70"/>
      <c r="F254" s="106" t="str">
        <f>HYPERLINK("https://pbs.twimg.com/profile_images/1181977345067868161/ndltmpzF_normal.jpg")</f>
        <v>https://pbs.twimg.com/profile_images/1181977345067868161/ndltmpzF_normal.jpg</v>
      </c>
      <c r="G254" s="67"/>
      <c r="H254" s="71"/>
      <c r="I254" s="72"/>
      <c r="J254" s="72"/>
      <c r="K254" s="71" t="s">
        <v>7424</v>
      </c>
      <c r="L254" s="75"/>
      <c r="M254" s="76"/>
      <c r="N254" s="76"/>
      <c r="O254" s="77"/>
      <c r="P254" s="78"/>
      <c r="Q254" s="78"/>
      <c r="R254" s="90"/>
      <c r="S254" s="90"/>
      <c r="T254" s="90"/>
      <c r="U254" s="90"/>
      <c r="V254" s="52"/>
      <c r="W254" s="52"/>
      <c r="X254" s="52"/>
      <c r="Y254" s="52"/>
      <c r="Z254" s="51"/>
      <c r="AA254" s="73"/>
      <c r="AB254" s="73"/>
      <c r="AC254" s="74"/>
      <c r="AD254" s="80" t="s">
        <v>4431</v>
      </c>
      <c r="AE254" s="86" t="s">
        <v>5346</v>
      </c>
      <c r="AF254" s="80">
        <v>346</v>
      </c>
      <c r="AG254" s="80">
        <v>120</v>
      </c>
      <c r="AH254" s="80">
        <v>3778</v>
      </c>
      <c r="AI254" s="80">
        <v>8089</v>
      </c>
      <c r="AJ254" s="80"/>
      <c r="AK254" s="80" t="s">
        <v>6143</v>
      </c>
      <c r="AL254" s="80" t="s">
        <v>6880</v>
      </c>
      <c r="AM254" s="80"/>
      <c r="AN254" s="80"/>
      <c r="AO254" s="82">
        <v>43561.12096064815</v>
      </c>
      <c r="AP254" s="80"/>
      <c r="AQ254" s="80" t="b">
        <v>1</v>
      </c>
      <c r="AR254" s="80" t="b">
        <v>0</v>
      </c>
      <c r="AS254" s="80" t="b">
        <v>0</v>
      </c>
      <c r="AT254" s="80"/>
      <c r="AU254" s="80">
        <v>0</v>
      </c>
      <c r="AV254" s="80"/>
      <c r="AW254" s="80" t="b">
        <v>0</v>
      </c>
      <c r="AX254" s="80" t="s">
        <v>7173</v>
      </c>
      <c r="AY254" s="84" t="str">
        <f>HYPERLINK("https://twitter.com/promildred")</f>
        <v>https://twitter.com/promildred</v>
      </c>
      <c r="AZ254" s="80" t="s">
        <v>66</v>
      </c>
      <c r="BA254" s="2"/>
      <c r="BB254" s="3"/>
      <c r="BC254" s="3"/>
      <c r="BD254" s="3"/>
      <c r="BE254" s="3"/>
    </row>
    <row r="255" spans="1:57" x14ac:dyDescent="0.35">
      <c r="A255" s="66" t="s">
        <v>396</v>
      </c>
      <c r="B255" s="67"/>
      <c r="C255" s="67"/>
      <c r="D255" s="68"/>
      <c r="E255" s="70"/>
      <c r="F255" s="106" t="str">
        <f>HYPERLINK("https://pbs.twimg.com/profile_images/1435840977185357826/2brzuv2M_normal.jpg")</f>
        <v>https://pbs.twimg.com/profile_images/1435840977185357826/2brzuv2M_normal.jpg</v>
      </c>
      <c r="G255" s="67"/>
      <c r="H255" s="71"/>
      <c r="I255" s="72"/>
      <c r="J255" s="72"/>
      <c r="K255" s="71" t="s">
        <v>7425</v>
      </c>
      <c r="L255" s="75"/>
      <c r="M255" s="76"/>
      <c r="N255" s="76"/>
      <c r="O255" s="77"/>
      <c r="P255" s="78"/>
      <c r="Q255" s="78"/>
      <c r="R255" s="90"/>
      <c r="S255" s="90"/>
      <c r="T255" s="90"/>
      <c r="U255" s="90"/>
      <c r="V255" s="52"/>
      <c r="W255" s="52"/>
      <c r="X255" s="52"/>
      <c r="Y255" s="52"/>
      <c r="Z255" s="51"/>
      <c r="AA255" s="73"/>
      <c r="AB255" s="73"/>
      <c r="AC255" s="74"/>
      <c r="AD255" s="80" t="s">
        <v>4432</v>
      </c>
      <c r="AE255" s="86" t="s">
        <v>5347</v>
      </c>
      <c r="AF255" s="80">
        <v>9269</v>
      </c>
      <c r="AG255" s="80">
        <v>9682</v>
      </c>
      <c r="AH255" s="80">
        <v>240049</v>
      </c>
      <c r="AI255" s="80">
        <v>187782</v>
      </c>
      <c r="AJ255" s="80"/>
      <c r="AK255" s="80" t="s">
        <v>6144</v>
      </c>
      <c r="AL255" s="80" t="s">
        <v>6881</v>
      </c>
      <c r="AM255" s="80"/>
      <c r="AN255" s="80"/>
      <c r="AO255" s="82">
        <v>41568.566990740743</v>
      </c>
      <c r="AP255" s="84" t="str">
        <f>HYPERLINK("https://pbs.twimg.com/profile_banners/1978790995/1628556816")</f>
        <v>https://pbs.twimg.com/profile_banners/1978790995/1628556816</v>
      </c>
      <c r="AQ255" s="80" t="b">
        <v>1</v>
      </c>
      <c r="AR255" s="80" t="b">
        <v>0</v>
      </c>
      <c r="AS255" s="80" t="b">
        <v>1</v>
      </c>
      <c r="AT255" s="80"/>
      <c r="AU255" s="80">
        <v>6</v>
      </c>
      <c r="AV255" s="84" t="str">
        <f>HYPERLINK("https://abs.twimg.com/images/themes/theme1/bg.png")</f>
        <v>https://abs.twimg.com/images/themes/theme1/bg.png</v>
      </c>
      <c r="AW255" s="80" t="b">
        <v>0</v>
      </c>
      <c r="AX255" s="80" t="s">
        <v>7173</v>
      </c>
      <c r="AY255" s="84" t="str">
        <f>HYPERLINK("https://twitter.com/laingenlisa")</f>
        <v>https://twitter.com/laingenlisa</v>
      </c>
      <c r="AZ255" s="80" t="s">
        <v>66</v>
      </c>
      <c r="BA255" s="2"/>
      <c r="BB255" s="3"/>
      <c r="BC255" s="3"/>
      <c r="BD255" s="3"/>
      <c r="BE255" s="3"/>
    </row>
    <row r="256" spans="1:57" x14ac:dyDescent="0.35">
      <c r="A256" s="66" t="s">
        <v>397</v>
      </c>
      <c r="B256" s="67"/>
      <c r="C256" s="67"/>
      <c r="D256" s="68"/>
      <c r="E256" s="70"/>
      <c r="F256" s="106" t="str">
        <f>HYPERLINK("https://pbs.twimg.com/profile_images/1371240519032991744/BlXPRWyy_normal.jpg")</f>
        <v>https://pbs.twimg.com/profile_images/1371240519032991744/BlXPRWyy_normal.jpg</v>
      </c>
      <c r="G256" s="67"/>
      <c r="H256" s="71"/>
      <c r="I256" s="72"/>
      <c r="J256" s="72"/>
      <c r="K256" s="71" t="s">
        <v>7426</v>
      </c>
      <c r="L256" s="75"/>
      <c r="M256" s="76"/>
      <c r="N256" s="76"/>
      <c r="O256" s="77"/>
      <c r="P256" s="78"/>
      <c r="Q256" s="78"/>
      <c r="R256" s="90"/>
      <c r="S256" s="90"/>
      <c r="T256" s="90"/>
      <c r="U256" s="90"/>
      <c r="V256" s="52"/>
      <c r="W256" s="52"/>
      <c r="X256" s="52"/>
      <c r="Y256" s="52"/>
      <c r="Z256" s="51"/>
      <c r="AA256" s="73"/>
      <c r="AB256" s="73"/>
      <c r="AC256" s="74"/>
      <c r="AD256" s="80" t="s">
        <v>4433</v>
      </c>
      <c r="AE256" s="86" t="s">
        <v>5348</v>
      </c>
      <c r="AF256" s="80">
        <v>23</v>
      </c>
      <c r="AG256" s="80">
        <v>1423</v>
      </c>
      <c r="AH256" s="80">
        <v>29892</v>
      </c>
      <c r="AI256" s="80">
        <v>24878</v>
      </c>
      <c r="AJ256" s="80"/>
      <c r="AK256" s="80" t="s">
        <v>6145</v>
      </c>
      <c r="AL256" s="80" t="s">
        <v>6788</v>
      </c>
      <c r="AM256" s="84" t="str">
        <f>HYPERLINK("https://t.co/NW8zZCaCuT")</f>
        <v>https://t.co/NW8zZCaCuT</v>
      </c>
      <c r="AN256" s="80"/>
      <c r="AO256" s="82">
        <v>40231.292905092596</v>
      </c>
      <c r="AP256" s="84" t="str">
        <f>HYPERLINK("https://pbs.twimg.com/profile_banners/116378447/1525228370")</f>
        <v>https://pbs.twimg.com/profile_banners/116378447/1525228370</v>
      </c>
      <c r="AQ256" s="80" t="b">
        <v>1</v>
      </c>
      <c r="AR256" s="80" t="b">
        <v>0</v>
      </c>
      <c r="AS256" s="80" t="b">
        <v>1</v>
      </c>
      <c r="AT256" s="80"/>
      <c r="AU256" s="80">
        <v>0</v>
      </c>
      <c r="AV256" s="84" t="str">
        <f>HYPERLINK("https://abs.twimg.com/images/themes/theme1/bg.png")</f>
        <v>https://abs.twimg.com/images/themes/theme1/bg.png</v>
      </c>
      <c r="AW256" s="80" t="b">
        <v>0</v>
      </c>
      <c r="AX256" s="80" t="s">
        <v>7173</v>
      </c>
      <c r="AY256" s="84" t="str">
        <f>HYPERLINK("https://twitter.com/dedimahardi")</f>
        <v>https://twitter.com/dedimahardi</v>
      </c>
      <c r="AZ256" s="80" t="s">
        <v>66</v>
      </c>
      <c r="BA256" s="2"/>
      <c r="BB256" s="3"/>
      <c r="BC256" s="3"/>
      <c r="BD256" s="3"/>
      <c r="BE256" s="3"/>
    </row>
    <row r="257" spans="1:57" x14ac:dyDescent="0.35">
      <c r="A257" s="66" t="s">
        <v>398</v>
      </c>
      <c r="B257" s="67"/>
      <c r="C257" s="67"/>
      <c r="D257" s="68"/>
      <c r="E257" s="70"/>
      <c r="F257" s="106" t="str">
        <f>HYPERLINK("https://pbs.twimg.com/profile_images/1440059150994608132/a_3I8iH4_normal.jpg")</f>
        <v>https://pbs.twimg.com/profile_images/1440059150994608132/a_3I8iH4_normal.jpg</v>
      </c>
      <c r="G257" s="67"/>
      <c r="H257" s="71"/>
      <c r="I257" s="72"/>
      <c r="J257" s="72"/>
      <c r="K257" s="71" t="s">
        <v>7427</v>
      </c>
      <c r="L257" s="75"/>
      <c r="M257" s="76"/>
      <c r="N257" s="76"/>
      <c r="O257" s="77"/>
      <c r="P257" s="78"/>
      <c r="Q257" s="78"/>
      <c r="R257" s="90"/>
      <c r="S257" s="90"/>
      <c r="T257" s="90"/>
      <c r="U257" s="90"/>
      <c r="V257" s="52"/>
      <c r="W257" s="52"/>
      <c r="X257" s="52"/>
      <c r="Y257" s="52"/>
      <c r="Z257" s="51"/>
      <c r="AA257" s="73"/>
      <c r="AB257" s="73"/>
      <c r="AC257" s="74"/>
      <c r="AD257" s="80" t="s">
        <v>4434</v>
      </c>
      <c r="AE257" s="86" t="s">
        <v>5349</v>
      </c>
      <c r="AF257" s="80">
        <v>217</v>
      </c>
      <c r="AG257" s="80">
        <v>85</v>
      </c>
      <c r="AH257" s="80">
        <v>1423</v>
      </c>
      <c r="AI257" s="80">
        <v>404</v>
      </c>
      <c r="AJ257" s="80"/>
      <c r="AK257" s="80"/>
      <c r="AL257" s="80"/>
      <c r="AM257" s="80"/>
      <c r="AN257" s="80"/>
      <c r="AO257" s="82">
        <v>40216.11614583333</v>
      </c>
      <c r="AP257" s="84" t="str">
        <f>HYPERLINK("https://pbs.twimg.com/profile_banners/112046241/1469668825")</f>
        <v>https://pbs.twimg.com/profile_banners/112046241/1469668825</v>
      </c>
      <c r="AQ257" s="80" t="b">
        <v>0</v>
      </c>
      <c r="AR257" s="80" t="b">
        <v>0</v>
      </c>
      <c r="AS257" s="80" t="b">
        <v>1</v>
      </c>
      <c r="AT257" s="80"/>
      <c r="AU257" s="80">
        <v>0</v>
      </c>
      <c r="AV257" s="84" t="str">
        <f>HYPERLINK("https://abs.twimg.com/images/themes/theme8/bg.gif")</f>
        <v>https://abs.twimg.com/images/themes/theme8/bg.gif</v>
      </c>
      <c r="AW257" s="80" t="b">
        <v>0</v>
      </c>
      <c r="AX257" s="80" t="s">
        <v>7173</v>
      </c>
      <c r="AY257" s="84" t="str">
        <f>HYPERLINK("https://twitter.com/ipram2010")</f>
        <v>https://twitter.com/ipram2010</v>
      </c>
      <c r="AZ257" s="80" t="s">
        <v>66</v>
      </c>
      <c r="BA257" s="2"/>
      <c r="BB257" s="3"/>
      <c r="BC257" s="3"/>
      <c r="BD257" s="3"/>
      <c r="BE257" s="3"/>
    </row>
    <row r="258" spans="1:57" x14ac:dyDescent="0.35">
      <c r="A258" s="66" t="s">
        <v>399</v>
      </c>
      <c r="B258" s="67"/>
      <c r="C258" s="67"/>
      <c r="D258" s="68"/>
      <c r="E258" s="70"/>
      <c r="F258" s="106" t="str">
        <f>HYPERLINK("https://pbs.twimg.com/profile_images/1441679049449824258/knc2IiPV_normal.jpg")</f>
        <v>https://pbs.twimg.com/profile_images/1441679049449824258/knc2IiPV_normal.jpg</v>
      </c>
      <c r="G258" s="67"/>
      <c r="H258" s="71"/>
      <c r="I258" s="72"/>
      <c r="J258" s="72"/>
      <c r="K258" s="71" t="s">
        <v>7428</v>
      </c>
      <c r="L258" s="75"/>
      <c r="M258" s="76"/>
      <c r="N258" s="76"/>
      <c r="O258" s="77"/>
      <c r="P258" s="78"/>
      <c r="Q258" s="78"/>
      <c r="R258" s="90"/>
      <c r="S258" s="90"/>
      <c r="T258" s="90"/>
      <c r="U258" s="90"/>
      <c r="V258" s="52"/>
      <c r="W258" s="52"/>
      <c r="X258" s="52"/>
      <c r="Y258" s="52"/>
      <c r="Z258" s="51"/>
      <c r="AA258" s="73"/>
      <c r="AB258" s="73"/>
      <c r="AC258" s="74"/>
      <c r="AD258" s="80" t="s">
        <v>4435</v>
      </c>
      <c r="AE258" s="86" t="s">
        <v>5350</v>
      </c>
      <c r="AF258" s="80">
        <v>2755</v>
      </c>
      <c r="AG258" s="80">
        <v>2203</v>
      </c>
      <c r="AH258" s="80">
        <v>782</v>
      </c>
      <c r="AI258" s="80">
        <v>1866</v>
      </c>
      <c r="AJ258" s="80"/>
      <c r="AK258" s="80" t="s">
        <v>6146</v>
      </c>
      <c r="AL258" s="80" t="s">
        <v>6882</v>
      </c>
      <c r="AM258" s="80"/>
      <c r="AN258" s="80"/>
      <c r="AO258" s="82">
        <v>44339.556979166664</v>
      </c>
      <c r="AP258" s="84" t="str">
        <f>HYPERLINK("https://pbs.twimg.com/profile_banners/1396456336729141258/1621866023")</f>
        <v>https://pbs.twimg.com/profile_banners/1396456336729141258/1621866023</v>
      </c>
      <c r="AQ258" s="80" t="b">
        <v>1</v>
      </c>
      <c r="AR258" s="80" t="b">
        <v>0</v>
      </c>
      <c r="AS258" s="80" t="b">
        <v>0</v>
      </c>
      <c r="AT258" s="80"/>
      <c r="AU258" s="80">
        <v>0</v>
      </c>
      <c r="AV258" s="80"/>
      <c r="AW258" s="80" t="b">
        <v>0</v>
      </c>
      <c r="AX258" s="80" t="s">
        <v>7173</v>
      </c>
      <c r="AY258" s="84" t="str">
        <f>HYPERLINK("https://twitter.com/kangkuli171")</f>
        <v>https://twitter.com/kangkuli171</v>
      </c>
      <c r="AZ258" s="80" t="s">
        <v>66</v>
      </c>
      <c r="BA258" s="2"/>
      <c r="BB258" s="3"/>
      <c r="BC258" s="3"/>
      <c r="BD258" s="3"/>
      <c r="BE258" s="3"/>
    </row>
    <row r="259" spans="1:57" x14ac:dyDescent="0.35">
      <c r="A259" s="66" t="s">
        <v>400</v>
      </c>
      <c r="B259" s="67"/>
      <c r="C259" s="67"/>
      <c r="D259" s="68"/>
      <c r="E259" s="70"/>
      <c r="F259" s="106" t="str">
        <f>HYPERLINK("https://pbs.twimg.com/profile_images/1231981854628044801/21RmYXAz_normal.jpg")</f>
        <v>https://pbs.twimg.com/profile_images/1231981854628044801/21RmYXAz_normal.jpg</v>
      </c>
      <c r="G259" s="67"/>
      <c r="H259" s="71"/>
      <c r="I259" s="72"/>
      <c r="J259" s="72"/>
      <c r="K259" s="71" t="s">
        <v>7429</v>
      </c>
      <c r="L259" s="75"/>
      <c r="M259" s="76"/>
      <c r="N259" s="76"/>
      <c r="O259" s="77"/>
      <c r="P259" s="78"/>
      <c r="Q259" s="78"/>
      <c r="R259" s="90"/>
      <c r="S259" s="90"/>
      <c r="T259" s="90"/>
      <c r="U259" s="90"/>
      <c r="V259" s="52"/>
      <c r="W259" s="52"/>
      <c r="X259" s="52"/>
      <c r="Y259" s="52"/>
      <c r="Z259" s="51"/>
      <c r="AA259" s="73"/>
      <c r="AB259" s="73"/>
      <c r="AC259" s="74"/>
      <c r="AD259" s="80" t="s">
        <v>4436</v>
      </c>
      <c r="AE259" s="86" t="s">
        <v>5351</v>
      </c>
      <c r="AF259" s="80">
        <v>1980</v>
      </c>
      <c r="AG259" s="80">
        <v>1666</v>
      </c>
      <c r="AH259" s="80">
        <v>59105</v>
      </c>
      <c r="AI259" s="80">
        <v>82423</v>
      </c>
      <c r="AJ259" s="80"/>
      <c r="AK259" s="80"/>
      <c r="AL259" s="80"/>
      <c r="AM259" s="80"/>
      <c r="AN259" s="80"/>
      <c r="AO259" s="82">
        <v>43885.660787037035</v>
      </c>
      <c r="AP259" s="80"/>
      <c r="AQ259" s="80" t="b">
        <v>1</v>
      </c>
      <c r="AR259" s="80" t="b">
        <v>0</v>
      </c>
      <c r="AS259" s="80" t="b">
        <v>1</v>
      </c>
      <c r="AT259" s="80"/>
      <c r="AU259" s="80">
        <v>0</v>
      </c>
      <c r="AV259" s="80"/>
      <c r="AW259" s="80" t="b">
        <v>0</v>
      </c>
      <c r="AX259" s="80" t="s">
        <v>7173</v>
      </c>
      <c r="AY259" s="84" t="str">
        <f>HYPERLINK("https://twitter.com/danimas19")</f>
        <v>https://twitter.com/danimas19</v>
      </c>
      <c r="AZ259" s="80" t="s">
        <v>66</v>
      </c>
      <c r="BA259" s="2"/>
      <c r="BB259" s="3"/>
      <c r="BC259" s="3"/>
      <c r="BD259" s="3"/>
      <c r="BE259" s="3"/>
    </row>
    <row r="260" spans="1:57" x14ac:dyDescent="0.35">
      <c r="A260" s="66" t="s">
        <v>401</v>
      </c>
      <c r="B260" s="67"/>
      <c r="C260" s="67"/>
      <c r="D260" s="68"/>
      <c r="E260" s="70"/>
      <c r="F260" s="106" t="str">
        <f>HYPERLINK("https://pbs.twimg.com/profile_images/1165511532966363138/cx0gfe87_normal.jpg")</f>
        <v>https://pbs.twimg.com/profile_images/1165511532966363138/cx0gfe87_normal.jpg</v>
      </c>
      <c r="G260" s="67"/>
      <c r="H260" s="71"/>
      <c r="I260" s="72"/>
      <c r="J260" s="72"/>
      <c r="K260" s="71" t="s">
        <v>7430</v>
      </c>
      <c r="L260" s="75"/>
      <c r="M260" s="76"/>
      <c r="N260" s="76"/>
      <c r="O260" s="77"/>
      <c r="P260" s="78"/>
      <c r="Q260" s="78"/>
      <c r="R260" s="90"/>
      <c r="S260" s="90"/>
      <c r="T260" s="90"/>
      <c r="U260" s="90"/>
      <c r="V260" s="52"/>
      <c r="W260" s="52"/>
      <c r="X260" s="52"/>
      <c r="Y260" s="52"/>
      <c r="Z260" s="51"/>
      <c r="AA260" s="73"/>
      <c r="AB260" s="73"/>
      <c r="AC260" s="74"/>
      <c r="AD260" s="80" t="s">
        <v>4437</v>
      </c>
      <c r="AE260" s="86" t="s">
        <v>5352</v>
      </c>
      <c r="AF260" s="80">
        <v>1490</v>
      </c>
      <c r="AG260" s="80">
        <v>1374</v>
      </c>
      <c r="AH260" s="80">
        <v>16109</v>
      </c>
      <c r="AI260" s="80">
        <v>66019</v>
      </c>
      <c r="AJ260" s="80"/>
      <c r="AK260" s="80" t="s">
        <v>6147</v>
      </c>
      <c r="AL260" s="80" t="s">
        <v>6883</v>
      </c>
      <c r="AM260" s="80"/>
      <c r="AN260" s="80"/>
      <c r="AO260" s="82">
        <v>42955.545231481483</v>
      </c>
      <c r="AP260" s="84" t="str">
        <f>HYPERLINK("https://pbs.twimg.com/profile_banners/894907328004202497/1566714691")</f>
        <v>https://pbs.twimg.com/profile_banners/894907328004202497/1566714691</v>
      </c>
      <c r="AQ260" s="80" t="b">
        <v>1</v>
      </c>
      <c r="AR260" s="80" t="b">
        <v>0</v>
      </c>
      <c r="AS260" s="80" t="b">
        <v>0</v>
      </c>
      <c r="AT260" s="80"/>
      <c r="AU260" s="80">
        <v>0</v>
      </c>
      <c r="AV260" s="80"/>
      <c r="AW260" s="80" t="b">
        <v>0</v>
      </c>
      <c r="AX260" s="80" t="s">
        <v>7173</v>
      </c>
      <c r="AY260" s="84" t="str">
        <f>HYPERLINK("https://twitter.com/ernizanw")</f>
        <v>https://twitter.com/ernizanw</v>
      </c>
      <c r="AZ260" s="80" t="s">
        <v>66</v>
      </c>
      <c r="BA260" s="2"/>
      <c r="BB260" s="3"/>
      <c r="BC260" s="3"/>
      <c r="BD260" s="3"/>
      <c r="BE260" s="3"/>
    </row>
    <row r="261" spans="1:57" x14ac:dyDescent="0.35">
      <c r="A261" s="66" t="s">
        <v>402</v>
      </c>
      <c r="B261" s="67"/>
      <c r="C261" s="67"/>
      <c r="D261" s="68"/>
      <c r="E261" s="70"/>
      <c r="F261" s="106" t="str">
        <f>HYPERLINK("https://pbs.twimg.com/profile_images/1344594726318530560/FDqK9OdW_normal.jpg")</f>
        <v>https://pbs.twimg.com/profile_images/1344594726318530560/FDqK9OdW_normal.jpg</v>
      </c>
      <c r="G261" s="67"/>
      <c r="H261" s="71"/>
      <c r="I261" s="72"/>
      <c r="J261" s="72"/>
      <c r="K261" s="71" t="s">
        <v>7431</v>
      </c>
      <c r="L261" s="75"/>
      <c r="M261" s="76"/>
      <c r="N261" s="76"/>
      <c r="O261" s="77"/>
      <c r="P261" s="78"/>
      <c r="Q261" s="78"/>
      <c r="R261" s="90"/>
      <c r="S261" s="90"/>
      <c r="T261" s="90"/>
      <c r="U261" s="90"/>
      <c r="V261" s="52"/>
      <c r="W261" s="52"/>
      <c r="X261" s="52"/>
      <c r="Y261" s="52"/>
      <c r="Z261" s="51"/>
      <c r="AA261" s="73"/>
      <c r="AB261" s="73"/>
      <c r="AC261" s="74"/>
      <c r="AD261" s="80" t="s">
        <v>4438</v>
      </c>
      <c r="AE261" s="86" t="s">
        <v>5353</v>
      </c>
      <c r="AF261" s="80">
        <v>4981</v>
      </c>
      <c r="AG261" s="80">
        <v>4592</v>
      </c>
      <c r="AH261" s="80">
        <v>3204</v>
      </c>
      <c r="AI261" s="80">
        <v>5282</v>
      </c>
      <c r="AJ261" s="80"/>
      <c r="AK261" s="80" t="s">
        <v>6148</v>
      </c>
      <c r="AL261" s="80" t="s">
        <v>6884</v>
      </c>
      <c r="AM261" s="80"/>
      <c r="AN261" s="80"/>
      <c r="AO261" s="82">
        <v>41884.368645833332</v>
      </c>
      <c r="AP261" s="84" t="str">
        <f>HYPERLINK("https://pbs.twimg.com/profile_banners/2759158997/1427460820")</f>
        <v>https://pbs.twimg.com/profile_banners/2759158997/1427460820</v>
      </c>
      <c r="AQ261" s="80" t="b">
        <v>1</v>
      </c>
      <c r="AR261" s="80" t="b">
        <v>0</v>
      </c>
      <c r="AS261" s="80" t="b">
        <v>1</v>
      </c>
      <c r="AT261" s="80"/>
      <c r="AU261" s="80">
        <v>0</v>
      </c>
      <c r="AV261" s="84" t="str">
        <f>HYPERLINK("https://abs.twimg.com/images/themes/theme1/bg.png")</f>
        <v>https://abs.twimg.com/images/themes/theme1/bg.png</v>
      </c>
      <c r="AW261" s="80" t="b">
        <v>0</v>
      </c>
      <c r="AX261" s="80" t="s">
        <v>7173</v>
      </c>
      <c r="AY261" s="84" t="str">
        <f>HYPERLINK("https://twitter.com/suyitno6872")</f>
        <v>https://twitter.com/suyitno6872</v>
      </c>
      <c r="AZ261" s="80" t="s">
        <v>66</v>
      </c>
      <c r="BA261" s="2"/>
      <c r="BB261" s="3"/>
      <c r="BC261" s="3"/>
      <c r="BD261" s="3"/>
      <c r="BE261" s="3"/>
    </row>
    <row r="262" spans="1:57" x14ac:dyDescent="0.35">
      <c r="A262" s="66" t="s">
        <v>403</v>
      </c>
      <c r="B262" s="67"/>
      <c r="C262" s="67"/>
      <c r="D262" s="68"/>
      <c r="E262" s="70"/>
      <c r="F262" s="106" t="str">
        <f>HYPERLINK("https://pbs.twimg.com/profile_images/1324186887666327552/1CTj-AlJ_normal.jpg")</f>
        <v>https://pbs.twimg.com/profile_images/1324186887666327552/1CTj-AlJ_normal.jpg</v>
      </c>
      <c r="G262" s="67"/>
      <c r="H262" s="71"/>
      <c r="I262" s="72"/>
      <c r="J262" s="72"/>
      <c r="K262" s="71" t="s">
        <v>7432</v>
      </c>
      <c r="L262" s="75"/>
      <c r="M262" s="76"/>
      <c r="N262" s="76"/>
      <c r="O262" s="77"/>
      <c r="P262" s="78"/>
      <c r="Q262" s="78"/>
      <c r="R262" s="90"/>
      <c r="S262" s="90"/>
      <c r="T262" s="90"/>
      <c r="U262" s="90"/>
      <c r="V262" s="52"/>
      <c r="W262" s="52"/>
      <c r="X262" s="52"/>
      <c r="Y262" s="52"/>
      <c r="Z262" s="51"/>
      <c r="AA262" s="73"/>
      <c r="AB262" s="73"/>
      <c r="AC262" s="74"/>
      <c r="AD262" s="80" t="s">
        <v>4439</v>
      </c>
      <c r="AE262" s="86" t="s">
        <v>5354</v>
      </c>
      <c r="AF262" s="80">
        <v>899</v>
      </c>
      <c r="AG262" s="80">
        <v>813</v>
      </c>
      <c r="AH262" s="80">
        <v>1087</v>
      </c>
      <c r="AI262" s="80">
        <v>1176</v>
      </c>
      <c r="AJ262" s="80"/>
      <c r="AK262" s="80" t="s">
        <v>6149</v>
      </c>
      <c r="AL262" s="80"/>
      <c r="AM262" s="80"/>
      <c r="AN262" s="80"/>
      <c r="AO262" s="82">
        <v>44104.992754629631</v>
      </c>
      <c r="AP262" s="80"/>
      <c r="AQ262" s="80" t="b">
        <v>1</v>
      </c>
      <c r="AR262" s="80" t="b">
        <v>0</v>
      </c>
      <c r="AS262" s="80" t="b">
        <v>0</v>
      </c>
      <c r="AT262" s="80"/>
      <c r="AU262" s="80">
        <v>0</v>
      </c>
      <c r="AV262" s="80"/>
      <c r="AW262" s="80" t="b">
        <v>0</v>
      </c>
      <c r="AX262" s="80" t="s">
        <v>7173</v>
      </c>
      <c r="AY262" s="84" t="str">
        <f>HYPERLINK("https://twitter.com/taftxen")</f>
        <v>https://twitter.com/taftxen</v>
      </c>
      <c r="AZ262" s="80" t="s">
        <v>66</v>
      </c>
      <c r="BA262" s="2"/>
      <c r="BB262" s="3"/>
      <c r="BC262" s="3"/>
      <c r="BD262" s="3"/>
      <c r="BE262" s="3"/>
    </row>
    <row r="263" spans="1:57" x14ac:dyDescent="0.35">
      <c r="A263" s="66" t="s">
        <v>404</v>
      </c>
      <c r="B263" s="67"/>
      <c r="C263" s="67"/>
      <c r="D263" s="68"/>
      <c r="E263" s="70"/>
      <c r="F263" s="106" t="str">
        <f>HYPERLINK("https://abs.twimg.com/sticky/default_profile_images/default_profile_normal.png")</f>
        <v>https://abs.twimg.com/sticky/default_profile_images/default_profile_normal.png</v>
      </c>
      <c r="G263" s="67"/>
      <c r="H263" s="71"/>
      <c r="I263" s="72"/>
      <c r="J263" s="72"/>
      <c r="K263" s="71" t="s">
        <v>7433</v>
      </c>
      <c r="L263" s="75"/>
      <c r="M263" s="76"/>
      <c r="N263" s="76"/>
      <c r="O263" s="77"/>
      <c r="P263" s="78"/>
      <c r="Q263" s="78"/>
      <c r="R263" s="90"/>
      <c r="S263" s="90"/>
      <c r="T263" s="90"/>
      <c r="U263" s="90"/>
      <c r="V263" s="52"/>
      <c r="W263" s="52"/>
      <c r="X263" s="52"/>
      <c r="Y263" s="52"/>
      <c r="Z263" s="51"/>
      <c r="AA263" s="73"/>
      <c r="AB263" s="73"/>
      <c r="AC263" s="74"/>
      <c r="AD263" s="80" t="s">
        <v>4440</v>
      </c>
      <c r="AE263" s="86" t="s">
        <v>5355</v>
      </c>
      <c r="AF263" s="80">
        <v>20</v>
      </c>
      <c r="AG263" s="80">
        <v>5</v>
      </c>
      <c r="AH263" s="80">
        <v>29</v>
      </c>
      <c r="AI263" s="80">
        <v>1673</v>
      </c>
      <c r="AJ263" s="80"/>
      <c r="AK263" s="80"/>
      <c r="AL263" s="80"/>
      <c r="AM263" s="80"/>
      <c r="AN263" s="80"/>
      <c r="AO263" s="82">
        <v>42814.586377314816</v>
      </c>
      <c r="AP263" s="80"/>
      <c r="AQ263" s="80" t="b">
        <v>1</v>
      </c>
      <c r="AR263" s="80" t="b">
        <v>1</v>
      </c>
      <c r="AS263" s="80" t="b">
        <v>0</v>
      </c>
      <c r="AT263" s="80"/>
      <c r="AU263" s="80">
        <v>0</v>
      </c>
      <c r="AV263" s="80"/>
      <c r="AW263" s="80" t="b">
        <v>0</v>
      </c>
      <c r="AX263" s="80" t="s">
        <v>7173</v>
      </c>
      <c r="AY263" s="84" t="str">
        <f>HYPERLINK("https://twitter.com/a88ytjhan88")</f>
        <v>https://twitter.com/a88ytjhan88</v>
      </c>
      <c r="AZ263" s="80" t="s">
        <v>66</v>
      </c>
      <c r="BA263" s="2"/>
      <c r="BB263" s="3"/>
      <c r="BC263" s="3"/>
      <c r="BD263" s="3"/>
      <c r="BE263" s="3"/>
    </row>
    <row r="264" spans="1:57" x14ac:dyDescent="0.35">
      <c r="A264" s="66" t="s">
        <v>1061</v>
      </c>
      <c r="B264" s="67"/>
      <c r="C264" s="67"/>
      <c r="D264" s="68"/>
      <c r="E264" s="70"/>
      <c r="F264" s="106" t="str">
        <f>HYPERLINK("https://pbs.twimg.com/profile_images/961801012527775744/f_tyNgb7_normal.jpg")</f>
        <v>https://pbs.twimg.com/profile_images/961801012527775744/f_tyNgb7_normal.jpg</v>
      </c>
      <c r="G264" s="67"/>
      <c r="H264" s="71"/>
      <c r="I264" s="72"/>
      <c r="J264" s="72"/>
      <c r="K264" s="71" t="s">
        <v>7434</v>
      </c>
      <c r="L264" s="75"/>
      <c r="M264" s="76"/>
      <c r="N264" s="76"/>
      <c r="O264" s="77"/>
      <c r="P264" s="78"/>
      <c r="Q264" s="78"/>
      <c r="R264" s="90"/>
      <c r="S264" s="90"/>
      <c r="T264" s="90"/>
      <c r="U264" s="90"/>
      <c r="V264" s="52"/>
      <c r="W264" s="52"/>
      <c r="X264" s="52"/>
      <c r="Y264" s="52"/>
      <c r="Z264" s="51"/>
      <c r="AA264" s="73"/>
      <c r="AB264" s="73"/>
      <c r="AC264" s="74"/>
      <c r="AD264" s="80" t="s">
        <v>4441</v>
      </c>
      <c r="AE264" s="86" t="s">
        <v>3935</v>
      </c>
      <c r="AF264" s="80">
        <v>41</v>
      </c>
      <c r="AG264" s="80">
        <v>140</v>
      </c>
      <c r="AH264" s="80">
        <v>44</v>
      </c>
      <c r="AI264" s="80">
        <v>5</v>
      </c>
      <c r="AJ264" s="80"/>
      <c r="AK264" s="80" t="s">
        <v>6150</v>
      </c>
      <c r="AL264" s="80" t="s">
        <v>6758</v>
      </c>
      <c r="AM264" s="84" t="str">
        <f>HYPERLINK("https://t.co/FNaFPjBIMd")</f>
        <v>https://t.co/FNaFPjBIMd</v>
      </c>
      <c r="AN264" s="80"/>
      <c r="AO264" s="82">
        <v>42610.625613425924</v>
      </c>
      <c r="AP264" s="84" t="str">
        <f>HYPERLINK("https://pbs.twimg.com/profile_banners/769912644610297856/1518146133")</f>
        <v>https://pbs.twimg.com/profile_banners/769912644610297856/1518146133</v>
      </c>
      <c r="AQ264" s="80" t="b">
        <v>0</v>
      </c>
      <c r="AR264" s="80" t="b">
        <v>0</v>
      </c>
      <c r="AS264" s="80" t="b">
        <v>0</v>
      </c>
      <c r="AT264" s="80"/>
      <c r="AU264" s="80">
        <v>0</v>
      </c>
      <c r="AV264" s="84" t="str">
        <f>HYPERLINK("https://abs.twimg.com/images/themes/theme1/bg.png")</f>
        <v>https://abs.twimg.com/images/themes/theme1/bg.png</v>
      </c>
      <c r="AW264" s="80" t="b">
        <v>0</v>
      </c>
      <c r="AX264" s="80" t="s">
        <v>7173</v>
      </c>
      <c r="AY264" s="84" t="str">
        <f>HYPERLINK("https://twitter.com/kantorposjkb")</f>
        <v>https://twitter.com/kantorposjkb</v>
      </c>
      <c r="AZ264" s="80" t="s">
        <v>65</v>
      </c>
      <c r="BA264" s="2"/>
      <c r="BB264" s="3"/>
      <c r="BC264" s="3"/>
      <c r="BD264" s="3"/>
      <c r="BE264" s="3"/>
    </row>
    <row r="265" spans="1:57" x14ac:dyDescent="0.35">
      <c r="A265" s="66" t="s">
        <v>405</v>
      </c>
      <c r="B265" s="67"/>
      <c r="C265" s="67"/>
      <c r="D265" s="68"/>
      <c r="E265" s="70"/>
      <c r="F265" s="106" t="str">
        <f>HYPERLINK("https://pbs.twimg.com/profile_images/1421831174196842497/uV2Vv83i_normal.jpg")</f>
        <v>https://pbs.twimg.com/profile_images/1421831174196842497/uV2Vv83i_normal.jpg</v>
      </c>
      <c r="G265" s="67"/>
      <c r="H265" s="71"/>
      <c r="I265" s="72"/>
      <c r="J265" s="72"/>
      <c r="K265" s="71" t="s">
        <v>7435</v>
      </c>
      <c r="L265" s="75"/>
      <c r="M265" s="76"/>
      <c r="N265" s="76"/>
      <c r="O265" s="77"/>
      <c r="P265" s="78"/>
      <c r="Q265" s="78"/>
      <c r="R265" s="90"/>
      <c r="S265" s="90"/>
      <c r="T265" s="90"/>
      <c r="U265" s="90"/>
      <c r="V265" s="52"/>
      <c r="W265" s="52"/>
      <c r="X265" s="52"/>
      <c r="Y265" s="52"/>
      <c r="Z265" s="51"/>
      <c r="AA265" s="73"/>
      <c r="AB265" s="73"/>
      <c r="AC265" s="74"/>
      <c r="AD265" s="80" t="s">
        <v>405</v>
      </c>
      <c r="AE265" s="86" t="s">
        <v>5356</v>
      </c>
      <c r="AF265" s="80">
        <v>1723</v>
      </c>
      <c r="AG265" s="80">
        <v>1702</v>
      </c>
      <c r="AH265" s="80">
        <v>39676</v>
      </c>
      <c r="AI265" s="80">
        <v>66315</v>
      </c>
      <c r="AJ265" s="80"/>
      <c r="AK265" s="80" t="s">
        <v>6151</v>
      </c>
      <c r="AL265" s="80" t="s">
        <v>6785</v>
      </c>
      <c r="AM265" s="80"/>
      <c r="AN265" s="80"/>
      <c r="AO265" s="82">
        <v>41160.071458333332</v>
      </c>
      <c r="AP265" s="84" t="str">
        <f>HYPERLINK("https://pbs.twimg.com/profile_banners/809962255/1579152709")</f>
        <v>https://pbs.twimg.com/profile_banners/809962255/1579152709</v>
      </c>
      <c r="AQ265" s="80" t="b">
        <v>1</v>
      </c>
      <c r="AR265" s="80" t="b">
        <v>0</v>
      </c>
      <c r="AS265" s="80" t="b">
        <v>0</v>
      </c>
      <c r="AT265" s="80"/>
      <c r="AU265" s="80">
        <v>0</v>
      </c>
      <c r="AV265" s="84" t="str">
        <f>HYPERLINK("https://abs.twimg.com/images/themes/theme1/bg.png")</f>
        <v>https://abs.twimg.com/images/themes/theme1/bg.png</v>
      </c>
      <c r="AW265" s="80" t="b">
        <v>0</v>
      </c>
      <c r="AX265" s="80" t="s">
        <v>7173</v>
      </c>
      <c r="AY265" s="84" t="str">
        <f>HYPERLINK("https://twitter.com/joy_rantau")</f>
        <v>https://twitter.com/joy_rantau</v>
      </c>
      <c r="AZ265" s="80" t="s">
        <v>66</v>
      </c>
      <c r="BA265" s="2"/>
      <c r="BB265" s="3"/>
      <c r="BC265" s="3"/>
      <c r="BD265" s="3"/>
      <c r="BE265" s="3"/>
    </row>
    <row r="266" spans="1:57" x14ac:dyDescent="0.35">
      <c r="A266" s="66" t="s">
        <v>406</v>
      </c>
      <c r="B266" s="67"/>
      <c r="C266" s="67"/>
      <c r="D266" s="68"/>
      <c r="E266" s="70"/>
      <c r="F266" s="106" t="str">
        <f>HYPERLINK("https://pbs.twimg.com/profile_images/1276319897052573696/_M5lx-1w_normal.jpg")</f>
        <v>https://pbs.twimg.com/profile_images/1276319897052573696/_M5lx-1w_normal.jpg</v>
      </c>
      <c r="G266" s="67"/>
      <c r="H266" s="71"/>
      <c r="I266" s="72"/>
      <c r="J266" s="72"/>
      <c r="K266" s="71" t="s">
        <v>7436</v>
      </c>
      <c r="L266" s="75"/>
      <c r="M266" s="76"/>
      <c r="N266" s="76"/>
      <c r="O266" s="77"/>
      <c r="P266" s="78"/>
      <c r="Q266" s="78"/>
      <c r="R266" s="90"/>
      <c r="S266" s="90"/>
      <c r="T266" s="90"/>
      <c r="U266" s="90"/>
      <c r="V266" s="52"/>
      <c r="W266" s="52"/>
      <c r="X266" s="52"/>
      <c r="Y266" s="52"/>
      <c r="Z266" s="51"/>
      <c r="AA266" s="73"/>
      <c r="AB266" s="73"/>
      <c r="AC266" s="74"/>
      <c r="AD266" s="80" t="s">
        <v>4442</v>
      </c>
      <c r="AE266" s="86" t="s">
        <v>5357</v>
      </c>
      <c r="AF266" s="80">
        <v>68</v>
      </c>
      <c r="AG266" s="80">
        <v>463</v>
      </c>
      <c r="AH266" s="80">
        <v>1311</v>
      </c>
      <c r="AI266" s="80">
        <v>722</v>
      </c>
      <c r="AJ266" s="80"/>
      <c r="AK266" s="80" t="s">
        <v>6152</v>
      </c>
      <c r="AL266" s="80" t="s">
        <v>6885</v>
      </c>
      <c r="AM266" s="84" t="str">
        <f>HYPERLINK("https://t.co/5NfJo8a9kS")</f>
        <v>https://t.co/5NfJo8a9kS</v>
      </c>
      <c r="AN266" s="80"/>
      <c r="AO266" s="82">
        <v>43068.015949074077</v>
      </c>
      <c r="AP266" s="84" t="str">
        <f>HYPERLINK("https://pbs.twimg.com/profile_banners/935665352121335809/1582066235")</f>
        <v>https://pbs.twimg.com/profile_banners/935665352121335809/1582066235</v>
      </c>
      <c r="AQ266" s="80" t="b">
        <v>0</v>
      </c>
      <c r="AR266" s="80" t="b">
        <v>0</v>
      </c>
      <c r="AS266" s="80" t="b">
        <v>1</v>
      </c>
      <c r="AT266" s="80"/>
      <c r="AU266" s="80">
        <v>2</v>
      </c>
      <c r="AV266" s="84" t="str">
        <f>HYPERLINK("https://abs.twimg.com/images/themes/theme1/bg.png")</f>
        <v>https://abs.twimg.com/images/themes/theme1/bg.png</v>
      </c>
      <c r="AW266" s="80" t="b">
        <v>0</v>
      </c>
      <c r="AX266" s="80" t="s">
        <v>7173</v>
      </c>
      <c r="AY266" s="84" t="str">
        <f>HYPERLINK("https://twitter.com/karantinamrauke")</f>
        <v>https://twitter.com/karantinamrauke</v>
      </c>
      <c r="AZ266" s="80" t="s">
        <v>66</v>
      </c>
      <c r="BA266" s="2"/>
      <c r="BB266" s="3"/>
      <c r="BC266" s="3"/>
      <c r="BD266" s="3"/>
      <c r="BE266" s="3"/>
    </row>
    <row r="267" spans="1:57" x14ac:dyDescent="0.35">
      <c r="A267" s="66" t="s">
        <v>407</v>
      </c>
      <c r="B267" s="67"/>
      <c r="C267" s="67"/>
      <c r="D267" s="68"/>
      <c r="E267" s="70"/>
      <c r="F267" s="106" t="str">
        <f>HYPERLINK("https://pbs.twimg.com/profile_images/1430042702331084807/5ESKPj2F_normal.jpg")</f>
        <v>https://pbs.twimg.com/profile_images/1430042702331084807/5ESKPj2F_normal.jpg</v>
      </c>
      <c r="G267" s="67"/>
      <c r="H267" s="71"/>
      <c r="I267" s="72"/>
      <c r="J267" s="72"/>
      <c r="K267" s="71" t="s">
        <v>7437</v>
      </c>
      <c r="L267" s="75"/>
      <c r="M267" s="76"/>
      <c r="N267" s="76"/>
      <c r="O267" s="77"/>
      <c r="P267" s="78"/>
      <c r="Q267" s="78"/>
      <c r="R267" s="90"/>
      <c r="S267" s="90"/>
      <c r="T267" s="90"/>
      <c r="U267" s="90"/>
      <c r="V267" s="52"/>
      <c r="W267" s="52"/>
      <c r="X267" s="52"/>
      <c r="Y267" s="52"/>
      <c r="Z267" s="51"/>
      <c r="AA267" s="73"/>
      <c r="AB267" s="73"/>
      <c r="AC267" s="74"/>
      <c r="AD267" s="80" t="s">
        <v>4443</v>
      </c>
      <c r="AE267" s="86" t="s">
        <v>5358</v>
      </c>
      <c r="AF267" s="80">
        <v>553</v>
      </c>
      <c r="AG267" s="80">
        <v>17916</v>
      </c>
      <c r="AH267" s="80">
        <v>87552</v>
      </c>
      <c r="AI267" s="80">
        <v>99426</v>
      </c>
      <c r="AJ267" s="80"/>
      <c r="AK267" s="80"/>
      <c r="AL267" s="80"/>
      <c r="AM267" s="80"/>
      <c r="AN267" s="80"/>
      <c r="AO267" s="82">
        <v>43023.730474537035</v>
      </c>
      <c r="AP267" s="84" t="str">
        <f>HYPERLINK("https://pbs.twimg.com/profile_banners/919616833002512385/1599147514")</f>
        <v>https://pbs.twimg.com/profile_banners/919616833002512385/1599147514</v>
      </c>
      <c r="AQ267" s="80" t="b">
        <v>1</v>
      </c>
      <c r="AR267" s="80" t="b">
        <v>0</v>
      </c>
      <c r="AS267" s="80" t="b">
        <v>0</v>
      </c>
      <c r="AT267" s="80"/>
      <c r="AU267" s="80">
        <v>4</v>
      </c>
      <c r="AV267" s="80"/>
      <c r="AW267" s="80" t="b">
        <v>0</v>
      </c>
      <c r="AX267" s="80" t="s">
        <v>7173</v>
      </c>
      <c r="AY267" s="84" t="str">
        <f>HYPERLINK("https://twitter.com/sahabatsaber")</f>
        <v>https://twitter.com/sahabatsaber</v>
      </c>
      <c r="AZ267" s="80" t="s">
        <v>66</v>
      </c>
      <c r="BA267" s="2"/>
      <c r="BB267" s="3"/>
      <c r="BC267" s="3"/>
      <c r="BD267" s="3"/>
      <c r="BE267" s="3"/>
    </row>
    <row r="268" spans="1:57" x14ac:dyDescent="0.35">
      <c r="A268" s="66" t="s">
        <v>408</v>
      </c>
      <c r="B268" s="67"/>
      <c r="C268" s="67"/>
      <c r="D268" s="68"/>
      <c r="E268" s="70"/>
      <c r="F268" s="106" t="str">
        <f>HYPERLINK("https://pbs.twimg.com/profile_images/1036106454774628353/CX4TrHAc_normal.jpg")</f>
        <v>https://pbs.twimg.com/profile_images/1036106454774628353/CX4TrHAc_normal.jpg</v>
      </c>
      <c r="G268" s="67"/>
      <c r="H268" s="71"/>
      <c r="I268" s="72"/>
      <c r="J268" s="72"/>
      <c r="K268" s="71" t="s">
        <v>7438</v>
      </c>
      <c r="L268" s="75"/>
      <c r="M268" s="76"/>
      <c r="N268" s="76"/>
      <c r="O268" s="77"/>
      <c r="P268" s="78"/>
      <c r="Q268" s="78"/>
      <c r="R268" s="90"/>
      <c r="S268" s="90"/>
      <c r="T268" s="90"/>
      <c r="U268" s="90"/>
      <c r="V268" s="52"/>
      <c r="W268" s="52"/>
      <c r="X268" s="52"/>
      <c r="Y268" s="52"/>
      <c r="Z268" s="51"/>
      <c r="AA268" s="73"/>
      <c r="AB268" s="73"/>
      <c r="AC268" s="74"/>
      <c r="AD268" s="80" t="s">
        <v>4444</v>
      </c>
      <c r="AE268" s="86" t="s">
        <v>5359</v>
      </c>
      <c r="AF268" s="80">
        <v>1245</v>
      </c>
      <c r="AG268" s="80">
        <v>228</v>
      </c>
      <c r="AH268" s="80">
        <v>8888</v>
      </c>
      <c r="AI268" s="80">
        <v>23555</v>
      </c>
      <c r="AJ268" s="80"/>
      <c r="AK268" s="80"/>
      <c r="AL268" s="80" t="s">
        <v>6886</v>
      </c>
      <c r="AM268" s="80"/>
      <c r="AN268" s="80"/>
      <c r="AO268" s="82">
        <v>41379.085625</v>
      </c>
      <c r="AP268" s="80"/>
      <c r="AQ268" s="80" t="b">
        <v>1</v>
      </c>
      <c r="AR268" s="80" t="b">
        <v>0</v>
      </c>
      <c r="AS268" s="80" t="b">
        <v>1</v>
      </c>
      <c r="AT268" s="80"/>
      <c r="AU268" s="80">
        <v>0</v>
      </c>
      <c r="AV268" s="84" t="str">
        <f>HYPERLINK("https://abs.twimg.com/images/themes/theme1/bg.png")</f>
        <v>https://abs.twimg.com/images/themes/theme1/bg.png</v>
      </c>
      <c r="AW268" s="80" t="b">
        <v>0</v>
      </c>
      <c r="AX268" s="80" t="s">
        <v>7173</v>
      </c>
      <c r="AY268" s="84" t="str">
        <f>HYPERLINK("https://twitter.com/e2rdgunawan")</f>
        <v>https://twitter.com/e2rdgunawan</v>
      </c>
      <c r="AZ268" s="80" t="s">
        <v>66</v>
      </c>
      <c r="BA268" s="2"/>
      <c r="BB268" s="3"/>
      <c r="BC268" s="3"/>
      <c r="BD268" s="3"/>
      <c r="BE268" s="3"/>
    </row>
    <row r="269" spans="1:57" x14ac:dyDescent="0.35">
      <c r="A269" s="66" t="s">
        <v>409</v>
      </c>
      <c r="B269" s="67"/>
      <c r="C269" s="67"/>
      <c r="D269" s="68"/>
      <c r="E269" s="70"/>
      <c r="F269" s="106" t="str">
        <f>HYPERLINK("https://pbs.twimg.com/profile_images/1033645995291070465/JlJa2A8M_normal.jpg")</f>
        <v>https://pbs.twimg.com/profile_images/1033645995291070465/JlJa2A8M_normal.jpg</v>
      </c>
      <c r="G269" s="67"/>
      <c r="H269" s="71"/>
      <c r="I269" s="72"/>
      <c r="J269" s="72"/>
      <c r="K269" s="71" t="s">
        <v>7439</v>
      </c>
      <c r="L269" s="75"/>
      <c r="M269" s="76"/>
      <c r="N269" s="76"/>
      <c r="O269" s="77"/>
      <c r="P269" s="78"/>
      <c r="Q269" s="78"/>
      <c r="R269" s="90"/>
      <c r="S269" s="90"/>
      <c r="T269" s="90"/>
      <c r="U269" s="90"/>
      <c r="V269" s="52"/>
      <c r="W269" s="52"/>
      <c r="X269" s="52"/>
      <c r="Y269" s="52"/>
      <c r="Z269" s="51"/>
      <c r="AA269" s="73"/>
      <c r="AB269" s="73"/>
      <c r="AC269" s="74"/>
      <c r="AD269" s="80" t="s">
        <v>4445</v>
      </c>
      <c r="AE269" s="86" t="s">
        <v>5360</v>
      </c>
      <c r="AF269" s="80">
        <v>410</v>
      </c>
      <c r="AG269" s="80">
        <v>2507261</v>
      </c>
      <c r="AH269" s="80">
        <v>61288</v>
      </c>
      <c r="AI269" s="80">
        <v>12386</v>
      </c>
      <c r="AJ269" s="80"/>
      <c r="AK269" s="80" t="s">
        <v>6153</v>
      </c>
      <c r="AL269" s="80"/>
      <c r="AM269" s="84" t="str">
        <f>HYPERLINK("https://t.co/QzF8rhdjg4")</f>
        <v>https://t.co/QzF8rhdjg4</v>
      </c>
      <c r="AN269" s="80"/>
      <c r="AO269" s="82">
        <v>40152.622835648152</v>
      </c>
      <c r="AP269" s="84" t="str">
        <f>HYPERLINK("https://pbs.twimg.com/profile_banners/94805910/1559421178")</f>
        <v>https://pbs.twimg.com/profile_banners/94805910/1559421178</v>
      </c>
      <c r="AQ269" s="80" t="b">
        <v>0</v>
      </c>
      <c r="AR269" s="80" t="b">
        <v>0</v>
      </c>
      <c r="AS269" s="80" t="b">
        <v>0</v>
      </c>
      <c r="AT269" s="80"/>
      <c r="AU269" s="80">
        <v>715</v>
      </c>
      <c r="AV269" s="84" t="str">
        <f>HYPERLINK("https://abs.twimg.com/images/themes/theme15/bg.png")</f>
        <v>https://abs.twimg.com/images/themes/theme15/bg.png</v>
      </c>
      <c r="AW269" s="80" t="b">
        <v>1</v>
      </c>
      <c r="AX269" s="80" t="s">
        <v>7173</v>
      </c>
      <c r="AY269" s="84" t="str">
        <f>HYPERLINK("https://twitter.com/addiems")</f>
        <v>https://twitter.com/addiems</v>
      </c>
      <c r="AZ269" s="80" t="s">
        <v>66</v>
      </c>
      <c r="BA269" s="2"/>
      <c r="BB269" s="3"/>
      <c r="BC269" s="3"/>
      <c r="BD269" s="3"/>
      <c r="BE269" s="3"/>
    </row>
    <row r="270" spans="1:57" x14ac:dyDescent="0.35">
      <c r="A270" s="66" t="s">
        <v>410</v>
      </c>
      <c r="B270" s="67"/>
      <c r="C270" s="67"/>
      <c r="D270" s="68"/>
      <c r="E270" s="70"/>
      <c r="F270" s="106" t="str">
        <f>HYPERLINK("https://pbs.twimg.com/profile_images/1326119615261519872/CP2Pt2Da_normal.jpg")</f>
        <v>https://pbs.twimg.com/profile_images/1326119615261519872/CP2Pt2Da_normal.jpg</v>
      </c>
      <c r="G270" s="67"/>
      <c r="H270" s="71"/>
      <c r="I270" s="72"/>
      <c r="J270" s="72"/>
      <c r="K270" s="71" t="s">
        <v>7440</v>
      </c>
      <c r="L270" s="75"/>
      <c r="M270" s="76"/>
      <c r="N270" s="76"/>
      <c r="O270" s="77"/>
      <c r="P270" s="78"/>
      <c r="Q270" s="78"/>
      <c r="R270" s="90"/>
      <c r="S270" s="90"/>
      <c r="T270" s="90"/>
      <c r="U270" s="90"/>
      <c r="V270" s="52"/>
      <c r="W270" s="52"/>
      <c r="X270" s="52"/>
      <c r="Y270" s="52"/>
      <c r="Z270" s="51"/>
      <c r="AA270" s="73"/>
      <c r="AB270" s="73"/>
      <c r="AC270" s="74"/>
      <c r="AD270" s="80" t="s">
        <v>4446</v>
      </c>
      <c r="AE270" s="86" t="s">
        <v>5361</v>
      </c>
      <c r="AF270" s="80">
        <v>1871</v>
      </c>
      <c r="AG270" s="80">
        <v>914</v>
      </c>
      <c r="AH270" s="80">
        <v>240546</v>
      </c>
      <c r="AI270" s="80">
        <v>1088</v>
      </c>
      <c r="AJ270" s="80"/>
      <c r="AK270" s="80"/>
      <c r="AL270" s="80"/>
      <c r="AM270" s="80"/>
      <c r="AN270" s="80"/>
      <c r="AO270" s="82">
        <v>43218.384479166663</v>
      </c>
      <c r="AP270" s="80"/>
      <c r="AQ270" s="80" t="b">
        <v>1</v>
      </c>
      <c r="AR270" s="80" t="b">
        <v>0</v>
      </c>
      <c r="AS270" s="80" t="b">
        <v>0</v>
      </c>
      <c r="AT270" s="80"/>
      <c r="AU270" s="80">
        <v>12</v>
      </c>
      <c r="AV270" s="80"/>
      <c r="AW270" s="80" t="b">
        <v>0</v>
      </c>
      <c r="AX270" s="80" t="s">
        <v>7173</v>
      </c>
      <c r="AY270" s="84" t="str">
        <f>HYPERLINK("https://twitter.com/jhilyz91")</f>
        <v>https://twitter.com/jhilyz91</v>
      </c>
      <c r="AZ270" s="80" t="s">
        <v>66</v>
      </c>
      <c r="BA270" s="2"/>
      <c r="BB270" s="3"/>
      <c r="BC270" s="3"/>
      <c r="BD270" s="3"/>
      <c r="BE270" s="3"/>
    </row>
    <row r="271" spans="1:57" x14ac:dyDescent="0.35">
      <c r="A271" s="66" t="s">
        <v>411</v>
      </c>
      <c r="B271" s="67"/>
      <c r="C271" s="67"/>
      <c r="D271" s="68"/>
      <c r="E271" s="70"/>
      <c r="F271" s="106" t="str">
        <f>HYPERLINK("https://pbs.twimg.com/profile_images/1426415035555872769/K_vUyfCp_normal.jpg")</f>
        <v>https://pbs.twimg.com/profile_images/1426415035555872769/K_vUyfCp_normal.jpg</v>
      </c>
      <c r="G271" s="67"/>
      <c r="H271" s="71"/>
      <c r="I271" s="72"/>
      <c r="J271" s="72"/>
      <c r="K271" s="71" t="s">
        <v>7441</v>
      </c>
      <c r="L271" s="75"/>
      <c r="M271" s="76"/>
      <c r="N271" s="76"/>
      <c r="O271" s="77"/>
      <c r="P271" s="78"/>
      <c r="Q271" s="78"/>
      <c r="R271" s="90"/>
      <c r="S271" s="90"/>
      <c r="T271" s="90"/>
      <c r="U271" s="90"/>
      <c r="V271" s="52"/>
      <c r="W271" s="52"/>
      <c r="X271" s="52"/>
      <c r="Y271" s="52"/>
      <c r="Z271" s="51"/>
      <c r="AA271" s="73"/>
      <c r="AB271" s="73"/>
      <c r="AC271" s="74"/>
      <c r="AD271" s="80" t="s">
        <v>4447</v>
      </c>
      <c r="AE271" s="86" t="s">
        <v>5362</v>
      </c>
      <c r="AF271" s="80">
        <v>1086</v>
      </c>
      <c r="AG271" s="80">
        <v>367</v>
      </c>
      <c r="AH271" s="80">
        <v>3158</v>
      </c>
      <c r="AI271" s="80">
        <v>4200</v>
      </c>
      <c r="AJ271" s="80"/>
      <c r="AK271" s="80" t="s">
        <v>6154</v>
      </c>
      <c r="AL271" s="80" t="s">
        <v>6887</v>
      </c>
      <c r="AM271" s="80"/>
      <c r="AN271" s="80"/>
      <c r="AO271" s="82">
        <v>44422.226284722223</v>
      </c>
      <c r="AP271" s="84" t="str">
        <f>HYPERLINK("https://pbs.twimg.com/profile_banners/1426414572953432064/1632381065")</f>
        <v>https://pbs.twimg.com/profile_banners/1426414572953432064/1632381065</v>
      </c>
      <c r="AQ271" s="80" t="b">
        <v>1</v>
      </c>
      <c r="AR271" s="80" t="b">
        <v>0</v>
      </c>
      <c r="AS271" s="80" t="b">
        <v>0</v>
      </c>
      <c r="AT271" s="80"/>
      <c r="AU271" s="80">
        <v>0</v>
      </c>
      <c r="AV271" s="80"/>
      <c r="AW271" s="80" t="b">
        <v>0</v>
      </c>
      <c r="AX271" s="80" t="s">
        <v>7173</v>
      </c>
      <c r="AY271" s="84" t="str">
        <f>HYPERLINK("https://twitter.com/leo12seventy")</f>
        <v>https://twitter.com/leo12seventy</v>
      </c>
      <c r="AZ271" s="80" t="s">
        <v>66</v>
      </c>
      <c r="BA271" s="2"/>
      <c r="BB271" s="3"/>
      <c r="BC271" s="3"/>
      <c r="BD271" s="3"/>
      <c r="BE271" s="3"/>
    </row>
    <row r="272" spans="1:57" x14ac:dyDescent="0.35">
      <c r="A272" s="66" t="s">
        <v>412</v>
      </c>
      <c r="B272" s="67"/>
      <c r="C272" s="67"/>
      <c r="D272" s="68"/>
      <c r="E272" s="70"/>
      <c r="F272" s="106" t="str">
        <f>HYPERLINK("https://pbs.twimg.com/profile_images/1422821290264567809/4zodZ0h7_normal.jpg")</f>
        <v>https://pbs.twimg.com/profile_images/1422821290264567809/4zodZ0h7_normal.jpg</v>
      </c>
      <c r="G272" s="67"/>
      <c r="H272" s="71"/>
      <c r="I272" s="72"/>
      <c r="J272" s="72"/>
      <c r="K272" s="71" t="s">
        <v>7442</v>
      </c>
      <c r="L272" s="75"/>
      <c r="M272" s="76"/>
      <c r="N272" s="76"/>
      <c r="O272" s="77"/>
      <c r="P272" s="78"/>
      <c r="Q272" s="78"/>
      <c r="R272" s="90"/>
      <c r="S272" s="90"/>
      <c r="T272" s="90"/>
      <c r="U272" s="90"/>
      <c r="V272" s="52"/>
      <c r="W272" s="52"/>
      <c r="X272" s="52"/>
      <c r="Y272" s="52"/>
      <c r="Z272" s="51"/>
      <c r="AA272" s="73"/>
      <c r="AB272" s="73"/>
      <c r="AC272" s="74"/>
      <c r="AD272" s="80" t="s">
        <v>4448</v>
      </c>
      <c r="AE272" s="86" t="s">
        <v>5363</v>
      </c>
      <c r="AF272" s="80">
        <v>2099</v>
      </c>
      <c r="AG272" s="80">
        <v>2094</v>
      </c>
      <c r="AH272" s="80">
        <v>7821</v>
      </c>
      <c r="AI272" s="80">
        <v>19780</v>
      </c>
      <c r="AJ272" s="80"/>
      <c r="AK272" s="80" t="s">
        <v>6155</v>
      </c>
      <c r="AL272" s="80" t="s">
        <v>6795</v>
      </c>
      <c r="AM272" s="80"/>
      <c r="AN272" s="80"/>
      <c r="AO272" s="82">
        <v>44121.625381944446</v>
      </c>
      <c r="AP272" s="84" t="str">
        <f>HYPERLINK("https://pbs.twimg.com/profile_banners/1317480533614497794/1611968800")</f>
        <v>https://pbs.twimg.com/profile_banners/1317480533614497794/1611968800</v>
      </c>
      <c r="AQ272" s="80" t="b">
        <v>1</v>
      </c>
      <c r="AR272" s="80" t="b">
        <v>0</v>
      </c>
      <c r="AS272" s="80" t="b">
        <v>1</v>
      </c>
      <c r="AT272" s="80"/>
      <c r="AU272" s="80">
        <v>0</v>
      </c>
      <c r="AV272" s="80"/>
      <c r="AW272" s="80" t="b">
        <v>0</v>
      </c>
      <c r="AX272" s="80" t="s">
        <v>7173</v>
      </c>
      <c r="AY272" s="84" t="str">
        <f>HYPERLINK("https://twitter.com/yukemesh")</f>
        <v>https://twitter.com/yukemesh</v>
      </c>
      <c r="AZ272" s="80" t="s">
        <v>66</v>
      </c>
      <c r="BA272" s="2"/>
      <c r="BB272" s="3"/>
      <c r="BC272" s="3"/>
      <c r="BD272" s="3"/>
      <c r="BE272" s="3"/>
    </row>
    <row r="273" spans="1:57" x14ac:dyDescent="0.35">
      <c r="A273" s="66" t="s">
        <v>413</v>
      </c>
      <c r="B273" s="67"/>
      <c r="C273" s="67"/>
      <c r="D273" s="68"/>
      <c r="E273" s="70"/>
      <c r="F273" s="106" t="str">
        <f>HYPERLINK("https://pbs.twimg.com/profile_images/1440560077333663747/751yrjfp_normal.jpg")</f>
        <v>https://pbs.twimg.com/profile_images/1440560077333663747/751yrjfp_normal.jpg</v>
      </c>
      <c r="G273" s="67"/>
      <c r="H273" s="71"/>
      <c r="I273" s="72"/>
      <c r="J273" s="72"/>
      <c r="K273" s="71" t="s">
        <v>7443</v>
      </c>
      <c r="L273" s="75"/>
      <c r="M273" s="76"/>
      <c r="N273" s="76"/>
      <c r="O273" s="77"/>
      <c r="P273" s="78"/>
      <c r="Q273" s="78"/>
      <c r="R273" s="90"/>
      <c r="S273" s="90"/>
      <c r="T273" s="90"/>
      <c r="U273" s="90"/>
      <c r="V273" s="52"/>
      <c r="W273" s="52"/>
      <c r="X273" s="52"/>
      <c r="Y273" s="52"/>
      <c r="Z273" s="51"/>
      <c r="AA273" s="73"/>
      <c r="AB273" s="73"/>
      <c r="AC273" s="74"/>
      <c r="AD273" s="80" t="s">
        <v>4449</v>
      </c>
      <c r="AE273" s="86" t="s">
        <v>5364</v>
      </c>
      <c r="AF273" s="80">
        <v>414</v>
      </c>
      <c r="AG273" s="80">
        <v>24</v>
      </c>
      <c r="AH273" s="80">
        <v>45</v>
      </c>
      <c r="AI273" s="80">
        <v>15</v>
      </c>
      <c r="AJ273" s="80"/>
      <c r="AK273" s="80"/>
      <c r="AL273" s="80"/>
      <c r="AM273" s="80"/>
      <c r="AN273" s="80"/>
      <c r="AO273" s="82">
        <v>44439.28802083333</v>
      </c>
      <c r="AP273" s="80"/>
      <c r="AQ273" s="80" t="b">
        <v>1</v>
      </c>
      <c r="AR273" s="80" t="b">
        <v>0</v>
      </c>
      <c r="AS273" s="80" t="b">
        <v>0</v>
      </c>
      <c r="AT273" s="80"/>
      <c r="AU273" s="80">
        <v>0</v>
      </c>
      <c r="AV273" s="80"/>
      <c r="AW273" s="80" t="b">
        <v>0</v>
      </c>
      <c r="AX273" s="80" t="s">
        <v>7173</v>
      </c>
      <c r="AY273" s="84" t="str">
        <f>HYPERLINK("https://twitter.com/resharopro")</f>
        <v>https://twitter.com/resharopro</v>
      </c>
      <c r="AZ273" s="80" t="s">
        <v>66</v>
      </c>
      <c r="BA273" s="2"/>
      <c r="BB273" s="3"/>
      <c r="BC273" s="3"/>
      <c r="BD273" s="3"/>
      <c r="BE273" s="3"/>
    </row>
    <row r="274" spans="1:57" x14ac:dyDescent="0.35">
      <c r="A274" s="66" t="s">
        <v>414</v>
      </c>
      <c r="B274" s="67"/>
      <c r="C274" s="67"/>
      <c r="D274" s="68"/>
      <c r="E274" s="70"/>
      <c r="F274" s="106" t="str">
        <f>HYPERLINK("https://pbs.twimg.com/profile_images/1117106438248132608/cx0a7WwD_normal.jpg")</f>
        <v>https://pbs.twimg.com/profile_images/1117106438248132608/cx0a7WwD_normal.jpg</v>
      </c>
      <c r="G274" s="67"/>
      <c r="H274" s="71"/>
      <c r="I274" s="72"/>
      <c r="J274" s="72"/>
      <c r="K274" s="71" t="s">
        <v>7444</v>
      </c>
      <c r="L274" s="75"/>
      <c r="M274" s="76"/>
      <c r="N274" s="76"/>
      <c r="O274" s="77"/>
      <c r="P274" s="78"/>
      <c r="Q274" s="78"/>
      <c r="R274" s="90"/>
      <c r="S274" s="90"/>
      <c r="T274" s="90"/>
      <c r="U274" s="90"/>
      <c r="V274" s="52"/>
      <c r="W274" s="52"/>
      <c r="X274" s="52"/>
      <c r="Y274" s="52"/>
      <c r="Z274" s="51"/>
      <c r="AA274" s="73"/>
      <c r="AB274" s="73"/>
      <c r="AC274" s="74"/>
      <c r="AD274" s="80" t="s">
        <v>4450</v>
      </c>
      <c r="AE274" s="86" t="s">
        <v>5365</v>
      </c>
      <c r="AF274" s="80">
        <v>3050</v>
      </c>
      <c r="AG274" s="80">
        <v>2842</v>
      </c>
      <c r="AH274" s="80">
        <v>10728</v>
      </c>
      <c r="AI274" s="80">
        <v>12236</v>
      </c>
      <c r="AJ274" s="80"/>
      <c r="AK274" s="80" t="s">
        <v>6156</v>
      </c>
      <c r="AL274" s="80" t="s">
        <v>6888</v>
      </c>
      <c r="AM274" s="80"/>
      <c r="AN274" s="80"/>
      <c r="AO274" s="82">
        <v>43359.138368055559</v>
      </c>
      <c r="AP274" s="84" t="str">
        <f>HYPERLINK("https://pbs.twimg.com/profile_banners/1041164584537677824/1583503129")</f>
        <v>https://pbs.twimg.com/profile_banners/1041164584537677824/1583503129</v>
      </c>
      <c r="AQ274" s="80" t="b">
        <v>1</v>
      </c>
      <c r="AR274" s="80" t="b">
        <v>0</v>
      </c>
      <c r="AS274" s="80" t="b">
        <v>0</v>
      </c>
      <c r="AT274" s="80"/>
      <c r="AU274" s="80">
        <v>0</v>
      </c>
      <c r="AV274" s="80"/>
      <c r="AW274" s="80" t="b">
        <v>0</v>
      </c>
      <c r="AX274" s="80" t="s">
        <v>7173</v>
      </c>
      <c r="AY274" s="84" t="str">
        <f>HYPERLINK("https://twitter.com/indopropeople")</f>
        <v>https://twitter.com/indopropeople</v>
      </c>
      <c r="AZ274" s="80" t="s">
        <v>66</v>
      </c>
      <c r="BA274" s="2"/>
      <c r="BB274" s="3"/>
      <c r="BC274" s="3"/>
      <c r="BD274" s="3"/>
      <c r="BE274" s="3"/>
    </row>
    <row r="275" spans="1:57" x14ac:dyDescent="0.35">
      <c r="A275" s="66" t="s">
        <v>415</v>
      </c>
      <c r="B275" s="67"/>
      <c r="C275" s="67"/>
      <c r="D275" s="68"/>
      <c r="E275" s="70"/>
      <c r="F275" s="106" t="str">
        <f>HYPERLINK("https://pbs.twimg.com/profile_images/1387814667116892161/y8dmpEbp_normal.jpg")</f>
        <v>https://pbs.twimg.com/profile_images/1387814667116892161/y8dmpEbp_normal.jpg</v>
      </c>
      <c r="G275" s="67"/>
      <c r="H275" s="71"/>
      <c r="I275" s="72"/>
      <c r="J275" s="72"/>
      <c r="K275" s="71" t="s">
        <v>7445</v>
      </c>
      <c r="L275" s="75"/>
      <c r="M275" s="76"/>
      <c r="N275" s="76"/>
      <c r="O275" s="77"/>
      <c r="P275" s="78"/>
      <c r="Q275" s="78"/>
      <c r="R275" s="90"/>
      <c r="S275" s="90"/>
      <c r="T275" s="90"/>
      <c r="U275" s="90"/>
      <c r="V275" s="52"/>
      <c r="W275" s="52"/>
      <c r="X275" s="52"/>
      <c r="Y275" s="52"/>
      <c r="Z275" s="51"/>
      <c r="AA275" s="73"/>
      <c r="AB275" s="73"/>
      <c r="AC275" s="74"/>
      <c r="AD275" s="80" t="s">
        <v>4451</v>
      </c>
      <c r="AE275" s="86" t="s">
        <v>5366</v>
      </c>
      <c r="AF275" s="80">
        <v>3860</v>
      </c>
      <c r="AG275" s="80">
        <v>2768</v>
      </c>
      <c r="AH275" s="80">
        <v>24477</v>
      </c>
      <c r="AI275" s="80">
        <v>42822</v>
      </c>
      <c r="AJ275" s="80"/>
      <c r="AK275" s="80" t="s">
        <v>6157</v>
      </c>
      <c r="AL275" s="80" t="s">
        <v>6777</v>
      </c>
      <c r="AM275" s="80"/>
      <c r="AN275" s="80"/>
      <c r="AO275" s="82">
        <v>42247.768634259257</v>
      </c>
      <c r="AP275" s="84" t="str">
        <f>HYPERLINK("https://pbs.twimg.com/profile_banners/3406386620/1622632874")</f>
        <v>https://pbs.twimg.com/profile_banners/3406386620/1622632874</v>
      </c>
      <c r="AQ275" s="80" t="b">
        <v>1</v>
      </c>
      <c r="AR275" s="80" t="b">
        <v>0</v>
      </c>
      <c r="AS275" s="80" t="b">
        <v>0</v>
      </c>
      <c r="AT275" s="80"/>
      <c r="AU275" s="80">
        <v>0</v>
      </c>
      <c r="AV275" s="84" t="str">
        <f>HYPERLINK("https://abs.twimg.com/images/themes/theme1/bg.png")</f>
        <v>https://abs.twimg.com/images/themes/theme1/bg.png</v>
      </c>
      <c r="AW275" s="80" t="b">
        <v>0</v>
      </c>
      <c r="AX275" s="80" t="s">
        <v>7173</v>
      </c>
      <c r="AY275" s="84" t="str">
        <f>HYPERLINK("https://twitter.com/amanalu02")</f>
        <v>https://twitter.com/amanalu02</v>
      </c>
      <c r="AZ275" s="80" t="s">
        <v>66</v>
      </c>
      <c r="BA275" s="2"/>
      <c r="BB275" s="3"/>
      <c r="BC275" s="3"/>
      <c r="BD275" s="3"/>
      <c r="BE275" s="3"/>
    </row>
    <row r="276" spans="1:57" x14ac:dyDescent="0.35">
      <c r="A276" s="66" t="s">
        <v>416</v>
      </c>
      <c r="B276" s="67"/>
      <c r="C276" s="67"/>
      <c r="D276" s="68"/>
      <c r="E276" s="70"/>
      <c r="F276" s="106" t="str">
        <f>HYPERLINK("https://pbs.twimg.com/profile_images/1143863892809932801/te5WALfA_normal.jpg")</f>
        <v>https://pbs.twimg.com/profile_images/1143863892809932801/te5WALfA_normal.jpg</v>
      </c>
      <c r="G276" s="67"/>
      <c r="H276" s="71"/>
      <c r="I276" s="72"/>
      <c r="J276" s="72"/>
      <c r="K276" s="71" t="s">
        <v>7446</v>
      </c>
      <c r="L276" s="75"/>
      <c r="M276" s="76"/>
      <c r="N276" s="76"/>
      <c r="O276" s="77"/>
      <c r="P276" s="78"/>
      <c r="Q276" s="78"/>
      <c r="R276" s="90"/>
      <c r="S276" s="90"/>
      <c r="T276" s="90"/>
      <c r="U276" s="90"/>
      <c r="V276" s="52"/>
      <c r="W276" s="52"/>
      <c r="X276" s="52"/>
      <c r="Y276" s="52"/>
      <c r="Z276" s="51"/>
      <c r="AA276" s="73"/>
      <c r="AB276" s="73"/>
      <c r="AC276" s="74"/>
      <c r="AD276" s="80" t="s">
        <v>4452</v>
      </c>
      <c r="AE276" s="86" t="s">
        <v>5367</v>
      </c>
      <c r="AF276" s="80">
        <v>1668</v>
      </c>
      <c r="AG276" s="80">
        <v>417</v>
      </c>
      <c r="AH276" s="80">
        <v>9758</v>
      </c>
      <c r="AI276" s="80">
        <v>2046</v>
      </c>
      <c r="AJ276" s="80"/>
      <c r="AK276" s="80" t="s">
        <v>6158</v>
      </c>
      <c r="AL276" s="80" t="s">
        <v>6777</v>
      </c>
      <c r="AM276" s="80"/>
      <c r="AN276" s="80"/>
      <c r="AO276" s="82">
        <v>40929.979409722226</v>
      </c>
      <c r="AP276" s="80"/>
      <c r="AQ276" s="80" t="b">
        <v>0</v>
      </c>
      <c r="AR276" s="80" t="b">
        <v>0</v>
      </c>
      <c r="AS276" s="80" t="b">
        <v>1</v>
      </c>
      <c r="AT276" s="80"/>
      <c r="AU276" s="80">
        <v>0</v>
      </c>
      <c r="AV276" s="84" t="str">
        <f>HYPERLINK("https://abs.twimg.com/images/themes/theme1/bg.png")</f>
        <v>https://abs.twimg.com/images/themes/theme1/bg.png</v>
      </c>
      <c r="AW276" s="80" t="b">
        <v>0</v>
      </c>
      <c r="AX276" s="80" t="s">
        <v>7173</v>
      </c>
      <c r="AY276" s="84" t="str">
        <f>HYPERLINK("https://twitter.com/3ko_8udi_5")</f>
        <v>https://twitter.com/3ko_8udi_5</v>
      </c>
      <c r="AZ276" s="80" t="s">
        <v>66</v>
      </c>
      <c r="BA276" s="2"/>
      <c r="BB276" s="3"/>
      <c r="BC276" s="3"/>
      <c r="BD276" s="3"/>
      <c r="BE276" s="3"/>
    </row>
    <row r="277" spans="1:57" x14ac:dyDescent="0.35">
      <c r="A277" s="66" t="s">
        <v>417</v>
      </c>
      <c r="B277" s="67"/>
      <c r="C277" s="67"/>
      <c r="D277" s="68"/>
      <c r="E277" s="70"/>
      <c r="F277" s="106" t="str">
        <f>HYPERLINK("https://pbs.twimg.com/profile_images/1433663138516275201/P51jmprh_normal.jpg")</f>
        <v>https://pbs.twimg.com/profile_images/1433663138516275201/P51jmprh_normal.jpg</v>
      </c>
      <c r="G277" s="67"/>
      <c r="H277" s="71"/>
      <c r="I277" s="72"/>
      <c r="J277" s="72"/>
      <c r="K277" s="71" t="s">
        <v>7447</v>
      </c>
      <c r="L277" s="75"/>
      <c r="M277" s="76"/>
      <c r="N277" s="76"/>
      <c r="O277" s="77"/>
      <c r="P277" s="78"/>
      <c r="Q277" s="78"/>
      <c r="R277" s="90"/>
      <c r="S277" s="90"/>
      <c r="T277" s="90"/>
      <c r="U277" s="90"/>
      <c r="V277" s="52"/>
      <c r="W277" s="52"/>
      <c r="X277" s="52"/>
      <c r="Y277" s="52"/>
      <c r="Z277" s="51"/>
      <c r="AA277" s="73"/>
      <c r="AB277" s="73"/>
      <c r="AC277" s="74"/>
      <c r="AD277" s="80" t="s">
        <v>4453</v>
      </c>
      <c r="AE277" s="86" t="s">
        <v>5368</v>
      </c>
      <c r="AF277" s="80">
        <v>3297</v>
      </c>
      <c r="AG277" s="80">
        <v>3602</v>
      </c>
      <c r="AH277" s="80">
        <v>37236</v>
      </c>
      <c r="AI277" s="80">
        <v>28210</v>
      </c>
      <c r="AJ277" s="80"/>
      <c r="AK277" s="80" t="s">
        <v>6159</v>
      </c>
      <c r="AL277" s="80" t="s">
        <v>6889</v>
      </c>
      <c r="AM277" s="84" t="str">
        <f>HYPERLINK("https://t.co/CAmNXCTBFK")</f>
        <v>https://t.co/CAmNXCTBFK</v>
      </c>
      <c r="AN277" s="80"/>
      <c r="AO277" s="82">
        <v>44245.201388888891</v>
      </c>
      <c r="AP277" s="84" t="str">
        <f>HYPERLINK("https://pbs.twimg.com/profile_banners/1362263032768864260/1628638003")</f>
        <v>https://pbs.twimg.com/profile_banners/1362263032768864260/1628638003</v>
      </c>
      <c r="AQ277" s="80" t="b">
        <v>1</v>
      </c>
      <c r="AR277" s="80" t="b">
        <v>0</v>
      </c>
      <c r="AS277" s="80" t="b">
        <v>1</v>
      </c>
      <c r="AT277" s="80"/>
      <c r="AU277" s="80">
        <v>2</v>
      </c>
      <c r="AV277" s="80"/>
      <c r="AW277" s="80" t="b">
        <v>0</v>
      </c>
      <c r="AX277" s="80" t="s">
        <v>7173</v>
      </c>
      <c r="AY277" s="84" t="str">
        <f>HYPERLINK("https://twitter.com/kutang_bolong")</f>
        <v>https://twitter.com/kutang_bolong</v>
      </c>
      <c r="AZ277" s="80" t="s">
        <v>66</v>
      </c>
      <c r="BA277" s="2"/>
      <c r="BB277" s="3"/>
      <c r="BC277" s="3"/>
      <c r="BD277" s="3"/>
      <c r="BE277" s="3"/>
    </row>
    <row r="278" spans="1:57" x14ac:dyDescent="0.35">
      <c r="A278" s="66" t="s">
        <v>418</v>
      </c>
      <c r="B278" s="67"/>
      <c r="C278" s="67"/>
      <c r="D278" s="68"/>
      <c r="E278" s="70"/>
      <c r="F278" s="106" t="str">
        <f>HYPERLINK("https://pbs.twimg.com/profile_images/1439128221841190912/trVhf1HI_normal.jpg")</f>
        <v>https://pbs.twimg.com/profile_images/1439128221841190912/trVhf1HI_normal.jpg</v>
      </c>
      <c r="G278" s="67"/>
      <c r="H278" s="71"/>
      <c r="I278" s="72"/>
      <c r="J278" s="72"/>
      <c r="K278" s="71" t="s">
        <v>7448</v>
      </c>
      <c r="L278" s="75"/>
      <c r="M278" s="76"/>
      <c r="N278" s="76"/>
      <c r="O278" s="77"/>
      <c r="P278" s="78"/>
      <c r="Q278" s="78"/>
      <c r="R278" s="90"/>
      <c r="S278" s="90"/>
      <c r="T278" s="90"/>
      <c r="U278" s="90"/>
      <c r="V278" s="52"/>
      <c r="W278" s="52"/>
      <c r="X278" s="52"/>
      <c r="Y278" s="52"/>
      <c r="Z278" s="51"/>
      <c r="AA278" s="73"/>
      <c r="AB278" s="73"/>
      <c r="AC278" s="74"/>
      <c r="AD278" s="80" t="s">
        <v>4454</v>
      </c>
      <c r="AE278" s="86" t="s">
        <v>5369</v>
      </c>
      <c r="AF278" s="80">
        <v>963</v>
      </c>
      <c r="AG278" s="80">
        <v>1317</v>
      </c>
      <c r="AH278" s="80">
        <v>16640</v>
      </c>
      <c r="AI278" s="80">
        <v>9134</v>
      </c>
      <c r="AJ278" s="80"/>
      <c r="AK278" s="80"/>
      <c r="AL278" s="80"/>
      <c r="AM278" s="80"/>
      <c r="AN278" s="80"/>
      <c r="AO278" s="82">
        <v>43557.444351851853</v>
      </c>
      <c r="AP278" s="84" t="str">
        <f>HYPERLINK("https://pbs.twimg.com/profile_banners/1113028266657382401/1620002021")</f>
        <v>https://pbs.twimg.com/profile_banners/1113028266657382401/1620002021</v>
      </c>
      <c r="AQ278" s="80" t="b">
        <v>1</v>
      </c>
      <c r="AR278" s="80" t="b">
        <v>0</v>
      </c>
      <c r="AS278" s="80" t="b">
        <v>1</v>
      </c>
      <c r="AT278" s="80"/>
      <c r="AU278" s="80">
        <v>2</v>
      </c>
      <c r="AV278" s="80"/>
      <c r="AW278" s="80" t="b">
        <v>0</v>
      </c>
      <c r="AX278" s="80" t="s">
        <v>7173</v>
      </c>
      <c r="AY278" s="84" t="str">
        <f>HYPERLINK("https://twitter.com/yourauroraaaaa")</f>
        <v>https://twitter.com/yourauroraaaaa</v>
      </c>
      <c r="AZ278" s="80" t="s">
        <v>66</v>
      </c>
      <c r="BA278" s="2"/>
      <c r="BB278" s="3"/>
      <c r="BC278" s="3"/>
      <c r="BD278" s="3"/>
      <c r="BE278" s="3"/>
    </row>
    <row r="279" spans="1:57" x14ac:dyDescent="0.35">
      <c r="A279" s="66" t="s">
        <v>1062</v>
      </c>
      <c r="B279" s="67"/>
      <c r="C279" s="67"/>
      <c r="D279" s="68"/>
      <c r="E279" s="70"/>
      <c r="F279" s="106" t="str">
        <f>HYPERLINK("https://pbs.twimg.com/profile_images/1427796899940114435/gCDpBt25_normal.jpg")</f>
        <v>https://pbs.twimg.com/profile_images/1427796899940114435/gCDpBt25_normal.jpg</v>
      </c>
      <c r="G279" s="67"/>
      <c r="H279" s="71"/>
      <c r="I279" s="72"/>
      <c r="J279" s="72"/>
      <c r="K279" s="71" t="s">
        <v>7449</v>
      </c>
      <c r="L279" s="75"/>
      <c r="M279" s="76"/>
      <c r="N279" s="76"/>
      <c r="O279" s="77"/>
      <c r="P279" s="78"/>
      <c r="Q279" s="78"/>
      <c r="R279" s="90"/>
      <c r="S279" s="90"/>
      <c r="T279" s="90"/>
      <c r="U279" s="90"/>
      <c r="V279" s="52"/>
      <c r="W279" s="52"/>
      <c r="X279" s="52"/>
      <c r="Y279" s="52"/>
      <c r="Z279" s="51"/>
      <c r="AA279" s="73"/>
      <c r="AB279" s="73"/>
      <c r="AC279" s="74"/>
      <c r="AD279" s="80" t="s">
        <v>4455</v>
      </c>
      <c r="AE279" s="86" t="s">
        <v>3936</v>
      </c>
      <c r="AF279" s="80">
        <v>1324</v>
      </c>
      <c r="AG279" s="80">
        <v>35965</v>
      </c>
      <c r="AH279" s="80">
        <v>209061</v>
      </c>
      <c r="AI279" s="80">
        <v>1365</v>
      </c>
      <c r="AJ279" s="80"/>
      <c r="AK279" s="80" t="s">
        <v>6160</v>
      </c>
      <c r="AL279" s="80" t="s">
        <v>6890</v>
      </c>
      <c r="AM279" s="84" t="str">
        <f>HYPERLINK("https://t.co/5qEhswH8lv")</f>
        <v>https://t.co/5qEhswH8lv</v>
      </c>
      <c r="AN279" s="80"/>
      <c r="AO279" s="82">
        <v>40872.182511574072</v>
      </c>
      <c r="AP279" s="84" t="str">
        <f>HYPERLINK("https://pbs.twimg.com/profile_banners/420821783/1597464730")</f>
        <v>https://pbs.twimg.com/profile_banners/420821783/1597464730</v>
      </c>
      <c r="AQ279" s="80" t="b">
        <v>0</v>
      </c>
      <c r="AR279" s="80" t="b">
        <v>0</v>
      </c>
      <c r="AS279" s="80" t="b">
        <v>1</v>
      </c>
      <c r="AT279" s="80"/>
      <c r="AU279" s="80">
        <v>188</v>
      </c>
      <c r="AV279" s="84" t="str">
        <f>HYPERLINK("https://abs.twimg.com/images/themes/theme11/bg.gif")</f>
        <v>https://abs.twimg.com/images/themes/theme11/bg.gif</v>
      </c>
      <c r="AW279" s="80" t="b">
        <v>0</v>
      </c>
      <c r="AX279" s="80" t="s">
        <v>7173</v>
      </c>
      <c r="AY279" s="84" t="str">
        <f>HYPERLINK("https://twitter.com/jogmfs")</f>
        <v>https://twitter.com/jogmfs</v>
      </c>
      <c r="AZ279" s="80" t="s">
        <v>65</v>
      </c>
      <c r="BA279" s="2"/>
      <c r="BB279" s="3"/>
      <c r="BC279" s="3"/>
      <c r="BD279" s="3"/>
      <c r="BE279" s="3"/>
    </row>
    <row r="280" spans="1:57" x14ac:dyDescent="0.35">
      <c r="A280" s="66" t="s">
        <v>419</v>
      </c>
      <c r="B280" s="67"/>
      <c r="C280" s="67"/>
      <c r="D280" s="68"/>
      <c r="E280" s="70"/>
      <c r="F280" s="106" t="str">
        <f>HYPERLINK("https://pbs.twimg.com/profile_images/1434697884247552000/uOHCyCAA_normal.jpg")</f>
        <v>https://pbs.twimg.com/profile_images/1434697884247552000/uOHCyCAA_normal.jpg</v>
      </c>
      <c r="G280" s="67"/>
      <c r="H280" s="71"/>
      <c r="I280" s="72"/>
      <c r="J280" s="72"/>
      <c r="K280" s="71" t="s">
        <v>7450</v>
      </c>
      <c r="L280" s="75"/>
      <c r="M280" s="76"/>
      <c r="N280" s="76"/>
      <c r="O280" s="77"/>
      <c r="P280" s="78"/>
      <c r="Q280" s="78"/>
      <c r="R280" s="90"/>
      <c r="S280" s="90"/>
      <c r="T280" s="90"/>
      <c r="U280" s="90"/>
      <c r="V280" s="52"/>
      <c r="W280" s="52"/>
      <c r="X280" s="52"/>
      <c r="Y280" s="52"/>
      <c r="Z280" s="51"/>
      <c r="AA280" s="73"/>
      <c r="AB280" s="73"/>
      <c r="AC280" s="74"/>
      <c r="AD280" s="80" t="s">
        <v>4456</v>
      </c>
      <c r="AE280" s="86" t="s">
        <v>5370</v>
      </c>
      <c r="AF280" s="80">
        <v>3404</v>
      </c>
      <c r="AG280" s="80">
        <v>1891</v>
      </c>
      <c r="AH280" s="80">
        <v>9821</v>
      </c>
      <c r="AI280" s="80">
        <v>11816</v>
      </c>
      <c r="AJ280" s="80"/>
      <c r="AK280" s="80" t="s">
        <v>6161</v>
      </c>
      <c r="AL280" s="80"/>
      <c r="AM280" s="80"/>
      <c r="AN280" s="80"/>
      <c r="AO280" s="82">
        <v>43957.495520833334</v>
      </c>
      <c r="AP280" s="80"/>
      <c r="AQ280" s="80" t="b">
        <v>1</v>
      </c>
      <c r="AR280" s="80" t="b">
        <v>0</v>
      </c>
      <c r="AS280" s="80" t="b">
        <v>1</v>
      </c>
      <c r="AT280" s="80"/>
      <c r="AU280" s="80">
        <v>0</v>
      </c>
      <c r="AV280" s="80"/>
      <c r="AW280" s="80" t="b">
        <v>0</v>
      </c>
      <c r="AX280" s="80" t="s">
        <v>7173</v>
      </c>
      <c r="AY280" s="84" t="str">
        <f>HYPERLINK("https://twitter.com/feryy12343")</f>
        <v>https://twitter.com/feryy12343</v>
      </c>
      <c r="AZ280" s="80" t="s">
        <v>66</v>
      </c>
      <c r="BA280" s="2"/>
      <c r="BB280" s="3"/>
      <c r="BC280" s="3"/>
      <c r="BD280" s="3"/>
      <c r="BE280" s="3"/>
    </row>
    <row r="281" spans="1:57" x14ac:dyDescent="0.35">
      <c r="A281" s="66" t="s">
        <v>420</v>
      </c>
      <c r="B281" s="67"/>
      <c r="C281" s="67"/>
      <c r="D281" s="68"/>
      <c r="E281" s="70"/>
      <c r="F281" s="106" t="str">
        <f>HYPERLINK("https://pbs.twimg.com/profile_images/1329962425181822976/r2xjw9i4_normal.jpg")</f>
        <v>https://pbs.twimg.com/profile_images/1329962425181822976/r2xjw9i4_normal.jpg</v>
      </c>
      <c r="G281" s="67"/>
      <c r="H281" s="71"/>
      <c r="I281" s="72"/>
      <c r="J281" s="72"/>
      <c r="K281" s="71" t="s">
        <v>7451</v>
      </c>
      <c r="L281" s="75"/>
      <c r="M281" s="76"/>
      <c r="N281" s="76"/>
      <c r="O281" s="77"/>
      <c r="P281" s="78"/>
      <c r="Q281" s="78"/>
      <c r="R281" s="90"/>
      <c r="S281" s="90"/>
      <c r="T281" s="90"/>
      <c r="U281" s="90"/>
      <c r="V281" s="52"/>
      <c r="W281" s="52"/>
      <c r="X281" s="52"/>
      <c r="Y281" s="52"/>
      <c r="Z281" s="51"/>
      <c r="AA281" s="73"/>
      <c r="AB281" s="73"/>
      <c r="AC281" s="74"/>
      <c r="AD281" s="80" t="s">
        <v>4457</v>
      </c>
      <c r="AE281" s="86" t="s">
        <v>5371</v>
      </c>
      <c r="AF281" s="80">
        <v>1110</v>
      </c>
      <c r="AG281" s="80">
        <v>870</v>
      </c>
      <c r="AH281" s="80">
        <v>14394</v>
      </c>
      <c r="AI281" s="80">
        <v>59974</v>
      </c>
      <c r="AJ281" s="80"/>
      <c r="AK281" s="80" t="s">
        <v>6162</v>
      </c>
      <c r="AL281" s="80"/>
      <c r="AM281" s="80"/>
      <c r="AN281" s="80"/>
      <c r="AO281" s="82">
        <v>43957.308356481481</v>
      </c>
      <c r="AP281" s="80"/>
      <c r="AQ281" s="80" t="b">
        <v>1</v>
      </c>
      <c r="AR281" s="80" t="b">
        <v>0</v>
      </c>
      <c r="AS281" s="80" t="b">
        <v>0</v>
      </c>
      <c r="AT281" s="80"/>
      <c r="AU281" s="80">
        <v>1</v>
      </c>
      <c r="AV281" s="80"/>
      <c r="AW281" s="80" t="b">
        <v>0</v>
      </c>
      <c r="AX281" s="80" t="s">
        <v>7173</v>
      </c>
      <c r="AY281" s="84" t="str">
        <f>HYPERLINK("https://twitter.com/penggiatumkm")</f>
        <v>https://twitter.com/penggiatumkm</v>
      </c>
      <c r="AZ281" s="80" t="s">
        <v>66</v>
      </c>
      <c r="BA281" s="2"/>
      <c r="BB281" s="3"/>
      <c r="BC281" s="3"/>
      <c r="BD281" s="3"/>
      <c r="BE281" s="3"/>
    </row>
    <row r="282" spans="1:57" x14ac:dyDescent="0.35">
      <c r="A282" s="66" t="s">
        <v>421</v>
      </c>
      <c r="B282" s="67"/>
      <c r="C282" s="67"/>
      <c r="D282" s="68"/>
      <c r="E282" s="70"/>
      <c r="F282" s="106" t="str">
        <f>HYPERLINK("https://pbs.twimg.com/profile_images/1415133759611965441/IvlESre4_normal.jpg")</f>
        <v>https://pbs.twimg.com/profile_images/1415133759611965441/IvlESre4_normal.jpg</v>
      </c>
      <c r="G282" s="67"/>
      <c r="H282" s="71"/>
      <c r="I282" s="72"/>
      <c r="J282" s="72"/>
      <c r="K282" s="71" t="s">
        <v>7452</v>
      </c>
      <c r="L282" s="75"/>
      <c r="M282" s="76"/>
      <c r="N282" s="76"/>
      <c r="O282" s="77"/>
      <c r="P282" s="78"/>
      <c r="Q282" s="78"/>
      <c r="R282" s="90"/>
      <c r="S282" s="90"/>
      <c r="T282" s="90"/>
      <c r="U282" s="90"/>
      <c r="V282" s="52"/>
      <c r="W282" s="52"/>
      <c r="X282" s="52"/>
      <c r="Y282" s="52"/>
      <c r="Z282" s="51"/>
      <c r="AA282" s="73"/>
      <c r="AB282" s="73"/>
      <c r="AC282" s="74"/>
      <c r="AD282" s="80" t="s">
        <v>4458</v>
      </c>
      <c r="AE282" s="86" t="s">
        <v>5372</v>
      </c>
      <c r="AF282" s="80">
        <v>1733</v>
      </c>
      <c r="AG282" s="80">
        <v>1681</v>
      </c>
      <c r="AH282" s="80">
        <v>10302</v>
      </c>
      <c r="AI282" s="80">
        <v>13759</v>
      </c>
      <c r="AJ282" s="80"/>
      <c r="AK282" s="80"/>
      <c r="AL282" s="80"/>
      <c r="AM282" s="80"/>
      <c r="AN282" s="80"/>
      <c r="AO282" s="82">
        <v>44114.366296296299</v>
      </c>
      <c r="AP282" s="84" t="str">
        <f>HYPERLINK("https://pbs.twimg.com/profile_banners/1314849969837285377/1626229096")</f>
        <v>https://pbs.twimg.com/profile_banners/1314849969837285377/1626229096</v>
      </c>
      <c r="AQ282" s="80" t="b">
        <v>1</v>
      </c>
      <c r="AR282" s="80" t="b">
        <v>0</v>
      </c>
      <c r="AS282" s="80" t="b">
        <v>0</v>
      </c>
      <c r="AT282" s="80"/>
      <c r="AU282" s="80">
        <v>0</v>
      </c>
      <c r="AV282" s="80"/>
      <c r="AW282" s="80" t="b">
        <v>0</v>
      </c>
      <c r="AX282" s="80" t="s">
        <v>7173</v>
      </c>
      <c r="AY282" s="84" t="str">
        <f>HYPERLINK("https://twitter.com/lelucky99")</f>
        <v>https://twitter.com/lelucky99</v>
      </c>
      <c r="AZ282" s="80" t="s">
        <v>66</v>
      </c>
      <c r="BA282" s="2"/>
      <c r="BB282" s="3"/>
      <c r="BC282" s="3"/>
      <c r="BD282" s="3"/>
      <c r="BE282" s="3"/>
    </row>
    <row r="283" spans="1:57" x14ac:dyDescent="0.35">
      <c r="A283" s="66" t="s">
        <v>422</v>
      </c>
      <c r="B283" s="67"/>
      <c r="C283" s="67"/>
      <c r="D283" s="68"/>
      <c r="E283" s="70"/>
      <c r="F283" s="106" t="str">
        <f>HYPERLINK("https://pbs.twimg.com/profile_images/1118314556382568448/aJiYjXc__normal.jpg")</f>
        <v>https://pbs.twimg.com/profile_images/1118314556382568448/aJiYjXc__normal.jpg</v>
      </c>
      <c r="G283" s="67"/>
      <c r="H283" s="71"/>
      <c r="I283" s="72"/>
      <c r="J283" s="72"/>
      <c r="K283" s="71" t="s">
        <v>7453</v>
      </c>
      <c r="L283" s="75"/>
      <c r="M283" s="76"/>
      <c r="N283" s="76"/>
      <c r="O283" s="77"/>
      <c r="P283" s="78"/>
      <c r="Q283" s="78"/>
      <c r="R283" s="90"/>
      <c r="S283" s="90"/>
      <c r="T283" s="90"/>
      <c r="U283" s="90"/>
      <c r="V283" s="52"/>
      <c r="W283" s="52"/>
      <c r="X283" s="52"/>
      <c r="Y283" s="52"/>
      <c r="Z283" s="51"/>
      <c r="AA283" s="73"/>
      <c r="AB283" s="73"/>
      <c r="AC283" s="74"/>
      <c r="AD283" s="80" t="s">
        <v>4459</v>
      </c>
      <c r="AE283" s="86" t="s">
        <v>5373</v>
      </c>
      <c r="AF283" s="80">
        <v>2867</v>
      </c>
      <c r="AG283" s="80">
        <v>2522</v>
      </c>
      <c r="AH283" s="80">
        <v>127831</v>
      </c>
      <c r="AI283" s="80">
        <v>235017</v>
      </c>
      <c r="AJ283" s="80"/>
      <c r="AK283" s="80" t="s">
        <v>6163</v>
      </c>
      <c r="AL283" s="80"/>
      <c r="AM283" s="80"/>
      <c r="AN283" s="80"/>
      <c r="AO283" s="82">
        <v>43572.026967592596</v>
      </c>
      <c r="AP283" s="84" t="str">
        <f>HYPERLINK("https://pbs.twimg.com/profile_banners/1118312830313222144/1555475676")</f>
        <v>https://pbs.twimg.com/profile_banners/1118312830313222144/1555475676</v>
      </c>
      <c r="AQ283" s="80" t="b">
        <v>1</v>
      </c>
      <c r="AR283" s="80" t="b">
        <v>0</v>
      </c>
      <c r="AS283" s="80" t="b">
        <v>0</v>
      </c>
      <c r="AT283" s="80"/>
      <c r="AU283" s="80">
        <v>0</v>
      </c>
      <c r="AV283" s="80"/>
      <c r="AW283" s="80" t="b">
        <v>0</v>
      </c>
      <c r="AX283" s="80" t="s">
        <v>7173</v>
      </c>
      <c r="AY283" s="84" t="str">
        <f>HYPERLINK("https://twitter.com/brunowicaksono")</f>
        <v>https://twitter.com/brunowicaksono</v>
      </c>
      <c r="AZ283" s="80" t="s">
        <v>66</v>
      </c>
      <c r="BA283" s="2"/>
      <c r="BB283" s="3"/>
      <c r="BC283" s="3"/>
      <c r="BD283" s="3"/>
      <c r="BE283" s="3"/>
    </row>
    <row r="284" spans="1:57" x14ac:dyDescent="0.35">
      <c r="A284" s="66" t="s">
        <v>423</v>
      </c>
      <c r="B284" s="67"/>
      <c r="C284" s="67"/>
      <c r="D284" s="68"/>
      <c r="E284" s="70"/>
      <c r="F284" s="106" t="str">
        <f>HYPERLINK("https://pbs.twimg.com/profile_images/1440512920752848899/tXR52d1j_normal.jpg")</f>
        <v>https://pbs.twimg.com/profile_images/1440512920752848899/tXR52d1j_normal.jpg</v>
      </c>
      <c r="G284" s="67"/>
      <c r="H284" s="71"/>
      <c r="I284" s="72"/>
      <c r="J284" s="72"/>
      <c r="K284" s="71" t="s">
        <v>7454</v>
      </c>
      <c r="L284" s="75"/>
      <c r="M284" s="76"/>
      <c r="N284" s="76"/>
      <c r="O284" s="77"/>
      <c r="P284" s="78"/>
      <c r="Q284" s="78"/>
      <c r="R284" s="90"/>
      <c r="S284" s="90"/>
      <c r="T284" s="90"/>
      <c r="U284" s="90"/>
      <c r="V284" s="52"/>
      <c r="W284" s="52"/>
      <c r="X284" s="52"/>
      <c r="Y284" s="52"/>
      <c r="Z284" s="51"/>
      <c r="AA284" s="73"/>
      <c r="AB284" s="73"/>
      <c r="AC284" s="74"/>
      <c r="AD284" s="80" t="s">
        <v>4460</v>
      </c>
      <c r="AE284" s="86" t="s">
        <v>5374</v>
      </c>
      <c r="AF284" s="80">
        <v>726</v>
      </c>
      <c r="AG284" s="80">
        <v>727</v>
      </c>
      <c r="AH284" s="80">
        <v>11124</v>
      </c>
      <c r="AI284" s="80">
        <v>13660</v>
      </c>
      <c r="AJ284" s="80"/>
      <c r="AK284" s="80" t="s">
        <v>6164</v>
      </c>
      <c r="AL284" s="80"/>
      <c r="AM284" s="80"/>
      <c r="AN284" s="80"/>
      <c r="AO284" s="82">
        <v>44110.188078703701</v>
      </c>
      <c r="AP284" s="84" t="str">
        <f>HYPERLINK("https://pbs.twimg.com/profile_banners/1313335806002561024/1606378112")</f>
        <v>https://pbs.twimg.com/profile_banners/1313335806002561024/1606378112</v>
      </c>
      <c r="AQ284" s="80" t="b">
        <v>1</v>
      </c>
      <c r="AR284" s="80" t="b">
        <v>0</v>
      </c>
      <c r="AS284" s="80" t="b">
        <v>0</v>
      </c>
      <c r="AT284" s="80"/>
      <c r="AU284" s="80">
        <v>0</v>
      </c>
      <c r="AV284" s="80"/>
      <c r="AW284" s="80" t="b">
        <v>0</v>
      </c>
      <c r="AX284" s="80" t="s">
        <v>7173</v>
      </c>
      <c r="AY284" s="84" t="str">
        <f>HYPERLINK("https://twitter.com/tree_ofjuly")</f>
        <v>https://twitter.com/tree_ofjuly</v>
      </c>
      <c r="AZ284" s="80" t="s">
        <v>66</v>
      </c>
      <c r="BA284" s="2"/>
      <c r="BB284" s="3"/>
      <c r="BC284" s="3"/>
      <c r="BD284" s="3"/>
      <c r="BE284" s="3"/>
    </row>
    <row r="285" spans="1:57" x14ac:dyDescent="0.35">
      <c r="A285" s="66" t="s">
        <v>424</v>
      </c>
      <c r="B285" s="67"/>
      <c r="C285" s="67"/>
      <c r="D285" s="68"/>
      <c r="E285" s="70"/>
      <c r="F285" s="106" t="str">
        <f>HYPERLINK("https://pbs.twimg.com/profile_images/1436056445921873936/Dm4SvF43_normal.jpg")</f>
        <v>https://pbs.twimg.com/profile_images/1436056445921873936/Dm4SvF43_normal.jpg</v>
      </c>
      <c r="G285" s="67"/>
      <c r="H285" s="71"/>
      <c r="I285" s="72"/>
      <c r="J285" s="72"/>
      <c r="K285" s="71" t="s">
        <v>7455</v>
      </c>
      <c r="L285" s="75"/>
      <c r="M285" s="76"/>
      <c r="N285" s="76"/>
      <c r="O285" s="77"/>
      <c r="P285" s="78"/>
      <c r="Q285" s="78"/>
      <c r="R285" s="90"/>
      <c r="S285" s="90"/>
      <c r="T285" s="90"/>
      <c r="U285" s="90"/>
      <c r="V285" s="52"/>
      <c r="W285" s="52"/>
      <c r="X285" s="52"/>
      <c r="Y285" s="52"/>
      <c r="Z285" s="51"/>
      <c r="AA285" s="73"/>
      <c r="AB285" s="73"/>
      <c r="AC285" s="74"/>
      <c r="AD285" s="80" t="s">
        <v>4461</v>
      </c>
      <c r="AE285" s="86" t="s">
        <v>5375</v>
      </c>
      <c r="AF285" s="80">
        <v>9202</v>
      </c>
      <c r="AG285" s="80">
        <v>10262</v>
      </c>
      <c r="AH285" s="80">
        <v>4987</v>
      </c>
      <c r="AI285" s="80">
        <v>11721</v>
      </c>
      <c r="AJ285" s="80"/>
      <c r="AK285" s="80" t="s">
        <v>6165</v>
      </c>
      <c r="AL285" s="80" t="s">
        <v>6891</v>
      </c>
      <c r="AM285" s="80"/>
      <c r="AN285" s="80"/>
      <c r="AO285" s="82">
        <v>43708.07476851852</v>
      </c>
      <c r="AP285" s="84" t="str">
        <f>HYPERLINK("https://pbs.twimg.com/profile_banners/1167614748801695744/1615208494")</f>
        <v>https://pbs.twimg.com/profile_banners/1167614748801695744/1615208494</v>
      </c>
      <c r="AQ285" s="80" t="b">
        <v>1</v>
      </c>
      <c r="AR285" s="80" t="b">
        <v>0</v>
      </c>
      <c r="AS285" s="80" t="b">
        <v>0</v>
      </c>
      <c r="AT285" s="80"/>
      <c r="AU285" s="80">
        <v>0</v>
      </c>
      <c r="AV285" s="80"/>
      <c r="AW285" s="80" t="b">
        <v>0</v>
      </c>
      <c r="AX285" s="80" t="s">
        <v>7173</v>
      </c>
      <c r="AY285" s="84" t="str">
        <f>HYPERLINK("https://twitter.com/0no_niha")</f>
        <v>https://twitter.com/0no_niha</v>
      </c>
      <c r="AZ285" s="80" t="s">
        <v>66</v>
      </c>
      <c r="BA285" s="2"/>
      <c r="BB285" s="3"/>
      <c r="BC285" s="3"/>
      <c r="BD285" s="3"/>
      <c r="BE285" s="3"/>
    </row>
    <row r="286" spans="1:57" x14ac:dyDescent="0.35">
      <c r="A286" s="66" t="s">
        <v>425</v>
      </c>
      <c r="B286" s="67"/>
      <c r="C286" s="67"/>
      <c r="D286" s="68"/>
      <c r="E286" s="70"/>
      <c r="F286" s="106" t="str">
        <f>HYPERLINK("https://pbs.twimg.com/profile_images/1324330489746870273/X3MSWOHF_normal.jpg")</f>
        <v>https://pbs.twimg.com/profile_images/1324330489746870273/X3MSWOHF_normal.jpg</v>
      </c>
      <c r="G286" s="67"/>
      <c r="H286" s="71"/>
      <c r="I286" s="72"/>
      <c r="J286" s="72"/>
      <c r="K286" s="71" t="s">
        <v>7456</v>
      </c>
      <c r="L286" s="75"/>
      <c r="M286" s="76"/>
      <c r="N286" s="76"/>
      <c r="O286" s="77"/>
      <c r="P286" s="78"/>
      <c r="Q286" s="78"/>
      <c r="R286" s="90"/>
      <c r="S286" s="90"/>
      <c r="T286" s="90"/>
      <c r="U286" s="90"/>
      <c r="V286" s="52"/>
      <c r="W286" s="52"/>
      <c r="X286" s="52"/>
      <c r="Y286" s="52"/>
      <c r="Z286" s="51"/>
      <c r="AA286" s="73"/>
      <c r="AB286" s="73"/>
      <c r="AC286" s="74"/>
      <c r="AD286" s="80" t="s">
        <v>4462</v>
      </c>
      <c r="AE286" s="86" t="s">
        <v>5376</v>
      </c>
      <c r="AF286" s="80">
        <v>819</v>
      </c>
      <c r="AG286" s="80">
        <v>684</v>
      </c>
      <c r="AH286" s="80">
        <v>720</v>
      </c>
      <c r="AI286" s="80">
        <v>2323</v>
      </c>
      <c r="AJ286" s="80"/>
      <c r="AK286" s="80" t="s">
        <v>6166</v>
      </c>
      <c r="AL286" s="80" t="s">
        <v>6825</v>
      </c>
      <c r="AM286" s="80"/>
      <c r="AN286" s="80"/>
      <c r="AO286" s="82">
        <v>42932.036064814813</v>
      </c>
      <c r="AP286" s="80"/>
      <c r="AQ286" s="80" t="b">
        <v>1</v>
      </c>
      <c r="AR286" s="80" t="b">
        <v>0</v>
      </c>
      <c r="AS286" s="80" t="b">
        <v>0</v>
      </c>
      <c r="AT286" s="80"/>
      <c r="AU286" s="80">
        <v>0</v>
      </c>
      <c r="AV286" s="80"/>
      <c r="AW286" s="80" t="b">
        <v>0</v>
      </c>
      <c r="AX286" s="80" t="s">
        <v>7173</v>
      </c>
      <c r="AY286" s="84" t="str">
        <f>HYPERLINK("https://twitter.com/moedjiyanto2")</f>
        <v>https://twitter.com/moedjiyanto2</v>
      </c>
      <c r="AZ286" s="80" t="s">
        <v>66</v>
      </c>
      <c r="BA286" s="2"/>
      <c r="BB286" s="3"/>
      <c r="BC286" s="3"/>
      <c r="BD286" s="3"/>
      <c r="BE286" s="3"/>
    </row>
    <row r="287" spans="1:57" x14ac:dyDescent="0.35">
      <c r="A287" s="66" t="s">
        <v>426</v>
      </c>
      <c r="B287" s="67"/>
      <c r="C287" s="67"/>
      <c r="D287" s="68"/>
      <c r="E287" s="70"/>
      <c r="F287" s="106" t="str">
        <f>HYPERLINK("https://pbs.twimg.com/profile_images/1248742477965578240/elsNnFcH_normal.jpg")</f>
        <v>https://pbs.twimg.com/profile_images/1248742477965578240/elsNnFcH_normal.jpg</v>
      </c>
      <c r="G287" s="67"/>
      <c r="H287" s="71"/>
      <c r="I287" s="72"/>
      <c r="J287" s="72"/>
      <c r="K287" s="71" t="s">
        <v>7457</v>
      </c>
      <c r="L287" s="75"/>
      <c r="M287" s="76"/>
      <c r="N287" s="76"/>
      <c r="O287" s="77"/>
      <c r="P287" s="78"/>
      <c r="Q287" s="78"/>
      <c r="R287" s="90"/>
      <c r="S287" s="90"/>
      <c r="T287" s="90"/>
      <c r="U287" s="90"/>
      <c r="V287" s="52"/>
      <c r="W287" s="52"/>
      <c r="X287" s="52"/>
      <c r="Y287" s="52"/>
      <c r="Z287" s="51"/>
      <c r="AA287" s="73"/>
      <c r="AB287" s="73"/>
      <c r="AC287" s="74"/>
      <c r="AD287" s="80" t="s">
        <v>4463</v>
      </c>
      <c r="AE287" s="86" t="s">
        <v>5377</v>
      </c>
      <c r="AF287" s="80">
        <v>1612</v>
      </c>
      <c r="AG287" s="80">
        <v>1435</v>
      </c>
      <c r="AH287" s="80">
        <v>20097</v>
      </c>
      <c r="AI287" s="80">
        <v>31443</v>
      </c>
      <c r="AJ287" s="80"/>
      <c r="AK287" s="80" t="s">
        <v>6167</v>
      </c>
      <c r="AL287" s="80" t="s">
        <v>6795</v>
      </c>
      <c r="AM287" s="84" t="str">
        <f>HYPERLINK("https://t.co/EHK0ywww0b")</f>
        <v>https://t.co/EHK0ywww0b</v>
      </c>
      <c r="AN287" s="80"/>
      <c r="AO287" s="82">
        <v>40565.990798611114</v>
      </c>
      <c r="AP287" s="84" t="str">
        <f>HYPERLINK("https://pbs.twimg.com/profile_banners/241714476/1586558196")</f>
        <v>https://pbs.twimg.com/profile_banners/241714476/1586558196</v>
      </c>
      <c r="AQ287" s="80" t="b">
        <v>1</v>
      </c>
      <c r="AR287" s="80" t="b">
        <v>0</v>
      </c>
      <c r="AS287" s="80" t="b">
        <v>1</v>
      </c>
      <c r="AT287" s="80"/>
      <c r="AU287" s="80">
        <v>5</v>
      </c>
      <c r="AV287" s="84" t="str">
        <f>HYPERLINK("https://abs.twimg.com/images/themes/theme1/bg.png")</f>
        <v>https://abs.twimg.com/images/themes/theme1/bg.png</v>
      </c>
      <c r="AW287" s="80" t="b">
        <v>0</v>
      </c>
      <c r="AX287" s="80" t="s">
        <v>7173</v>
      </c>
      <c r="AY287" s="84" t="str">
        <f>HYPERLINK("https://twitter.com/j3ffry_")</f>
        <v>https://twitter.com/j3ffry_</v>
      </c>
      <c r="AZ287" s="80" t="s">
        <v>66</v>
      </c>
      <c r="BA287" s="2"/>
      <c r="BB287" s="3"/>
      <c r="BC287" s="3"/>
      <c r="BD287" s="3"/>
      <c r="BE287" s="3"/>
    </row>
    <row r="288" spans="1:57" x14ac:dyDescent="0.35">
      <c r="A288" s="66" t="s">
        <v>427</v>
      </c>
      <c r="B288" s="67"/>
      <c r="C288" s="67"/>
      <c r="D288" s="68"/>
      <c r="E288" s="70"/>
      <c r="F288" s="106" t="str">
        <f>HYPERLINK("https://pbs.twimg.com/profile_images/1429442805844172808/mSgVqjt9_normal.jpg")</f>
        <v>https://pbs.twimg.com/profile_images/1429442805844172808/mSgVqjt9_normal.jpg</v>
      </c>
      <c r="G288" s="67"/>
      <c r="H288" s="71"/>
      <c r="I288" s="72"/>
      <c r="J288" s="72"/>
      <c r="K288" s="71" t="s">
        <v>7458</v>
      </c>
      <c r="L288" s="75"/>
      <c r="M288" s="76"/>
      <c r="N288" s="76"/>
      <c r="O288" s="77"/>
      <c r="P288" s="78"/>
      <c r="Q288" s="78"/>
      <c r="R288" s="90"/>
      <c r="S288" s="90"/>
      <c r="T288" s="90"/>
      <c r="U288" s="90"/>
      <c r="V288" s="52"/>
      <c r="W288" s="52"/>
      <c r="X288" s="52"/>
      <c r="Y288" s="52"/>
      <c r="Z288" s="51"/>
      <c r="AA288" s="73"/>
      <c r="AB288" s="73"/>
      <c r="AC288" s="74"/>
      <c r="AD288" s="80" t="s">
        <v>4464</v>
      </c>
      <c r="AE288" s="86" t="s">
        <v>5378</v>
      </c>
      <c r="AF288" s="80">
        <v>1355</v>
      </c>
      <c r="AG288" s="80">
        <v>931</v>
      </c>
      <c r="AH288" s="80">
        <v>6344</v>
      </c>
      <c r="AI288" s="80">
        <v>27152</v>
      </c>
      <c r="AJ288" s="80"/>
      <c r="AK288" s="80" t="s">
        <v>6168</v>
      </c>
      <c r="AL288" s="80" t="s">
        <v>6892</v>
      </c>
      <c r="AM288" s="80"/>
      <c r="AN288" s="80"/>
      <c r="AO288" s="82">
        <v>43322.899537037039</v>
      </c>
      <c r="AP288" s="84" t="str">
        <f>HYPERLINK("https://pbs.twimg.com/profile_banners/1028032070365282304/1630226818")</f>
        <v>https://pbs.twimg.com/profile_banners/1028032070365282304/1630226818</v>
      </c>
      <c r="AQ288" s="80" t="b">
        <v>1</v>
      </c>
      <c r="AR288" s="80" t="b">
        <v>0</v>
      </c>
      <c r="AS288" s="80" t="b">
        <v>1</v>
      </c>
      <c r="AT288" s="80"/>
      <c r="AU288" s="80">
        <v>0</v>
      </c>
      <c r="AV288" s="80"/>
      <c r="AW288" s="80" t="b">
        <v>0</v>
      </c>
      <c r="AX288" s="80" t="s">
        <v>7173</v>
      </c>
      <c r="AY288" s="84" t="str">
        <f>HYPERLINK("https://twitter.com/capenk4")</f>
        <v>https://twitter.com/capenk4</v>
      </c>
      <c r="AZ288" s="80" t="s">
        <v>66</v>
      </c>
      <c r="BA288" s="2"/>
      <c r="BB288" s="3"/>
      <c r="BC288" s="3"/>
      <c r="BD288" s="3"/>
      <c r="BE288" s="3"/>
    </row>
    <row r="289" spans="1:57" x14ac:dyDescent="0.35">
      <c r="A289" s="66" t="s">
        <v>428</v>
      </c>
      <c r="B289" s="67"/>
      <c r="C289" s="67"/>
      <c r="D289" s="68"/>
      <c r="E289" s="70"/>
      <c r="F289" s="106" t="str">
        <f>HYPERLINK("https://pbs.twimg.com/profile_images/1420793810154524677/mBclXqhj_normal.jpg")</f>
        <v>https://pbs.twimg.com/profile_images/1420793810154524677/mBclXqhj_normal.jpg</v>
      </c>
      <c r="G289" s="67"/>
      <c r="H289" s="71"/>
      <c r="I289" s="72"/>
      <c r="J289" s="72"/>
      <c r="K289" s="71" t="s">
        <v>7459</v>
      </c>
      <c r="L289" s="75"/>
      <c r="M289" s="76"/>
      <c r="N289" s="76"/>
      <c r="O289" s="77"/>
      <c r="P289" s="78"/>
      <c r="Q289" s="78"/>
      <c r="R289" s="90"/>
      <c r="S289" s="90"/>
      <c r="T289" s="90"/>
      <c r="U289" s="90"/>
      <c r="V289" s="52"/>
      <c r="W289" s="52"/>
      <c r="X289" s="52"/>
      <c r="Y289" s="52"/>
      <c r="Z289" s="51"/>
      <c r="AA289" s="73"/>
      <c r="AB289" s="73"/>
      <c r="AC289" s="74"/>
      <c r="AD289" s="80" t="s">
        <v>4465</v>
      </c>
      <c r="AE289" s="86" t="s">
        <v>5379</v>
      </c>
      <c r="AF289" s="80">
        <v>469</v>
      </c>
      <c r="AG289" s="80">
        <v>4712</v>
      </c>
      <c r="AH289" s="80">
        <v>9086</v>
      </c>
      <c r="AI289" s="80">
        <v>4963</v>
      </c>
      <c r="AJ289" s="80"/>
      <c r="AK289" s="80" t="s">
        <v>6169</v>
      </c>
      <c r="AL289" s="80" t="s">
        <v>6867</v>
      </c>
      <c r="AM289" s="84" t="str">
        <f>HYPERLINK("https://t.co/BgFgaKfUtw")</f>
        <v>https://t.co/BgFgaKfUtw</v>
      </c>
      <c r="AN289" s="80"/>
      <c r="AO289" s="82">
        <v>42300.110694444447</v>
      </c>
      <c r="AP289" s="84" t="str">
        <f>HYPERLINK("https://pbs.twimg.com/profile_banners/4021180481/1590985260")</f>
        <v>https://pbs.twimg.com/profile_banners/4021180481/1590985260</v>
      </c>
      <c r="AQ289" s="80" t="b">
        <v>1</v>
      </c>
      <c r="AR289" s="80" t="b">
        <v>0</v>
      </c>
      <c r="AS289" s="80" t="b">
        <v>0</v>
      </c>
      <c r="AT289" s="80"/>
      <c r="AU289" s="80">
        <v>0</v>
      </c>
      <c r="AV289" s="84" t="str">
        <f>HYPERLINK("https://abs.twimg.com/images/themes/theme1/bg.png")</f>
        <v>https://abs.twimg.com/images/themes/theme1/bg.png</v>
      </c>
      <c r="AW289" s="80" t="b">
        <v>0</v>
      </c>
      <c r="AX289" s="80" t="s">
        <v>7173</v>
      </c>
      <c r="AY289" s="84" t="str">
        <f>HYPERLINK("https://twitter.com/alatasindonesia")</f>
        <v>https://twitter.com/alatasindonesia</v>
      </c>
      <c r="AZ289" s="80" t="s">
        <v>66</v>
      </c>
      <c r="BA289" s="2"/>
      <c r="BB289" s="3"/>
      <c r="BC289" s="3"/>
      <c r="BD289" s="3"/>
      <c r="BE289" s="3"/>
    </row>
    <row r="290" spans="1:57" x14ac:dyDescent="0.35">
      <c r="A290" s="66" t="s">
        <v>429</v>
      </c>
      <c r="B290" s="67"/>
      <c r="C290" s="67"/>
      <c r="D290" s="68"/>
      <c r="E290" s="70"/>
      <c r="F290" s="106" t="str">
        <f>HYPERLINK("https://pbs.twimg.com/profile_images/1236982155894345730/cVtw9LCN_normal.jpg")</f>
        <v>https://pbs.twimg.com/profile_images/1236982155894345730/cVtw9LCN_normal.jpg</v>
      </c>
      <c r="G290" s="67"/>
      <c r="H290" s="71"/>
      <c r="I290" s="72"/>
      <c r="J290" s="72"/>
      <c r="K290" s="71" t="s">
        <v>7460</v>
      </c>
      <c r="L290" s="75"/>
      <c r="M290" s="76"/>
      <c r="N290" s="76"/>
      <c r="O290" s="77"/>
      <c r="P290" s="78"/>
      <c r="Q290" s="78"/>
      <c r="R290" s="90"/>
      <c r="S290" s="90"/>
      <c r="T290" s="90"/>
      <c r="U290" s="90"/>
      <c r="V290" s="52"/>
      <c r="W290" s="52"/>
      <c r="X290" s="52"/>
      <c r="Y290" s="52"/>
      <c r="Z290" s="51"/>
      <c r="AA290" s="73"/>
      <c r="AB290" s="73"/>
      <c r="AC290" s="74"/>
      <c r="AD290" s="80" t="s">
        <v>4466</v>
      </c>
      <c r="AE290" s="86" t="s">
        <v>5380</v>
      </c>
      <c r="AF290" s="80">
        <v>326</v>
      </c>
      <c r="AG290" s="80">
        <v>66</v>
      </c>
      <c r="AH290" s="80">
        <v>2573</v>
      </c>
      <c r="AI290" s="80">
        <v>561</v>
      </c>
      <c r="AJ290" s="80"/>
      <c r="AK290" s="80" t="s">
        <v>6170</v>
      </c>
      <c r="AL290" s="80" t="s">
        <v>4145</v>
      </c>
      <c r="AM290" s="80"/>
      <c r="AN290" s="80"/>
      <c r="AO290" s="82">
        <v>42518.145844907405</v>
      </c>
      <c r="AP290" s="84" t="str">
        <f>HYPERLINK("https://pbs.twimg.com/profile_banners/736399098350206979/1538371622")</f>
        <v>https://pbs.twimg.com/profile_banners/736399098350206979/1538371622</v>
      </c>
      <c r="AQ290" s="80" t="b">
        <v>1</v>
      </c>
      <c r="AR290" s="80" t="b">
        <v>0</v>
      </c>
      <c r="AS290" s="80" t="b">
        <v>0</v>
      </c>
      <c r="AT290" s="80"/>
      <c r="AU290" s="80">
        <v>0</v>
      </c>
      <c r="AV290" s="80"/>
      <c r="AW290" s="80" t="b">
        <v>0</v>
      </c>
      <c r="AX290" s="80" t="s">
        <v>7173</v>
      </c>
      <c r="AY290" s="84" t="str">
        <f>HYPERLINK("https://twitter.com/cc_hanjaya")</f>
        <v>https://twitter.com/cc_hanjaya</v>
      </c>
      <c r="AZ290" s="80" t="s">
        <v>66</v>
      </c>
      <c r="BA290" s="2"/>
      <c r="BB290" s="3"/>
      <c r="BC290" s="3"/>
      <c r="BD290" s="3"/>
      <c r="BE290" s="3"/>
    </row>
    <row r="291" spans="1:57" x14ac:dyDescent="0.35">
      <c r="A291" s="66" t="s">
        <v>430</v>
      </c>
      <c r="B291" s="67"/>
      <c r="C291" s="67"/>
      <c r="D291" s="68"/>
      <c r="E291" s="70"/>
      <c r="F291" s="106" t="str">
        <f>HYPERLINK("https://pbs.twimg.com/profile_images/1429700166584463365/gqimwfZA_normal.jpg")</f>
        <v>https://pbs.twimg.com/profile_images/1429700166584463365/gqimwfZA_normal.jpg</v>
      </c>
      <c r="G291" s="67"/>
      <c r="H291" s="71"/>
      <c r="I291" s="72"/>
      <c r="J291" s="72"/>
      <c r="K291" s="71" t="s">
        <v>7461</v>
      </c>
      <c r="L291" s="75"/>
      <c r="M291" s="76"/>
      <c r="N291" s="76"/>
      <c r="O291" s="77"/>
      <c r="P291" s="78"/>
      <c r="Q291" s="78"/>
      <c r="R291" s="90"/>
      <c r="S291" s="90"/>
      <c r="T291" s="90"/>
      <c r="U291" s="90"/>
      <c r="V291" s="52"/>
      <c r="W291" s="52"/>
      <c r="X291" s="52"/>
      <c r="Y291" s="52"/>
      <c r="Z291" s="51"/>
      <c r="AA291" s="73"/>
      <c r="AB291" s="73"/>
      <c r="AC291" s="74"/>
      <c r="AD291" s="80" t="s">
        <v>4467</v>
      </c>
      <c r="AE291" s="86" t="s">
        <v>5381</v>
      </c>
      <c r="AF291" s="80">
        <v>306</v>
      </c>
      <c r="AG291" s="80">
        <v>395</v>
      </c>
      <c r="AH291" s="80">
        <v>21061</v>
      </c>
      <c r="AI291" s="80">
        <v>9024</v>
      </c>
      <c r="AJ291" s="80"/>
      <c r="AK291" s="80" t="s">
        <v>6171</v>
      </c>
      <c r="AL291" s="80" t="s">
        <v>6893</v>
      </c>
      <c r="AM291" s="84" t="str">
        <f>HYPERLINK("https://t.co/fPjgjcX106")</f>
        <v>https://t.co/fPjgjcX106</v>
      </c>
      <c r="AN291" s="80"/>
      <c r="AO291" s="82">
        <v>40171.206793981481</v>
      </c>
      <c r="AP291" s="84" t="str">
        <f>HYPERLINK("https://pbs.twimg.com/profile_banners/99032398/1578610816")</f>
        <v>https://pbs.twimg.com/profile_banners/99032398/1578610816</v>
      </c>
      <c r="AQ291" s="80" t="b">
        <v>0</v>
      </c>
      <c r="AR291" s="80" t="b">
        <v>0</v>
      </c>
      <c r="AS291" s="80" t="b">
        <v>1</v>
      </c>
      <c r="AT291" s="80"/>
      <c r="AU291" s="80">
        <v>2</v>
      </c>
      <c r="AV291" s="84" t="str">
        <f>HYPERLINK("https://abs.twimg.com/images/themes/theme11/bg.gif")</f>
        <v>https://abs.twimg.com/images/themes/theme11/bg.gif</v>
      </c>
      <c r="AW291" s="80" t="b">
        <v>0</v>
      </c>
      <c r="AX291" s="80" t="s">
        <v>7173</v>
      </c>
      <c r="AY291" s="84" t="str">
        <f>HYPERLINK("https://twitter.com/evalaksmi")</f>
        <v>https://twitter.com/evalaksmi</v>
      </c>
      <c r="AZ291" s="80" t="s">
        <v>66</v>
      </c>
      <c r="BA291" s="2"/>
      <c r="BB291" s="3"/>
      <c r="BC291" s="3"/>
      <c r="BD291" s="3"/>
      <c r="BE291" s="3"/>
    </row>
    <row r="292" spans="1:57" x14ac:dyDescent="0.35">
      <c r="A292" s="66" t="s">
        <v>431</v>
      </c>
      <c r="B292" s="67"/>
      <c r="C292" s="67"/>
      <c r="D292" s="68"/>
      <c r="E292" s="70"/>
      <c r="F292" s="106" t="str">
        <f>HYPERLINK("https://pbs.twimg.com/profile_images/1360534122163183618/ggff_z7o_normal.jpg")</f>
        <v>https://pbs.twimg.com/profile_images/1360534122163183618/ggff_z7o_normal.jpg</v>
      </c>
      <c r="G292" s="67"/>
      <c r="H292" s="71"/>
      <c r="I292" s="72"/>
      <c r="J292" s="72"/>
      <c r="K292" s="71" t="s">
        <v>7462</v>
      </c>
      <c r="L292" s="75"/>
      <c r="M292" s="76"/>
      <c r="N292" s="76"/>
      <c r="O292" s="77"/>
      <c r="P292" s="78"/>
      <c r="Q292" s="78"/>
      <c r="R292" s="90"/>
      <c r="S292" s="90"/>
      <c r="T292" s="90"/>
      <c r="U292" s="90"/>
      <c r="V292" s="52"/>
      <c r="W292" s="52"/>
      <c r="X292" s="52"/>
      <c r="Y292" s="52"/>
      <c r="Z292" s="51"/>
      <c r="AA292" s="73"/>
      <c r="AB292" s="73"/>
      <c r="AC292" s="74"/>
      <c r="AD292" s="80" t="s">
        <v>4468</v>
      </c>
      <c r="AE292" s="86" t="s">
        <v>5382</v>
      </c>
      <c r="AF292" s="80">
        <v>955</v>
      </c>
      <c r="AG292" s="80">
        <v>530</v>
      </c>
      <c r="AH292" s="80">
        <v>13165</v>
      </c>
      <c r="AI292" s="80">
        <v>5777</v>
      </c>
      <c r="AJ292" s="80"/>
      <c r="AK292" s="80"/>
      <c r="AL292" s="80" t="s">
        <v>6894</v>
      </c>
      <c r="AM292" s="80"/>
      <c r="AN292" s="80"/>
      <c r="AO292" s="82">
        <v>41863.604907407411</v>
      </c>
      <c r="AP292" s="84" t="str">
        <f>HYPERLINK("https://pbs.twimg.com/profile_banners/2740864564/1407973835")</f>
        <v>https://pbs.twimg.com/profile_banners/2740864564/1407973835</v>
      </c>
      <c r="AQ292" s="80" t="b">
        <v>1</v>
      </c>
      <c r="AR292" s="80" t="b">
        <v>0</v>
      </c>
      <c r="AS292" s="80" t="b">
        <v>1</v>
      </c>
      <c r="AT292" s="80"/>
      <c r="AU292" s="80">
        <v>1</v>
      </c>
      <c r="AV292" s="84" t="str">
        <f>HYPERLINK("https://abs.twimg.com/images/themes/theme1/bg.png")</f>
        <v>https://abs.twimg.com/images/themes/theme1/bg.png</v>
      </c>
      <c r="AW292" s="80" t="b">
        <v>0</v>
      </c>
      <c r="AX292" s="80" t="s">
        <v>7173</v>
      </c>
      <c r="AY292" s="84" t="str">
        <f>HYPERLINK("https://twitter.com/akbarrudy1")</f>
        <v>https://twitter.com/akbarrudy1</v>
      </c>
      <c r="AZ292" s="80" t="s">
        <v>66</v>
      </c>
      <c r="BA292" s="2"/>
      <c r="BB292" s="3"/>
      <c r="BC292" s="3"/>
      <c r="BD292" s="3"/>
      <c r="BE292" s="3"/>
    </row>
    <row r="293" spans="1:57" x14ac:dyDescent="0.35">
      <c r="A293" s="66" t="s">
        <v>432</v>
      </c>
      <c r="B293" s="67"/>
      <c r="C293" s="67"/>
      <c r="D293" s="68"/>
      <c r="E293" s="70"/>
      <c r="F293" s="106" t="str">
        <f>HYPERLINK("https://pbs.twimg.com/profile_images/1437370095253090315/Sr7NKxgg_normal.jpg")</f>
        <v>https://pbs.twimg.com/profile_images/1437370095253090315/Sr7NKxgg_normal.jpg</v>
      </c>
      <c r="G293" s="67"/>
      <c r="H293" s="71"/>
      <c r="I293" s="72"/>
      <c r="J293" s="72"/>
      <c r="K293" s="71" t="s">
        <v>7463</v>
      </c>
      <c r="L293" s="75"/>
      <c r="M293" s="76"/>
      <c r="N293" s="76"/>
      <c r="O293" s="77"/>
      <c r="P293" s="78"/>
      <c r="Q293" s="78"/>
      <c r="R293" s="90"/>
      <c r="S293" s="90"/>
      <c r="T293" s="90"/>
      <c r="U293" s="90"/>
      <c r="V293" s="52"/>
      <c r="W293" s="52"/>
      <c r="X293" s="52"/>
      <c r="Y293" s="52"/>
      <c r="Z293" s="51"/>
      <c r="AA293" s="73"/>
      <c r="AB293" s="73"/>
      <c r="AC293" s="74"/>
      <c r="AD293" s="80" t="s">
        <v>4469</v>
      </c>
      <c r="AE293" s="86" t="s">
        <v>5383</v>
      </c>
      <c r="AF293" s="80">
        <v>19496</v>
      </c>
      <c r="AG293" s="80">
        <v>19411</v>
      </c>
      <c r="AH293" s="80">
        <v>100122</v>
      </c>
      <c r="AI293" s="80">
        <v>507840</v>
      </c>
      <c r="AJ293" s="80"/>
      <c r="AK293" s="80" t="s">
        <v>6172</v>
      </c>
      <c r="AL293" s="80" t="s">
        <v>6895</v>
      </c>
      <c r="AM293" s="80"/>
      <c r="AN293" s="80"/>
      <c r="AO293" s="82">
        <v>42318.052800925929</v>
      </c>
      <c r="AP293" s="84" t="str">
        <f>HYPERLINK("https://pbs.twimg.com/profile_banners/4184979312/1630557935")</f>
        <v>https://pbs.twimg.com/profile_banners/4184979312/1630557935</v>
      </c>
      <c r="AQ293" s="80" t="b">
        <v>1</v>
      </c>
      <c r="AR293" s="80" t="b">
        <v>0</v>
      </c>
      <c r="AS293" s="80" t="b">
        <v>1</v>
      </c>
      <c r="AT293" s="80"/>
      <c r="AU293" s="80">
        <v>6</v>
      </c>
      <c r="AV293" s="84" t="str">
        <f>HYPERLINK("https://abs.twimg.com/images/themes/theme1/bg.png")</f>
        <v>https://abs.twimg.com/images/themes/theme1/bg.png</v>
      </c>
      <c r="AW293" s="80" t="b">
        <v>0</v>
      </c>
      <c r="AX293" s="80" t="s">
        <v>7173</v>
      </c>
      <c r="AY293" s="84" t="str">
        <f>HYPERLINK("https://twitter.com/antoniuscdn")</f>
        <v>https://twitter.com/antoniuscdn</v>
      </c>
      <c r="AZ293" s="80" t="s">
        <v>66</v>
      </c>
      <c r="BA293" s="2"/>
      <c r="BB293" s="3"/>
      <c r="BC293" s="3"/>
      <c r="BD293" s="3"/>
      <c r="BE293" s="3"/>
    </row>
    <row r="294" spans="1:57" x14ac:dyDescent="0.35">
      <c r="A294" s="66" t="s">
        <v>433</v>
      </c>
      <c r="B294" s="67"/>
      <c r="C294" s="67"/>
      <c r="D294" s="68"/>
      <c r="E294" s="70"/>
      <c r="F294" s="106" t="str">
        <f>HYPERLINK("https://pbs.twimg.com/profile_images/1251449471738634240/wD6-5IjY_normal.jpg")</f>
        <v>https://pbs.twimg.com/profile_images/1251449471738634240/wD6-5IjY_normal.jpg</v>
      </c>
      <c r="G294" s="67"/>
      <c r="H294" s="71"/>
      <c r="I294" s="72"/>
      <c r="J294" s="72"/>
      <c r="K294" s="71" t="s">
        <v>7464</v>
      </c>
      <c r="L294" s="75"/>
      <c r="M294" s="76"/>
      <c r="N294" s="76"/>
      <c r="O294" s="77"/>
      <c r="P294" s="78"/>
      <c r="Q294" s="78"/>
      <c r="R294" s="90"/>
      <c r="S294" s="90"/>
      <c r="T294" s="90"/>
      <c r="U294" s="90"/>
      <c r="V294" s="52"/>
      <c r="W294" s="52"/>
      <c r="X294" s="52"/>
      <c r="Y294" s="52"/>
      <c r="Z294" s="51"/>
      <c r="AA294" s="73"/>
      <c r="AB294" s="73"/>
      <c r="AC294" s="74"/>
      <c r="AD294" s="80" t="s">
        <v>4470</v>
      </c>
      <c r="AE294" s="86" t="s">
        <v>5384</v>
      </c>
      <c r="AF294" s="80">
        <v>151</v>
      </c>
      <c r="AG294" s="80">
        <v>144</v>
      </c>
      <c r="AH294" s="80">
        <v>2143</v>
      </c>
      <c r="AI294" s="80">
        <v>17730</v>
      </c>
      <c r="AJ294" s="80"/>
      <c r="AK294" s="80"/>
      <c r="AL294" s="80"/>
      <c r="AM294" s="80"/>
      <c r="AN294" s="80"/>
      <c r="AO294" s="82">
        <v>43939.412824074076</v>
      </c>
      <c r="AP294" s="80"/>
      <c r="AQ294" s="80" t="b">
        <v>1</v>
      </c>
      <c r="AR294" s="80" t="b">
        <v>0</v>
      </c>
      <c r="AS294" s="80" t="b">
        <v>0</v>
      </c>
      <c r="AT294" s="80"/>
      <c r="AU294" s="80">
        <v>0</v>
      </c>
      <c r="AV294" s="80"/>
      <c r="AW294" s="80" t="b">
        <v>0</v>
      </c>
      <c r="AX294" s="80" t="s">
        <v>7173</v>
      </c>
      <c r="AY294" s="84" t="str">
        <f>HYPERLINK("https://twitter.com/dyanaawt")</f>
        <v>https://twitter.com/dyanaawt</v>
      </c>
      <c r="AZ294" s="80" t="s">
        <v>66</v>
      </c>
      <c r="BA294" s="2"/>
      <c r="BB294" s="3"/>
      <c r="BC294" s="3"/>
      <c r="BD294" s="3"/>
      <c r="BE294" s="3"/>
    </row>
    <row r="295" spans="1:57" x14ac:dyDescent="0.35">
      <c r="A295" s="66" t="s">
        <v>434</v>
      </c>
      <c r="B295" s="67"/>
      <c r="C295" s="67"/>
      <c r="D295" s="68"/>
      <c r="E295" s="70"/>
      <c r="F295" s="106" t="str">
        <f>HYPERLINK("https://pbs.twimg.com/profile_images/1425556269759299588/klQx7oS2_normal.jpg")</f>
        <v>https://pbs.twimg.com/profile_images/1425556269759299588/klQx7oS2_normal.jpg</v>
      </c>
      <c r="G295" s="67"/>
      <c r="H295" s="71"/>
      <c r="I295" s="72"/>
      <c r="J295" s="72"/>
      <c r="K295" s="71" t="s">
        <v>7465</v>
      </c>
      <c r="L295" s="75"/>
      <c r="M295" s="76"/>
      <c r="N295" s="76"/>
      <c r="O295" s="77"/>
      <c r="P295" s="78"/>
      <c r="Q295" s="78"/>
      <c r="R295" s="90"/>
      <c r="S295" s="90"/>
      <c r="T295" s="90"/>
      <c r="U295" s="90"/>
      <c r="V295" s="52"/>
      <c r="W295" s="52"/>
      <c r="X295" s="52"/>
      <c r="Y295" s="52"/>
      <c r="Z295" s="51"/>
      <c r="AA295" s="73"/>
      <c r="AB295" s="73"/>
      <c r="AC295" s="74"/>
      <c r="AD295" s="80" t="s">
        <v>4471</v>
      </c>
      <c r="AE295" s="86" t="s">
        <v>5385</v>
      </c>
      <c r="AF295" s="80">
        <v>1122</v>
      </c>
      <c r="AG295" s="80">
        <v>823</v>
      </c>
      <c r="AH295" s="80">
        <v>7379</v>
      </c>
      <c r="AI295" s="80">
        <v>17738</v>
      </c>
      <c r="AJ295" s="80"/>
      <c r="AK295" s="80" t="s">
        <v>6173</v>
      </c>
      <c r="AL295" s="80"/>
      <c r="AM295" s="80"/>
      <c r="AN295" s="80"/>
      <c r="AO295" s="82">
        <v>43810.350763888891</v>
      </c>
      <c r="AP295" s="84" t="str">
        <f>HYPERLINK("https://pbs.twimg.com/profile_banners/1204678401002311680/1578924562")</f>
        <v>https://pbs.twimg.com/profile_banners/1204678401002311680/1578924562</v>
      </c>
      <c r="AQ295" s="80" t="b">
        <v>1</v>
      </c>
      <c r="AR295" s="80" t="b">
        <v>0</v>
      </c>
      <c r="AS295" s="80" t="b">
        <v>0</v>
      </c>
      <c r="AT295" s="80"/>
      <c r="AU295" s="80">
        <v>0</v>
      </c>
      <c r="AV295" s="80"/>
      <c r="AW295" s="80" t="b">
        <v>0</v>
      </c>
      <c r="AX295" s="80" t="s">
        <v>7173</v>
      </c>
      <c r="AY295" s="84" t="str">
        <f>HYPERLINK("https://twitter.com/fadjarpm")</f>
        <v>https://twitter.com/fadjarpm</v>
      </c>
      <c r="AZ295" s="80" t="s">
        <v>66</v>
      </c>
      <c r="BA295" s="2"/>
      <c r="BB295" s="3"/>
      <c r="BC295" s="3"/>
      <c r="BD295" s="3"/>
      <c r="BE295" s="3"/>
    </row>
    <row r="296" spans="1:57" x14ac:dyDescent="0.35">
      <c r="A296" s="66" t="s">
        <v>435</v>
      </c>
      <c r="B296" s="67"/>
      <c r="C296" s="67"/>
      <c r="D296" s="68"/>
      <c r="E296" s="70"/>
      <c r="F296" s="106" t="str">
        <f>HYPERLINK("https://pbs.twimg.com/profile_images/777507365574709248/zSAM6lNV_normal.jpg")</f>
        <v>https://pbs.twimg.com/profile_images/777507365574709248/zSAM6lNV_normal.jpg</v>
      </c>
      <c r="G296" s="67"/>
      <c r="H296" s="71"/>
      <c r="I296" s="72"/>
      <c r="J296" s="72"/>
      <c r="K296" s="71" t="s">
        <v>7466</v>
      </c>
      <c r="L296" s="75"/>
      <c r="M296" s="76"/>
      <c r="N296" s="76"/>
      <c r="O296" s="77"/>
      <c r="P296" s="78"/>
      <c r="Q296" s="78"/>
      <c r="R296" s="90"/>
      <c r="S296" s="90"/>
      <c r="T296" s="90"/>
      <c r="U296" s="90"/>
      <c r="V296" s="52"/>
      <c r="W296" s="52"/>
      <c r="X296" s="52"/>
      <c r="Y296" s="52"/>
      <c r="Z296" s="51"/>
      <c r="AA296" s="73"/>
      <c r="AB296" s="73"/>
      <c r="AC296" s="74"/>
      <c r="AD296" s="80" t="s">
        <v>4472</v>
      </c>
      <c r="AE296" s="86" t="s">
        <v>5386</v>
      </c>
      <c r="AF296" s="80">
        <v>599</v>
      </c>
      <c r="AG296" s="80">
        <v>235</v>
      </c>
      <c r="AH296" s="80">
        <v>6869</v>
      </c>
      <c r="AI296" s="80">
        <v>8078</v>
      </c>
      <c r="AJ296" s="80"/>
      <c r="AK296" s="80"/>
      <c r="AL296" s="80" t="s">
        <v>6896</v>
      </c>
      <c r="AM296" s="80"/>
      <c r="AN296" s="80"/>
      <c r="AO296" s="82">
        <v>40390.473969907405</v>
      </c>
      <c r="AP296" s="84" t="str">
        <f>HYPERLINK("https://pbs.twimg.com/profile_banners/173084069/1611846133")</f>
        <v>https://pbs.twimg.com/profile_banners/173084069/1611846133</v>
      </c>
      <c r="AQ296" s="80" t="b">
        <v>0</v>
      </c>
      <c r="AR296" s="80" t="b">
        <v>0</v>
      </c>
      <c r="AS296" s="80" t="b">
        <v>1</v>
      </c>
      <c r="AT296" s="80"/>
      <c r="AU296" s="80">
        <v>0</v>
      </c>
      <c r="AV296" s="84" t="str">
        <f>HYPERLINK("https://abs.twimg.com/images/themes/theme17/bg.gif")</f>
        <v>https://abs.twimg.com/images/themes/theme17/bg.gif</v>
      </c>
      <c r="AW296" s="80" t="b">
        <v>0</v>
      </c>
      <c r="AX296" s="80" t="s">
        <v>7173</v>
      </c>
      <c r="AY296" s="84" t="str">
        <f>HYPERLINK("https://twitter.com/ideapool_")</f>
        <v>https://twitter.com/ideapool_</v>
      </c>
      <c r="AZ296" s="80" t="s">
        <v>66</v>
      </c>
      <c r="BA296" s="2"/>
      <c r="BB296" s="3"/>
      <c r="BC296" s="3"/>
      <c r="BD296" s="3"/>
      <c r="BE296" s="3"/>
    </row>
    <row r="297" spans="1:57" x14ac:dyDescent="0.35">
      <c r="A297" s="66" t="s">
        <v>436</v>
      </c>
      <c r="B297" s="67"/>
      <c r="C297" s="67"/>
      <c r="D297" s="68"/>
      <c r="E297" s="70"/>
      <c r="F297" s="106" t="str">
        <f>HYPERLINK("https://pbs.twimg.com/profile_images/515454754080579584/E-NY8EiJ_normal.jpeg")</f>
        <v>https://pbs.twimg.com/profile_images/515454754080579584/E-NY8EiJ_normal.jpeg</v>
      </c>
      <c r="G297" s="67"/>
      <c r="H297" s="71"/>
      <c r="I297" s="72"/>
      <c r="J297" s="72"/>
      <c r="K297" s="71" t="s">
        <v>7467</v>
      </c>
      <c r="L297" s="75"/>
      <c r="M297" s="76"/>
      <c r="N297" s="76"/>
      <c r="O297" s="77"/>
      <c r="P297" s="78"/>
      <c r="Q297" s="78"/>
      <c r="R297" s="90"/>
      <c r="S297" s="90"/>
      <c r="T297" s="90"/>
      <c r="U297" s="90"/>
      <c r="V297" s="52"/>
      <c r="W297" s="52"/>
      <c r="X297" s="52"/>
      <c r="Y297" s="52"/>
      <c r="Z297" s="51"/>
      <c r="AA297" s="73"/>
      <c r="AB297" s="73"/>
      <c r="AC297" s="74"/>
      <c r="AD297" s="80" t="s">
        <v>4473</v>
      </c>
      <c r="AE297" s="86" t="s">
        <v>5387</v>
      </c>
      <c r="AF297" s="80">
        <v>188</v>
      </c>
      <c r="AG297" s="80">
        <v>77</v>
      </c>
      <c r="AH297" s="80">
        <v>513</v>
      </c>
      <c r="AI297" s="80">
        <v>2557</v>
      </c>
      <c r="AJ297" s="80"/>
      <c r="AK297" s="80" t="s">
        <v>6174</v>
      </c>
      <c r="AL297" s="80"/>
      <c r="AM297" s="80"/>
      <c r="AN297" s="80"/>
      <c r="AO297" s="82">
        <v>41311.914513888885</v>
      </c>
      <c r="AP297" s="84" t="str">
        <f>HYPERLINK("https://pbs.twimg.com/profile_banners/1155223921/1411728961")</f>
        <v>https://pbs.twimg.com/profile_banners/1155223921/1411728961</v>
      </c>
      <c r="AQ297" s="80" t="b">
        <v>1</v>
      </c>
      <c r="AR297" s="80" t="b">
        <v>0</v>
      </c>
      <c r="AS297" s="80" t="b">
        <v>1</v>
      </c>
      <c r="AT297" s="80"/>
      <c r="AU297" s="80">
        <v>0</v>
      </c>
      <c r="AV297" s="84" t="str">
        <f>HYPERLINK("https://abs.twimg.com/images/themes/theme1/bg.png")</f>
        <v>https://abs.twimg.com/images/themes/theme1/bg.png</v>
      </c>
      <c r="AW297" s="80" t="b">
        <v>0</v>
      </c>
      <c r="AX297" s="80" t="s">
        <v>7173</v>
      </c>
      <c r="AY297" s="84" t="str">
        <f>HYPERLINK("https://twitter.com/ryo_wayan2")</f>
        <v>https://twitter.com/ryo_wayan2</v>
      </c>
      <c r="AZ297" s="80" t="s">
        <v>66</v>
      </c>
      <c r="BA297" s="2"/>
      <c r="BB297" s="3"/>
      <c r="BC297" s="3"/>
      <c r="BD297" s="3"/>
      <c r="BE297" s="3"/>
    </row>
    <row r="298" spans="1:57" x14ac:dyDescent="0.35">
      <c r="A298" s="66" t="s">
        <v>437</v>
      </c>
      <c r="B298" s="67"/>
      <c r="C298" s="67"/>
      <c r="D298" s="68"/>
      <c r="E298" s="70"/>
      <c r="F298" s="106" t="str">
        <f>HYPERLINK("https://pbs.twimg.com/profile_images/1439811066565824514/UIjxwrHI_normal.jpg")</f>
        <v>https://pbs.twimg.com/profile_images/1439811066565824514/UIjxwrHI_normal.jpg</v>
      </c>
      <c r="G298" s="67"/>
      <c r="H298" s="71"/>
      <c r="I298" s="72"/>
      <c r="J298" s="72"/>
      <c r="K298" s="71" t="s">
        <v>7468</v>
      </c>
      <c r="L298" s="75"/>
      <c r="M298" s="76"/>
      <c r="N298" s="76"/>
      <c r="O298" s="77"/>
      <c r="P298" s="78"/>
      <c r="Q298" s="78"/>
      <c r="R298" s="90"/>
      <c r="S298" s="90"/>
      <c r="T298" s="90"/>
      <c r="U298" s="90"/>
      <c r="V298" s="52"/>
      <c r="W298" s="52"/>
      <c r="X298" s="52"/>
      <c r="Y298" s="52"/>
      <c r="Z298" s="51"/>
      <c r="AA298" s="73"/>
      <c r="AB298" s="73"/>
      <c r="AC298" s="74"/>
      <c r="AD298" s="80" t="s">
        <v>4474</v>
      </c>
      <c r="AE298" s="86" t="s">
        <v>5388</v>
      </c>
      <c r="AF298" s="80">
        <v>1853</v>
      </c>
      <c r="AG298" s="80">
        <v>159</v>
      </c>
      <c r="AH298" s="80">
        <v>24967</v>
      </c>
      <c r="AI298" s="80">
        <v>25386</v>
      </c>
      <c r="AJ298" s="80"/>
      <c r="AK298" s="80" t="s">
        <v>6175</v>
      </c>
      <c r="AL298" s="80" t="s">
        <v>6897</v>
      </c>
      <c r="AM298" s="80"/>
      <c r="AN298" s="80"/>
      <c r="AO298" s="82">
        <v>43482.590925925928</v>
      </c>
      <c r="AP298" s="84" t="str">
        <f>HYPERLINK("https://pbs.twimg.com/profile_banners/1085902292866322432/1632112708")</f>
        <v>https://pbs.twimg.com/profile_banners/1085902292866322432/1632112708</v>
      </c>
      <c r="AQ298" s="80" t="b">
        <v>1</v>
      </c>
      <c r="AR298" s="80" t="b">
        <v>0</v>
      </c>
      <c r="AS298" s="80" t="b">
        <v>0</v>
      </c>
      <c r="AT298" s="80"/>
      <c r="AU298" s="80">
        <v>0</v>
      </c>
      <c r="AV298" s="80"/>
      <c r="AW298" s="80" t="b">
        <v>0</v>
      </c>
      <c r="AX298" s="80" t="s">
        <v>7173</v>
      </c>
      <c r="AY298" s="84" t="str">
        <f>HYPERLINK("https://twitter.com/babylyricist")</f>
        <v>https://twitter.com/babylyricist</v>
      </c>
      <c r="AZ298" s="80" t="s">
        <v>66</v>
      </c>
      <c r="BA298" s="2"/>
      <c r="BB298" s="3"/>
      <c r="BC298" s="3"/>
      <c r="BD298" s="3"/>
      <c r="BE298" s="3"/>
    </row>
    <row r="299" spans="1:57" x14ac:dyDescent="0.35">
      <c r="A299" s="66" t="s">
        <v>1063</v>
      </c>
      <c r="B299" s="67"/>
      <c r="C299" s="67"/>
      <c r="D299" s="68"/>
      <c r="E299" s="70"/>
      <c r="F299" s="106" t="str">
        <f>HYPERLINK("https://pbs.twimg.com/profile_images/1394307981290795017/geNeoIO3_normal.jpg")</f>
        <v>https://pbs.twimg.com/profile_images/1394307981290795017/geNeoIO3_normal.jpg</v>
      </c>
      <c r="G299" s="67"/>
      <c r="H299" s="71"/>
      <c r="I299" s="72"/>
      <c r="J299" s="72"/>
      <c r="K299" s="71" t="s">
        <v>7469</v>
      </c>
      <c r="L299" s="75"/>
      <c r="M299" s="76"/>
      <c r="N299" s="76"/>
      <c r="O299" s="77"/>
      <c r="P299" s="78"/>
      <c r="Q299" s="78"/>
      <c r="R299" s="90"/>
      <c r="S299" s="90"/>
      <c r="T299" s="90"/>
      <c r="U299" s="90"/>
      <c r="V299" s="52"/>
      <c r="W299" s="52"/>
      <c r="X299" s="52"/>
      <c r="Y299" s="52"/>
      <c r="Z299" s="51"/>
      <c r="AA299" s="73"/>
      <c r="AB299" s="73"/>
      <c r="AC299" s="74"/>
      <c r="AD299" s="80" t="s">
        <v>4475</v>
      </c>
      <c r="AE299" s="86" t="s">
        <v>3937</v>
      </c>
      <c r="AF299" s="80">
        <v>3045</v>
      </c>
      <c r="AG299" s="80">
        <v>43517</v>
      </c>
      <c r="AH299" s="80">
        <v>76949</v>
      </c>
      <c r="AI299" s="80">
        <v>7</v>
      </c>
      <c r="AJ299" s="80"/>
      <c r="AK299" s="80" t="s">
        <v>6176</v>
      </c>
      <c r="AL299" s="80"/>
      <c r="AM299" s="84" t="str">
        <f>HYPERLINK("https://t.co/XSd8XNB1yv")</f>
        <v>https://t.co/XSd8XNB1yv</v>
      </c>
      <c r="AN299" s="80"/>
      <c r="AO299" s="82">
        <v>43732.818437499998</v>
      </c>
      <c r="AP299" s="84" t="str">
        <f>HYPERLINK("https://pbs.twimg.com/profile_banners/1176581655076564992/1621263901")</f>
        <v>https://pbs.twimg.com/profile_banners/1176581655076564992/1621263901</v>
      </c>
      <c r="AQ299" s="80" t="b">
        <v>1</v>
      </c>
      <c r="AR299" s="80" t="b">
        <v>0</v>
      </c>
      <c r="AS299" s="80" t="b">
        <v>0</v>
      </c>
      <c r="AT299" s="80"/>
      <c r="AU299" s="80">
        <v>475</v>
      </c>
      <c r="AV299" s="80"/>
      <c r="AW299" s="80" t="b">
        <v>0</v>
      </c>
      <c r="AX299" s="80" t="s">
        <v>7173</v>
      </c>
      <c r="AY299" s="84" t="str">
        <f>HYPERLINK("https://twitter.com/aespafess_")</f>
        <v>https://twitter.com/aespafess_</v>
      </c>
      <c r="AZ299" s="80" t="s">
        <v>65</v>
      </c>
      <c r="BA299" s="2"/>
      <c r="BB299" s="3"/>
      <c r="BC299" s="3"/>
      <c r="BD299" s="3"/>
      <c r="BE299" s="3"/>
    </row>
    <row r="300" spans="1:57" x14ac:dyDescent="0.35">
      <c r="A300" s="66" t="s">
        <v>438</v>
      </c>
      <c r="B300" s="67"/>
      <c r="C300" s="67"/>
      <c r="D300" s="68"/>
      <c r="E300" s="70"/>
      <c r="F300" s="106" t="str">
        <f>HYPERLINK("https://pbs.twimg.com/profile_images/1433444059553562634/vx_ZS7eU_normal.jpg")</f>
        <v>https://pbs.twimg.com/profile_images/1433444059553562634/vx_ZS7eU_normal.jpg</v>
      </c>
      <c r="G300" s="67"/>
      <c r="H300" s="71"/>
      <c r="I300" s="72"/>
      <c r="J300" s="72"/>
      <c r="K300" s="71" t="s">
        <v>7470</v>
      </c>
      <c r="L300" s="75"/>
      <c r="M300" s="76"/>
      <c r="N300" s="76"/>
      <c r="O300" s="77"/>
      <c r="P300" s="78"/>
      <c r="Q300" s="78"/>
      <c r="R300" s="90"/>
      <c r="S300" s="90"/>
      <c r="T300" s="90"/>
      <c r="U300" s="90"/>
      <c r="V300" s="52"/>
      <c r="W300" s="52"/>
      <c r="X300" s="52"/>
      <c r="Y300" s="52"/>
      <c r="Z300" s="51"/>
      <c r="AA300" s="73"/>
      <c r="AB300" s="73"/>
      <c r="AC300" s="74"/>
      <c r="AD300" s="80" t="s">
        <v>4476</v>
      </c>
      <c r="AE300" s="86" t="s">
        <v>5389</v>
      </c>
      <c r="AF300" s="80">
        <v>1322</v>
      </c>
      <c r="AG300" s="80">
        <v>2235</v>
      </c>
      <c r="AH300" s="80">
        <v>162029</v>
      </c>
      <c r="AI300" s="80">
        <v>108774</v>
      </c>
      <c r="AJ300" s="80"/>
      <c r="AK300" s="80" t="s">
        <v>6177</v>
      </c>
      <c r="AL300" s="80" t="s">
        <v>4145</v>
      </c>
      <c r="AM300" s="84" t="str">
        <f>HYPERLINK("https://t.co/tWhJdYsLde")</f>
        <v>https://t.co/tWhJdYsLde</v>
      </c>
      <c r="AN300" s="80"/>
      <c r="AO300" s="82">
        <v>40741.181608796294</v>
      </c>
      <c r="AP300" s="84" t="str">
        <f>HYPERLINK("https://pbs.twimg.com/profile_banners/336922164/1625027578")</f>
        <v>https://pbs.twimg.com/profile_banners/336922164/1625027578</v>
      </c>
      <c r="AQ300" s="80" t="b">
        <v>0</v>
      </c>
      <c r="AR300" s="80" t="b">
        <v>0</v>
      </c>
      <c r="AS300" s="80" t="b">
        <v>0</v>
      </c>
      <c r="AT300" s="80"/>
      <c r="AU300" s="80">
        <v>2</v>
      </c>
      <c r="AV300" s="84" t="str">
        <f>HYPERLINK("https://abs.twimg.com/images/themes/theme4/bg.gif")</f>
        <v>https://abs.twimg.com/images/themes/theme4/bg.gif</v>
      </c>
      <c r="AW300" s="80" t="b">
        <v>0</v>
      </c>
      <c r="AX300" s="80" t="s">
        <v>7173</v>
      </c>
      <c r="AY300" s="84" t="str">
        <f>HYPERLINK("https://twitter.com/anti_qadrun")</f>
        <v>https://twitter.com/anti_qadrun</v>
      </c>
      <c r="AZ300" s="80" t="s">
        <v>66</v>
      </c>
      <c r="BA300" s="2"/>
      <c r="BB300" s="3"/>
      <c r="BC300" s="3"/>
      <c r="BD300" s="3"/>
      <c r="BE300" s="3"/>
    </row>
    <row r="301" spans="1:57" x14ac:dyDescent="0.35">
      <c r="A301" s="66" t="s">
        <v>439</v>
      </c>
      <c r="B301" s="67"/>
      <c r="C301" s="67"/>
      <c r="D301" s="68"/>
      <c r="E301" s="70"/>
      <c r="F301" s="106" t="str">
        <f>HYPERLINK("https://pbs.twimg.com/profile_images/1239125002844340224/FM1ZOVHO_normal.jpg")</f>
        <v>https://pbs.twimg.com/profile_images/1239125002844340224/FM1ZOVHO_normal.jpg</v>
      </c>
      <c r="G301" s="67"/>
      <c r="H301" s="71"/>
      <c r="I301" s="72"/>
      <c r="J301" s="72"/>
      <c r="K301" s="71" t="s">
        <v>7471</v>
      </c>
      <c r="L301" s="75"/>
      <c r="M301" s="76"/>
      <c r="N301" s="76"/>
      <c r="O301" s="77"/>
      <c r="P301" s="78"/>
      <c r="Q301" s="78"/>
      <c r="R301" s="90"/>
      <c r="S301" s="90"/>
      <c r="T301" s="90"/>
      <c r="U301" s="90"/>
      <c r="V301" s="52"/>
      <c r="W301" s="52"/>
      <c r="X301" s="52"/>
      <c r="Y301" s="52"/>
      <c r="Z301" s="51"/>
      <c r="AA301" s="73"/>
      <c r="AB301" s="73"/>
      <c r="AC301" s="74"/>
      <c r="AD301" s="80" t="s">
        <v>4477</v>
      </c>
      <c r="AE301" s="86" t="s">
        <v>5390</v>
      </c>
      <c r="AF301" s="80">
        <v>1837</v>
      </c>
      <c r="AG301" s="80">
        <v>1659</v>
      </c>
      <c r="AH301" s="80">
        <v>2728</v>
      </c>
      <c r="AI301" s="80">
        <v>6740</v>
      </c>
      <c r="AJ301" s="80"/>
      <c r="AK301" s="80" t="s">
        <v>6178</v>
      </c>
      <c r="AL301" s="80"/>
      <c r="AM301" s="80"/>
      <c r="AN301" s="80"/>
      <c r="AO301" s="82">
        <v>43905.402673611112</v>
      </c>
      <c r="AP301" s="84" t="str">
        <f>HYPERLINK("https://pbs.twimg.com/profile_banners/1239124024061382659/1607591430")</f>
        <v>https://pbs.twimg.com/profile_banners/1239124024061382659/1607591430</v>
      </c>
      <c r="AQ301" s="80" t="b">
        <v>1</v>
      </c>
      <c r="AR301" s="80" t="b">
        <v>0</v>
      </c>
      <c r="AS301" s="80" t="b">
        <v>0</v>
      </c>
      <c r="AT301" s="80"/>
      <c r="AU301" s="80">
        <v>0</v>
      </c>
      <c r="AV301" s="80"/>
      <c r="AW301" s="80" t="b">
        <v>0</v>
      </c>
      <c r="AX301" s="80" t="s">
        <v>7173</v>
      </c>
      <c r="AY301" s="84" t="str">
        <f>HYPERLINK("https://twitter.com/savana_jiwa")</f>
        <v>https://twitter.com/savana_jiwa</v>
      </c>
      <c r="AZ301" s="80" t="s">
        <v>66</v>
      </c>
      <c r="BA301" s="2"/>
      <c r="BB301" s="3"/>
      <c r="BC301" s="3"/>
      <c r="BD301" s="3"/>
      <c r="BE301" s="3"/>
    </row>
    <row r="302" spans="1:57" x14ac:dyDescent="0.35">
      <c r="A302" s="66" t="s">
        <v>440</v>
      </c>
      <c r="B302" s="67"/>
      <c r="C302" s="67"/>
      <c r="D302" s="68"/>
      <c r="E302" s="70"/>
      <c r="F302" s="106" t="str">
        <f>HYPERLINK("https://pbs.twimg.com/profile_images/1387242349323980804/GhELuVy9_normal.jpg")</f>
        <v>https://pbs.twimg.com/profile_images/1387242349323980804/GhELuVy9_normal.jpg</v>
      </c>
      <c r="G302" s="67"/>
      <c r="H302" s="71"/>
      <c r="I302" s="72"/>
      <c r="J302" s="72"/>
      <c r="K302" s="71" t="s">
        <v>7472</v>
      </c>
      <c r="L302" s="75"/>
      <c r="M302" s="76"/>
      <c r="N302" s="76"/>
      <c r="O302" s="77"/>
      <c r="P302" s="78"/>
      <c r="Q302" s="78"/>
      <c r="R302" s="90"/>
      <c r="S302" s="90"/>
      <c r="T302" s="90"/>
      <c r="U302" s="90"/>
      <c r="V302" s="52"/>
      <c r="W302" s="52"/>
      <c r="X302" s="52"/>
      <c r="Y302" s="52"/>
      <c r="Z302" s="51"/>
      <c r="AA302" s="73"/>
      <c r="AB302" s="73"/>
      <c r="AC302" s="74"/>
      <c r="AD302" s="80" t="s">
        <v>4478</v>
      </c>
      <c r="AE302" s="86" t="s">
        <v>5391</v>
      </c>
      <c r="AF302" s="80">
        <v>48</v>
      </c>
      <c r="AG302" s="80">
        <v>36</v>
      </c>
      <c r="AH302" s="80">
        <v>2589</v>
      </c>
      <c r="AI302" s="80">
        <v>1683</v>
      </c>
      <c r="AJ302" s="80"/>
      <c r="AK302" s="80" t="s">
        <v>6179</v>
      </c>
      <c r="AL302" s="80" t="s">
        <v>6898</v>
      </c>
      <c r="AM302" s="80"/>
      <c r="AN302" s="80"/>
      <c r="AO302" s="82">
        <v>40242.308495370373</v>
      </c>
      <c r="AP302" s="84" t="str">
        <f>HYPERLINK("https://pbs.twimg.com/profile_banners/120022469/1619579385")</f>
        <v>https://pbs.twimg.com/profile_banners/120022469/1619579385</v>
      </c>
      <c r="AQ302" s="80" t="b">
        <v>1</v>
      </c>
      <c r="AR302" s="80" t="b">
        <v>0</v>
      </c>
      <c r="AS302" s="80" t="b">
        <v>1</v>
      </c>
      <c r="AT302" s="80"/>
      <c r="AU302" s="80">
        <v>0</v>
      </c>
      <c r="AV302" s="84" t="str">
        <f>HYPERLINK("https://abs.twimg.com/images/themes/theme1/bg.png")</f>
        <v>https://abs.twimg.com/images/themes/theme1/bg.png</v>
      </c>
      <c r="AW302" s="80" t="b">
        <v>0</v>
      </c>
      <c r="AX302" s="80" t="s">
        <v>7173</v>
      </c>
      <c r="AY302" s="84" t="str">
        <f>HYPERLINK("https://twitter.com/lonassis")</f>
        <v>https://twitter.com/lonassis</v>
      </c>
      <c r="AZ302" s="80" t="s">
        <v>66</v>
      </c>
      <c r="BA302" s="2"/>
      <c r="BB302" s="3"/>
      <c r="BC302" s="3"/>
      <c r="BD302" s="3"/>
      <c r="BE302" s="3"/>
    </row>
    <row r="303" spans="1:57" x14ac:dyDescent="0.35">
      <c r="A303" s="66" t="s">
        <v>441</v>
      </c>
      <c r="B303" s="67"/>
      <c r="C303" s="67"/>
      <c r="D303" s="68"/>
      <c r="E303" s="70"/>
      <c r="F303" s="106" t="str">
        <f>HYPERLINK("https://pbs.twimg.com/profile_images/1425914379879346178/UysXBOQr_normal.jpg")</f>
        <v>https://pbs.twimg.com/profile_images/1425914379879346178/UysXBOQr_normal.jpg</v>
      </c>
      <c r="G303" s="67"/>
      <c r="H303" s="71"/>
      <c r="I303" s="72"/>
      <c r="J303" s="72"/>
      <c r="K303" s="71" t="s">
        <v>7473</v>
      </c>
      <c r="L303" s="75"/>
      <c r="M303" s="76"/>
      <c r="N303" s="76"/>
      <c r="O303" s="77"/>
      <c r="P303" s="78"/>
      <c r="Q303" s="78"/>
      <c r="R303" s="90"/>
      <c r="S303" s="90"/>
      <c r="T303" s="90"/>
      <c r="U303" s="90"/>
      <c r="V303" s="52"/>
      <c r="W303" s="52"/>
      <c r="X303" s="52"/>
      <c r="Y303" s="52"/>
      <c r="Z303" s="51"/>
      <c r="AA303" s="73"/>
      <c r="AB303" s="73"/>
      <c r="AC303" s="74"/>
      <c r="AD303" s="80" t="s">
        <v>4479</v>
      </c>
      <c r="AE303" s="86" t="s">
        <v>5392</v>
      </c>
      <c r="AF303" s="80">
        <v>1040</v>
      </c>
      <c r="AG303" s="80">
        <v>319</v>
      </c>
      <c r="AH303" s="80">
        <v>6343</v>
      </c>
      <c r="AI303" s="80">
        <v>13831</v>
      </c>
      <c r="AJ303" s="80"/>
      <c r="AK303" s="80" t="s">
        <v>6180</v>
      </c>
      <c r="AL303" s="80" t="s">
        <v>6899</v>
      </c>
      <c r="AM303" s="80"/>
      <c r="AN303" s="80"/>
      <c r="AO303" s="82">
        <v>40992.282534722224</v>
      </c>
      <c r="AP303" s="84" t="str">
        <f>HYPERLINK("https://pbs.twimg.com/profile_banners/535164981/1614662058")</f>
        <v>https://pbs.twimg.com/profile_banners/535164981/1614662058</v>
      </c>
      <c r="AQ303" s="80" t="b">
        <v>1</v>
      </c>
      <c r="AR303" s="80" t="b">
        <v>0</v>
      </c>
      <c r="AS303" s="80" t="b">
        <v>0</v>
      </c>
      <c r="AT303" s="80"/>
      <c r="AU303" s="80">
        <v>0</v>
      </c>
      <c r="AV303" s="84" t="str">
        <f>HYPERLINK("https://abs.twimg.com/images/themes/theme1/bg.png")</f>
        <v>https://abs.twimg.com/images/themes/theme1/bg.png</v>
      </c>
      <c r="AW303" s="80" t="b">
        <v>0</v>
      </c>
      <c r="AX303" s="80" t="s">
        <v>7173</v>
      </c>
      <c r="AY303" s="84" t="str">
        <f>HYPERLINK("https://twitter.com/ignmrg")</f>
        <v>https://twitter.com/ignmrg</v>
      </c>
      <c r="AZ303" s="80" t="s">
        <v>66</v>
      </c>
      <c r="BA303" s="2"/>
      <c r="BB303" s="3"/>
      <c r="BC303" s="3"/>
      <c r="BD303" s="3"/>
      <c r="BE303" s="3"/>
    </row>
    <row r="304" spans="1:57" x14ac:dyDescent="0.35">
      <c r="A304" s="66" t="s">
        <v>442</v>
      </c>
      <c r="B304" s="67"/>
      <c r="C304" s="67"/>
      <c r="D304" s="68"/>
      <c r="E304" s="70"/>
      <c r="F304" s="106" t="str">
        <f>HYPERLINK("https://pbs.twimg.com/profile_images/1338562203914407938/514e_qI6_normal.jpg")</f>
        <v>https://pbs.twimg.com/profile_images/1338562203914407938/514e_qI6_normal.jpg</v>
      </c>
      <c r="G304" s="67"/>
      <c r="H304" s="71"/>
      <c r="I304" s="72"/>
      <c r="J304" s="72"/>
      <c r="K304" s="71" t="s">
        <v>7474</v>
      </c>
      <c r="L304" s="75"/>
      <c r="M304" s="76"/>
      <c r="N304" s="76"/>
      <c r="O304" s="77"/>
      <c r="P304" s="78"/>
      <c r="Q304" s="78"/>
      <c r="R304" s="90"/>
      <c r="S304" s="90"/>
      <c r="T304" s="90"/>
      <c r="U304" s="90"/>
      <c r="V304" s="52"/>
      <c r="W304" s="52"/>
      <c r="X304" s="52"/>
      <c r="Y304" s="52"/>
      <c r="Z304" s="51"/>
      <c r="AA304" s="73"/>
      <c r="AB304" s="73"/>
      <c r="AC304" s="74"/>
      <c r="AD304" s="80" t="s">
        <v>4480</v>
      </c>
      <c r="AE304" s="86" t="s">
        <v>5393</v>
      </c>
      <c r="AF304" s="80">
        <v>301</v>
      </c>
      <c r="AG304" s="80">
        <v>299</v>
      </c>
      <c r="AH304" s="80">
        <v>14981</v>
      </c>
      <c r="AI304" s="80">
        <v>1631</v>
      </c>
      <c r="AJ304" s="80"/>
      <c r="AK304" s="80" t="s">
        <v>6181</v>
      </c>
      <c r="AL304" s="80"/>
      <c r="AM304" s="80"/>
      <c r="AN304" s="80"/>
      <c r="AO304" s="82">
        <v>44001.692048611112</v>
      </c>
      <c r="AP304" s="84" t="str">
        <f>HYPERLINK("https://pbs.twimg.com/profile_banners/1274018160262311938/1607628240")</f>
        <v>https://pbs.twimg.com/profile_banners/1274018160262311938/1607628240</v>
      </c>
      <c r="AQ304" s="80" t="b">
        <v>1</v>
      </c>
      <c r="AR304" s="80" t="b">
        <v>0</v>
      </c>
      <c r="AS304" s="80" t="b">
        <v>0</v>
      </c>
      <c r="AT304" s="80"/>
      <c r="AU304" s="80">
        <v>0</v>
      </c>
      <c r="AV304" s="80"/>
      <c r="AW304" s="80" t="b">
        <v>0</v>
      </c>
      <c r="AX304" s="80" t="s">
        <v>7173</v>
      </c>
      <c r="AY304" s="84" t="str">
        <f>HYPERLINK("https://twitter.com/jayengrono31")</f>
        <v>https://twitter.com/jayengrono31</v>
      </c>
      <c r="AZ304" s="80" t="s">
        <v>66</v>
      </c>
      <c r="BA304" s="2"/>
      <c r="BB304" s="3"/>
      <c r="BC304" s="3"/>
      <c r="BD304" s="3"/>
      <c r="BE304" s="3"/>
    </row>
    <row r="305" spans="1:57" x14ac:dyDescent="0.35">
      <c r="A305" s="66" t="s">
        <v>443</v>
      </c>
      <c r="B305" s="67"/>
      <c r="C305" s="67"/>
      <c r="D305" s="68"/>
      <c r="E305" s="70"/>
      <c r="F305" s="106" t="str">
        <f>HYPERLINK("https://pbs.twimg.com/profile_images/1423200359464411141/qYQNrWtU_normal.jpg")</f>
        <v>https://pbs.twimg.com/profile_images/1423200359464411141/qYQNrWtU_normal.jpg</v>
      </c>
      <c r="G305" s="67"/>
      <c r="H305" s="71"/>
      <c r="I305" s="72"/>
      <c r="J305" s="72"/>
      <c r="K305" s="71" t="s">
        <v>7475</v>
      </c>
      <c r="L305" s="75"/>
      <c r="M305" s="76"/>
      <c r="N305" s="76"/>
      <c r="O305" s="77"/>
      <c r="P305" s="78"/>
      <c r="Q305" s="78"/>
      <c r="R305" s="90"/>
      <c r="S305" s="90"/>
      <c r="T305" s="90"/>
      <c r="U305" s="90"/>
      <c r="V305" s="52"/>
      <c r="W305" s="52"/>
      <c r="X305" s="52"/>
      <c r="Y305" s="52"/>
      <c r="Z305" s="51"/>
      <c r="AA305" s="73"/>
      <c r="AB305" s="73"/>
      <c r="AC305" s="74"/>
      <c r="AD305" s="80" t="s">
        <v>4481</v>
      </c>
      <c r="AE305" s="86" t="s">
        <v>5394</v>
      </c>
      <c r="AF305" s="80">
        <v>214</v>
      </c>
      <c r="AG305" s="80">
        <v>206</v>
      </c>
      <c r="AH305" s="80">
        <v>5152</v>
      </c>
      <c r="AI305" s="80">
        <v>16210</v>
      </c>
      <c r="AJ305" s="80"/>
      <c r="AK305" s="80" t="s">
        <v>6182</v>
      </c>
      <c r="AL305" s="80" t="s">
        <v>6900</v>
      </c>
      <c r="AM305" s="80"/>
      <c r="AN305" s="80"/>
      <c r="AO305" s="82">
        <v>44188.097129629627</v>
      </c>
      <c r="AP305" s="80"/>
      <c r="AQ305" s="80" t="b">
        <v>1</v>
      </c>
      <c r="AR305" s="80" t="b">
        <v>0</v>
      </c>
      <c r="AS305" s="80" t="b">
        <v>0</v>
      </c>
      <c r="AT305" s="80"/>
      <c r="AU305" s="80">
        <v>0</v>
      </c>
      <c r="AV305" s="80"/>
      <c r="AW305" s="80" t="b">
        <v>0</v>
      </c>
      <c r="AX305" s="80" t="s">
        <v>7173</v>
      </c>
      <c r="AY305" s="84" t="str">
        <f>HYPERLINK("https://twitter.com/kuntuldowo")</f>
        <v>https://twitter.com/kuntuldowo</v>
      </c>
      <c r="AZ305" s="80" t="s">
        <v>66</v>
      </c>
      <c r="BA305" s="2"/>
      <c r="BB305" s="3"/>
      <c r="BC305" s="3"/>
      <c r="BD305" s="3"/>
      <c r="BE305" s="3"/>
    </row>
    <row r="306" spans="1:57" x14ac:dyDescent="0.35">
      <c r="A306" s="66" t="s">
        <v>444</v>
      </c>
      <c r="B306" s="67"/>
      <c r="C306" s="67"/>
      <c r="D306" s="68"/>
      <c r="E306" s="70"/>
      <c r="F306" s="106" t="str">
        <f>HYPERLINK("https://pbs.twimg.com/profile_images/1401374379548635137/3HHq26Hs_normal.jpg")</f>
        <v>https://pbs.twimg.com/profile_images/1401374379548635137/3HHq26Hs_normal.jpg</v>
      </c>
      <c r="G306" s="67"/>
      <c r="H306" s="71"/>
      <c r="I306" s="72"/>
      <c r="J306" s="72"/>
      <c r="K306" s="71" t="s">
        <v>7476</v>
      </c>
      <c r="L306" s="75"/>
      <c r="M306" s="76"/>
      <c r="N306" s="76"/>
      <c r="O306" s="77"/>
      <c r="P306" s="78"/>
      <c r="Q306" s="78"/>
      <c r="R306" s="90"/>
      <c r="S306" s="90"/>
      <c r="T306" s="90"/>
      <c r="U306" s="90"/>
      <c r="V306" s="52"/>
      <c r="W306" s="52"/>
      <c r="X306" s="52"/>
      <c r="Y306" s="52"/>
      <c r="Z306" s="51"/>
      <c r="AA306" s="73"/>
      <c r="AB306" s="73"/>
      <c r="AC306" s="74"/>
      <c r="AD306" s="80" t="s">
        <v>4482</v>
      </c>
      <c r="AE306" s="86" t="s">
        <v>5395</v>
      </c>
      <c r="AF306" s="80">
        <v>306</v>
      </c>
      <c r="AG306" s="80">
        <v>35</v>
      </c>
      <c r="AH306" s="80">
        <v>4371</v>
      </c>
      <c r="AI306" s="80">
        <v>2395</v>
      </c>
      <c r="AJ306" s="80"/>
      <c r="AK306" s="80"/>
      <c r="AL306" s="80" t="s">
        <v>6901</v>
      </c>
      <c r="AM306" s="80"/>
      <c r="AN306" s="80"/>
      <c r="AO306" s="82">
        <v>44294.353761574072</v>
      </c>
      <c r="AP306" s="84" t="str">
        <f>HYPERLINK("https://pbs.twimg.com/profile_banners/1380075181666828289/1617871299")</f>
        <v>https://pbs.twimg.com/profile_banners/1380075181666828289/1617871299</v>
      </c>
      <c r="AQ306" s="80" t="b">
        <v>1</v>
      </c>
      <c r="AR306" s="80" t="b">
        <v>0</v>
      </c>
      <c r="AS306" s="80" t="b">
        <v>0</v>
      </c>
      <c r="AT306" s="80"/>
      <c r="AU306" s="80">
        <v>1</v>
      </c>
      <c r="AV306" s="80"/>
      <c r="AW306" s="80" t="b">
        <v>0</v>
      </c>
      <c r="AX306" s="80" t="s">
        <v>7173</v>
      </c>
      <c r="AY306" s="84" t="str">
        <f>HYPERLINK("https://twitter.com/tiwah22")</f>
        <v>https://twitter.com/tiwah22</v>
      </c>
      <c r="AZ306" s="80" t="s">
        <v>66</v>
      </c>
      <c r="BA306" s="2"/>
      <c r="BB306" s="3"/>
      <c r="BC306" s="3"/>
      <c r="BD306" s="3"/>
      <c r="BE306" s="3"/>
    </row>
    <row r="307" spans="1:57" x14ac:dyDescent="0.35">
      <c r="A307" s="66" t="s">
        <v>445</v>
      </c>
      <c r="B307" s="67"/>
      <c r="C307" s="67"/>
      <c r="D307" s="68"/>
      <c r="E307" s="70"/>
      <c r="F307" s="106" t="str">
        <f>HYPERLINK("https://pbs.twimg.com/profile_images/786614038230736897/R6Ca5h5m_normal.jpg")</f>
        <v>https://pbs.twimg.com/profile_images/786614038230736897/R6Ca5h5m_normal.jpg</v>
      </c>
      <c r="G307" s="67"/>
      <c r="H307" s="71"/>
      <c r="I307" s="72"/>
      <c r="J307" s="72"/>
      <c r="K307" s="71" t="s">
        <v>7477</v>
      </c>
      <c r="L307" s="75"/>
      <c r="M307" s="76"/>
      <c r="N307" s="76"/>
      <c r="O307" s="77"/>
      <c r="P307" s="78"/>
      <c r="Q307" s="78"/>
      <c r="R307" s="90"/>
      <c r="S307" s="90"/>
      <c r="T307" s="90"/>
      <c r="U307" s="90"/>
      <c r="V307" s="52"/>
      <c r="W307" s="52"/>
      <c r="X307" s="52"/>
      <c r="Y307" s="52"/>
      <c r="Z307" s="51"/>
      <c r="AA307" s="73"/>
      <c r="AB307" s="73"/>
      <c r="AC307" s="74"/>
      <c r="AD307" s="80" t="s">
        <v>4483</v>
      </c>
      <c r="AE307" s="86" t="s">
        <v>5396</v>
      </c>
      <c r="AF307" s="80">
        <v>710</v>
      </c>
      <c r="AG307" s="80">
        <v>648</v>
      </c>
      <c r="AH307" s="80">
        <v>11491</v>
      </c>
      <c r="AI307" s="80">
        <v>438</v>
      </c>
      <c r="AJ307" s="80"/>
      <c r="AK307" s="80"/>
      <c r="AL307" s="80" t="s">
        <v>6762</v>
      </c>
      <c r="AM307" s="80"/>
      <c r="AN307" s="80"/>
      <c r="AO307" s="82">
        <v>42656.704918981479</v>
      </c>
      <c r="AP307" s="84" t="str">
        <f>HYPERLINK("https://pbs.twimg.com/profile_banners/786611227262726144/1579868063")</f>
        <v>https://pbs.twimg.com/profile_banners/786611227262726144/1579868063</v>
      </c>
      <c r="AQ307" s="80" t="b">
        <v>1</v>
      </c>
      <c r="AR307" s="80" t="b">
        <v>0</v>
      </c>
      <c r="AS307" s="80" t="b">
        <v>1</v>
      </c>
      <c r="AT307" s="80"/>
      <c r="AU307" s="80">
        <v>0</v>
      </c>
      <c r="AV307" s="80"/>
      <c r="AW307" s="80" t="b">
        <v>0</v>
      </c>
      <c r="AX307" s="80" t="s">
        <v>7173</v>
      </c>
      <c r="AY307" s="84" t="str">
        <f>HYPERLINK("https://twitter.com/cangkir_plastik")</f>
        <v>https://twitter.com/cangkir_plastik</v>
      </c>
      <c r="AZ307" s="80" t="s">
        <v>66</v>
      </c>
      <c r="BA307" s="2"/>
      <c r="BB307" s="3"/>
      <c r="BC307" s="3"/>
      <c r="BD307" s="3"/>
      <c r="BE307" s="3"/>
    </row>
    <row r="308" spans="1:57" x14ac:dyDescent="0.35">
      <c r="A308" s="66" t="s">
        <v>446</v>
      </c>
      <c r="B308" s="67"/>
      <c r="C308" s="67"/>
      <c r="D308" s="68"/>
      <c r="E308" s="70"/>
      <c r="F308" s="106" t="str">
        <f>HYPERLINK("https://pbs.twimg.com/profile_images/1213006541248319488/wqzsZnPl_normal.jpg")</f>
        <v>https://pbs.twimg.com/profile_images/1213006541248319488/wqzsZnPl_normal.jpg</v>
      </c>
      <c r="G308" s="67"/>
      <c r="H308" s="71"/>
      <c r="I308" s="72"/>
      <c r="J308" s="72"/>
      <c r="K308" s="71" t="s">
        <v>7478</v>
      </c>
      <c r="L308" s="75"/>
      <c r="M308" s="76"/>
      <c r="N308" s="76"/>
      <c r="O308" s="77"/>
      <c r="P308" s="78"/>
      <c r="Q308" s="78"/>
      <c r="R308" s="90"/>
      <c r="S308" s="90"/>
      <c r="T308" s="90"/>
      <c r="U308" s="90"/>
      <c r="V308" s="52"/>
      <c r="W308" s="52"/>
      <c r="X308" s="52"/>
      <c r="Y308" s="52"/>
      <c r="Z308" s="51"/>
      <c r="AA308" s="73"/>
      <c r="AB308" s="73"/>
      <c r="AC308" s="74"/>
      <c r="AD308" s="80" t="s">
        <v>4484</v>
      </c>
      <c r="AE308" s="86" t="s">
        <v>5397</v>
      </c>
      <c r="AF308" s="80">
        <v>6007</v>
      </c>
      <c r="AG308" s="80">
        <v>6686</v>
      </c>
      <c r="AH308" s="80">
        <v>10377</v>
      </c>
      <c r="AI308" s="80">
        <v>11882</v>
      </c>
      <c r="AJ308" s="80"/>
      <c r="AK308" s="80" t="s">
        <v>6183</v>
      </c>
      <c r="AL308" s="80" t="s">
        <v>6886</v>
      </c>
      <c r="AM308" s="80"/>
      <c r="AN308" s="80"/>
      <c r="AO308" s="82">
        <v>41093.250196759262</v>
      </c>
      <c r="AP308" s="84" t="str">
        <f>HYPERLINK("https://pbs.twimg.com/profile_banners/625381641/1579948346")</f>
        <v>https://pbs.twimg.com/profile_banners/625381641/1579948346</v>
      </c>
      <c r="AQ308" s="80" t="b">
        <v>0</v>
      </c>
      <c r="AR308" s="80" t="b">
        <v>0</v>
      </c>
      <c r="AS308" s="80" t="b">
        <v>0</v>
      </c>
      <c r="AT308" s="80"/>
      <c r="AU308" s="80">
        <v>0</v>
      </c>
      <c r="AV308" s="84" t="str">
        <f>HYPERLINK("https://abs.twimg.com/images/themes/theme1/bg.png")</f>
        <v>https://abs.twimg.com/images/themes/theme1/bg.png</v>
      </c>
      <c r="AW308" s="80" t="b">
        <v>0</v>
      </c>
      <c r="AX308" s="80" t="s">
        <v>7173</v>
      </c>
      <c r="AY308" s="84" t="str">
        <f>HYPERLINK("https://twitter.com/andiris1die")</f>
        <v>https://twitter.com/andiris1die</v>
      </c>
      <c r="AZ308" s="80" t="s">
        <v>66</v>
      </c>
      <c r="BA308" s="2"/>
      <c r="BB308" s="3"/>
      <c r="BC308" s="3"/>
      <c r="BD308" s="3"/>
      <c r="BE308" s="3"/>
    </row>
    <row r="309" spans="1:57" x14ac:dyDescent="0.35">
      <c r="A309" s="66" t="s">
        <v>447</v>
      </c>
      <c r="B309" s="67"/>
      <c r="C309" s="67"/>
      <c r="D309" s="68"/>
      <c r="E309" s="70"/>
      <c r="F309" s="106" t="str">
        <f>HYPERLINK("https://pbs.twimg.com/profile_images/1428017575053594634/R8DPJj8__normal.jpg")</f>
        <v>https://pbs.twimg.com/profile_images/1428017575053594634/R8DPJj8__normal.jpg</v>
      </c>
      <c r="G309" s="67"/>
      <c r="H309" s="71"/>
      <c r="I309" s="72"/>
      <c r="J309" s="72"/>
      <c r="K309" s="71" t="s">
        <v>7479</v>
      </c>
      <c r="L309" s="75"/>
      <c r="M309" s="76"/>
      <c r="N309" s="76"/>
      <c r="O309" s="77"/>
      <c r="P309" s="78"/>
      <c r="Q309" s="78"/>
      <c r="R309" s="90"/>
      <c r="S309" s="90"/>
      <c r="T309" s="90"/>
      <c r="U309" s="90"/>
      <c r="V309" s="52"/>
      <c r="W309" s="52"/>
      <c r="X309" s="52"/>
      <c r="Y309" s="52"/>
      <c r="Z309" s="51"/>
      <c r="AA309" s="73"/>
      <c r="AB309" s="73"/>
      <c r="AC309" s="74"/>
      <c r="AD309" s="80" t="s">
        <v>4485</v>
      </c>
      <c r="AE309" s="86" t="s">
        <v>5398</v>
      </c>
      <c r="AF309" s="80">
        <v>645</v>
      </c>
      <c r="AG309" s="80">
        <v>516</v>
      </c>
      <c r="AH309" s="80">
        <v>14125</v>
      </c>
      <c r="AI309" s="80">
        <v>16139</v>
      </c>
      <c r="AJ309" s="80"/>
      <c r="AK309" s="80" t="s">
        <v>6184</v>
      </c>
      <c r="AL309" s="80"/>
      <c r="AM309" s="80"/>
      <c r="AN309" s="80"/>
      <c r="AO309" s="82">
        <v>44132.964756944442</v>
      </c>
      <c r="AP309" s="84" t="str">
        <f>HYPERLINK("https://pbs.twimg.com/profile_banners/1321589830552150017/1629301155")</f>
        <v>https://pbs.twimg.com/profile_banners/1321589830552150017/1629301155</v>
      </c>
      <c r="AQ309" s="80" t="b">
        <v>1</v>
      </c>
      <c r="AR309" s="80" t="b">
        <v>0</v>
      </c>
      <c r="AS309" s="80" t="b">
        <v>0</v>
      </c>
      <c r="AT309" s="80"/>
      <c r="AU309" s="80">
        <v>0</v>
      </c>
      <c r="AV309" s="80"/>
      <c r="AW309" s="80" t="b">
        <v>0</v>
      </c>
      <c r="AX309" s="80" t="s">
        <v>7173</v>
      </c>
      <c r="AY309" s="84" t="str">
        <f>HYPERLINK("https://twitter.com/nenebuas")</f>
        <v>https://twitter.com/nenebuas</v>
      </c>
      <c r="AZ309" s="80" t="s">
        <v>66</v>
      </c>
      <c r="BA309" s="2"/>
      <c r="BB309" s="3"/>
      <c r="BC309" s="3"/>
      <c r="BD309" s="3"/>
      <c r="BE309" s="3"/>
    </row>
    <row r="310" spans="1:57" x14ac:dyDescent="0.35">
      <c r="A310" s="66" t="s">
        <v>448</v>
      </c>
      <c r="B310" s="67"/>
      <c r="C310" s="67"/>
      <c r="D310" s="68"/>
      <c r="E310" s="70"/>
      <c r="F310" s="106" t="str">
        <f>HYPERLINK("https://pbs.twimg.com/profile_images/1351484045759139843/zbKFSrCe_normal.jpg")</f>
        <v>https://pbs.twimg.com/profile_images/1351484045759139843/zbKFSrCe_normal.jpg</v>
      </c>
      <c r="G310" s="67"/>
      <c r="H310" s="71"/>
      <c r="I310" s="72"/>
      <c r="J310" s="72"/>
      <c r="K310" s="71" t="s">
        <v>7480</v>
      </c>
      <c r="L310" s="75"/>
      <c r="M310" s="76"/>
      <c r="N310" s="76"/>
      <c r="O310" s="77"/>
      <c r="P310" s="78"/>
      <c r="Q310" s="78"/>
      <c r="R310" s="90"/>
      <c r="S310" s="90"/>
      <c r="T310" s="90"/>
      <c r="U310" s="90"/>
      <c r="V310" s="52"/>
      <c r="W310" s="52"/>
      <c r="X310" s="52"/>
      <c r="Y310" s="52"/>
      <c r="Z310" s="51"/>
      <c r="AA310" s="73"/>
      <c r="AB310" s="73"/>
      <c r="AC310" s="74"/>
      <c r="AD310" s="80" t="s">
        <v>4486</v>
      </c>
      <c r="AE310" s="86" t="s">
        <v>5399</v>
      </c>
      <c r="AF310" s="80">
        <v>1033</v>
      </c>
      <c r="AG310" s="80">
        <v>992</v>
      </c>
      <c r="AH310" s="80">
        <v>4708</v>
      </c>
      <c r="AI310" s="80">
        <v>1235</v>
      </c>
      <c r="AJ310" s="80"/>
      <c r="AK310" s="80" t="s">
        <v>6185</v>
      </c>
      <c r="AL310" s="80" t="s">
        <v>6758</v>
      </c>
      <c r="AM310" s="80"/>
      <c r="AN310" s="80"/>
      <c r="AO310" s="82">
        <v>40159.691064814811</v>
      </c>
      <c r="AP310" s="84" t="str">
        <f>HYPERLINK("https://pbs.twimg.com/profile_banners/96372867/1495576573")</f>
        <v>https://pbs.twimg.com/profile_banners/96372867/1495576573</v>
      </c>
      <c r="AQ310" s="80" t="b">
        <v>0</v>
      </c>
      <c r="AR310" s="80" t="b">
        <v>0</v>
      </c>
      <c r="AS310" s="80" t="b">
        <v>0</v>
      </c>
      <c r="AT310" s="80"/>
      <c r="AU310" s="80">
        <v>0</v>
      </c>
      <c r="AV310" s="84" t="str">
        <f>HYPERLINK("https://abs.twimg.com/images/themes/theme2/bg.gif")</f>
        <v>https://abs.twimg.com/images/themes/theme2/bg.gif</v>
      </c>
      <c r="AW310" s="80" t="b">
        <v>0</v>
      </c>
      <c r="AX310" s="80" t="s">
        <v>7173</v>
      </c>
      <c r="AY310" s="84" t="str">
        <f>HYPERLINK("https://twitter.com/hanstali")</f>
        <v>https://twitter.com/hanstali</v>
      </c>
      <c r="AZ310" s="80" t="s">
        <v>66</v>
      </c>
      <c r="BA310" s="2"/>
      <c r="BB310" s="3"/>
      <c r="BC310" s="3"/>
      <c r="BD310" s="3"/>
      <c r="BE310" s="3"/>
    </row>
    <row r="311" spans="1:57" x14ac:dyDescent="0.35">
      <c r="A311" s="66" t="s">
        <v>449</v>
      </c>
      <c r="B311" s="67"/>
      <c r="C311" s="67"/>
      <c r="D311" s="68"/>
      <c r="E311" s="70"/>
      <c r="F311" s="106" t="str">
        <f>HYPERLINK("https://pbs.twimg.com/profile_images/1404973716665102338/gvcaon4Z_normal.jpg")</f>
        <v>https://pbs.twimg.com/profile_images/1404973716665102338/gvcaon4Z_normal.jpg</v>
      </c>
      <c r="G311" s="67"/>
      <c r="H311" s="71"/>
      <c r="I311" s="72"/>
      <c r="J311" s="72"/>
      <c r="K311" s="71" t="s">
        <v>7481</v>
      </c>
      <c r="L311" s="75"/>
      <c r="M311" s="76"/>
      <c r="N311" s="76"/>
      <c r="O311" s="77"/>
      <c r="P311" s="78"/>
      <c r="Q311" s="78"/>
      <c r="R311" s="90"/>
      <c r="S311" s="90"/>
      <c r="T311" s="90"/>
      <c r="U311" s="90"/>
      <c r="V311" s="52"/>
      <c r="W311" s="52"/>
      <c r="X311" s="52"/>
      <c r="Y311" s="52"/>
      <c r="Z311" s="51"/>
      <c r="AA311" s="73"/>
      <c r="AB311" s="73"/>
      <c r="AC311" s="74"/>
      <c r="AD311" s="80" t="s">
        <v>4487</v>
      </c>
      <c r="AE311" s="86" t="s">
        <v>5400</v>
      </c>
      <c r="AF311" s="80">
        <v>1948</v>
      </c>
      <c r="AG311" s="80">
        <v>1692</v>
      </c>
      <c r="AH311" s="80">
        <v>2582</v>
      </c>
      <c r="AI311" s="80">
        <v>24287</v>
      </c>
      <c r="AJ311" s="80"/>
      <c r="AK311" s="80" t="s">
        <v>6186</v>
      </c>
      <c r="AL311" s="80"/>
      <c r="AM311" s="80"/>
      <c r="AN311" s="80"/>
      <c r="AO311" s="82">
        <v>43625.594375000001</v>
      </c>
      <c r="AP311" s="84" t="str">
        <f>HYPERLINK("https://pbs.twimg.com/profile_banners/1137725006115291136/1622381836")</f>
        <v>https://pbs.twimg.com/profile_banners/1137725006115291136/1622381836</v>
      </c>
      <c r="AQ311" s="80" t="b">
        <v>1</v>
      </c>
      <c r="AR311" s="80" t="b">
        <v>0</v>
      </c>
      <c r="AS311" s="80" t="b">
        <v>0</v>
      </c>
      <c r="AT311" s="80"/>
      <c r="AU311" s="80">
        <v>0</v>
      </c>
      <c r="AV311" s="80"/>
      <c r="AW311" s="80" t="b">
        <v>0</v>
      </c>
      <c r="AX311" s="80" t="s">
        <v>7173</v>
      </c>
      <c r="AY311" s="84" t="str">
        <f>HYPERLINK("https://twitter.com/kotamati1999")</f>
        <v>https://twitter.com/kotamati1999</v>
      </c>
      <c r="AZ311" s="80" t="s">
        <v>66</v>
      </c>
      <c r="BA311" s="2"/>
      <c r="BB311" s="3"/>
      <c r="BC311" s="3"/>
      <c r="BD311" s="3"/>
      <c r="BE311" s="3"/>
    </row>
    <row r="312" spans="1:57" x14ac:dyDescent="0.35">
      <c r="A312" s="66" t="s">
        <v>450</v>
      </c>
      <c r="B312" s="67"/>
      <c r="C312" s="67"/>
      <c r="D312" s="68"/>
      <c r="E312" s="70"/>
      <c r="F312" s="106" t="str">
        <f>HYPERLINK("https://pbs.twimg.com/profile_images/1383309708899934211/lZcB9vjw_normal.jpg")</f>
        <v>https://pbs.twimg.com/profile_images/1383309708899934211/lZcB9vjw_normal.jpg</v>
      </c>
      <c r="G312" s="67"/>
      <c r="H312" s="71"/>
      <c r="I312" s="72"/>
      <c r="J312" s="72"/>
      <c r="K312" s="71" t="s">
        <v>7482</v>
      </c>
      <c r="L312" s="75"/>
      <c r="M312" s="76"/>
      <c r="N312" s="76"/>
      <c r="O312" s="77"/>
      <c r="P312" s="78"/>
      <c r="Q312" s="78"/>
      <c r="R312" s="90"/>
      <c r="S312" s="90"/>
      <c r="T312" s="90"/>
      <c r="U312" s="90"/>
      <c r="V312" s="52"/>
      <c r="W312" s="52"/>
      <c r="X312" s="52"/>
      <c r="Y312" s="52"/>
      <c r="Z312" s="51"/>
      <c r="AA312" s="73"/>
      <c r="AB312" s="73"/>
      <c r="AC312" s="74"/>
      <c r="AD312" s="80" t="s">
        <v>4488</v>
      </c>
      <c r="AE312" s="86" t="s">
        <v>5401</v>
      </c>
      <c r="AF312" s="80">
        <v>763</v>
      </c>
      <c r="AG312" s="80">
        <v>431</v>
      </c>
      <c r="AH312" s="80">
        <v>38764</v>
      </c>
      <c r="AI312" s="80">
        <v>39646</v>
      </c>
      <c r="AJ312" s="80"/>
      <c r="AK312" s="80" t="s">
        <v>6187</v>
      </c>
      <c r="AL312" s="80"/>
      <c r="AM312" s="80"/>
      <c r="AN312" s="80"/>
      <c r="AO312" s="82">
        <v>40972.123981481483</v>
      </c>
      <c r="AP312" s="84" t="str">
        <f>HYPERLINK("https://pbs.twimg.com/profile_banners/513873317/1618642848")</f>
        <v>https://pbs.twimg.com/profile_banners/513873317/1618642848</v>
      </c>
      <c r="AQ312" s="80" t="b">
        <v>1</v>
      </c>
      <c r="AR312" s="80" t="b">
        <v>0</v>
      </c>
      <c r="AS312" s="80" t="b">
        <v>1</v>
      </c>
      <c r="AT312" s="80"/>
      <c r="AU312" s="80">
        <v>1</v>
      </c>
      <c r="AV312" s="84" t="str">
        <f>HYPERLINK("https://abs.twimg.com/images/themes/theme1/bg.png")</f>
        <v>https://abs.twimg.com/images/themes/theme1/bg.png</v>
      </c>
      <c r="AW312" s="80" t="b">
        <v>0</v>
      </c>
      <c r="AX312" s="80" t="s">
        <v>7173</v>
      </c>
      <c r="AY312" s="84" t="str">
        <f>HYPERLINK("https://twitter.com/jengsri_ss")</f>
        <v>https://twitter.com/jengsri_ss</v>
      </c>
      <c r="AZ312" s="80" t="s">
        <v>66</v>
      </c>
      <c r="BA312" s="2"/>
      <c r="BB312" s="3"/>
      <c r="BC312" s="3"/>
      <c r="BD312" s="3"/>
      <c r="BE312" s="3"/>
    </row>
    <row r="313" spans="1:57" x14ac:dyDescent="0.35">
      <c r="A313" s="66" t="s">
        <v>451</v>
      </c>
      <c r="B313" s="67"/>
      <c r="C313" s="67"/>
      <c r="D313" s="68"/>
      <c r="E313" s="70"/>
      <c r="F313" s="106" t="str">
        <f>HYPERLINK("https://pbs.twimg.com/profile_images/681453013014192128/uDHfh_tG_normal.jpg")</f>
        <v>https://pbs.twimg.com/profile_images/681453013014192128/uDHfh_tG_normal.jpg</v>
      </c>
      <c r="G313" s="67"/>
      <c r="H313" s="71"/>
      <c r="I313" s="72"/>
      <c r="J313" s="72"/>
      <c r="K313" s="71" t="s">
        <v>7483</v>
      </c>
      <c r="L313" s="75"/>
      <c r="M313" s="76"/>
      <c r="N313" s="76"/>
      <c r="O313" s="77"/>
      <c r="P313" s="78"/>
      <c r="Q313" s="78"/>
      <c r="R313" s="90"/>
      <c r="S313" s="90"/>
      <c r="T313" s="90"/>
      <c r="U313" s="90"/>
      <c r="V313" s="52"/>
      <c r="W313" s="52"/>
      <c r="X313" s="52"/>
      <c r="Y313" s="52"/>
      <c r="Z313" s="51"/>
      <c r="AA313" s="73"/>
      <c r="AB313" s="73"/>
      <c r="AC313" s="74"/>
      <c r="AD313" s="80" t="s">
        <v>4489</v>
      </c>
      <c r="AE313" s="86" t="s">
        <v>5402</v>
      </c>
      <c r="AF313" s="80">
        <v>283</v>
      </c>
      <c r="AG313" s="80">
        <v>40</v>
      </c>
      <c r="AH313" s="80">
        <v>1328</v>
      </c>
      <c r="AI313" s="80">
        <v>717</v>
      </c>
      <c r="AJ313" s="80"/>
      <c r="AK313" s="80"/>
      <c r="AL313" s="80"/>
      <c r="AM313" s="80"/>
      <c r="AN313" s="80"/>
      <c r="AO313" s="82">
        <v>40433.59547453704</v>
      </c>
      <c r="AP313" s="84" t="str">
        <f>HYPERLINK("https://pbs.twimg.com/profile_banners/189887329/1402115026")</f>
        <v>https://pbs.twimg.com/profile_banners/189887329/1402115026</v>
      </c>
      <c r="AQ313" s="80" t="b">
        <v>1</v>
      </c>
      <c r="AR313" s="80" t="b">
        <v>0</v>
      </c>
      <c r="AS313" s="80" t="b">
        <v>0</v>
      </c>
      <c r="AT313" s="80"/>
      <c r="AU313" s="80">
        <v>0</v>
      </c>
      <c r="AV313" s="84" t="str">
        <f>HYPERLINK("https://abs.twimg.com/images/themes/theme1/bg.png")</f>
        <v>https://abs.twimg.com/images/themes/theme1/bg.png</v>
      </c>
      <c r="AW313" s="80" t="b">
        <v>0</v>
      </c>
      <c r="AX313" s="80" t="s">
        <v>7173</v>
      </c>
      <c r="AY313" s="84" t="str">
        <f>HYPERLINK("https://twitter.com/el_subiyanto")</f>
        <v>https://twitter.com/el_subiyanto</v>
      </c>
      <c r="AZ313" s="80" t="s">
        <v>66</v>
      </c>
      <c r="BA313" s="2"/>
      <c r="BB313" s="3"/>
      <c r="BC313" s="3"/>
      <c r="BD313" s="3"/>
      <c r="BE313" s="3"/>
    </row>
    <row r="314" spans="1:57" x14ac:dyDescent="0.35">
      <c r="A314" s="66" t="s">
        <v>452</v>
      </c>
      <c r="B314" s="67"/>
      <c r="C314" s="67"/>
      <c r="D314" s="68"/>
      <c r="E314" s="70"/>
      <c r="F314" s="106" t="str">
        <f>HYPERLINK("https://pbs.twimg.com/profile_images/1441350711606865922/ZOPPFrIJ_normal.jpg")</f>
        <v>https://pbs.twimg.com/profile_images/1441350711606865922/ZOPPFrIJ_normal.jpg</v>
      </c>
      <c r="G314" s="67"/>
      <c r="H314" s="71"/>
      <c r="I314" s="72"/>
      <c r="J314" s="72"/>
      <c r="K314" s="71" t="s">
        <v>7484</v>
      </c>
      <c r="L314" s="75"/>
      <c r="M314" s="76"/>
      <c r="N314" s="76"/>
      <c r="O314" s="77"/>
      <c r="P314" s="78"/>
      <c r="Q314" s="78"/>
      <c r="R314" s="90"/>
      <c r="S314" s="90"/>
      <c r="T314" s="90"/>
      <c r="U314" s="90"/>
      <c r="V314" s="52"/>
      <c r="W314" s="52"/>
      <c r="X314" s="52"/>
      <c r="Y314" s="52"/>
      <c r="Z314" s="51"/>
      <c r="AA314" s="73"/>
      <c r="AB314" s="73"/>
      <c r="AC314" s="74"/>
      <c r="AD314" s="80" t="s">
        <v>4490</v>
      </c>
      <c r="AE314" s="86" t="s">
        <v>5403</v>
      </c>
      <c r="AF314" s="80">
        <v>3319</v>
      </c>
      <c r="AG314" s="80">
        <v>3065</v>
      </c>
      <c r="AH314" s="80">
        <v>3472</v>
      </c>
      <c r="AI314" s="80">
        <v>10557</v>
      </c>
      <c r="AJ314" s="80"/>
      <c r="AK314" s="80" t="s">
        <v>6188</v>
      </c>
      <c r="AL314" s="80" t="s">
        <v>6762</v>
      </c>
      <c r="AM314" s="80"/>
      <c r="AN314" s="80"/>
      <c r="AO314" s="82">
        <v>40620.301076388889</v>
      </c>
      <c r="AP314" s="84" t="str">
        <f>HYPERLINK("https://pbs.twimg.com/profile_banners/268150984/1607473035")</f>
        <v>https://pbs.twimg.com/profile_banners/268150984/1607473035</v>
      </c>
      <c r="AQ314" s="80" t="b">
        <v>0</v>
      </c>
      <c r="AR314" s="80" t="b">
        <v>0</v>
      </c>
      <c r="AS314" s="80" t="b">
        <v>1</v>
      </c>
      <c r="AT314" s="80"/>
      <c r="AU314" s="80">
        <v>0</v>
      </c>
      <c r="AV314" s="84" t="str">
        <f>HYPERLINK("https://abs.twimg.com/images/themes/theme9/bg.gif")</f>
        <v>https://abs.twimg.com/images/themes/theme9/bg.gif</v>
      </c>
      <c r="AW314" s="80" t="b">
        <v>0</v>
      </c>
      <c r="AX314" s="80" t="s">
        <v>7173</v>
      </c>
      <c r="AY314" s="84" t="str">
        <f>HYPERLINK("https://twitter.com/linaandria")</f>
        <v>https://twitter.com/linaandria</v>
      </c>
      <c r="AZ314" s="80" t="s">
        <v>66</v>
      </c>
      <c r="BA314" s="2"/>
      <c r="BB314" s="3"/>
      <c r="BC314" s="3"/>
      <c r="BD314" s="3"/>
      <c r="BE314" s="3"/>
    </row>
    <row r="315" spans="1:57" x14ac:dyDescent="0.35">
      <c r="A315" s="66" t="s">
        <v>453</v>
      </c>
      <c r="B315" s="67"/>
      <c r="C315" s="67"/>
      <c r="D315" s="68"/>
      <c r="E315" s="70"/>
      <c r="F315" s="106" t="str">
        <f>HYPERLINK("https://pbs.twimg.com/profile_images/1427906376362184707/3Nvd0ocs_normal.jpg")</f>
        <v>https://pbs.twimg.com/profile_images/1427906376362184707/3Nvd0ocs_normal.jpg</v>
      </c>
      <c r="G315" s="67"/>
      <c r="H315" s="71"/>
      <c r="I315" s="72"/>
      <c r="J315" s="72"/>
      <c r="K315" s="71" t="s">
        <v>7485</v>
      </c>
      <c r="L315" s="75"/>
      <c r="M315" s="76"/>
      <c r="N315" s="76"/>
      <c r="O315" s="77"/>
      <c r="P315" s="78"/>
      <c r="Q315" s="78"/>
      <c r="R315" s="90"/>
      <c r="S315" s="90"/>
      <c r="T315" s="90"/>
      <c r="U315" s="90"/>
      <c r="V315" s="52"/>
      <c r="W315" s="52"/>
      <c r="X315" s="52"/>
      <c r="Y315" s="52"/>
      <c r="Z315" s="51"/>
      <c r="AA315" s="73"/>
      <c r="AB315" s="73"/>
      <c r="AC315" s="74"/>
      <c r="AD315" s="80" t="s">
        <v>4491</v>
      </c>
      <c r="AE315" s="86" t="s">
        <v>5404</v>
      </c>
      <c r="AF315" s="80">
        <v>2712</v>
      </c>
      <c r="AG315" s="80">
        <v>383</v>
      </c>
      <c r="AH315" s="80">
        <v>34532</v>
      </c>
      <c r="AI315" s="80">
        <v>18285</v>
      </c>
      <c r="AJ315" s="80"/>
      <c r="AK315" s="80" t="s">
        <v>6189</v>
      </c>
      <c r="AL315" s="80" t="s">
        <v>6779</v>
      </c>
      <c r="AM315" s="80"/>
      <c r="AN315" s="80"/>
      <c r="AO315" s="82">
        <v>41909.475173611114</v>
      </c>
      <c r="AP315" s="84" t="str">
        <f>HYPERLINK("https://pbs.twimg.com/profile_banners/2833909830/1629170986")</f>
        <v>https://pbs.twimg.com/profile_banners/2833909830/1629170986</v>
      </c>
      <c r="AQ315" s="80" t="b">
        <v>1</v>
      </c>
      <c r="AR315" s="80" t="b">
        <v>0</v>
      </c>
      <c r="AS315" s="80" t="b">
        <v>1</v>
      </c>
      <c r="AT315" s="80"/>
      <c r="AU315" s="80">
        <v>0</v>
      </c>
      <c r="AV315" s="84" t="str">
        <f>HYPERLINK("https://abs.twimg.com/images/themes/theme1/bg.png")</f>
        <v>https://abs.twimg.com/images/themes/theme1/bg.png</v>
      </c>
      <c r="AW315" s="80" t="b">
        <v>0</v>
      </c>
      <c r="AX315" s="80" t="s">
        <v>7173</v>
      </c>
      <c r="AY315" s="84" t="str">
        <f>HYPERLINK("https://twitter.com/mimelva_su")</f>
        <v>https://twitter.com/mimelva_su</v>
      </c>
      <c r="AZ315" s="80" t="s">
        <v>66</v>
      </c>
      <c r="BA315" s="2"/>
      <c r="BB315" s="3"/>
      <c r="BC315" s="3"/>
      <c r="BD315" s="3"/>
      <c r="BE315" s="3"/>
    </row>
    <row r="316" spans="1:57" x14ac:dyDescent="0.35">
      <c r="A316" s="66" t="s">
        <v>454</v>
      </c>
      <c r="B316" s="67"/>
      <c r="C316" s="67"/>
      <c r="D316" s="68"/>
      <c r="E316" s="70"/>
      <c r="F316" s="106" t="str">
        <f>HYPERLINK("https://pbs.twimg.com/profile_images/1123065697825779712/TOwsuIov_normal.jpg")</f>
        <v>https://pbs.twimg.com/profile_images/1123065697825779712/TOwsuIov_normal.jpg</v>
      </c>
      <c r="G316" s="67"/>
      <c r="H316" s="71"/>
      <c r="I316" s="72"/>
      <c r="J316" s="72"/>
      <c r="K316" s="71" t="s">
        <v>7486</v>
      </c>
      <c r="L316" s="75"/>
      <c r="M316" s="76"/>
      <c r="N316" s="76"/>
      <c r="O316" s="77"/>
      <c r="P316" s="78"/>
      <c r="Q316" s="78"/>
      <c r="R316" s="90"/>
      <c r="S316" s="90"/>
      <c r="T316" s="90"/>
      <c r="U316" s="90"/>
      <c r="V316" s="52"/>
      <c r="W316" s="52"/>
      <c r="X316" s="52"/>
      <c r="Y316" s="52"/>
      <c r="Z316" s="51"/>
      <c r="AA316" s="73"/>
      <c r="AB316" s="73"/>
      <c r="AC316" s="74"/>
      <c r="AD316" s="80" t="s">
        <v>4492</v>
      </c>
      <c r="AE316" s="86" t="s">
        <v>5405</v>
      </c>
      <c r="AF316" s="80">
        <v>238</v>
      </c>
      <c r="AG316" s="80">
        <v>240</v>
      </c>
      <c r="AH316" s="80">
        <v>44981</v>
      </c>
      <c r="AI316" s="80">
        <v>27895</v>
      </c>
      <c r="AJ316" s="80"/>
      <c r="AK316" s="80" t="s">
        <v>6190</v>
      </c>
      <c r="AL316" s="80" t="s">
        <v>6902</v>
      </c>
      <c r="AM316" s="80"/>
      <c r="AN316" s="80"/>
      <c r="AO316" s="82">
        <v>40259.434166666666</v>
      </c>
      <c r="AP316" s="84" t="str">
        <f>HYPERLINK("https://pbs.twimg.com/profile_banners/125294713/1495781137")</f>
        <v>https://pbs.twimg.com/profile_banners/125294713/1495781137</v>
      </c>
      <c r="AQ316" s="80" t="b">
        <v>0</v>
      </c>
      <c r="AR316" s="80" t="b">
        <v>0</v>
      </c>
      <c r="AS316" s="80" t="b">
        <v>0</v>
      </c>
      <c r="AT316" s="80"/>
      <c r="AU316" s="80">
        <v>4</v>
      </c>
      <c r="AV316" s="84" t="str">
        <f>HYPERLINK("https://abs.twimg.com/images/themes/theme15/bg.png")</f>
        <v>https://abs.twimg.com/images/themes/theme15/bg.png</v>
      </c>
      <c r="AW316" s="80" t="b">
        <v>0</v>
      </c>
      <c r="AX316" s="80" t="s">
        <v>7173</v>
      </c>
      <c r="AY316" s="84" t="str">
        <f>HYPERLINK("https://twitter.com/rang_hoki")</f>
        <v>https://twitter.com/rang_hoki</v>
      </c>
      <c r="AZ316" s="80" t="s">
        <v>66</v>
      </c>
      <c r="BA316" s="2"/>
      <c r="BB316" s="3"/>
      <c r="BC316" s="3"/>
      <c r="BD316" s="3"/>
      <c r="BE316" s="3"/>
    </row>
    <row r="317" spans="1:57" x14ac:dyDescent="0.35">
      <c r="A317" s="66" t="s">
        <v>455</v>
      </c>
      <c r="B317" s="67"/>
      <c r="C317" s="67"/>
      <c r="D317" s="68"/>
      <c r="E317" s="70"/>
      <c r="F317" s="106" t="str">
        <f>HYPERLINK("https://pbs.twimg.com/profile_images/1402491931083509766/rEVevhw9_normal.jpg")</f>
        <v>https://pbs.twimg.com/profile_images/1402491931083509766/rEVevhw9_normal.jpg</v>
      </c>
      <c r="G317" s="67"/>
      <c r="H317" s="71"/>
      <c r="I317" s="72"/>
      <c r="J317" s="72"/>
      <c r="K317" s="71" t="s">
        <v>7487</v>
      </c>
      <c r="L317" s="75"/>
      <c r="M317" s="76"/>
      <c r="N317" s="76"/>
      <c r="O317" s="77"/>
      <c r="P317" s="78"/>
      <c r="Q317" s="78"/>
      <c r="R317" s="90"/>
      <c r="S317" s="90"/>
      <c r="T317" s="90"/>
      <c r="U317" s="90"/>
      <c r="V317" s="52"/>
      <c r="W317" s="52"/>
      <c r="X317" s="52"/>
      <c r="Y317" s="52"/>
      <c r="Z317" s="51"/>
      <c r="AA317" s="73"/>
      <c r="AB317" s="73"/>
      <c r="AC317" s="74"/>
      <c r="AD317" s="80" t="s">
        <v>4493</v>
      </c>
      <c r="AE317" s="86" t="s">
        <v>5406</v>
      </c>
      <c r="AF317" s="80">
        <v>515</v>
      </c>
      <c r="AG317" s="80">
        <v>84</v>
      </c>
      <c r="AH317" s="80">
        <v>3260</v>
      </c>
      <c r="AI317" s="80">
        <v>291</v>
      </c>
      <c r="AJ317" s="80"/>
      <c r="AK317" s="80" t="s">
        <v>6191</v>
      </c>
      <c r="AL317" s="80" t="s">
        <v>6903</v>
      </c>
      <c r="AM317" s="80"/>
      <c r="AN317" s="80"/>
      <c r="AO317" s="82">
        <v>43662.288981481484</v>
      </c>
      <c r="AP317" s="84" t="str">
        <f>HYPERLINK("https://pbs.twimg.com/profile_banners/1151022687117963264/1629873605")</f>
        <v>https://pbs.twimg.com/profile_banners/1151022687117963264/1629873605</v>
      </c>
      <c r="AQ317" s="80" t="b">
        <v>1</v>
      </c>
      <c r="AR317" s="80" t="b">
        <v>0</v>
      </c>
      <c r="AS317" s="80" t="b">
        <v>0</v>
      </c>
      <c r="AT317" s="80"/>
      <c r="AU317" s="80">
        <v>0</v>
      </c>
      <c r="AV317" s="80"/>
      <c r="AW317" s="80" t="b">
        <v>0</v>
      </c>
      <c r="AX317" s="80" t="s">
        <v>7173</v>
      </c>
      <c r="AY317" s="84" t="str">
        <f>HYPERLINK("https://twitter.com/iisinyo")</f>
        <v>https://twitter.com/iisinyo</v>
      </c>
      <c r="AZ317" s="80" t="s">
        <v>66</v>
      </c>
      <c r="BA317" s="2"/>
      <c r="BB317" s="3"/>
      <c r="BC317" s="3"/>
      <c r="BD317" s="3"/>
      <c r="BE317" s="3"/>
    </row>
    <row r="318" spans="1:57" x14ac:dyDescent="0.35">
      <c r="A318" s="66" t="s">
        <v>456</v>
      </c>
      <c r="B318" s="67"/>
      <c r="C318" s="67"/>
      <c r="D318" s="68"/>
      <c r="E318" s="70"/>
      <c r="F318" s="106" t="str">
        <f>HYPERLINK("https://pbs.twimg.com/profile_images/1356587728104607745/KuShGG4r_normal.jpg")</f>
        <v>https://pbs.twimg.com/profile_images/1356587728104607745/KuShGG4r_normal.jpg</v>
      </c>
      <c r="G318" s="67"/>
      <c r="H318" s="71"/>
      <c r="I318" s="72"/>
      <c r="J318" s="72"/>
      <c r="K318" s="71" t="s">
        <v>7488</v>
      </c>
      <c r="L318" s="75"/>
      <c r="M318" s="76"/>
      <c r="N318" s="76"/>
      <c r="O318" s="77"/>
      <c r="P318" s="78"/>
      <c r="Q318" s="78"/>
      <c r="R318" s="90"/>
      <c r="S318" s="90"/>
      <c r="T318" s="90"/>
      <c r="U318" s="90"/>
      <c r="V318" s="52"/>
      <c r="W318" s="52"/>
      <c r="X318" s="52"/>
      <c r="Y318" s="52"/>
      <c r="Z318" s="51"/>
      <c r="AA318" s="73"/>
      <c r="AB318" s="73"/>
      <c r="AC318" s="74"/>
      <c r="AD318" s="80" t="s">
        <v>4494</v>
      </c>
      <c r="AE318" s="86" t="s">
        <v>5407</v>
      </c>
      <c r="AF318" s="80">
        <v>1938</v>
      </c>
      <c r="AG318" s="80">
        <v>239</v>
      </c>
      <c r="AH318" s="80">
        <v>11850</v>
      </c>
      <c r="AI318" s="80">
        <v>3836</v>
      </c>
      <c r="AJ318" s="80"/>
      <c r="AK318" s="80" t="s">
        <v>6192</v>
      </c>
      <c r="AL318" s="80" t="s">
        <v>6904</v>
      </c>
      <c r="AM318" s="80"/>
      <c r="AN318" s="80"/>
      <c r="AO318" s="82">
        <v>43810.78361111111</v>
      </c>
      <c r="AP318" s="84" t="str">
        <f>HYPERLINK("https://pbs.twimg.com/profile_banners/1204835129257947137/1632188413")</f>
        <v>https://pbs.twimg.com/profile_banners/1204835129257947137/1632188413</v>
      </c>
      <c r="AQ318" s="80" t="b">
        <v>1</v>
      </c>
      <c r="AR318" s="80" t="b">
        <v>0</v>
      </c>
      <c r="AS318" s="80" t="b">
        <v>0</v>
      </c>
      <c r="AT318" s="80"/>
      <c r="AU318" s="80">
        <v>0</v>
      </c>
      <c r="AV318" s="80"/>
      <c r="AW318" s="80" t="b">
        <v>0</v>
      </c>
      <c r="AX318" s="80" t="s">
        <v>7173</v>
      </c>
      <c r="AY318" s="84" t="str">
        <f>HYPERLINK("https://twitter.com/van_karonese")</f>
        <v>https://twitter.com/van_karonese</v>
      </c>
      <c r="AZ318" s="80" t="s">
        <v>66</v>
      </c>
      <c r="BA318" s="2"/>
      <c r="BB318" s="3"/>
      <c r="BC318" s="3"/>
      <c r="BD318" s="3"/>
      <c r="BE318" s="3"/>
    </row>
    <row r="319" spans="1:57" x14ac:dyDescent="0.35">
      <c r="A319" s="66" t="s">
        <v>457</v>
      </c>
      <c r="B319" s="67"/>
      <c r="C319" s="67"/>
      <c r="D319" s="68"/>
      <c r="E319" s="70"/>
      <c r="F319" s="106" t="str">
        <f>HYPERLINK("https://pbs.twimg.com/profile_images/1417702090055421954/sDUjIXYK_normal.jpg")</f>
        <v>https://pbs.twimg.com/profile_images/1417702090055421954/sDUjIXYK_normal.jpg</v>
      </c>
      <c r="G319" s="67"/>
      <c r="H319" s="71"/>
      <c r="I319" s="72"/>
      <c r="J319" s="72"/>
      <c r="K319" s="71" t="s">
        <v>7489</v>
      </c>
      <c r="L319" s="75"/>
      <c r="M319" s="76"/>
      <c r="N319" s="76"/>
      <c r="O319" s="77"/>
      <c r="P319" s="78"/>
      <c r="Q319" s="78"/>
      <c r="R319" s="90"/>
      <c r="S319" s="90"/>
      <c r="T319" s="90"/>
      <c r="U319" s="90"/>
      <c r="V319" s="52"/>
      <c r="W319" s="52"/>
      <c r="X319" s="52"/>
      <c r="Y319" s="52"/>
      <c r="Z319" s="51"/>
      <c r="AA319" s="73"/>
      <c r="AB319" s="73"/>
      <c r="AC319" s="74"/>
      <c r="AD319" s="80" t="s">
        <v>4495</v>
      </c>
      <c r="AE319" s="86" t="s">
        <v>5408</v>
      </c>
      <c r="AF319" s="80">
        <v>407</v>
      </c>
      <c r="AG319" s="80">
        <v>356</v>
      </c>
      <c r="AH319" s="80">
        <v>19985</v>
      </c>
      <c r="AI319" s="80">
        <v>5369</v>
      </c>
      <c r="AJ319" s="80"/>
      <c r="AK319" s="80" t="s">
        <v>6193</v>
      </c>
      <c r="AL319" s="80" t="s">
        <v>6905</v>
      </c>
      <c r="AM319" s="84" t="str">
        <f>HYPERLINK("https://t.co/iGQn3ah9gO")</f>
        <v>https://t.co/iGQn3ah9gO</v>
      </c>
      <c r="AN319" s="80"/>
      <c r="AO319" s="82">
        <v>43849.757719907408</v>
      </c>
      <c r="AP319" s="84" t="str">
        <f>HYPERLINK("https://pbs.twimg.com/profile_banners/1218959023489204224/1626841493")</f>
        <v>https://pbs.twimg.com/profile_banners/1218959023489204224/1626841493</v>
      </c>
      <c r="AQ319" s="80" t="b">
        <v>1</v>
      </c>
      <c r="AR319" s="80" t="b">
        <v>0</v>
      </c>
      <c r="AS319" s="80" t="b">
        <v>0</v>
      </c>
      <c r="AT319" s="80"/>
      <c r="AU319" s="80">
        <v>0</v>
      </c>
      <c r="AV319" s="80"/>
      <c r="AW319" s="80" t="b">
        <v>0</v>
      </c>
      <c r="AX319" s="80" t="s">
        <v>7173</v>
      </c>
      <c r="AY319" s="84" t="str">
        <f>HYPERLINK("https://twitter.com/gochimobsi")</f>
        <v>https://twitter.com/gochimobsi</v>
      </c>
      <c r="AZ319" s="80" t="s">
        <v>66</v>
      </c>
      <c r="BA319" s="2"/>
      <c r="BB319" s="3"/>
      <c r="BC319" s="3"/>
      <c r="BD319" s="3"/>
      <c r="BE319" s="3"/>
    </row>
    <row r="320" spans="1:57" x14ac:dyDescent="0.35">
      <c r="A320" s="66" t="s">
        <v>458</v>
      </c>
      <c r="B320" s="67"/>
      <c r="C320" s="67"/>
      <c r="D320" s="68"/>
      <c r="E320" s="70"/>
      <c r="F320" s="106" t="str">
        <f>HYPERLINK("https://pbs.twimg.com/profile_images/1433161702388940801/hsaNR9Ks_normal.jpg")</f>
        <v>https://pbs.twimg.com/profile_images/1433161702388940801/hsaNR9Ks_normal.jpg</v>
      </c>
      <c r="G320" s="67"/>
      <c r="H320" s="71"/>
      <c r="I320" s="72"/>
      <c r="J320" s="72"/>
      <c r="K320" s="71" t="s">
        <v>7490</v>
      </c>
      <c r="L320" s="75"/>
      <c r="M320" s="76"/>
      <c r="N320" s="76"/>
      <c r="O320" s="77"/>
      <c r="P320" s="78"/>
      <c r="Q320" s="78"/>
      <c r="R320" s="90"/>
      <c r="S320" s="90"/>
      <c r="T320" s="90"/>
      <c r="U320" s="90"/>
      <c r="V320" s="52"/>
      <c r="W320" s="52"/>
      <c r="X320" s="52"/>
      <c r="Y320" s="52"/>
      <c r="Z320" s="51"/>
      <c r="AA320" s="73"/>
      <c r="AB320" s="73"/>
      <c r="AC320" s="74"/>
      <c r="AD320" s="80" t="s">
        <v>4496</v>
      </c>
      <c r="AE320" s="86" t="s">
        <v>5409</v>
      </c>
      <c r="AF320" s="80">
        <v>2785</v>
      </c>
      <c r="AG320" s="80">
        <v>1416</v>
      </c>
      <c r="AH320" s="80">
        <v>3812</v>
      </c>
      <c r="AI320" s="80">
        <v>43449</v>
      </c>
      <c r="AJ320" s="80"/>
      <c r="AK320" s="80" t="s">
        <v>6194</v>
      </c>
      <c r="AL320" s="80" t="s">
        <v>6906</v>
      </c>
      <c r="AM320" s="80"/>
      <c r="AN320" s="80"/>
      <c r="AO320" s="82">
        <v>42464.517129629632</v>
      </c>
      <c r="AP320" s="84" t="str">
        <f>HYPERLINK("https://pbs.twimg.com/profile_banners/716964703977623552/1550521286")</f>
        <v>https://pbs.twimg.com/profile_banners/716964703977623552/1550521286</v>
      </c>
      <c r="AQ320" s="80" t="b">
        <v>1</v>
      </c>
      <c r="AR320" s="80" t="b">
        <v>0</v>
      </c>
      <c r="AS320" s="80" t="b">
        <v>0</v>
      </c>
      <c r="AT320" s="80"/>
      <c r="AU320" s="80">
        <v>0</v>
      </c>
      <c r="AV320" s="80"/>
      <c r="AW320" s="80" t="b">
        <v>0</v>
      </c>
      <c r="AX320" s="80" t="s">
        <v>7173</v>
      </c>
      <c r="AY320" s="84" t="str">
        <f>HYPERLINK("https://twitter.com/solhot_beken")</f>
        <v>https://twitter.com/solhot_beken</v>
      </c>
      <c r="AZ320" s="80" t="s">
        <v>66</v>
      </c>
      <c r="BA320" s="2"/>
      <c r="BB320" s="3"/>
      <c r="BC320" s="3"/>
      <c r="BD320" s="3"/>
      <c r="BE320" s="3"/>
    </row>
    <row r="321" spans="1:57" x14ac:dyDescent="0.35">
      <c r="A321" s="66" t="s">
        <v>459</v>
      </c>
      <c r="B321" s="67"/>
      <c r="C321" s="67"/>
      <c r="D321" s="68"/>
      <c r="E321" s="70"/>
      <c r="F321" s="106" t="str">
        <f>HYPERLINK("https://pbs.twimg.com/profile_images/1050954051473424384/39YKEXuF_normal.jpg")</f>
        <v>https://pbs.twimg.com/profile_images/1050954051473424384/39YKEXuF_normal.jpg</v>
      </c>
      <c r="G321" s="67"/>
      <c r="H321" s="71"/>
      <c r="I321" s="72"/>
      <c r="J321" s="72"/>
      <c r="K321" s="71" t="s">
        <v>7491</v>
      </c>
      <c r="L321" s="75"/>
      <c r="M321" s="76"/>
      <c r="N321" s="76"/>
      <c r="O321" s="77"/>
      <c r="P321" s="78"/>
      <c r="Q321" s="78"/>
      <c r="R321" s="90"/>
      <c r="S321" s="90"/>
      <c r="T321" s="90"/>
      <c r="U321" s="90"/>
      <c r="V321" s="52"/>
      <c r="W321" s="52"/>
      <c r="X321" s="52"/>
      <c r="Y321" s="52"/>
      <c r="Z321" s="51"/>
      <c r="AA321" s="73"/>
      <c r="AB321" s="73"/>
      <c r="AC321" s="74"/>
      <c r="AD321" s="80" t="s">
        <v>4497</v>
      </c>
      <c r="AE321" s="86" t="s">
        <v>5410</v>
      </c>
      <c r="AF321" s="80">
        <v>3008</v>
      </c>
      <c r="AG321" s="80">
        <v>2047</v>
      </c>
      <c r="AH321" s="80">
        <v>1368</v>
      </c>
      <c r="AI321" s="80">
        <v>3293</v>
      </c>
      <c r="AJ321" s="80"/>
      <c r="AK321" s="80" t="s">
        <v>6195</v>
      </c>
      <c r="AL321" s="80" t="s">
        <v>4145</v>
      </c>
      <c r="AM321" s="80"/>
      <c r="AN321" s="80"/>
      <c r="AO321" s="82">
        <v>43385.999872685185</v>
      </c>
      <c r="AP321" s="84" t="str">
        <f>HYPERLINK("https://pbs.twimg.com/profile_banners/1050898867435098112/1539401945")</f>
        <v>https://pbs.twimg.com/profile_banners/1050898867435098112/1539401945</v>
      </c>
      <c r="AQ321" s="80" t="b">
        <v>1</v>
      </c>
      <c r="AR321" s="80" t="b">
        <v>0</v>
      </c>
      <c r="AS321" s="80" t="b">
        <v>1</v>
      </c>
      <c r="AT321" s="80"/>
      <c r="AU321" s="80">
        <v>1</v>
      </c>
      <c r="AV321" s="80"/>
      <c r="AW321" s="80" t="b">
        <v>0</v>
      </c>
      <c r="AX321" s="80" t="s">
        <v>7173</v>
      </c>
      <c r="AY321" s="84" t="str">
        <f>HYPERLINK("https://twitter.com/puanmerdeka2")</f>
        <v>https://twitter.com/puanmerdeka2</v>
      </c>
      <c r="AZ321" s="80" t="s">
        <v>66</v>
      </c>
      <c r="BA321" s="2"/>
      <c r="BB321" s="3"/>
      <c r="BC321" s="3"/>
      <c r="BD321" s="3"/>
      <c r="BE321" s="3"/>
    </row>
    <row r="322" spans="1:57" x14ac:dyDescent="0.35">
      <c r="A322" s="66" t="s">
        <v>460</v>
      </c>
      <c r="B322" s="67"/>
      <c r="C322" s="67"/>
      <c r="D322" s="68"/>
      <c r="E322" s="70"/>
      <c r="F322" s="106" t="str">
        <f>HYPERLINK("https://pbs.twimg.com/profile_images/1441940868739465221/FUke7CKP_normal.jpg")</f>
        <v>https://pbs.twimg.com/profile_images/1441940868739465221/FUke7CKP_normal.jpg</v>
      </c>
      <c r="G322" s="67"/>
      <c r="H322" s="71"/>
      <c r="I322" s="72"/>
      <c r="J322" s="72"/>
      <c r="K322" s="71" t="s">
        <v>7492</v>
      </c>
      <c r="L322" s="75"/>
      <c r="M322" s="76"/>
      <c r="N322" s="76"/>
      <c r="O322" s="77"/>
      <c r="P322" s="78"/>
      <c r="Q322" s="78"/>
      <c r="R322" s="90"/>
      <c r="S322" s="90"/>
      <c r="T322" s="90"/>
      <c r="U322" s="90"/>
      <c r="V322" s="52"/>
      <c r="W322" s="52"/>
      <c r="X322" s="52"/>
      <c r="Y322" s="52"/>
      <c r="Z322" s="51"/>
      <c r="AA322" s="73"/>
      <c r="AB322" s="73"/>
      <c r="AC322" s="74"/>
      <c r="AD322" s="80" t="s">
        <v>4498</v>
      </c>
      <c r="AE322" s="86" t="s">
        <v>5411</v>
      </c>
      <c r="AF322" s="80">
        <v>1200</v>
      </c>
      <c r="AG322" s="80">
        <v>664</v>
      </c>
      <c r="AH322" s="80">
        <v>2112</v>
      </c>
      <c r="AI322" s="80">
        <v>1889</v>
      </c>
      <c r="AJ322" s="80"/>
      <c r="AK322" s="80" t="s">
        <v>6196</v>
      </c>
      <c r="AL322" s="80" t="s">
        <v>4147</v>
      </c>
      <c r="AM322" s="80"/>
      <c r="AN322" s="80"/>
      <c r="AO322" s="82">
        <v>44151.163425925923</v>
      </c>
      <c r="AP322" s="84" t="str">
        <f>HYPERLINK("https://pbs.twimg.com/profile_banners/1328184797764616194/1632100964")</f>
        <v>https://pbs.twimg.com/profile_banners/1328184797764616194/1632100964</v>
      </c>
      <c r="AQ322" s="80" t="b">
        <v>1</v>
      </c>
      <c r="AR322" s="80" t="b">
        <v>0</v>
      </c>
      <c r="AS322" s="80" t="b">
        <v>0</v>
      </c>
      <c r="AT322" s="80"/>
      <c r="AU322" s="80">
        <v>4</v>
      </c>
      <c r="AV322" s="80"/>
      <c r="AW322" s="80" t="b">
        <v>0</v>
      </c>
      <c r="AX322" s="80" t="s">
        <v>7173</v>
      </c>
      <c r="AY322" s="84" t="str">
        <f>HYPERLINK("https://twitter.com/miss_win69")</f>
        <v>https://twitter.com/miss_win69</v>
      </c>
      <c r="AZ322" s="80" t="s">
        <v>66</v>
      </c>
      <c r="BA322" s="2"/>
      <c r="BB322" s="3"/>
      <c r="BC322" s="3"/>
      <c r="BD322" s="3"/>
      <c r="BE322" s="3"/>
    </row>
    <row r="323" spans="1:57" x14ac:dyDescent="0.35">
      <c r="A323" s="66" t="s">
        <v>461</v>
      </c>
      <c r="B323" s="67"/>
      <c r="C323" s="67"/>
      <c r="D323" s="68"/>
      <c r="E323" s="70"/>
      <c r="F323" s="106" t="str">
        <f>HYPERLINK("https://pbs.twimg.com/profile_images/1341730949210333184/mNXv8hU__normal.jpg")</f>
        <v>https://pbs.twimg.com/profile_images/1341730949210333184/mNXv8hU__normal.jpg</v>
      </c>
      <c r="G323" s="67"/>
      <c r="H323" s="71"/>
      <c r="I323" s="72"/>
      <c r="J323" s="72"/>
      <c r="K323" s="71" t="s">
        <v>7493</v>
      </c>
      <c r="L323" s="75"/>
      <c r="M323" s="76"/>
      <c r="N323" s="76"/>
      <c r="O323" s="77"/>
      <c r="P323" s="78"/>
      <c r="Q323" s="78"/>
      <c r="R323" s="90"/>
      <c r="S323" s="90"/>
      <c r="T323" s="90"/>
      <c r="U323" s="90"/>
      <c r="V323" s="52"/>
      <c r="W323" s="52"/>
      <c r="X323" s="52"/>
      <c r="Y323" s="52"/>
      <c r="Z323" s="51"/>
      <c r="AA323" s="73"/>
      <c r="AB323" s="73"/>
      <c r="AC323" s="74"/>
      <c r="AD323" s="80" t="s">
        <v>4499</v>
      </c>
      <c r="AE323" s="86" t="s">
        <v>5412</v>
      </c>
      <c r="AF323" s="80">
        <v>8380</v>
      </c>
      <c r="AG323" s="80">
        <v>8584</v>
      </c>
      <c r="AH323" s="80">
        <v>19417</v>
      </c>
      <c r="AI323" s="80">
        <v>25649</v>
      </c>
      <c r="AJ323" s="80"/>
      <c r="AK323" s="80" t="s">
        <v>6197</v>
      </c>
      <c r="AL323" s="80" t="s">
        <v>6779</v>
      </c>
      <c r="AM323" s="80"/>
      <c r="AN323" s="80"/>
      <c r="AO323" s="82">
        <v>42029.138807870368</v>
      </c>
      <c r="AP323" s="84" t="str">
        <f>HYPERLINK("https://pbs.twimg.com/profile_banners/2995331047/1593585884")</f>
        <v>https://pbs.twimg.com/profile_banners/2995331047/1593585884</v>
      </c>
      <c r="AQ323" s="80" t="b">
        <v>1</v>
      </c>
      <c r="AR323" s="80" t="b">
        <v>0</v>
      </c>
      <c r="AS323" s="80" t="b">
        <v>1</v>
      </c>
      <c r="AT323" s="80"/>
      <c r="AU323" s="80">
        <v>0</v>
      </c>
      <c r="AV323" s="84" t="str">
        <f>HYPERLINK("https://abs.twimg.com/images/themes/theme1/bg.png")</f>
        <v>https://abs.twimg.com/images/themes/theme1/bg.png</v>
      </c>
      <c r="AW323" s="80" t="b">
        <v>0</v>
      </c>
      <c r="AX323" s="80" t="s">
        <v>7173</v>
      </c>
      <c r="AY323" s="84" t="str">
        <f>HYPERLINK("https://twitter.com/dijei_mc")</f>
        <v>https://twitter.com/dijei_mc</v>
      </c>
      <c r="AZ323" s="80" t="s">
        <v>66</v>
      </c>
      <c r="BA323" s="2"/>
      <c r="BB323" s="3"/>
      <c r="BC323" s="3"/>
      <c r="BD323" s="3"/>
      <c r="BE323" s="3"/>
    </row>
    <row r="324" spans="1:57" x14ac:dyDescent="0.35">
      <c r="A324" s="66" t="s">
        <v>462</v>
      </c>
      <c r="B324" s="67"/>
      <c r="C324" s="67"/>
      <c r="D324" s="68"/>
      <c r="E324" s="70"/>
      <c r="F324" s="106" t="str">
        <f>HYPERLINK("https://pbs.twimg.com/profile_images/1242856364013043714/vO0WWdhK_normal.jpg")</f>
        <v>https://pbs.twimg.com/profile_images/1242856364013043714/vO0WWdhK_normal.jpg</v>
      </c>
      <c r="G324" s="67"/>
      <c r="H324" s="71"/>
      <c r="I324" s="72"/>
      <c r="J324" s="72"/>
      <c r="K324" s="71" t="s">
        <v>7494</v>
      </c>
      <c r="L324" s="75"/>
      <c r="M324" s="76"/>
      <c r="N324" s="76"/>
      <c r="O324" s="77"/>
      <c r="P324" s="78"/>
      <c r="Q324" s="78"/>
      <c r="R324" s="90"/>
      <c r="S324" s="90"/>
      <c r="T324" s="90"/>
      <c r="U324" s="90"/>
      <c r="V324" s="52"/>
      <c r="W324" s="52"/>
      <c r="X324" s="52"/>
      <c r="Y324" s="52"/>
      <c r="Z324" s="51"/>
      <c r="AA324" s="73"/>
      <c r="AB324" s="73"/>
      <c r="AC324" s="74"/>
      <c r="AD324" s="80" t="s">
        <v>4500</v>
      </c>
      <c r="AE324" s="86" t="s">
        <v>5413</v>
      </c>
      <c r="AF324" s="80">
        <v>4941</v>
      </c>
      <c r="AG324" s="80">
        <v>4172</v>
      </c>
      <c r="AH324" s="80">
        <v>546</v>
      </c>
      <c r="AI324" s="80">
        <v>49943</v>
      </c>
      <c r="AJ324" s="80"/>
      <c r="AK324" s="80" t="s">
        <v>6198</v>
      </c>
      <c r="AL324" s="80" t="s">
        <v>6907</v>
      </c>
      <c r="AM324" s="80"/>
      <c r="AN324" s="80"/>
      <c r="AO324" s="82">
        <v>43915.701412037037</v>
      </c>
      <c r="AP324" s="80"/>
      <c r="AQ324" s="80" t="b">
        <v>1</v>
      </c>
      <c r="AR324" s="80" t="b">
        <v>0</v>
      </c>
      <c r="AS324" s="80" t="b">
        <v>1</v>
      </c>
      <c r="AT324" s="80"/>
      <c r="AU324" s="80">
        <v>0</v>
      </c>
      <c r="AV324" s="80"/>
      <c r="AW324" s="80" t="b">
        <v>0</v>
      </c>
      <c r="AX324" s="80" t="s">
        <v>7173</v>
      </c>
      <c r="AY324" s="84" t="str">
        <f>HYPERLINK("https://twitter.com/riaukalit")</f>
        <v>https://twitter.com/riaukalit</v>
      </c>
      <c r="AZ324" s="80" t="s">
        <v>66</v>
      </c>
      <c r="BA324" s="2"/>
      <c r="BB324" s="3"/>
      <c r="BC324" s="3"/>
      <c r="BD324" s="3"/>
      <c r="BE324" s="3"/>
    </row>
    <row r="325" spans="1:57" x14ac:dyDescent="0.35">
      <c r="A325" s="66" t="s">
        <v>463</v>
      </c>
      <c r="B325" s="67"/>
      <c r="C325" s="67"/>
      <c r="D325" s="68"/>
      <c r="E325" s="70"/>
      <c r="F325" s="106" t="str">
        <f>HYPERLINK("https://pbs.twimg.com/profile_images/1442054010089836548/7KI6yJls_normal.jpg")</f>
        <v>https://pbs.twimg.com/profile_images/1442054010089836548/7KI6yJls_normal.jpg</v>
      </c>
      <c r="G325" s="67"/>
      <c r="H325" s="71"/>
      <c r="I325" s="72"/>
      <c r="J325" s="72"/>
      <c r="K325" s="71" t="s">
        <v>7495</v>
      </c>
      <c r="L325" s="75"/>
      <c r="M325" s="76"/>
      <c r="N325" s="76"/>
      <c r="O325" s="77"/>
      <c r="P325" s="78"/>
      <c r="Q325" s="78"/>
      <c r="R325" s="90"/>
      <c r="S325" s="90"/>
      <c r="T325" s="90"/>
      <c r="U325" s="90"/>
      <c r="V325" s="52"/>
      <c r="W325" s="52"/>
      <c r="X325" s="52"/>
      <c r="Y325" s="52"/>
      <c r="Z325" s="51"/>
      <c r="AA325" s="73"/>
      <c r="AB325" s="73"/>
      <c r="AC325" s="74"/>
      <c r="AD325" s="80" t="s">
        <v>4501</v>
      </c>
      <c r="AE325" s="86" t="s">
        <v>5414</v>
      </c>
      <c r="AF325" s="80">
        <v>377</v>
      </c>
      <c r="AG325" s="80">
        <v>56</v>
      </c>
      <c r="AH325" s="80">
        <v>5201</v>
      </c>
      <c r="AI325" s="80">
        <v>3893</v>
      </c>
      <c r="AJ325" s="80"/>
      <c r="AK325" s="80" t="s">
        <v>6199</v>
      </c>
      <c r="AL325" s="80" t="s">
        <v>6908</v>
      </c>
      <c r="AM325" s="80"/>
      <c r="AN325" s="80"/>
      <c r="AO325" s="82">
        <v>44347.534178240741</v>
      </c>
      <c r="AP325" s="84" t="str">
        <f>HYPERLINK("https://pbs.twimg.com/profile_banners/1399346632039157768/1632647442")</f>
        <v>https://pbs.twimg.com/profile_banners/1399346632039157768/1632647442</v>
      </c>
      <c r="AQ325" s="80" t="b">
        <v>1</v>
      </c>
      <c r="AR325" s="80" t="b">
        <v>0</v>
      </c>
      <c r="AS325" s="80" t="b">
        <v>0</v>
      </c>
      <c r="AT325" s="80"/>
      <c r="AU325" s="80">
        <v>0</v>
      </c>
      <c r="AV325" s="80"/>
      <c r="AW325" s="80" t="b">
        <v>0</v>
      </c>
      <c r="AX325" s="80" t="s">
        <v>7173</v>
      </c>
      <c r="AY325" s="84" t="str">
        <f>HYPERLINK("https://twitter.com/aritononang")</f>
        <v>https://twitter.com/aritononang</v>
      </c>
      <c r="AZ325" s="80" t="s">
        <v>66</v>
      </c>
      <c r="BA325" s="2"/>
      <c r="BB325" s="3"/>
      <c r="BC325" s="3"/>
      <c r="BD325" s="3"/>
      <c r="BE325" s="3"/>
    </row>
    <row r="326" spans="1:57" x14ac:dyDescent="0.35">
      <c r="A326" s="66" t="s">
        <v>1064</v>
      </c>
      <c r="B326" s="67"/>
      <c r="C326" s="67"/>
      <c r="D326" s="68"/>
      <c r="E326" s="70"/>
      <c r="F326" s="106" t="str">
        <f>HYPERLINK("https://pbs.twimg.com/profile_images/1108325831636467717/YWCkZmEl_normal.jpg")</f>
        <v>https://pbs.twimg.com/profile_images/1108325831636467717/YWCkZmEl_normal.jpg</v>
      </c>
      <c r="G326" s="67"/>
      <c r="H326" s="71"/>
      <c r="I326" s="72"/>
      <c r="J326" s="72"/>
      <c r="K326" s="71" t="s">
        <v>7496</v>
      </c>
      <c r="L326" s="75"/>
      <c r="M326" s="76"/>
      <c r="N326" s="76"/>
      <c r="O326" s="77"/>
      <c r="P326" s="78"/>
      <c r="Q326" s="78"/>
      <c r="R326" s="90"/>
      <c r="S326" s="90"/>
      <c r="T326" s="90"/>
      <c r="U326" s="90"/>
      <c r="V326" s="52"/>
      <c r="W326" s="52"/>
      <c r="X326" s="52"/>
      <c r="Y326" s="52"/>
      <c r="Z326" s="51"/>
      <c r="AA326" s="73"/>
      <c r="AB326" s="73"/>
      <c r="AC326" s="74"/>
      <c r="AD326" s="80" t="s">
        <v>4502</v>
      </c>
      <c r="AE326" s="86" t="s">
        <v>5415</v>
      </c>
      <c r="AF326" s="80">
        <v>100</v>
      </c>
      <c r="AG326" s="80">
        <v>121432</v>
      </c>
      <c r="AH326" s="80">
        <v>11539</v>
      </c>
      <c r="AI326" s="80">
        <v>447</v>
      </c>
      <c r="AJ326" s="80"/>
      <c r="AK326" s="80" t="s">
        <v>6200</v>
      </c>
      <c r="AL326" s="80" t="s">
        <v>4145</v>
      </c>
      <c r="AM326" s="84" t="str">
        <f>HYPERLINK("https://t.co/mJHv8XUk1V")</f>
        <v>https://t.co/mJHv8XUk1V</v>
      </c>
      <c r="AN326" s="80"/>
      <c r="AO326" s="82">
        <v>40417.772337962961</v>
      </c>
      <c r="AP326" s="84" t="str">
        <f>HYPERLINK("https://pbs.twimg.com/profile_banners/183718365/1593407769")</f>
        <v>https://pbs.twimg.com/profile_banners/183718365/1593407769</v>
      </c>
      <c r="AQ326" s="80" t="b">
        <v>0</v>
      </c>
      <c r="AR326" s="80" t="b">
        <v>0</v>
      </c>
      <c r="AS326" s="80" t="b">
        <v>1</v>
      </c>
      <c r="AT326" s="80"/>
      <c r="AU326" s="80">
        <v>175</v>
      </c>
      <c r="AV326" s="84" t="str">
        <f>HYPERLINK("https://abs.twimg.com/images/themes/theme15/bg.png")</f>
        <v>https://abs.twimg.com/images/themes/theme15/bg.png</v>
      </c>
      <c r="AW326" s="80" t="b">
        <v>1</v>
      </c>
      <c r="AX326" s="80" t="s">
        <v>7173</v>
      </c>
      <c r="AY326" s="84" t="str">
        <f>HYPERLINK("https://twitter.com/komnasham")</f>
        <v>https://twitter.com/komnasham</v>
      </c>
      <c r="AZ326" s="80" t="s">
        <v>65</v>
      </c>
      <c r="BA326" s="2"/>
      <c r="BB326" s="3"/>
      <c r="BC326" s="3"/>
      <c r="BD326" s="3"/>
      <c r="BE326" s="3"/>
    </row>
    <row r="327" spans="1:57" x14ac:dyDescent="0.35">
      <c r="A327" s="66" t="s">
        <v>1065</v>
      </c>
      <c r="B327" s="67"/>
      <c r="C327" s="67"/>
      <c r="D327" s="68"/>
      <c r="E327" s="70"/>
      <c r="F327" s="106" t="str">
        <f>HYPERLINK("https://pbs.twimg.com/profile_images/1442178230371323905/9oI9MT5O_normal.jpg")</f>
        <v>https://pbs.twimg.com/profile_images/1442178230371323905/9oI9MT5O_normal.jpg</v>
      </c>
      <c r="G327" s="67"/>
      <c r="H327" s="71"/>
      <c r="I327" s="72"/>
      <c r="J327" s="72"/>
      <c r="K327" s="71" t="s">
        <v>7497</v>
      </c>
      <c r="L327" s="75"/>
      <c r="M327" s="76"/>
      <c r="N327" s="76"/>
      <c r="O327" s="77"/>
      <c r="P327" s="78"/>
      <c r="Q327" s="78"/>
      <c r="R327" s="90"/>
      <c r="S327" s="90"/>
      <c r="T327" s="90"/>
      <c r="U327" s="90"/>
      <c r="V327" s="52"/>
      <c r="W327" s="52"/>
      <c r="X327" s="52"/>
      <c r="Y327" s="52"/>
      <c r="Z327" s="51"/>
      <c r="AA327" s="73"/>
      <c r="AB327" s="73"/>
      <c r="AC327" s="74"/>
      <c r="AD327" s="80" t="s">
        <v>4503</v>
      </c>
      <c r="AE327" s="86" t="s">
        <v>3938</v>
      </c>
      <c r="AF327" s="80">
        <v>4804</v>
      </c>
      <c r="AG327" s="80">
        <v>92879</v>
      </c>
      <c r="AH327" s="80">
        <v>62950</v>
      </c>
      <c r="AI327" s="80">
        <v>48322</v>
      </c>
      <c r="AJ327" s="80"/>
      <c r="AK327" s="80" t="s">
        <v>6201</v>
      </c>
      <c r="AL327" s="80" t="s">
        <v>6891</v>
      </c>
      <c r="AM327" s="80"/>
      <c r="AN327" s="80"/>
      <c r="AO327" s="82">
        <v>40816.282407407409</v>
      </c>
      <c r="AP327" s="84" t="str">
        <f>HYPERLINK("https://pbs.twimg.com/profile_banners/382522068/1593356422")</f>
        <v>https://pbs.twimg.com/profile_banners/382522068/1593356422</v>
      </c>
      <c r="AQ327" s="80" t="b">
        <v>0</v>
      </c>
      <c r="AR327" s="80" t="b">
        <v>0</v>
      </c>
      <c r="AS327" s="80" t="b">
        <v>0</v>
      </c>
      <c r="AT327" s="80"/>
      <c r="AU327" s="80">
        <v>1163</v>
      </c>
      <c r="AV327" s="84" t="str">
        <f>HYPERLINK("https://abs.twimg.com/images/themes/theme1/bg.png")</f>
        <v>https://abs.twimg.com/images/themes/theme1/bg.png</v>
      </c>
      <c r="AW327" s="80" t="b">
        <v>0</v>
      </c>
      <c r="AX327" s="80" t="s">
        <v>7173</v>
      </c>
      <c r="AY327" s="84" t="str">
        <f>HYPERLINK("https://twitter.com/rizmaya__")</f>
        <v>https://twitter.com/rizmaya__</v>
      </c>
      <c r="AZ327" s="80" t="s">
        <v>65</v>
      </c>
      <c r="BA327" s="2"/>
      <c r="BB327" s="3"/>
      <c r="BC327" s="3"/>
      <c r="BD327" s="3"/>
      <c r="BE327" s="3"/>
    </row>
    <row r="328" spans="1:57" x14ac:dyDescent="0.35">
      <c r="A328" s="66" t="s">
        <v>464</v>
      </c>
      <c r="B328" s="67"/>
      <c r="C328" s="67"/>
      <c r="D328" s="68"/>
      <c r="E328" s="70"/>
      <c r="F328" s="106" t="str">
        <f>HYPERLINK("https://pbs.twimg.com/profile_images/1440252095903375365/S12bPsDn_normal.jpg")</f>
        <v>https://pbs.twimg.com/profile_images/1440252095903375365/S12bPsDn_normal.jpg</v>
      </c>
      <c r="G328" s="67"/>
      <c r="H328" s="71"/>
      <c r="I328" s="72"/>
      <c r="J328" s="72"/>
      <c r="K328" s="71" t="s">
        <v>7498</v>
      </c>
      <c r="L328" s="75"/>
      <c r="M328" s="76"/>
      <c r="N328" s="76"/>
      <c r="O328" s="77"/>
      <c r="P328" s="78"/>
      <c r="Q328" s="78"/>
      <c r="R328" s="90"/>
      <c r="S328" s="90"/>
      <c r="T328" s="90"/>
      <c r="U328" s="90"/>
      <c r="V328" s="52"/>
      <c r="W328" s="52"/>
      <c r="X328" s="52"/>
      <c r="Y328" s="52"/>
      <c r="Z328" s="51"/>
      <c r="AA328" s="73"/>
      <c r="AB328" s="73"/>
      <c r="AC328" s="74"/>
      <c r="AD328" s="80" t="s">
        <v>4504</v>
      </c>
      <c r="AE328" s="86" t="s">
        <v>5416</v>
      </c>
      <c r="AF328" s="80">
        <v>221</v>
      </c>
      <c r="AG328" s="80">
        <v>73</v>
      </c>
      <c r="AH328" s="80">
        <v>935</v>
      </c>
      <c r="AI328" s="80">
        <v>4271</v>
      </c>
      <c r="AJ328" s="80"/>
      <c r="AK328" s="80" t="s">
        <v>6202</v>
      </c>
      <c r="AL328" s="80" t="s">
        <v>6798</v>
      </c>
      <c r="AM328" s="80"/>
      <c r="AN328" s="80"/>
      <c r="AO328" s="82">
        <v>41064.583402777775</v>
      </c>
      <c r="AP328" s="84" t="str">
        <f>HYPERLINK("https://pbs.twimg.com/profile_banners/599263994/1632217945")</f>
        <v>https://pbs.twimg.com/profile_banners/599263994/1632217945</v>
      </c>
      <c r="AQ328" s="80" t="b">
        <v>1</v>
      </c>
      <c r="AR328" s="80" t="b">
        <v>0</v>
      </c>
      <c r="AS328" s="80" t="b">
        <v>1</v>
      </c>
      <c r="AT328" s="80"/>
      <c r="AU328" s="80">
        <v>0</v>
      </c>
      <c r="AV328" s="84" t="str">
        <f>HYPERLINK("https://abs.twimg.com/images/themes/theme1/bg.png")</f>
        <v>https://abs.twimg.com/images/themes/theme1/bg.png</v>
      </c>
      <c r="AW328" s="80" t="b">
        <v>0</v>
      </c>
      <c r="AX328" s="80" t="s">
        <v>7173</v>
      </c>
      <c r="AY328" s="84" t="str">
        <f>HYPERLINK("https://twitter.com/swgkhofu")</f>
        <v>https://twitter.com/swgkhofu</v>
      </c>
      <c r="AZ328" s="80" t="s">
        <v>66</v>
      </c>
      <c r="BA328" s="2"/>
      <c r="BB328" s="3"/>
      <c r="BC328" s="3"/>
      <c r="BD328" s="3"/>
      <c r="BE328" s="3"/>
    </row>
    <row r="329" spans="1:57" x14ac:dyDescent="0.35">
      <c r="A329" s="66" t="s">
        <v>465</v>
      </c>
      <c r="B329" s="67"/>
      <c r="C329" s="67"/>
      <c r="D329" s="68"/>
      <c r="E329" s="70"/>
      <c r="F329" s="106" t="str">
        <f>HYPERLINK("https://pbs.twimg.com/profile_images/1392520551504048131/0Yu62HtV_normal.jpg")</f>
        <v>https://pbs.twimg.com/profile_images/1392520551504048131/0Yu62HtV_normal.jpg</v>
      </c>
      <c r="G329" s="67"/>
      <c r="H329" s="71"/>
      <c r="I329" s="72"/>
      <c r="J329" s="72"/>
      <c r="K329" s="71" t="s">
        <v>7499</v>
      </c>
      <c r="L329" s="75"/>
      <c r="M329" s="76"/>
      <c r="N329" s="76"/>
      <c r="O329" s="77"/>
      <c r="P329" s="78"/>
      <c r="Q329" s="78"/>
      <c r="R329" s="90"/>
      <c r="S329" s="90"/>
      <c r="T329" s="90"/>
      <c r="U329" s="90"/>
      <c r="V329" s="52"/>
      <c r="W329" s="52"/>
      <c r="X329" s="52"/>
      <c r="Y329" s="52"/>
      <c r="Z329" s="51"/>
      <c r="AA329" s="73"/>
      <c r="AB329" s="73"/>
      <c r="AC329" s="74"/>
      <c r="AD329" s="80" t="s">
        <v>4505</v>
      </c>
      <c r="AE329" s="86" t="s">
        <v>5417</v>
      </c>
      <c r="AF329" s="80">
        <v>220</v>
      </c>
      <c r="AG329" s="80">
        <v>454</v>
      </c>
      <c r="AH329" s="80">
        <v>75843</v>
      </c>
      <c r="AI329" s="80">
        <v>14747</v>
      </c>
      <c r="AJ329" s="80"/>
      <c r="AK329" s="80" t="s">
        <v>6203</v>
      </c>
      <c r="AL329" s="80" t="s">
        <v>6909</v>
      </c>
      <c r="AM329" s="80"/>
      <c r="AN329" s="80"/>
      <c r="AO329" s="82">
        <v>41185.556562500002</v>
      </c>
      <c r="AP329" s="84" t="str">
        <f>HYPERLINK("https://pbs.twimg.com/profile_banners/859675038/1496400071")</f>
        <v>https://pbs.twimg.com/profile_banners/859675038/1496400071</v>
      </c>
      <c r="AQ329" s="80" t="b">
        <v>1</v>
      </c>
      <c r="AR329" s="80" t="b">
        <v>0</v>
      </c>
      <c r="AS329" s="80" t="b">
        <v>1</v>
      </c>
      <c r="AT329" s="80"/>
      <c r="AU329" s="80">
        <v>7</v>
      </c>
      <c r="AV329" s="84" t="str">
        <f>HYPERLINK("https://abs.twimg.com/images/themes/theme1/bg.png")</f>
        <v>https://abs.twimg.com/images/themes/theme1/bg.png</v>
      </c>
      <c r="AW329" s="80" t="b">
        <v>0</v>
      </c>
      <c r="AX329" s="80" t="s">
        <v>7173</v>
      </c>
      <c r="AY329" s="84" t="str">
        <f>HYPERLINK("https://twitter.com/agusprehadi")</f>
        <v>https://twitter.com/agusprehadi</v>
      </c>
      <c r="AZ329" s="80" t="s">
        <v>66</v>
      </c>
      <c r="BA329" s="2"/>
      <c r="BB329" s="3"/>
      <c r="BC329" s="3"/>
      <c r="BD329" s="3"/>
      <c r="BE329" s="3"/>
    </row>
    <row r="330" spans="1:57" x14ac:dyDescent="0.35">
      <c r="A330" s="66" t="s">
        <v>466</v>
      </c>
      <c r="B330" s="67"/>
      <c r="C330" s="67"/>
      <c r="D330" s="68"/>
      <c r="E330" s="70"/>
      <c r="F330" s="106" t="str">
        <f>HYPERLINK("https://pbs.twimg.com/profile_images/895687626442670080/MX66hIuM_normal.jpg")</f>
        <v>https://pbs.twimg.com/profile_images/895687626442670080/MX66hIuM_normal.jpg</v>
      </c>
      <c r="G330" s="67"/>
      <c r="H330" s="71"/>
      <c r="I330" s="72"/>
      <c r="J330" s="72"/>
      <c r="K330" s="71" t="s">
        <v>7500</v>
      </c>
      <c r="L330" s="75"/>
      <c r="M330" s="76"/>
      <c r="N330" s="76"/>
      <c r="O330" s="77"/>
      <c r="P330" s="78"/>
      <c r="Q330" s="78"/>
      <c r="R330" s="90"/>
      <c r="S330" s="90"/>
      <c r="T330" s="90"/>
      <c r="U330" s="90"/>
      <c r="V330" s="52"/>
      <c r="W330" s="52"/>
      <c r="X330" s="52"/>
      <c r="Y330" s="52"/>
      <c r="Z330" s="51"/>
      <c r="AA330" s="73"/>
      <c r="AB330" s="73"/>
      <c r="AC330" s="74"/>
      <c r="AD330" s="80" t="s">
        <v>4506</v>
      </c>
      <c r="AE330" s="86" t="s">
        <v>5418</v>
      </c>
      <c r="AF330" s="80">
        <v>1872</v>
      </c>
      <c r="AG330" s="80">
        <v>1595</v>
      </c>
      <c r="AH330" s="80">
        <v>11803</v>
      </c>
      <c r="AI330" s="80">
        <v>32885</v>
      </c>
      <c r="AJ330" s="80"/>
      <c r="AK330" s="80" t="s">
        <v>6204</v>
      </c>
      <c r="AL330" s="80" t="s">
        <v>6910</v>
      </c>
      <c r="AM330" s="80"/>
      <c r="AN330" s="80"/>
      <c r="AO330" s="82">
        <v>42949.396296296298</v>
      </c>
      <c r="AP330" s="84" t="str">
        <f>HYPERLINK("https://pbs.twimg.com/profile_banners/892679027109933056/1534858491")</f>
        <v>https://pbs.twimg.com/profile_banners/892679027109933056/1534858491</v>
      </c>
      <c r="AQ330" s="80" t="b">
        <v>1</v>
      </c>
      <c r="AR330" s="80" t="b">
        <v>0</v>
      </c>
      <c r="AS330" s="80" t="b">
        <v>0</v>
      </c>
      <c r="AT330" s="80"/>
      <c r="AU330" s="80">
        <v>0</v>
      </c>
      <c r="AV330" s="80"/>
      <c r="AW330" s="80" t="b">
        <v>0</v>
      </c>
      <c r="AX330" s="80" t="s">
        <v>7173</v>
      </c>
      <c r="AY330" s="84" t="str">
        <f>HYPERLINK("https://twitter.com/dbrawzl")</f>
        <v>https://twitter.com/dbrawzl</v>
      </c>
      <c r="AZ330" s="80" t="s">
        <v>66</v>
      </c>
      <c r="BA330" s="2"/>
      <c r="BB330" s="3"/>
      <c r="BC330" s="3"/>
      <c r="BD330" s="3"/>
      <c r="BE330" s="3"/>
    </row>
    <row r="331" spans="1:57" x14ac:dyDescent="0.35">
      <c r="A331" s="66" t="s">
        <v>467</v>
      </c>
      <c r="B331" s="67"/>
      <c r="C331" s="67"/>
      <c r="D331" s="68"/>
      <c r="E331" s="70"/>
      <c r="F331" s="106" t="str">
        <f>HYPERLINK("https://pbs.twimg.com/profile_images/1437981748546072578/PRCgToPL_normal.jpg")</f>
        <v>https://pbs.twimg.com/profile_images/1437981748546072578/PRCgToPL_normal.jpg</v>
      </c>
      <c r="G331" s="67"/>
      <c r="H331" s="71"/>
      <c r="I331" s="72"/>
      <c r="J331" s="72"/>
      <c r="K331" s="71" t="s">
        <v>7501</v>
      </c>
      <c r="L331" s="75"/>
      <c r="M331" s="76"/>
      <c r="N331" s="76"/>
      <c r="O331" s="77"/>
      <c r="P331" s="78"/>
      <c r="Q331" s="78"/>
      <c r="R331" s="90"/>
      <c r="S331" s="90"/>
      <c r="T331" s="90"/>
      <c r="U331" s="90"/>
      <c r="V331" s="52"/>
      <c r="W331" s="52"/>
      <c r="X331" s="52"/>
      <c r="Y331" s="52"/>
      <c r="Z331" s="51"/>
      <c r="AA331" s="73"/>
      <c r="AB331" s="73"/>
      <c r="AC331" s="74"/>
      <c r="AD331" s="80" t="s">
        <v>4507</v>
      </c>
      <c r="AE331" s="86" t="s">
        <v>5419</v>
      </c>
      <c r="AF331" s="80">
        <v>103</v>
      </c>
      <c r="AG331" s="80">
        <v>38</v>
      </c>
      <c r="AH331" s="80">
        <v>2300</v>
      </c>
      <c r="AI331" s="80">
        <v>828</v>
      </c>
      <c r="AJ331" s="80"/>
      <c r="AK331" s="80" t="s">
        <v>6205</v>
      </c>
      <c r="AL331" s="80"/>
      <c r="AM331" s="80"/>
      <c r="AN331" s="80"/>
      <c r="AO331" s="82">
        <v>43545.063298611109</v>
      </c>
      <c r="AP331" s="84" t="str">
        <f>HYPERLINK("https://pbs.twimg.com/profile_banners/1108541522679480320/1629156385")</f>
        <v>https://pbs.twimg.com/profile_banners/1108541522679480320/1629156385</v>
      </c>
      <c r="AQ331" s="80" t="b">
        <v>1</v>
      </c>
      <c r="AR331" s="80" t="b">
        <v>0</v>
      </c>
      <c r="AS331" s="80" t="b">
        <v>0</v>
      </c>
      <c r="AT331" s="80"/>
      <c r="AU331" s="80">
        <v>0</v>
      </c>
      <c r="AV331" s="80"/>
      <c r="AW331" s="80" t="b">
        <v>0</v>
      </c>
      <c r="AX331" s="80" t="s">
        <v>7173</v>
      </c>
      <c r="AY331" s="84" t="str">
        <f>HYPERLINK("https://twitter.com/cheese_02")</f>
        <v>https://twitter.com/cheese_02</v>
      </c>
      <c r="AZ331" s="80" t="s">
        <v>66</v>
      </c>
      <c r="BA331" s="2"/>
      <c r="BB331" s="3"/>
      <c r="BC331" s="3"/>
      <c r="BD331" s="3"/>
      <c r="BE331" s="3"/>
    </row>
    <row r="332" spans="1:57" x14ac:dyDescent="0.35">
      <c r="A332" s="66" t="s">
        <v>468</v>
      </c>
      <c r="B332" s="67"/>
      <c r="C332" s="67"/>
      <c r="D332" s="68"/>
      <c r="E332" s="70"/>
      <c r="F332" s="106" t="str">
        <f>HYPERLINK("https://pbs.twimg.com/profile_images/1062948315178778625/9jg8vy88_normal.jpg")</f>
        <v>https://pbs.twimg.com/profile_images/1062948315178778625/9jg8vy88_normal.jpg</v>
      </c>
      <c r="G332" s="67"/>
      <c r="H332" s="71"/>
      <c r="I332" s="72"/>
      <c r="J332" s="72"/>
      <c r="K332" s="71" t="s">
        <v>7502</v>
      </c>
      <c r="L332" s="75"/>
      <c r="M332" s="76"/>
      <c r="N332" s="76"/>
      <c r="O332" s="77"/>
      <c r="P332" s="78"/>
      <c r="Q332" s="78"/>
      <c r="R332" s="90"/>
      <c r="S332" s="90"/>
      <c r="T332" s="90"/>
      <c r="U332" s="90"/>
      <c r="V332" s="52"/>
      <c r="W332" s="52"/>
      <c r="X332" s="52"/>
      <c r="Y332" s="52"/>
      <c r="Z332" s="51"/>
      <c r="AA332" s="73"/>
      <c r="AB332" s="73"/>
      <c r="AC332" s="74"/>
      <c r="AD332" s="80" t="s">
        <v>468</v>
      </c>
      <c r="AE332" s="86" t="s">
        <v>5420</v>
      </c>
      <c r="AF332" s="80">
        <v>1300</v>
      </c>
      <c r="AG332" s="80">
        <v>434</v>
      </c>
      <c r="AH332" s="80">
        <v>51361</v>
      </c>
      <c r="AI332" s="80">
        <v>4250</v>
      </c>
      <c r="AJ332" s="80"/>
      <c r="AK332" s="80" t="s">
        <v>6206</v>
      </c>
      <c r="AL332" s="80" t="s">
        <v>6911</v>
      </c>
      <c r="AM332" s="80"/>
      <c r="AN332" s="80"/>
      <c r="AO332" s="82">
        <v>40828.938090277778</v>
      </c>
      <c r="AP332" s="84" t="str">
        <f>HYPERLINK("https://pbs.twimg.com/profile_banners/389734890/1400820266")</f>
        <v>https://pbs.twimg.com/profile_banners/389734890/1400820266</v>
      </c>
      <c r="AQ332" s="80" t="b">
        <v>0</v>
      </c>
      <c r="AR332" s="80" t="b">
        <v>0</v>
      </c>
      <c r="AS332" s="80" t="b">
        <v>0</v>
      </c>
      <c r="AT332" s="80"/>
      <c r="AU332" s="80">
        <v>0</v>
      </c>
      <c r="AV332" s="84" t="str">
        <f>HYPERLINK("https://abs.twimg.com/images/themes/theme1/bg.png")</f>
        <v>https://abs.twimg.com/images/themes/theme1/bg.png</v>
      </c>
      <c r="AW332" s="80" t="b">
        <v>0</v>
      </c>
      <c r="AX332" s="80" t="s">
        <v>7173</v>
      </c>
      <c r="AY332" s="84" t="str">
        <f>HYPERLINK("https://twitter.com/cangcingiss")</f>
        <v>https://twitter.com/cangcingiss</v>
      </c>
      <c r="AZ332" s="80" t="s">
        <v>66</v>
      </c>
      <c r="BA332" s="2"/>
      <c r="BB332" s="3"/>
      <c r="BC332" s="3"/>
      <c r="BD332" s="3"/>
      <c r="BE332" s="3"/>
    </row>
    <row r="333" spans="1:57" x14ac:dyDescent="0.35">
      <c r="A333" s="66" t="s">
        <v>469</v>
      </c>
      <c r="B333" s="67"/>
      <c r="C333" s="67"/>
      <c r="D333" s="68"/>
      <c r="E333" s="70"/>
      <c r="F333" s="106" t="str">
        <f>HYPERLINK("https://pbs.twimg.com/profile_images/1202246364618297346/ThTTJSiV_normal.jpg")</f>
        <v>https://pbs.twimg.com/profile_images/1202246364618297346/ThTTJSiV_normal.jpg</v>
      </c>
      <c r="G333" s="67"/>
      <c r="H333" s="71"/>
      <c r="I333" s="72"/>
      <c r="J333" s="72"/>
      <c r="K333" s="71" t="s">
        <v>7503</v>
      </c>
      <c r="L333" s="75"/>
      <c r="M333" s="76"/>
      <c r="N333" s="76"/>
      <c r="O333" s="77"/>
      <c r="P333" s="78"/>
      <c r="Q333" s="78"/>
      <c r="R333" s="90"/>
      <c r="S333" s="90"/>
      <c r="T333" s="90"/>
      <c r="U333" s="90"/>
      <c r="V333" s="52"/>
      <c r="W333" s="52"/>
      <c r="X333" s="52"/>
      <c r="Y333" s="52"/>
      <c r="Z333" s="51"/>
      <c r="AA333" s="73"/>
      <c r="AB333" s="73"/>
      <c r="AC333" s="74"/>
      <c r="AD333" s="80" t="s">
        <v>4508</v>
      </c>
      <c r="AE333" s="86" t="s">
        <v>5421</v>
      </c>
      <c r="AF333" s="80">
        <v>2473</v>
      </c>
      <c r="AG333" s="80">
        <v>2224</v>
      </c>
      <c r="AH333" s="80">
        <v>5943</v>
      </c>
      <c r="AI333" s="80">
        <v>17342</v>
      </c>
      <c r="AJ333" s="80"/>
      <c r="AK333" s="80" t="s">
        <v>6207</v>
      </c>
      <c r="AL333" s="80"/>
      <c r="AM333" s="80"/>
      <c r="AN333" s="80"/>
      <c r="AO333" s="82">
        <v>43803.630104166667</v>
      </c>
      <c r="AP333" s="84" t="str">
        <f>HYPERLINK("https://pbs.twimg.com/profile_banners/1202242821824008192/1575472846")</f>
        <v>https://pbs.twimg.com/profile_banners/1202242821824008192/1575472846</v>
      </c>
      <c r="AQ333" s="80" t="b">
        <v>1</v>
      </c>
      <c r="AR333" s="80" t="b">
        <v>0</v>
      </c>
      <c r="AS333" s="80" t="b">
        <v>0</v>
      </c>
      <c r="AT333" s="80"/>
      <c r="AU333" s="80">
        <v>0</v>
      </c>
      <c r="AV333" s="80"/>
      <c r="AW333" s="80" t="b">
        <v>0</v>
      </c>
      <c r="AX333" s="80" t="s">
        <v>7173</v>
      </c>
      <c r="AY333" s="84" t="str">
        <f>HYPERLINK("https://twitter.com/konconkri")</f>
        <v>https://twitter.com/konconkri</v>
      </c>
      <c r="AZ333" s="80" t="s">
        <v>66</v>
      </c>
      <c r="BA333" s="2"/>
      <c r="BB333" s="3"/>
      <c r="BC333" s="3"/>
      <c r="BD333" s="3"/>
      <c r="BE333" s="3"/>
    </row>
    <row r="334" spans="1:57" x14ac:dyDescent="0.35">
      <c r="A334" s="66" t="s">
        <v>470</v>
      </c>
      <c r="B334" s="67"/>
      <c r="C334" s="67"/>
      <c r="D334" s="68"/>
      <c r="E334" s="70"/>
      <c r="F334" s="106" t="str">
        <f>HYPERLINK("https://pbs.twimg.com/profile_images/1215532555958505472/Jxk2AYsP_normal.jpg")</f>
        <v>https://pbs.twimg.com/profile_images/1215532555958505472/Jxk2AYsP_normal.jpg</v>
      </c>
      <c r="G334" s="67"/>
      <c r="H334" s="71"/>
      <c r="I334" s="72"/>
      <c r="J334" s="72"/>
      <c r="K334" s="71" t="s">
        <v>7504</v>
      </c>
      <c r="L334" s="75"/>
      <c r="M334" s="76"/>
      <c r="N334" s="76"/>
      <c r="O334" s="77"/>
      <c r="P334" s="78"/>
      <c r="Q334" s="78"/>
      <c r="R334" s="90"/>
      <c r="S334" s="90"/>
      <c r="T334" s="90"/>
      <c r="U334" s="90"/>
      <c r="V334" s="52"/>
      <c r="W334" s="52"/>
      <c r="X334" s="52"/>
      <c r="Y334" s="52"/>
      <c r="Z334" s="51"/>
      <c r="AA334" s="73"/>
      <c r="AB334" s="73"/>
      <c r="AC334" s="74"/>
      <c r="AD334" s="80" t="s">
        <v>4509</v>
      </c>
      <c r="AE334" s="86" t="s">
        <v>5422</v>
      </c>
      <c r="AF334" s="80">
        <v>675</v>
      </c>
      <c r="AG334" s="80">
        <v>696</v>
      </c>
      <c r="AH334" s="80">
        <v>15463</v>
      </c>
      <c r="AI334" s="80">
        <v>3511</v>
      </c>
      <c r="AJ334" s="80"/>
      <c r="AK334" s="80" t="s">
        <v>6208</v>
      </c>
      <c r="AL334" s="80" t="s">
        <v>6777</v>
      </c>
      <c r="AM334" s="80"/>
      <c r="AN334" s="80"/>
      <c r="AO334" s="82">
        <v>42780.445451388892</v>
      </c>
      <c r="AP334" s="80"/>
      <c r="AQ334" s="80" t="b">
        <v>1</v>
      </c>
      <c r="AR334" s="80" t="b">
        <v>0</v>
      </c>
      <c r="AS334" s="80" t="b">
        <v>0</v>
      </c>
      <c r="AT334" s="80"/>
      <c r="AU334" s="80">
        <v>0</v>
      </c>
      <c r="AV334" s="80"/>
      <c r="AW334" s="80" t="b">
        <v>0</v>
      </c>
      <c r="AX334" s="80" t="s">
        <v>7173</v>
      </c>
      <c r="AY334" s="84" t="str">
        <f>HYPERLINK("https://twitter.com/andreasnuryan2")</f>
        <v>https://twitter.com/andreasnuryan2</v>
      </c>
      <c r="AZ334" s="80" t="s">
        <v>66</v>
      </c>
      <c r="BA334" s="2"/>
      <c r="BB334" s="3"/>
      <c r="BC334" s="3"/>
      <c r="BD334" s="3"/>
      <c r="BE334" s="3"/>
    </row>
    <row r="335" spans="1:57" x14ac:dyDescent="0.35">
      <c r="A335" s="66" t="s">
        <v>471</v>
      </c>
      <c r="B335" s="67"/>
      <c r="C335" s="67"/>
      <c r="D335" s="68"/>
      <c r="E335" s="70"/>
      <c r="F335" s="106" t="str">
        <f>HYPERLINK("https://pbs.twimg.com/profile_images/570967273260724224/M-uyaE8a_normal.jpeg")</f>
        <v>https://pbs.twimg.com/profile_images/570967273260724224/M-uyaE8a_normal.jpeg</v>
      </c>
      <c r="G335" s="67"/>
      <c r="H335" s="71"/>
      <c r="I335" s="72"/>
      <c r="J335" s="72"/>
      <c r="K335" s="71" t="s">
        <v>7505</v>
      </c>
      <c r="L335" s="75"/>
      <c r="M335" s="76"/>
      <c r="N335" s="76"/>
      <c r="O335" s="77"/>
      <c r="P335" s="78"/>
      <c r="Q335" s="78"/>
      <c r="R335" s="90"/>
      <c r="S335" s="90"/>
      <c r="T335" s="90"/>
      <c r="U335" s="90"/>
      <c r="V335" s="52"/>
      <c r="W335" s="52"/>
      <c r="X335" s="52"/>
      <c r="Y335" s="52"/>
      <c r="Z335" s="51"/>
      <c r="AA335" s="73"/>
      <c r="AB335" s="73"/>
      <c r="AC335" s="74"/>
      <c r="AD335" s="80" t="s">
        <v>4510</v>
      </c>
      <c r="AE335" s="86" t="s">
        <v>5423</v>
      </c>
      <c r="AF335" s="80">
        <v>1343</v>
      </c>
      <c r="AG335" s="80">
        <v>699</v>
      </c>
      <c r="AH335" s="80">
        <v>1563</v>
      </c>
      <c r="AI335" s="80">
        <v>461</v>
      </c>
      <c r="AJ335" s="80"/>
      <c r="AK335" s="80" t="s">
        <v>6209</v>
      </c>
      <c r="AL335" s="80"/>
      <c r="AM335" s="80"/>
      <c r="AN335" s="80"/>
      <c r="AO335" s="82">
        <v>41444.291203703702</v>
      </c>
      <c r="AP335" s="84" t="str">
        <f>HYPERLINK("https://pbs.twimg.com/profile_banners/1530017335/1371625417")</f>
        <v>https://pbs.twimg.com/profile_banners/1530017335/1371625417</v>
      </c>
      <c r="AQ335" s="80" t="b">
        <v>1</v>
      </c>
      <c r="AR335" s="80" t="b">
        <v>0</v>
      </c>
      <c r="AS335" s="80" t="b">
        <v>0</v>
      </c>
      <c r="AT335" s="80"/>
      <c r="AU335" s="80">
        <v>0</v>
      </c>
      <c r="AV335" s="84" t="str">
        <f>HYPERLINK("https://abs.twimg.com/images/themes/theme1/bg.png")</f>
        <v>https://abs.twimg.com/images/themes/theme1/bg.png</v>
      </c>
      <c r="AW335" s="80" t="b">
        <v>0</v>
      </c>
      <c r="AX335" s="80" t="s">
        <v>7173</v>
      </c>
      <c r="AY335" s="84" t="str">
        <f>HYPERLINK("https://twitter.com/fauziah_sifa28")</f>
        <v>https://twitter.com/fauziah_sifa28</v>
      </c>
      <c r="AZ335" s="80" t="s">
        <v>66</v>
      </c>
      <c r="BA335" s="2"/>
      <c r="BB335" s="3"/>
      <c r="BC335" s="3"/>
      <c r="BD335" s="3"/>
      <c r="BE335" s="3"/>
    </row>
    <row r="336" spans="1:57" x14ac:dyDescent="0.35">
      <c r="A336" s="66" t="s">
        <v>472</v>
      </c>
      <c r="B336" s="67"/>
      <c r="C336" s="67"/>
      <c r="D336" s="68"/>
      <c r="E336" s="70"/>
      <c r="F336" s="106" t="str">
        <f>HYPERLINK("https://pbs.twimg.com/profile_images/1202159276908675072/ZvejUjvc_normal.jpg")</f>
        <v>https://pbs.twimg.com/profile_images/1202159276908675072/ZvejUjvc_normal.jpg</v>
      </c>
      <c r="G336" s="67"/>
      <c r="H336" s="71"/>
      <c r="I336" s="72"/>
      <c r="J336" s="72"/>
      <c r="K336" s="71" t="s">
        <v>7506</v>
      </c>
      <c r="L336" s="75"/>
      <c r="M336" s="76"/>
      <c r="N336" s="76"/>
      <c r="O336" s="77"/>
      <c r="P336" s="78"/>
      <c r="Q336" s="78"/>
      <c r="R336" s="90"/>
      <c r="S336" s="90"/>
      <c r="T336" s="90"/>
      <c r="U336" s="90"/>
      <c r="V336" s="52"/>
      <c r="W336" s="52"/>
      <c r="X336" s="52"/>
      <c r="Y336" s="52"/>
      <c r="Z336" s="51"/>
      <c r="AA336" s="73"/>
      <c r="AB336" s="73"/>
      <c r="AC336" s="74"/>
      <c r="AD336" s="80" t="s">
        <v>4511</v>
      </c>
      <c r="AE336" s="86" t="s">
        <v>5424</v>
      </c>
      <c r="AF336" s="80">
        <v>2826</v>
      </c>
      <c r="AG336" s="80">
        <v>3078</v>
      </c>
      <c r="AH336" s="80">
        <v>38470</v>
      </c>
      <c r="AI336" s="80">
        <v>22661</v>
      </c>
      <c r="AJ336" s="80"/>
      <c r="AK336" s="80" t="s">
        <v>6210</v>
      </c>
      <c r="AL336" s="80" t="s">
        <v>6867</v>
      </c>
      <c r="AM336" s="80"/>
      <c r="AN336" s="80"/>
      <c r="AO336" s="82">
        <v>41416.175104166665</v>
      </c>
      <c r="AP336" s="84" t="str">
        <f>HYPERLINK("https://pbs.twimg.com/profile_banners/1447944139/1556263708")</f>
        <v>https://pbs.twimg.com/profile_banners/1447944139/1556263708</v>
      </c>
      <c r="AQ336" s="80" t="b">
        <v>0</v>
      </c>
      <c r="AR336" s="80" t="b">
        <v>0</v>
      </c>
      <c r="AS336" s="80" t="b">
        <v>1</v>
      </c>
      <c r="AT336" s="80"/>
      <c r="AU336" s="80">
        <v>1</v>
      </c>
      <c r="AV336" s="84" t="str">
        <f>HYPERLINK("https://abs.twimg.com/images/themes/theme14/bg.gif")</f>
        <v>https://abs.twimg.com/images/themes/theme14/bg.gif</v>
      </c>
      <c r="AW336" s="80" t="b">
        <v>0</v>
      </c>
      <c r="AX336" s="80" t="s">
        <v>7173</v>
      </c>
      <c r="AY336" s="84" t="str">
        <f>HYPERLINK("https://twitter.com/ariefanarya")</f>
        <v>https://twitter.com/ariefanarya</v>
      </c>
      <c r="AZ336" s="80" t="s">
        <v>66</v>
      </c>
      <c r="BA336" s="2"/>
      <c r="BB336" s="3"/>
      <c r="BC336" s="3"/>
      <c r="BD336" s="3"/>
      <c r="BE336" s="3"/>
    </row>
    <row r="337" spans="1:57" x14ac:dyDescent="0.35">
      <c r="A337" s="66" t="s">
        <v>473</v>
      </c>
      <c r="B337" s="67"/>
      <c r="C337" s="67"/>
      <c r="D337" s="68"/>
      <c r="E337" s="70"/>
      <c r="F337" s="106" t="str">
        <f>HYPERLINK("https://pbs.twimg.com/profile_images/1318908928705531904/wTxiK9d3_normal.jpg")</f>
        <v>https://pbs.twimg.com/profile_images/1318908928705531904/wTxiK9d3_normal.jpg</v>
      </c>
      <c r="G337" s="67"/>
      <c r="H337" s="71"/>
      <c r="I337" s="72"/>
      <c r="J337" s="72"/>
      <c r="K337" s="71" t="s">
        <v>7507</v>
      </c>
      <c r="L337" s="75"/>
      <c r="M337" s="76"/>
      <c r="N337" s="76"/>
      <c r="O337" s="77"/>
      <c r="P337" s="78"/>
      <c r="Q337" s="78"/>
      <c r="R337" s="90"/>
      <c r="S337" s="90"/>
      <c r="T337" s="90"/>
      <c r="U337" s="90"/>
      <c r="V337" s="52"/>
      <c r="W337" s="52"/>
      <c r="X337" s="52"/>
      <c r="Y337" s="52"/>
      <c r="Z337" s="51"/>
      <c r="AA337" s="73"/>
      <c r="AB337" s="73"/>
      <c r="AC337" s="74"/>
      <c r="AD337" s="80" t="s">
        <v>4512</v>
      </c>
      <c r="AE337" s="86" t="s">
        <v>5425</v>
      </c>
      <c r="AF337" s="80">
        <v>2021</v>
      </c>
      <c r="AG337" s="80">
        <v>2139</v>
      </c>
      <c r="AH337" s="80">
        <v>23941</v>
      </c>
      <c r="AI337" s="80">
        <v>11960</v>
      </c>
      <c r="AJ337" s="80"/>
      <c r="AK337" s="80" t="s">
        <v>6211</v>
      </c>
      <c r="AL337" s="80"/>
      <c r="AM337" s="80"/>
      <c r="AN337" s="80"/>
      <c r="AO337" s="82">
        <v>40443.369398148148</v>
      </c>
      <c r="AP337" s="80"/>
      <c r="AQ337" s="80" t="b">
        <v>0</v>
      </c>
      <c r="AR337" s="80" t="b">
        <v>0</v>
      </c>
      <c r="AS337" s="80" t="b">
        <v>0</v>
      </c>
      <c r="AT337" s="80"/>
      <c r="AU337" s="80">
        <v>0</v>
      </c>
      <c r="AV337" s="84" t="str">
        <f>HYPERLINK("https://abs.twimg.com/images/themes/theme18/bg.gif")</f>
        <v>https://abs.twimg.com/images/themes/theme18/bg.gif</v>
      </c>
      <c r="AW337" s="80" t="b">
        <v>0</v>
      </c>
      <c r="AX337" s="80" t="s">
        <v>7173</v>
      </c>
      <c r="AY337" s="84" t="str">
        <f>HYPERLINK("https://twitter.com/sgrdamai")</f>
        <v>https://twitter.com/sgrdamai</v>
      </c>
      <c r="AZ337" s="80" t="s">
        <v>66</v>
      </c>
      <c r="BA337" s="2"/>
      <c r="BB337" s="3"/>
      <c r="BC337" s="3"/>
      <c r="BD337" s="3"/>
      <c r="BE337" s="3"/>
    </row>
    <row r="338" spans="1:57" x14ac:dyDescent="0.35">
      <c r="A338" s="66" t="s">
        <v>474</v>
      </c>
      <c r="B338" s="67"/>
      <c r="C338" s="67"/>
      <c r="D338" s="68"/>
      <c r="E338" s="70"/>
      <c r="F338" s="106" t="str">
        <f>HYPERLINK("https://pbs.twimg.com/profile_images/1266677357655420929/ojlzHbVS_normal.jpg")</f>
        <v>https://pbs.twimg.com/profile_images/1266677357655420929/ojlzHbVS_normal.jpg</v>
      </c>
      <c r="G338" s="67"/>
      <c r="H338" s="71"/>
      <c r="I338" s="72"/>
      <c r="J338" s="72"/>
      <c r="K338" s="71" t="s">
        <v>7508</v>
      </c>
      <c r="L338" s="75"/>
      <c r="M338" s="76"/>
      <c r="N338" s="76"/>
      <c r="O338" s="77"/>
      <c r="P338" s="78"/>
      <c r="Q338" s="78"/>
      <c r="R338" s="90"/>
      <c r="S338" s="90"/>
      <c r="T338" s="90"/>
      <c r="U338" s="90"/>
      <c r="V338" s="52"/>
      <c r="W338" s="52"/>
      <c r="X338" s="52"/>
      <c r="Y338" s="52"/>
      <c r="Z338" s="51"/>
      <c r="AA338" s="73"/>
      <c r="AB338" s="73"/>
      <c r="AC338" s="74"/>
      <c r="AD338" s="80" t="s">
        <v>4513</v>
      </c>
      <c r="AE338" s="86" t="s">
        <v>5426</v>
      </c>
      <c r="AF338" s="80">
        <v>950</v>
      </c>
      <c r="AG338" s="80">
        <v>897</v>
      </c>
      <c r="AH338" s="80">
        <v>30026</v>
      </c>
      <c r="AI338" s="80">
        <v>49539</v>
      </c>
      <c r="AJ338" s="80"/>
      <c r="AK338" s="80" t="s">
        <v>6212</v>
      </c>
      <c r="AL338" s="80"/>
      <c r="AM338" s="80"/>
      <c r="AN338" s="80"/>
      <c r="AO338" s="82">
        <v>43851.256319444445</v>
      </c>
      <c r="AP338" s="84" t="str">
        <f>HYPERLINK("https://pbs.twimg.com/profile_banners/1219502069834379264/1624517327")</f>
        <v>https://pbs.twimg.com/profile_banners/1219502069834379264/1624517327</v>
      </c>
      <c r="AQ338" s="80" t="b">
        <v>1</v>
      </c>
      <c r="AR338" s="80" t="b">
        <v>0</v>
      </c>
      <c r="AS338" s="80" t="b">
        <v>0</v>
      </c>
      <c r="AT338" s="80"/>
      <c r="AU338" s="80">
        <v>0</v>
      </c>
      <c r="AV338" s="80"/>
      <c r="AW338" s="80" t="b">
        <v>0</v>
      </c>
      <c r="AX338" s="80" t="s">
        <v>7173</v>
      </c>
      <c r="AY338" s="84" t="str">
        <f>HYPERLINK("https://twitter.com/kakekharam")</f>
        <v>https://twitter.com/kakekharam</v>
      </c>
      <c r="AZ338" s="80" t="s">
        <v>66</v>
      </c>
      <c r="BA338" s="2"/>
      <c r="BB338" s="3"/>
      <c r="BC338" s="3"/>
      <c r="BD338" s="3"/>
      <c r="BE338" s="3"/>
    </row>
    <row r="339" spans="1:57" x14ac:dyDescent="0.35">
      <c r="A339" s="66" t="s">
        <v>475</v>
      </c>
      <c r="B339" s="67"/>
      <c r="C339" s="67"/>
      <c r="D339" s="68"/>
      <c r="E339" s="70"/>
      <c r="F339" s="106" t="str">
        <f>HYPERLINK("https://pbs.twimg.com/profile_images/954275100529852417/xv9Nm8Rn_normal.jpg")</f>
        <v>https://pbs.twimg.com/profile_images/954275100529852417/xv9Nm8Rn_normal.jpg</v>
      </c>
      <c r="G339" s="67"/>
      <c r="H339" s="71"/>
      <c r="I339" s="72"/>
      <c r="J339" s="72"/>
      <c r="K339" s="71" t="s">
        <v>7509</v>
      </c>
      <c r="L339" s="75"/>
      <c r="M339" s="76"/>
      <c r="N339" s="76"/>
      <c r="O339" s="77"/>
      <c r="P339" s="78"/>
      <c r="Q339" s="78"/>
      <c r="R339" s="90"/>
      <c r="S339" s="90"/>
      <c r="T339" s="90"/>
      <c r="U339" s="90"/>
      <c r="V339" s="52"/>
      <c r="W339" s="52"/>
      <c r="X339" s="52"/>
      <c r="Y339" s="52"/>
      <c r="Z339" s="51"/>
      <c r="AA339" s="73"/>
      <c r="AB339" s="73"/>
      <c r="AC339" s="74"/>
      <c r="AD339" s="80" t="s">
        <v>4514</v>
      </c>
      <c r="AE339" s="86" t="s">
        <v>5427</v>
      </c>
      <c r="AF339" s="80">
        <v>859</v>
      </c>
      <c r="AG339" s="80">
        <v>445</v>
      </c>
      <c r="AH339" s="80">
        <v>1534</v>
      </c>
      <c r="AI339" s="80">
        <v>652</v>
      </c>
      <c r="AJ339" s="80"/>
      <c r="AK339" s="80" t="s">
        <v>6213</v>
      </c>
      <c r="AL339" s="80" t="s">
        <v>6912</v>
      </c>
      <c r="AM339" s="80"/>
      <c r="AN339" s="80"/>
      <c r="AO339" s="82">
        <v>41273.531712962962</v>
      </c>
      <c r="AP339" s="80"/>
      <c r="AQ339" s="80" t="b">
        <v>1</v>
      </c>
      <c r="AR339" s="80" t="b">
        <v>0</v>
      </c>
      <c r="AS339" s="80" t="b">
        <v>1</v>
      </c>
      <c r="AT339" s="80"/>
      <c r="AU339" s="80">
        <v>0</v>
      </c>
      <c r="AV339" s="84" t="str">
        <f>HYPERLINK("https://abs.twimg.com/images/themes/theme1/bg.png")</f>
        <v>https://abs.twimg.com/images/themes/theme1/bg.png</v>
      </c>
      <c r="AW339" s="80" t="b">
        <v>0</v>
      </c>
      <c r="AX339" s="80" t="s">
        <v>7173</v>
      </c>
      <c r="AY339" s="84" t="str">
        <f>HYPERLINK("https://twitter.com/abbasciputabbas")</f>
        <v>https://twitter.com/abbasciputabbas</v>
      </c>
      <c r="AZ339" s="80" t="s">
        <v>66</v>
      </c>
      <c r="BA339" s="2"/>
      <c r="BB339" s="3"/>
      <c r="BC339" s="3"/>
      <c r="BD339" s="3"/>
      <c r="BE339" s="3"/>
    </row>
    <row r="340" spans="1:57" x14ac:dyDescent="0.35">
      <c r="A340" s="66" t="s">
        <v>476</v>
      </c>
      <c r="B340" s="67"/>
      <c r="C340" s="67"/>
      <c r="D340" s="68"/>
      <c r="E340" s="70"/>
      <c r="F340" s="106" t="str">
        <f>HYPERLINK("https://pbs.twimg.com/profile_images/1435439296790425602/oMdTMyVs_normal.jpg")</f>
        <v>https://pbs.twimg.com/profile_images/1435439296790425602/oMdTMyVs_normal.jpg</v>
      </c>
      <c r="G340" s="67"/>
      <c r="H340" s="71"/>
      <c r="I340" s="72"/>
      <c r="J340" s="72"/>
      <c r="K340" s="71" t="s">
        <v>7510</v>
      </c>
      <c r="L340" s="75"/>
      <c r="M340" s="76"/>
      <c r="N340" s="76"/>
      <c r="O340" s="77"/>
      <c r="P340" s="78"/>
      <c r="Q340" s="78"/>
      <c r="R340" s="90"/>
      <c r="S340" s="90"/>
      <c r="T340" s="90"/>
      <c r="U340" s="90"/>
      <c r="V340" s="52"/>
      <c r="W340" s="52"/>
      <c r="X340" s="52"/>
      <c r="Y340" s="52"/>
      <c r="Z340" s="51"/>
      <c r="AA340" s="73"/>
      <c r="AB340" s="73"/>
      <c r="AC340" s="74"/>
      <c r="AD340" s="80" t="s">
        <v>4515</v>
      </c>
      <c r="AE340" s="86" t="s">
        <v>5428</v>
      </c>
      <c r="AF340" s="80">
        <v>4104</v>
      </c>
      <c r="AG340" s="80">
        <v>2843</v>
      </c>
      <c r="AH340" s="80">
        <v>7396</v>
      </c>
      <c r="AI340" s="80">
        <v>13103</v>
      </c>
      <c r="AJ340" s="80"/>
      <c r="AK340" s="80" t="s">
        <v>6214</v>
      </c>
      <c r="AL340" s="80" t="s">
        <v>6777</v>
      </c>
      <c r="AM340" s="80"/>
      <c r="AN340" s="80"/>
      <c r="AO340" s="82">
        <v>40359.543402777781</v>
      </c>
      <c r="AP340" s="84" t="str">
        <f>HYPERLINK("https://pbs.twimg.com/profile_banners/161282276/1605254594")</f>
        <v>https://pbs.twimg.com/profile_banners/161282276/1605254594</v>
      </c>
      <c r="AQ340" s="80" t="b">
        <v>1</v>
      </c>
      <c r="AR340" s="80" t="b">
        <v>0</v>
      </c>
      <c r="AS340" s="80" t="b">
        <v>1</v>
      </c>
      <c r="AT340" s="80"/>
      <c r="AU340" s="80">
        <v>0</v>
      </c>
      <c r="AV340" s="84" t="str">
        <f>HYPERLINK("https://abs.twimg.com/images/themes/theme1/bg.png")</f>
        <v>https://abs.twimg.com/images/themes/theme1/bg.png</v>
      </c>
      <c r="AW340" s="80" t="b">
        <v>0</v>
      </c>
      <c r="AX340" s="80" t="s">
        <v>7173</v>
      </c>
      <c r="AY340" s="84" t="str">
        <f>HYPERLINK("https://twitter.com/iichigoryota")</f>
        <v>https://twitter.com/iichigoryota</v>
      </c>
      <c r="AZ340" s="80" t="s">
        <v>66</v>
      </c>
      <c r="BA340" s="2"/>
      <c r="BB340" s="3"/>
      <c r="BC340" s="3"/>
      <c r="BD340" s="3"/>
      <c r="BE340" s="3"/>
    </row>
    <row r="341" spans="1:57" x14ac:dyDescent="0.35">
      <c r="A341" s="66" t="s">
        <v>477</v>
      </c>
      <c r="B341" s="67"/>
      <c r="C341" s="67"/>
      <c r="D341" s="68"/>
      <c r="E341" s="70"/>
      <c r="F341" s="106" t="str">
        <f>HYPERLINK("https://pbs.twimg.com/profile_images/1302035697340219393/6hlHgA79_normal.jpg")</f>
        <v>https://pbs.twimg.com/profile_images/1302035697340219393/6hlHgA79_normal.jpg</v>
      </c>
      <c r="G341" s="67"/>
      <c r="H341" s="71"/>
      <c r="I341" s="72"/>
      <c r="J341" s="72"/>
      <c r="K341" s="71" t="s">
        <v>7511</v>
      </c>
      <c r="L341" s="75"/>
      <c r="M341" s="76"/>
      <c r="N341" s="76"/>
      <c r="O341" s="77"/>
      <c r="P341" s="78"/>
      <c r="Q341" s="78"/>
      <c r="R341" s="90"/>
      <c r="S341" s="90"/>
      <c r="T341" s="90"/>
      <c r="U341" s="90"/>
      <c r="V341" s="52"/>
      <c r="W341" s="52"/>
      <c r="X341" s="52"/>
      <c r="Y341" s="52"/>
      <c r="Z341" s="51"/>
      <c r="AA341" s="73"/>
      <c r="AB341" s="73"/>
      <c r="AC341" s="74"/>
      <c r="AD341" s="80" t="s">
        <v>4516</v>
      </c>
      <c r="AE341" s="86" t="s">
        <v>5429</v>
      </c>
      <c r="AF341" s="80">
        <v>603</v>
      </c>
      <c r="AG341" s="80">
        <v>605</v>
      </c>
      <c r="AH341" s="80">
        <v>1920</v>
      </c>
      <c r="AI341" s="80">
        <v>24103</v>
      </c>
      <c r="AJ341" s="80"/>
      <c r="AK341" s="80"/>
      <c r="AL341" s="80"/>
      <c r="AM341" s="80"/>
      <c r="AN341" s="80"/>
      <c r="AO341" s="82">
        <v>40683.35664351852</v>
      </c>
      <c r="AP341" s="84" t="str">
        <f>HYPERLINK("https://pbs.twimg.com/profile_banners/301911173/1601563861")</f>
        <v>https://pbs.twimg.com/profile_banners/301911173/1601563861</v>
      </c>
      <c r="AQ341" s="80" t="b">
        <v>1</v>
      </c>
      <c r="AR341" s="80" t="b">
        <v>0</v>
      </c>
      <c r="AS341" s="80" t="b">
        <v>0</v>
      </c>
      <c r="AT341" s="80"/>
      <c r="AU341" s="80">
        <v>0</v>
      </c>
      <c r="AV341" s="84" t="str">
        <f>HYPERLINK("https://abs.twimg.com/images/themes/theme1/bg.png")</f>
        <v>https://abs.twimg.com/images/themes/theme1/bg.png</v>
      </c>
      <c r="AW341" s="80" t="b">
        <v>0</v>
      </c>
      <c r="AX341" s="80" t="s">
        <v>7173</v>
      </c>
      <c r="AY341" s="84" t="str">
        <f>HYPERLINK("https://twitter.com/herusugiri")</f>
        <v>https://twitter.com/herusugiri</v>
      </c>
      <c r="AZ341" s="80" t="s">
        <v>66</v>
      </c>
      <c r="BA341" s="2"/>
      <c r="BB341" s="3"/>
      <c r="BC341" s="3"/>
      <c r="BD341" s="3"/>
      <c r="BE341" s="3"/>
    </row>
    <row r="342" spans="1:57" x14ac:dyDescent="0.35">
      <c r="A342" s="66" t="s">
        <v>478</v>
      </c>
      <c r="B342" s="67"/>
      <c r="C342" s="67"/>
      <c r="D342" s="68"/>
      <c r="E342" s="70"/>
      <c r="F342" s="106" t="str">
        <f>HYPERLINK("https://pbs.twimg.com/profile_images/1420186633387745281/65C4Zpqv_normal.jpg")</f>
        <v>https://pbs.twimg.com/profile_images/1420186633387745281/65C4Zpqv_normal.jpg</v>
      </c>
      <c r="G342" s="67"/>
      <c r="H342" s="71"/>
      <c r="I342" s="72"/>
      <c r="J342" s="72"/>
      <c r="K342" s="71" t="s">
        <v>7512</v>
      </c>
      <c r="L342" s="75"/>
      <c r="M342" s="76"/>
      <c r="N342" s="76"/>
      <c r="O342" s="77"/>
      <c r="P342" s="78"/>
      <c r="Q342" s="78"/>
      <c r="R342" s="90"/>
      <c r="S342" s="90"/>
      <c r="T342" s="90"/>
      <c r="U342" s="90"/>
      <c r="V342" s="52"/>
      <c r="W342" s="52"/>
      <c r="X342" s="52"/>
      <c r="Y342" s="52"/>
      <c r="Z342" s="51"/>
      <c r="AA342" s="73"/>
      <c r="AB342" s="73"/>
      <c r="AC342" s="74"/>
      <c r="AD342" s="80" t="s">
        <v>4517</v>
      </c>
      <c r="AE342" s="86" t="s">
        <v>5430</v>
      </c>
      <c r="AF342" s="80">
        <v>993</v>
      </c>
      <c r="AG342" s="80">
        <v>965</v>
      </c>
      <c r="AH342" s="80">
        <v>90</v>
      </c>
      <c r="AI342" s="80">
        <v>1129</v>
      </c>
      <c r="AJ342" s="80"/>
      <c r="AK342" s="80" t="s">
        <v>6215</v>
      </c>
      <c r="AL342" s="80"/>
      <c r="AM342" s="80"/>
      <c r="AN342" s="80"/>
      <c r="AO342" s="82">
        <v>44335.833553240744</v>
      </c>
      <c r="AP342" s="84" t="str">
        <f>HYPERLINK("https://pbs.twimg.com/profile_banners/1395106981271117825/1631191967")</f>
        <v>https://pbs.twimg.com/profile_banners/1395106981271117825/1631191967</v>
      </c>
      <c r="AQ342" s="80" t="b">
        <v>1</v>
      </c>
      <c r="AR342" s="80" t="b">
        <v>0</v>
      </c>
      <c r="AS342" s="80" t="b">
        <v>0</v>
      </c>
      <c r="AT342" s="80"/>
      <c r="AU342" s="80">
        <v>0</v>
      </c>
      <c r="AV342" s="80"/>
      <c r="AW342" s="80" t="b">
        <v>0</v>
      </c>
      <c r="AX342" s="80" t="s">
        <v>7173</v>
      </c>
      <c r="AY342" s="84" t="str">
        <f>HYPERLINK("https://twitter.com/tlbfrmnsyh")</f>
        <v>https://twitter.com/tlbfrmnsyh</v>
      </c>
      <c r="AZ342" s="80" t="s">
        <v>66</v>
      </c>
      <c r="BA342" s="2"/>
      <c r="BB342" s="3"/>
      <c r="BC342" s="3"/>
      <c r="BD342" s="3"/>
      <c r="BE342" s="3"/>
    </row>
    <row r="343" spans="1:57" x14ac:dyDescent="0.35">
      <c r="A343" s="66" t="s">
        <v>479</v>
      </c>
      <c r="B343" s="67"/>
      <c r="C343" s="67"/>
      <c r="D343" s="68"/>
      <c r="E343" s="70"/>
      <c r="F343" s="106" t="str">
        <f>HYPERLINK("https://pbs.twimg.com/profile_images/1370240146470174720/J5-VMvpn_normal.jpg")</f>
        <v>https://pbs.twimg.com/profile_images/1370240146470174720/J5-VMvpn_normal.jpg</v>
      </c>
      <c r="G343" s="67"/>
      <c r="H343" s="71"/>
      <c r="I343" s="72"/>
      <c r="J343" s="72"/>
      <c r="K343" s="71" t="s">
        <v>7513</v>
      </c>
      <c r="L343" s="75"/>
      <c r="M343" s="76"/>
      <c r="N343" s="76"/>
      <c r="O343" s="77"/>
      <c r="P343" s="78"/>
      <c r="Q343" s="78"/>
      <c r="R343" s="90"/>
      <c r="S343" s="90"/>
      <c r="T343" s="90"/>
      <c r="U343" s="90"/>
      <c r="V343" s="52"/>
      <c r="W343" s="52"/>
      <c r="X343" s="52"/>
      <c r="Y343" s="52"/>
      <c r="Z343" s="51"/>
      <c r="AA343" s="73"/>
      <c r="AB343" s="73"/>
      <c r="AC343" s="74"/>
      <c r="AD343" s="80" t="s">
        <v>4518</v>
      </c>
      <c r="AE343" s="86" t="s">
        <v>5431</v>
      </c>
      <c r="AF343" s="80">
        <v>40</v>
      </c>
      <c r="AG343" s="80">
        <v>35</v>
      </c>
      <c r="AH343" s="80">
        <v>930</v>
      </c>
      <c r="AI343" s="80">
        <v>43</v>
      </c>
      <c r="AJ343" s="80"/>
      <c r="AK343" s="80" t="s">
        <v>6216</v>
      </c>
      <c r="AL343" s="80"/>
      <c r="AM343" s="80"/>
      <c r="AN343" s="80"/>
      <c r="AO343" s="82">
        <v>44267.21266203704</v>
      </c>
      <c r="AP343" s="80"/>
      <c r="AQ343" s="80" t="b">
        <v>1</v>
      </c>
      <c r="AR343" s="80" t="b">
        <v>0</v>
      </c>
      <c r="AS343" s="80" t="b">
        <v>0</v>
      </c>
      <c r="AT343" s="80"/>
      <c r="AU343" s="80">
        <v>0</v>
      </c>
      <c r="AV343" s="80"/>
      <c r="AW343" s="80" t="b">
        <v>0</v>
      </c>
      <c r="AX343" s="80" t="s">
        <v>7173</v>
      </c>
      <c r="AY343" s="84" t="str">
        <f>HYPERLINK("https://twitter.com/djtytyd")</f>
        <v>https://twitter.com/djtytyd</v>
      </c>
      <c r="AZ343" s="80" t="s">
        <v>66</v>
      </c>
      <c r="BA343" s="2"/>
      <c r="BB343" s="3"/>
      <c r="BC343" s="3"/>
      <c r="BD343" s="3"/>
      <c r="BE343" s="3"/>
    </row>
    <row r="344" spans="1:57" x14ac:dyDescent="0.35">
      <c r="A344" s="66" t="s">
        <v>480</v>
      </c>
      <c r="B344" s="67"/>
      <c r="C344" s="67"/>
      <c r="D344" s="68"/>
      <c r="E344" s="70"/>
      <c r="F344" s="106" t="str">
        <f>HYPERLINK("https://pbs.twimg.com/profile_images/1301090007243845635/8i4Ta9N6_normal.jpg")</f>
        <v>https://pbs.twimg.com/profile_images/1301090007243845635/8i4Ta9N6_normal.jpg</v>
      </c>
      <c r="G344" s="67"/>
      <c r="H344" s="71"/>
      <c r="I344" s="72"/>
      <c r="J344" s="72"/>
      <c r="K344" s="71" t="s">
        <v>7514</v>
      </c>
      <c r="L344" s="75"/>
      <c r="M344" s="76"/>
      <c r="N344" s="76"/>
      <c r="O344" s="77"/>
      <c r="P344" s="78"/>
      <c r="Q344" s="78"/>
      <c r="R344" s="90"/>
      <c r="S344" s="90"/>
      <c r="T344" s="90"/>
      <c r="U344" s="90"/>
      <c r="V344" s="52"/>
      <c r="W344" s="52"/>
      <c r="X344" s="52"/>
      <c r="Y344" s="52"/>
      <c r="Z344" s="51"/>
      <c r="AA344" s="73"/>
      <c r="AB344" s="73"/>
      <c r="AC344" s="74"/>
      <c r="AD344" s="80" t="s">
        <v>4519</v>
      </c>
      <c r="AE344" s="86" t="s">
        <v>5432</v>
      </c>
      <c r="AF344" s="80">
        <v>3760</v>
      </c>
      <c r="AG344" s="80">
        <v>2554</v>
      </c>
      <c r="AH344" s="80">
        <v>13741</v>
      </c>
      <c r="AI344" s="80">
        <v>6892</v>
      </c>
      <c r="AJ344" s="80"/>
      <c r="AK344" s="80" t="s">
        <v>6217</v>
      </c>
      <c r="AL344" s="80"/>
      <c r="AM344" s="80"/>
      <c r="AN344" s="80"/>
      <c r="AO344" s="82">
        <v>43773.673391203702</v>
      </c>
      <c r="AP344" s="84" t="str">
        <f>HYPERLINK("https://pbs.twimg.com/profile_banners/1191387008012189699/1605586426")</f>
        <v>https://pbs.twimg.com/profile_banners/1191387008012189699/1605586426</v>
      </c>
      <c r="AQ344" s="80" t="b">
        <v>1</v>
      </c>
      <c r="AR344" s="80" t="b">
        <v>0</v>
      </c>
      <c r="AS344" s="80" t="b">
        <v>0</v>
      </c>
      <c r="AT344" s="80"/>
      <c r="AU344" s="80">
        <v>0</v>
      </c>
      <c r="AV344" s="80"/>
      <c r="AW344" s="80" t="b">
        <v>0</v>
      </c>
      <c r="AX344" s="80" t="s">
        <v>7173</v>
      </c>
      <c r="AY344" s="84" t="str">
        <f>HYPERLINK("https://twitter.com/thomass90392754")</f>
        <v>https://twitter.com/thomass90392754</v>
      </c>
      <c r="AZ344" s="80" t="s">
        <v>66</v>
      </c>
      <c r="BA344" s="2"/>
      <c r="BB344" s="3"/>
      <c r="BC344" s="3"/>
      <c r="BD344" s="3"/>
      <c r="BE344" s="3"/>
    </row>
    <row r="345" spans="1:57" x14ac:dyDescent="0.35">
      <c r="A345" s="66" t="s">
        <v>481</v>
      </c>
      <c r="B345" s="67"/>
      <c r="C345" s="67"/>
      <c r="D345" s="68"/>
      <c r="E345" s="70"/>
      <c r="F345" s="106" t="str">
        <f>HYPERLINK("https://pbs.twimg.com/profile_images/1439754431881379843/iiwKfH0h_normal.jpg")</f>
        <v>https://pbs.twimg.com/profile_images/1439754431881379843/iiwKfH0h_normal.jpg</v>
      </c>
      <c r="G345" s="67"/>
      <c r="H345" s="71"/>
      <c r="I345" s="72"/>
      <c r="J345" s="72"/>
      <c r="K345" s="71" t="s">
        <v>7515</v>
      </c>
      <c r="L345" s="75"/>
      <c r="M345" s="76"/>
      <c r="N345" s="76"/>
      <c r="O345" s="77"/>
      <c r="P345" s="78"/>
      <c r="Q345" s="78"/>
      <c r="R345" s="90"/>
      <c r="S345" s="90"/>
      <c r="T345" s="90"/>
      <c r="U345" s="90"/>
      <c r="V345" s="52"/>
      <c r="W345" s="52"/>
      <c r="X345" s="52"/>
      <c r="Y345" s="52"/>
      <c r="Z345" s="51"/>
      <c r="AA345" s="73"/>
      <c r="AB345" s="73"/>
      <c r="AC345" s="74"/>
      <c r="AD345" s="80" t="s">
        <v>4520</v>
      </c>
      <c r="AE345" s="86" t="s">
        <v>5433</v>
      </c>
      <c r="AF345" s="80">
        <v>3177</v>
      </c>
      <c r="AG345" s="80">
        <v>2335</v>
      </c>
      <c r="AH345" s="80">
        <v>7139</v>
      </c>
      <c r="AI345" s="80">
        <v>30538</v>
      </c>
      <c r="AJ345" s="80"/>
      <c r="AK345" s="80"/>
      <c r="AL345" s="80"/>
      <c r="AM345" s="80"/>
      <c r="AN345" s="80"/>
      <c r="AO345" s="82">
        <v>44110.684236111112</v>
      </c>
      <c r="AP345" s="80"/>
      <c r="AQ345" s="80" t="b">
        <v>1</v>
      </c>
      <c r="AR345" s="80" t="b">
        <v>0</v>
      </c>
      <c r="AS345" s="80" t="b">
        <v>0</v>
      </c>
      <c r="AT345" s="80"/>
      <c r="AU345" s="80">
        <v>0</v>
      </c>
      <c r="AV345" s="80"/>
      <c r="AW345" s="80" t="b">
        <v>0</v>
      </c>
      <c r="AX345" s="80" t="s">
        <v>7173</v>
      </c>
      <c r="AY345" s="84" t="str">
        <f>HYPERLINK("https://twitter.com/ariestuck26")</f>
        <v>https://twitter.com/ariestuck26</v>
      </c>
      <c r="AZ345" s="80" t="s">
        <v>66</v>
      </c>
      <c r="BA345" s="2"/>
      <c r="BB345" s="3"/>
      <c r="BC345" s="3"/>
      <c r="BD345" s="3"/>
      <c r="BE345" s="3"/>
    </row>
    <row r="346" spans="1:57" x14ac:dyDescent="0.35">
      <c r="A346" s="66" t="s">
        <v>482</v>
      </c>
      <c r="B346" s="67"/>
      <c r="C346" s="67"/>
      <c r="D346" s="68"/>
      <c r="E346" s="70"/>
      <c r="F346" s="106" t="str">
        <f>HYPERLINK("https://pbs.twimg.com/profile_images/1435559728399093763/H0CIQntP_normal.jpg")</f>
        <v>https://pbs.twimg.com/profile_images/1435559728399093763/H0CIQntP_normal.jpg</v>
      </c>
      <c r="G346" s="67"/>
      <c r="H346" s="71"/>
      <c r="I346" s="72"/>
      <c r="J346" s="72"/>
      <c r="K346" s="71" t="s">
        <v>7516</v>
      </c>
      <c r="L346" s="75"/>
      <c r="M346" s="76"/>
      <c r="N346" s="76"/>
      <c r="O346" s="77"/>
      <c r="P346" s="78"/>
      <c r="Q346" s="78"/>
      <c r="R346" s="90"/>
      <c r="S346" s="90"/>
      <c r="T346" s="90"/>
      <c r="U346" s="90"/>
      <c r="V346" s="52"/>
      <c r="W346" s="52"/>
      <c r="X346" s="52"/>
      <c r="Y346" s="52"/>
      <c r="Z346" s="51"/>
      <c r="AA346" s="73"/>
      <c r="AB346" s="73"/>
      <c r="AC346" s="74"/>
      <c r="AD346" s="80" t="s">
        <v>4521</v>
      </c>
      <c r="AE346" s="86" t="s">
        <v>5434</v>
      </c>
      <c r="AF346" s="80">
        <v>158</v>
      </c>
      <c r="AG346" s="80">
        <v>289</v>
      </c>
      <c r="AH346" s="80">
        <v>10114</v>
      </c>
      <c r="AI346" s="80">
        <v>25952</v>
      </c>
      <c r="AJ346" s="80"/>
      <c r="AK346" s="80" t="s">
        <v>6218</v>
      </c>
      <c r="AL346" s="80" t="s">
        <v>6913</v>
      </c>
      <c r="AM346" s="80"/>
      <c r="AN346" s="80"/>
      <c r="AO346" s="82">
        <v>43920.60701388889</v>
      </c>
      <c r="AP346" s="80"/>
      <c r="AQ346" s="80" t="b">
        <v>1</v>
      </c>
      <c r="AR346" s="80" t="b">
        <v>0</v>
      </c>
      <c r="AS346" s="80" t="b">
        <v>0</v>
      </c>
      <c r="AT346" s="80"/>
      <c r="AU346" s="80">
        <v>0</v>
      </c>
      <c r="AV346" s="80"/>
      <c r="AW346" s="80" t="b">
        <v>0</v>
      </c>
      <c r="AX346" s="80" t="s">
        <v>7173</v>
      </c>
      <c r="AY346" s="84" t="str">
        <f>HYPERLINK("https://twitter.com/evadarma42")</f>
        <v>https://twitter.com/evadarma42</v>
      </c>
      <c r="AZ346" s="80" t="s">
        <v>66</v>
      </c>
      <c r="BA346" s="2"/>
      <c r="BB346" s="3"/>
      <c r="BC346" s="3"/>
      <c r="BD346" s="3"/>
      <c r="BE346" s="3"/>
    </row>
    <row r="347" spans="1:57" x14ac:dyDescent="0.35">
      <c r="A347" s="66" t="s">
        <v>483</v>
      </c>
      <c r="B347" s="67"/>
      <c r="C347" s="67"/>
      <c r="D347" s="68"/>
      <c r="E347" s="70"/>
      <c r="F347" s="106" t="str">
        <f>HYPERLINK("https://pbs.twimg.com/profile_images/1428414802355920900/b1PkUcgK_normal.jpg")</f>
        <v>https://pbs.twimg.com/profile_images/1428414802355920900/b1PkUcgK_normal.jpg</v>
      </c>
      <c r="G347" s="67"/>
      <c r="H347" s="71"/>
      <c r="I347" s="72"/>
      <c r="J347" s="72"/>
      <c r="K347" s="71" t="s">
        <v>7517</v>
      </c>
      <c r="L347" s="75"/>
      <c r="M347" s="76"/>
      <c r="N347" s="76"/>
      <c r="O347" s="77"/>
      <c r="P347" s="78"/>
      <c r="Q347" s="78"/>
      <c r="R347" s="90"/>
      <c r="S347" s="90"/>
      <c r="T347" s="90"/>
      <c r="U347" s="90"/>
      <c r="V347" s="52"/>
      <c r="W347" s="52"/>
      <c r="X347" s="52"/>
      <c r="Y347" s="52"/>
      <c r="Z347" s="51"/>
      <c r="AA347" s="73"/>
      <c r="AB347" s="73"/>
      <c r="AC347" s="74"/>
      <c r="AD347" s="80" t="s">
        <v>4522</v>
      </c>
      <c r="AE347" s="86" t="s">
        <v>5435</v>
      </c>
      <c r="AF347" s="80">
        <v>2696</v>
      </c>
      <c r="AG347" s="80">
        <v>2836</v>
      </c>
      <c r="AH347" s="80">
        <v>16053</v>
      </c>
      <c r="AI347" s="80">
        <v>124708</v>
      </c>
      <c r="AJ347" s="80"/>
      <c r="AK347" s="80" t="s">
        <v>6219</v>
      </c>
      <c r="AL347" s="80" t="s">
        <v>6788</v>
      </c>
      <c r="AM347" s="80"/>
      <c r="AN347" s="80"/>
      <c r="AO347" s="82">
        <v>40100.466469907406</v>
      </c>
      <c r="AP347" s="84" t="str">
        <f>HYPERLINK("https://pbs.twimg.com/profile_banners/82334337/1614021696")</f>
        <v>https://pbs.twimg.com/profile_banners/82334337/1614021696</v>
      </c>
      <c r="AQ347" s="80" t="b">
        <v>0</v>
      </c>
      <c r="AR347" s="80" t="b">
        <v>0</v>
      </c>
      <c r="AS347" s="80" t="b">
        <v>1</v>
      </c>
      <c r="AT347" s="80"/>
      <c r="AU347" s="80">
        <v>0</v>
      </c>
      <c r="AV347" s="84" t="str">
        <f>HYPERLINK("https://abs.twimg.com/images/themes/theme13/bg.gif")</f>
        <v>https://abs.twimg.com/images/themes/theme13/bg.gif</v>
      </c>
      <c r="AW347" s="80" t="b">
        <v>0</v>
      </c>
      <c r="AX347" s="80" t="s">
        <v>7173</v>
      </c>
      <c r="AY347" s="84" t="str">
        <f>HYPERLINK("https://twitter.com/arie_mdana")</f>
        <v>https://twitter.com/arie_mdana</v>
      </c>
      <c r="AZ347" s="80" t="s">
        <v>66</v>
      </c>
      <c r="BA347" s="2"/>
      <c r="BB347" s="3"/>
      <c r="BC347" s="3"/>
      <c r="BD347" s="3"/>
      <c r="BE347" s="3"/>
    </row>
    <row r="348" spans="1:57" x14ac:dyDescent="0.35">
      <c r="A348" s="66" t="s">
        <v>484</v>
      </c>
      <c r="B348" s="67"/>
      <c r="C348" s="67"/>
      <c r="D348" s="68"/>
      <c r="E348" s="70"/>
      <c r="F348" s="106" t="str">
        <f>HYPERLINK("https://pbs.twimg.com/profile_images/1091700350472474624/CsuQ65QF_normal.jpg")</f>
        <v>https://pbs.twimg.com/profile_images/1091700350472474624/CsuQ65QF_normal.jpg</v>
      </c>
      <c r="G348" s="67"/>
      <c r="H348" s="71"/>
      <c r="I348" s="72"/>
      <c r="J348" s="72"/>
      <c r="K348" s="71" t="s">
        <v>7518</v>
      </c>
      <c r="L348" s="75"/>
      <c r="M348" s="76"/>
      <c r="N348" s="76"/>
      <c r="O348" s="77"/>
      <c r="P348" s="78"/>
      <c r="Q348" s="78"/>
      <c r="R348" s="90"/>
      <c r="S348" s="90"/>
      <c r="T348" s="90"/>
      <c r="U348" s="90"/>
      <c r="V348" s="52"/>
      <c r="W348" s="52"/>
      <c r="X348" s="52"/>
      <c r="Y348" s="52"/>
      <c r="Z348" s="51"/>
      <c r="AA348" s="73"/>
      <c r="AB348" s="73"/>
      <c r="AC348" s="74"/>
      <c r="AD348" s="80" t="s">
        <v>4523</v>
      </c>
      <c r="AE348" s="86" t="s">
        <v>5436</v>
      </c>
      <c r="AF348" s="80">
        <v>310</v>
      </c>
      <c r="AG348" s="80">
        <v>398</v>
      </c>
      <c r="AH348" s="80">
        <v>7029</v>
      </c>
      <c r="AI348" s="80">
        <v>232</v>
      </c>
      <c r="AJ348" s="80"/>
      <c r="AK348" s="80" t="s">
        <v>6220</v>
      </c>
      <c r="AL348" s="80" t="s">
        <v>6798</v>
      </c>
      <c r="AM348" s="80"/>
      <c r="AN348" s="80"/>
      <c r="AO348" s="82">
        <v>40050.285925925928</v>
      </c>
      <c r="AP348" s="84" t="str">
        <f>HYPERLINK("https://pbs.twimg.com/profile_banners/68630385/1514624800")</f>
        <v>https://pbs.twimg.com/profile_banners/68630385/1514624800</v>
      </c>
      <c r="AQ348" s="80" t="b">
        <v>0</v>
      </c>
      <c r="AR348" s="80" t="b">
        <v>0</v>
      </c>
      <c r="AS348" s="80" t="b">
        <v>0</v>
      </c>
      <c r="AT348" s="80"/>
      <c r="AU348" s="80">
        <v>0</v>
      </c>
      <c r="AV348" s="84" t="str">
        <f>HYPERLINK("https://abs.twimg.com/images/themes/theme4/bg.gif")</f>
        <v>https://abs.twimg.com/images/themes/theme4/bg.gif</v>
      </c>
      <c r="AW348" s="80" t="b">
        <v>0</v>
      </c>
      <c r="AX348" s="80" t="s">
        <v>7173</v>
      </c>
      <c r="AY348" s="84" t="str">
        <f>HYPERLINK("https://twitter.com/festifiki")</f>
        <v>https://twitter.com/festifiki</v>
      </c>
      <c r="AZ348" s="80" t="s">
        <v>66</v>
      </c>
      <c r="BA348" s="2"/>
      <c r="BB348" s="3"/>
      <c r="BC348" s="3"/>
      <c r="BD348" s="3"/>
      <c r="BE348" s="3"/>
    </row>
    <row r="349" spans="1:57" x14ac:dyDescent="0.35">
      <c r="A349" s="66" t="s">
        <v>1066</v>
      </c>
      <c r="B349" s="67"/>
      <c r="C349" s="67"/>
      <c r="D349" s="68"/>
      <c r="E349" s="70"/>
      <c r="F349" s="106" t="str">
        <f>HYPERLINK("https://pbs.twimg.com/profile_images/1094898680253960192/F4hVJ_v__normal.jpg")</f>
        <v>https://pbs.twimg.com/profile_images/1094898680253960192/F4hVJ_v__normal.jpg</v>
      </c>
      <c r="G349" s="67"/>
      <c r="H349" s="71"/>
      <c r="I349" s="72"/>
      <c r="J349" s="72"/>
      <c r="K349" s="71" t="s">
        <v>7519</v>
      </c>
      <c r="L349" s="75"/>
      <c r="M349" s="76"/>
      <c r="N349" s="76"/>
      <c r="O349" s="77"/>
      <c r="P349" s="78"/>
      <c r="Q349" s="78"/>
      <c r="R349" s="90"/>
      <c r="S349" s="90"/>
      <c r="T349" s="90"/>
      <c r="U349" s="90"/>
      <c r="V349" s="52"/>
      <c r="W349" s="52"/>
      <c r="X349" s="52"/>
      <c r="Y349" s="52"/>
      <c r="Z349" s="51"/>
      <c r="AA349" s="73"/>
      <c r="AB349" s="73"/>
      <c r="AC349" s="74"/>
      <c r="AD349" s="80" t="s">
        <v>4524</v>
      </c>
      <c r="AE349" s="86" t="s">
        <v>5437</v>
      </c>
      <c r="AF349" s="80">
        <v>0</v>
      </c>
      <c r="AG349" s="80">
        <v>12911</v>
      </c>
      <c r="AH349" s="80">
        <v>73603</v>
      </c>
      <c r="AI349" s="80">
        <v>9</v>
      </c>
      <c r="AJ349" s="80"/>
      <c r="AK349" s="80" t="s">
        <v>6221</v>
      </c>
      <c r="AL349" s="80" t="s">
        <v>6903</v>
      </c>
      <c r="AM349" s="80"/>
      <c r="AN349" s="80"/>
      <c r="AO349" s="82">
        <v>43385.526238425926</v>
      </c>
      <c r="AP349" s="84" t="str">
        <f>HYPERLINK("https://pbs.twimg.com/profile_banners/1050727225866125312/1622434240")</f>
        <v>https://pbs.twimg.com/profile_banners/1050727225866125312/1622434240</v>
      </c>
      <c r="AQ349" s="80" t="b">
        <v>0</v>
      </c>
      <c r="AR349" s="80" t="b">
        <v>0</v>
      </c>
      <c r="AS349" s="80" t="b">
        <v>0</v>
      </c>
      <c r="AT349" s="80"/>
      <c r="AU349" s="80">
        <v>5</v>
      </c>
      <c r="AV349" s="84" t="str">
        <f>HYPERLINK("https://abs.twimg.com/images/themes/theme1/bg.png")</f>
        <v>https://abs.twimg.com/images/themes/theme1/bg.png</v>
      </c>
      <c r="AW349" s="80" t="b">
        <v>0</v>
      </c>
      <c r="AX349" s="80" t="s">
        <v>7173</v>
      </c>
      <c r="AY349" s="84" t="str">
        <f>HYPERLINK("https://twitter.com/anteraja_id")</f>
        <v>https://twitter.com/anteraja_id</v>
      </c>
      <c r="AZ349" s="80" t="s">
        <v>65</v>
      </c>
      <c r="BA349" s="2"/>
      <c r="BB349" s="3"/>
      <c r="BC349" s="3"/>
      <c r="BD349" s="3"/>
      <c r="BE349" s="3"/>
    </row>
    <row r="350" spans="1:57" x14ac:dyDescent="0.35">
      <c r="A350" s="66" t="s">
        <v>485</v>
      </c>
      <c r="B350" s="67"/>
      <c r="C350" s="67"/>
      <c r="D350" s="68"/>
      <c r="E350" s="70"/>
      <c r="F350" s="106" t="str">
        <f>HYPERLINK("https://pbs.twimg.com/profile_images/611701375970377729/jdVlnaZi_normal.jpg")</f>
        <v>https://pbs.twimg.com/profile_images/611701375970377729/jdVlnaZi_normal.jpg</v>
      </c>
      <c r="G350" s="67"/>
      <c r="H350" s="71"/>
      <c r="I350" s="72"/>
      <c r="J350" s="72"/>
      <c r="K350" s="71" t="s">
        <v>7520</v>
      </c>
      <c r="L350" s="75"/>
      <c r="M350" s="76"/>
      <c r="N350" s="76"/>
      <c r="O350" s="77"/>
      <c r="P350" s="78"/>
      <c r="Q350" s="78"/>
      <c r="R350" s="90"/>
      <c r="S350" s="90"/>
      <c r="T350" s="90"/>
      <c r="U350" s="90"/>
      <c r="V350" s="52"/>
      <c r="W350" s="52"/>
      <c r="X350" s="52"/>
      <c r="Y350" s="52"/>
      <c r="Z350" s="51"/>
      <c r="AA350" s="73"/>
      <c r="AB350" s="73"/>
      <c r="AC350" s="74"/>
      <c r="AD350" s="80" t="s">
        <v>4525</v>
      </c>
      <c r="AE350" s="86" t="s">
        <v>5438</v>
      </c>
      <c r="AF350" s="80">
        <v>318</v>
      </c>
      <c r="AG350" s="80">
        <v>304</v>
      </c>
      <c r="AH350" s="80">
        <v>16665</v>
      </c>
      <c r="AI350" s="80">
        <v>43860</v>
      </c>
      <c r="AJ350" s="80"/>
      <c r="AK350" s="80"/>
      <c r="AL350" s="80"/>
      <c r="AM350" s="80"/>
      <c r="AN350" s="80"/>
      <c r="AO350" s="82">
        <v>40780.136087962965</v>
      </c>
      <c r="AP350" s="80"/>
      <c r="AQ350" s="80" t="b">
        <v>1</v>
      </c>
      <c r="AR350" s="80" t="b">
        <v>0</v>
      </c>
      <c r="AS350" s="80" t="b">
        <v>0</v>
      </c>
      <c r="AT350" s="80"/>
      <c r="AU350" s="80">
        <v>0</v>
      </c>
      <c r="AV350" s="84" t="str">
        <f>HYPERLINK("https://abs.twimg.com/images/themes/theme1/bg.png")</f>
        <v>https://abs.twimg.com/images/themes/theme1/bg.png</v>
      </c>
      <c r="AW350" s="80" t="b">
        <v>0</v>
      </c>
      <c r="AX350" s="80" t="s">
        <v>7173</v>
      </c>
      <c r="AY350" s="84" t="str">
        <f>HYPERLINK("https://twitter.com/laxyyta")</f>
        <v>https://twitter.com/laxyyta</v>
      </c>
      <c r="AZ350" s="80" t="s">
        <v>66</v>
      </c>
      <c r="BA350" s="2"/>
      <c r="BB350" s="3"/>
      <c r="BC350" s="3"/>
      <c r="BD350" s="3"/>
      <c r="BE350" s="3"/>
    </row>
    <row r="351" spans="1:57" x14ac:dyDescent="0.35">
      <c r="A351" s="66" t="s">
        <v>486</v>
      </c>
      <c r="B351" s="67"/>
      <c r="C351" s="67"/>
      <c r="D351" s="68"/>
      <c r="E351" s="70"/>
      <c r="F351" s="106" t="str">
        <f>HYPERLINK("https://pbs.twimg.com/profile_images/1436985044833239051/w1ZrOCju_normal.jpg")</f>
        <v>https://pbs.twimg.com/profile_images/1436985044833239051/w1ZrOCju_normal.jpg</v>
      </c>
      <c r="G351" s="67"/>
      <c r="H351" s="71"/>
      <c r="I351" s="72"/>
      <c r="J351" s="72"/>
      <c r="K351" s="71" t="s">
        <v>7521</v>
      </c>
      <c r="L351" s="75"/>
      <c r="M351" s="76"/>
      <c r="N351" s="76"/>
      <c r="O351" s="77"/>
      <c r="P351" s="78"/>
      <c r="Q351" s="78"/>
      <c r="R351" s="90"/>
      <c r="S351" s="90"/>
      <c r="T351" s="90"/>
      <c r="U351" s="90"/>
      <c r="V351" s="52"/>
      <c r="W351" s="52"/>
      <c r="X351" s="52"/>
      <c r="Y351" s="52"/>
      <c r="Z351" s="51"/>
      <c r="AA351" s="73"/>
      <c r="AB351" s="73"/>
      <c r="AC351" s="74"/>
      <c r="AD351" s="80" t="s">
        <v>4526</v>
      </c>
      <c r="AE351" s="86" t="s">
        <v>3939</v>
      </c>
      <c r="AF351" s="80">
        <v>355</v>
      </c>
      <c r="AG351" s="80">
        <v>760</v>
      </c>
      <c r="AH351" s="80">
        <v>112535</v>
      </c>
      <c r="AI351" s="80">
        <v>1210</v>
      </c>
      <c r="AJ351" s="80"/>
      <c r="AK351" s="80" t="s">
        <v>6222</v>
      </c>
      <c r="AL351" s="80" t="s">
        <v>6914</v>
      </c>
      <c r="AM351" s="80"/>
      <c r="AN351" s="80"/>
      <c r="AO351" s="82">
        <v>40961.651388888888</v>
      </c>
      <c r="AP351" s="84" t="str">
        <f>HYPERLINK("https://pbs.twimg.com/profile_banners/499878624/1623923678")</f>
        <v>https://pbs.twimg.com/profile_banners/499878624/1623923678</v>
      </c>
      <c r="AQ351" s="80" t="b">
        <v>0</v>
      </c>
      <c r="AR351" s="80" t="b">
        <v>0</v>
      </c>
      <c r="AS351" s="80" t="b">
        <v>1</v>
      </c>
      <c r="AT351" s="80"/>
      <c r="AU351" s="80">
        <v>0</v>
      </c>
      <c r="AV351" s="84" t="str">
        <f>HYPERLINK("https://abs.twimg.com/images/themes/theme9/bg.gif")</f>
        <v>https://abs.twimg.com/images/themes/theme9/bg.gif</v>
      </c>
      <c r="AW351" s="80" t="b">
        <v>0</v>
      </c>
      <c r="AX351" s="80" t="s">
        <v>7173</v>
      </c>
      <c r="AY351" s="84" t="str">
        <f>HYPERLINK("https://twitter.com/lovelostlustyou")</f>
        <v>https://twitter.com/lovelostlustyou</v>
      </c>
      <c r="AZ351" s="80" t="s">
        <v>66</v>
      </c>
      <c r="BA351" s="2"/>
      <c r="BB351" s="3"/>
      <c r="BC351" s="3"/>
      <c r="BD351" s="3"/>
      <c r="BE351" s="3"/>
    </row>
    <row r="352" spans="1:57" x14ac:dyDescent="0.35">
      <c r="A352" s="66" t="s">
        <v>487</v>
      </c>
      <c r="B352" s="67"/>
      <c r="C352" s="67"/>
      <c r="D352" s="68"/>
      <c r="E352" s="70"/>
      <c r="F352" s="106" t="str">
        <f>HYPERLINK("https://pbs.twimg.com/profile_images/1160708795577901057/ev_7ARFr_normal.jpg")</f>
        <v>https://pbs.twimg.com/profile_images/1160708795577901057/ev_7ARFr_normal.jpg</v>
      </c>
      <c r="G352" s="67"/>
      <c r="H352" s="71"/>
      <c r="I352" s="72"/>
      <c r="J352" s="72"/>
      <c r="K352" s="71" t="s">
        <v>7522</v>
      </c>
      <c r="L352" s="75"/>
      <c r="M352" s="76"/>
      <c r="N352" s="76"/>
      <c r="O352" s="77"/>
      <c r="P352" s="78"/>
      <c r="Q352" s="78"/>
      <c r="R352" s="90"/>
      <c r="S352" s="90"/>
      <c r="T352" s="90"/>
      <c r="U352" s="90"/>
      <c r="V352" s="52"/>
      <c r="W352" s="52"/>
      <c r="X352" s="52"/>
      <c r="Y352" s="52"/>
      <c r="Z352" s="51"/>
      <c r="AA352" s="73"/>
      <c r="AB352" s="73"/>
      <c r="AC352" s="74"/>
      <c r="AD352" s="80" t="s">
        <v>4527</v>
      </c>
      <c r="AE352" s="86" t="s">
        <v>5439</v>
      </c>
      <c r="AF352" s="80">
        <v>934</v>
      </c>
      <c r="AG352" s="80">
        <v>658</v>
      </c>
      <c r="AH352" s="80">
        <v>9863</v>
      </c>
      <c r="AI352" s="80">
        <v>6249</v>
      </c>
      <c r="AJ352" s="80"/>
      <c r="AK352" s="80" t="s">
        <v>6223</v>
      </c>
      <c r="AL352" s="80" t="s">
        <v>6787</v>
      </c>
      <c r="AM352" s="80"/>
      <c r="AN352" s="80"/>
      <c r="AO352" s="82">
        <v>43277.767800925925</v>
      </c>
      <c r="AP352" s="84" t="str">
        <f>HYPERLINK("https://pbs.twimg.com/profile_banners/1011676878157983744/1533818434")</f>
        <v>https://pbs.twimg.com/profile_banners/1011676878157983744/1533818434</v>
      </c>
      <c r="AQ352" s="80" t="b">
        <v>1</v>
      </c>
      <c r="AR352" s="80" t="b">
        <v>0</v>
      </c>
      <c r="AS352" s="80" t="b">
        <v>1</v>
      </c>
      <c r="AT352" s="80"/>
      <c r="AU352" s="80">
        <v>0</v>
      </c>
      <c r="AV352" s="80"/>
      <c r="AW352" s="80" t="b">
        <v>0</v>
      </c>
      <c r="AX352" s="80" t="s">
        <v>7173</v>
      </c>
      <c r="AY352" s="84" t="str">
        <f>HYPERLINK("https://twitter.com/fandearb1")</f>
        <v>https://twitter.com/fandearb1</v>
      </c>
      <c r="AZ352" s="80" t="s">
        <v>66</v>
      </c>
      <c r="BA352" s="2"/>
      <c r="BB352" s="3"/>
      <c r="BC352" s="3"/>
      <c r="BD352" s="3"/>
      <c r="BE352" s="3"/>
    </row>
    <row r="353" spans="1:57" x14ac:dyDescent="0.35">
      <c r="A353" s="66" t="s">
        <v>488</v>
      </c>
      <c r="B353" s="67"/>
      <c r="C353" s="67"/>
      <c r="D353" s="68"/>
      <c r="E353" s="70"/>
      <c r="F353" s="106" t="str">
        <f>HYPERLINK("https://pbs.twimg.com/profile_images/1388817506295418882/jDt-aqsT_normal.jpg")</f>
        <v>https://pbs.twimg.com/profile_images/1388817506295418882/jDt-aqsT_normal.jpg</v>
      </c>
      <c r="G353" s="67"/>
      <c r="H353" s="71"/>
      <c r="I353" s="72"/>
      <c r="J353" s="72"/>
      <c r="K353" s="71" t="s">
        <v>7523</v>
      </c>
      <c r="L353" s="75"/>
      <c r="M353" s="76"/>
      <c r="N353" s="76"/>
      <c r="O353" s="77"/>
      <c r="P353" s="78"/>
      <c r="Q353" s="78"/>
      <c r="R353" s="90"/>
      <c r="S353" s="90"/>
      <c r="T353" s="90"/>
      <c r="U353" s="90"/>
      <c r="V353" s="52"/>
      <c r="W353" s="52"/>
      <c r="X353" s="52"/>
      <c r="Y353" s="52"/>
      <c r="Z353" s="51"/>
      <c r="AA353" s="73"/>
      <c r="AB353" s="73"/>
      <c r="AC353" s="74"/>
      <c r="AD353" s="80" t="s">
        <v>4528</v>
      </c>
      <c r="AE353" s="86" t="s">
        <v>5440</v>
      </c>
      <c r="AF353" s="80">
        <v>654</v>
      </c>
      <c r="AG353" s="80">
        <v>354</v>
      </c>
      <c r="AH353" s="80">
        <v>1706</v>
      </c>
      <c r="AI353" s="80">
        <v>462</v>
      </c>
      <c r="AJ353" s="80"/>
      <c r="AK353" s="80" t="s">
        <v>6224</v>
      </c>
      <c r="AL353" s="80"/>
      <c r="AM353" s="80"/>
      <c r="AN353" s="80"/>
      <c r="AO353" s="82">
        <v>44303.487962962965</v>
      </c>
      <c r="AP353" s="84" t="str">
        <f>HYPERLINK("https://pbs.twimg.com/profile_banners/1383385375721201666/1618659963")</f>
        <v>https://pbs.twimg.com/profile_banners/1383385375721201666/1618659963</v>
      </c>
      <c r="AQ353" s="80" t="b">
        <v>1</v>
      </c>
      <c r="AR353" s="80" t="b">
        <v>0</v>
      </c>
      <c r="AS353" s="80" t="b">
        <v>0</v>
      </c>
      <c r="AT353" s="80"/>
      <c r="AU353" s="80">
        <v>1</v>
      </c>
      <c r="AV353" s="80"/>
      <c r="AW353" s="80" t="b">
        <v>0</v>
      </c>
      <c r="AX353" s="80" t="s">
        <v>7173</v>
      </c>
      <c r="AY353" s="84" t="str">
        <f>HYPERLINK("https://twitter.com/hermandokang")</f>
        <v>https://twitter.com/hermandokang</v>
      </c>
      <c r="AZ353" s="80" t="s">
        <v>66</v>
      </c>
      <c r="BA353" s="2"/>
      <c r="BB353" s="3"/>
      <c r="BC353" s="3"/>
      <c r="BD353" s="3"/>
      <c r="BE353" s="3"/>
    </row>
    <row r="354" spans="1:57" x14ac:dyDescent="0.35">
      <c r="A354" s="66" t="s">
        <v>489</v>
      </c>
      <c r="B354" s="67"/>
      <c r="C354" s="67"/>
      <c r="D354" s="68"/>
      <c r="E354" s="70"/>
      <c r="F354" s="106" t="str">
        <f>HYPERLINK("https://pbs.twimg.com/profile_images/1359508649048117257/zdQBwRow_normal.jpg")</f>
        <v>https://pbs.twimg.com/profile_images/1359508649048117257/zdQBwRow_normal.jpg</v>
      </c>
      <c r="G354" s="67"/>
      <c r="H354" s="71"/>
      <c r="I354" s="72"/>
      <c r="J354" s="72"/>
      <c r="K354" s="71" t="s">
        <v>7524</v>
      </c>
      <c r="L354" s="75"/>
      <c r="M354" s="76"/>
      <c r="N354" s="76"/>
      <c r="O354" s="77"/>
      <c r="P354" s="78"/>
      <c r="Q354" s="78"/>
      <c r="R354" s="90"/>
      <c r="S354" s="90"/>
      <c r="T354" s="90"/>
      <c r="U354" s="90"/>
      <c r="V354" s="52"/>
      <c r="W354" s="52"/>
      <c r="X354" s="52"/>
      <c r="Y354" s="52"/>
      <c r="Z354" s="51"/>
      <c r="AA354" s="73"/>
      <c r="AB354" s="73"/>
      <c r="AC354" s="74"/>
      <c r="AD354" s="80" t="s">
        <v>4529</v>
      </c>
      <c r="AE354" s="86" t="s">
        <v>5441</v>
      </c>
      <c r="AF354" s="80">
        <v>2545</v>
      </c>
      <c r="AG354" s="80">
        <v>1289</v>
      </c>
      <c r="AH354" s="80">
        <v>1431</v>
      </c>
      <c r="AI354" s="80">
        <v>894</v>
      </c>
      <c r="AJ354" s="80"/>
      <c r="AK354" s="80" t="s">
        <v>6225</v>
      </c>
      <c r="AL354" s="80"/>
      <c r="AM354" s="80"/>
      <c r="AN354" s="80"/>
      <c r="AO354" s="82">
        <v>44237.587164351855</v>
      </c>
      <c r="AP354" s="84" t="str">
        <f>HYPERLINK("https://pbs.twimg.com/profile_banners/1359503684627927045/1629161971")</f>
        <v>https://pbs.twimg.com/profile_banners/1359503684627927045/1629161971</v>
      </c>
      <c r="AQ354" s="80" t="b">
        <v>1</v>
      </c>
      <c r="AR354" s="80" t="b">
        <v>0</v>
      </c>
      <c r="AS354" s="80" t="b">
        <v>0</v>
      </c>
      <c r="AT354" s="80"/>
      <c r="AU354" s="80">
        <v>9</v>
      </c>
      <c r="AV354" s="80"/>
      <c r="AW354" s="80" t="b">
        <v>0</v>
      </c>
      <c r="AX354" s="80" t="s">
        <v>7173</v>
      </c>
      <c r="AY354" s="84" t="str">
        <f>HYPERLINK("https://twitter.com/rodabambu")</f>
        <v>https://twitter.com/rodabambu</v>
      </c>
      <c r="AZ354" s="80" t="s">
        <v>66</v>
      </c>
      <c r="BA354" s="2"/>
      <c r="BB354" s="3"/>
      <c r="BC354" s="3"/>
      <c r="BD354" s="3"/>
      <c r="BE354" s="3"/>
    </row>
    <row r="355" spans="1:57" x14ac:dyDescent="0.35">
      <c r="A355" s="66" t="s">
        <v>490</v>
      </c>
      <c r="B355" s="67"/>
      <c r="C355" s="67"/>
      <c r="D355" s="68"/>
      <c r="E355" s="70"/>
      <c r="F355" s="106" t="str">
        <f>HYPERLINK("https://pbs.twimg.com/profile_images/1390459898773741570/_paxzcID_normal.jpg")</f>
        <v>https://pbs.twimg.com/profile_images/1390459898773741570/_paxzcID_normal.jpg</v>
      </c>
      <c r="G355" s="67"/>
      <c r="H355" s="71"/>
      <c r="I355" s="72"/>
      <c r="J355" s="72"/>
      <c r="K355" s="71" t="s">
        <v>7525</v>
      </c>
      <c r="L355" s="75"/>
      <c r="M355" s="76"/>
      <c r="N355" s="76"/>
      <c r="O355" s="77"/>
      <c r="P355" s="78"/>
      <c r="Q355" s="78"/>
      <c r="R355" s="90"/>
      <c r="S355" s="90"/>
      <c r="T355" s="90"/>
      <c r="U355" s="90"/>
      <c r="V355" s="52"/>
      <c r="W355" s="52"/>
      <c r="X355" s="52"/>
      <c r="Y355" s="52"/>
      <c r="Z355" s="51"/>
      <c r="AA355" s="73"/>
      <c r="AB355" s="73"/>
      <c r="AC355" s="74"/>
      <c r="AD355" s="80" t="s">
        <v>4530</v>
      </c>
      <c r="AE355" s="86" t="s">
        <v>5442</v>
      </c>
      <c r="AF355" s="80">
        <v>1807</v>
      </c>
      <c r="AG355" s="80">
        <v>236</v>
      </c>
      <c r="AH355" s="80">
        <v>44965</v>
      </c>
      <c r="AI355" s="80">
        <v>55282</v>
      </c>
      <c r="AJ355" s="80"/>
      <c r="AK355" s="80"/>
      <c r="AL355" s="80"/>
      <c r="AM355" s="80"/>
      <c r="AN355" s="80"/>
      <c r="AO355" s="82">
        <v>41584.534548611111</v>
      </c>
      <c r="AP355" s="80"/>
      <c r="AQ355" s="80" t="b">
        <v>1</v>
      </c>
      <c r="AR355" s="80" t="b">
        <v>0</v>
      </c>
      <c r="AS355" s="80" t="b">
        <v>0</v>
      </c>
      <c r="AT355" s="80"/>
      <c r="AU355" s="80">
        <v>0</v>
      </c>
      <c r="AV355" s="84" t="str">
        <f>HYPERLINK("https://abs.twimg.com/images/themes/theme1/bg.png")</f>
        <v>https://abs.twimg.com/images/themes/theme1/bg.png</v>
      </c>
      <c r="AW355" s="80" t="b">
        <v>0</v>
      </c>
      <c r="AX355" s="80" t="s">
        <v>7173</v>
      </c>
      <c r="AY355" s="84" t="str">
        <f>HYPERLINK("https://twitter.com/boeluxs1")</f>
        <v>https://twitter.com/boeluxs1</v>
      </c>
      <c r="AZ355" s="80" t="s">
        <v>66</v>
      </c>
      <c r="BA355" s="2"/>
      <c r="BB355" s="3"/>
      <c r="BC355" s="3"/>
      <c r="BD355" s="3"/>
      <c r="BE355" s="3"/>
    </row>
    <row r="356" spans="1:57" x14ac:dyDescent="0.35">
      <c r="A356" s="66" t="s">
        <v>491</v>
      </c>
      <c r="B356" s="67"/>
      <c r="C356" s="67"/>
      <c r="D356" s="68"/>
      <c r="E356" s="70"/>
      <c r="F356" s="106" t="str">
        <f>HYPERLINK("https://pbs.twimg.com/profile_images/1439112890275880960/bkPPu6_8_normal.jpg")</f>
        <v>https://pbs.twimg.com/profile_images/1439112890275880960/bkPPu6_8_normal.jpg</v>
      </c>
      <c r="G356" s="67"/>
      <c r="H356" s="71"/>
      <c r="I356" s="72"/>
      <c r="J356" s="72"/>
      <c r="K356" s="71" t="s">
        <v>7526</v>
      </c>
      <c r="L356" s="75"/>
      <c r="M356" s="76"/>
      <c r="N356" s="76"/>
      <c r="O356" s="77"/>
      <c r="P356" s="78"/>
      <c r="Q356" s="78"/>
      <c r="R356" s="90"/>
      <c r="S356" s="90"/>
      <c r="T356" s="90"/>
      <c r="U356" s="90"/>
      <c r="V356" s="52"/>
      <c r="W356" s="52"/>
      <c r="X356" s="52"/>
      <c r="Y356" s="52"/>
      <c r="Z356" s="51"/>
      <c r="AA356" s="73"/>
      <c r="AB356" s="73"/>
      <c r="AC356" s="74"/>
      <c r="AD356" s="80" t="s">
        <v>4531</v>
      </c>
      <c r="AE356" s="86" t="s">
        <v>5443</v>
      </c>
      <c r="AF356" s="80">
        <v>85</v>
      </c>
      <c r="AG356" s="80">
        <v>42</v>
      </c>
      <c r="AH356" s="80">
        <v>1366</v>
      </c>
      <c r="AI356" s="80">
        <v>1842</v>
      </c>
      <c r="AJ356" s="80"/>
      <c r="AK356" s="80" t="s">
        <v>6226</v>
      </c>
      <c r="AL356" s="80"/>
      <c r="AM356" s="80"/>
      <c r="AN356" s="80"/>
      <c r="AO356" s="82">
        <v>43961.525810185187</v>
      </c>
      <c r="AP356" s="80"/>
      <c r="AQ356" s="80" t="b">
        <v>1</v>
      </c>
      <c r="AR356" s="80" t="b">
        <v>0</v>
      </c>
      <c r="AS356" s="80" t="b">
        <v>0</v>
      </c>
      <c r="AT356" s="80"/>
      <c r="AU356" s="80">
        <v>0</v>
      </c>
      <c r="AV356" s="80"/>
      <c r="AW356" s="80" t="b">
        <v>0</v>
      </c>
      <c r="AX356" s="80" t="s">
        <v>7173</v>
      </c>
      <c r="AY356" s="84" t="str">
        <f>HYPERLINK("https://twitter.com/putra_esbeye")</f>
        <v>https://twitter.com/putra_esbeye</v>
      </c>
      <c r="AZ356" s="80" t="s">
        <v>66</v>
      </c>
      <c r="BA356" s="2"/>
      <c r="BB356" s="3"/>
      <c r="BC356" s="3"/>
      <c r="BD356" s="3"/>
      <c r="BE356" s="3"/>
    </row>
    <row r="357" spans="1:57" x14ac:dyDescent="0.35">
      <c r="A357" s="66" t="s">
        <v>492</v>
      </c>
      <c r="B357" s="67"/>
      <c r="C357" s="67"/>
      <c r="D357" s="68"/>
      <c r="E357" s="70"/>
      <c r="F357" s="106" t="str">
        <f>HYPERLINK("https://pbs.twimg.com/profile_images/1404260750005137409/0XlgZBLl_normal.jpg")</f>
        <v>https://pbs.twimg.com/profile_images/1404260750005137409/0XlgZBLl_normal.jpg</v>
      </c>
      <c r="G357" s="67"/>
      <c r="H357" s="71"/>
      <c r="I357" s="72"/>
      <c r="J357" s="72"/>
      <c r="K357" s="71" t="s">
        <v>7527</v>
      </c>
      <c r="L357" s="75"/>
      <c r="M357" s="76"/>
      <c r="N357" s="76"/>
      <c r="O357" s="77"/>
      <c r="P357" s="78"/>
      <c r="Q357" s="78"/>
      <c r="R357" s="90"/>
      <c r="S357" s="90"/>
      <c r="T357" s="90"/>
      <c r="U357" s="90"/>
      <c r="V357" s="52"/>
      <c r="W357" s="52"/>
      <c r="X357" s="52"/>
      <c r="Y357" s="52"/>
      <c r="Z357" s="51"/>
      <c r="AA357" s="73"/>
      <c r="AB357" s="73"/>
      <c r="AC357" s="74"/>
      <c r="AD357" s="80" t="s">
        <v>4532</v>
      </c>
      <c r="AE357" s="86" t="s">
        <v>5444</v>
      </c>
      <c r="AF357" s="80">
        <v>6168</v>
      </c>
      <c r="AG357" s="80">
        <v>156285</v>
      </c>
      <c r="AH357" s="80">
        <v>242345</v>
      </c>
      <c r="AI357" s="80">
        <v>78773</v>
      </c>
      <c r="AJ357" s="80"/>
      <c r="AK357" s="80" t="s">
        <v>6227</v>
      </c>
      <c r="AL357" s="80" t="s">
        <v>6770</v>
      </c>
      <c r="AM357" s="80"/>
      <c r="AN357" s="80"/>
      <c r="AO357" s="82">
        <v>40733.573692129627</v>
      </c>
      <c r="AP357" s="84" t="str">
        <f>HYPERLINK("https://pbs.twimg.com/profile_banners/332253511/1620525500")</f>
        <v>https://pbs.twimg.com/profile_banners/332253511/1620525500</v>
      </c>
      <c r="AQ357" s="80" t="b">
        <v>0</v>
      </c>
      <c r="AR357" s="80" t="b">
        <v>0</v>
      </c>
      <c r="AS357" s="80" t="b">
        <v>1</v>
      </c>
      <c r="AT357" s="80"/>
      <c r="AU357" s="80">
        <v>75</v>
      </c>
      <c r="AV357" s="84" t="str">
        <f>HYPERLINK("https://abs.twimg.com/images/themes/theme9/bg.gif")</f>
        <v>https://abs.twimg.com/images/themes/theme9/bg.gif</v>
      </c>
      <c r="AW357" s="80" t="b">
        <v>0</v>
      </c>
      <c r="AX357" s="80" t="s">
        <v>7173</v>
      </c>
      <c r="AY357" s="84" t="str">
        <f>HYPERLINK("https://twitter.com/_seknas_ri")</f>
        <v>https://twitter.com/_seknas_ri</v>
      </c>
      <c r="AZ357" s="80" t="s">
        <v>66</v>
      </c>
      <c r="BA357" s="2"/>
      <c r="BB357" s="3"/>
      <c r="BC357" s="3"/>
      <c r="BD357" s="3"/>
      <c r="BE357" s="3"/>
    </row>
    <row r="358" spans="1:57" x14ac:dyDescent="0.35">
      <c r="A358" s="66" t="s">
        <v>493</v>
      </c>
      <c r="B358" s="67"/>
      <c r="C358" s="67"/>
      <c r="D358" s="68"/>
      <c r="E358" s="70"/>
      <c r="F358" s="106" t="str">
        <f>HYPERLINK("https://pbs.twimg.com/profile_images/1426605340334837762/Lp9Zwjco_normal.jpg")</f>
        <v>https://pbs.twimg.com/profile_images/1426605340334837762/Lp9Zwjco_normal.jpg</v>
      </c>
      <c r="G358" s="67"/>
      <c r="H358" s="71"/>
      <c r="I358" s="72"/>
      <c r="J358" s="72"/>
      <c r="K358" s="71" t="s">
        <v>7528</v>
      </c>
      <c r="L358" s="75"/>
      <c r="M358" s="76"/>
      <c r="N358" s="76"/>
      <c r="O358" s="77"/>
      <c r="P358" s="78"/>
      <c r="Q358" s="78"/>
      <c r="R358" s="90"/>
      <c r="S358" s="90"/>
      <c r="T358" s="90"/>
      <c r="U358" s="90"/>
      <c r="V358" s="52"/>
      <c r="W358" s="52"/>
      <c r="X358" s="52"/>
      <c r="Y358" s="52"/>
      <c r="Z358" s="51"/>
      <c r="AA358" s="73"/>
      <c r="AB358" s="73"/>
      <c r="AC358" s="74"/>
      <c r="AD358" s="80" t="s">
        <v>4533</v>
      </c>
      <c r="AE358" s="86" t="s">
        <v>5445</v>
      </c>
      <c r="AF358" s="80">
        <v>2540</v>
      </c>
      <c r="AG358" s="80">
        <v>1545</v>
      </c>
      <c r="AH358" s="80">
        <v>50934</v>
      </c>
      <c r="AI358" s="80">
        <v>74787</v>
      </c>
      <c r="AJ358" s="80"/>
      <c r="AK358" s="84" t="str">
        <f>HYPERLINK("https://t.co/guoGADke1X
#888contest
#NKRIBebasTPPU_PT
#Sofialegit
#HostGanteng
#Gantenglegit
#cutetesty
#SobatGarangan
#OlengTetapBersama
#ap8testi")</f>
        <v>https://t.co/guoGADke1X
#888contest
#NKRIBebasTPPU_PT
#Sofialegit
#HostGanteng
#Gantenglegit
#cutetesty
#SobatGarangan
#OlengTetapBersama
#ap8testi</v>
      </c>
      <c r="AL358" s="80" t="s">
        <v>6915</v>
      </c>
      <c r="AM358" s="80"/>
      <c r="AN358" s="80"/>
      <c r="AO358" s="82">
        <v>41798.265613425923</v>
      </c>
      <c r="AP358" s="84" t="str">
        <f>HYPERLINK("https://pbs.twimg.com/profile_banners/2554019484/1630502448")</f>
        <v>https://pbs.twimg.com/profile_banners/2554019484/1630502448</v>
      </c>
      <c r="AQ358" s="80" t="b">
        <v>1</v>
      </c>
      <c r="AR358" s="80" t="b">
        <v>0</v>
      </c>
      <c r="AS358" s="80" t="b">
        <v>1</v>
      </c>
      <c r="AT358" s="80"/>
      <c r="AU358" s="80">
        <v>2</v>
      </c>
      <c r="AV358" s="84" t="str">
        <f>HYPERLINK("https://abs.twimg.com/images/themes/theme1/bg.png")</f>
        <v>https://abs.twimg.com/images/themes/theme1/bg.png</v>
      </c>
      <c r="AW358" s="80" t="b">
        <v>0</v>
      </c>
      <c r="AX358" s="80" t="s">
        <v>7173</v>
      </c>
      <c r="AY358" s="84" t="str">
        <f>HYPERLINK("https://twitter.com/kulinerbocah")</f>
        <v>https://twitter.com/kulinerbocah</v>
      </c>
      <c r="AZ358" s="80" t="s">
        <v>66</v>
      </c>
      <c r="BA358" s="2"/>
      <c r="BB358" s="3"/>
      <c r="BC358" s="3"/>
      <c r="BD358" s="3"/>
      <c r="BE358" s="3"/>
    </row>
    <row r="359" spans="1:57" x14ac:dyDescent="0.35">
      <c r="A359" s="66" t="s">
        <v>494</v>
      </c>
      <c r="B359" s="67"/>
      <c r="C359" s="67"/>
      <c r="D359" s="68"/>
      <c r="E359" s="70"/>
      <c r="F359" s="106" t="str">
        <f>HYPERLINK("https://pbs.twimg.com/profile_images/1287290672215552005/U3Q9mJ6Z_normal.jpg")</f>
        <v>https://pbs.twimg.com/profile_images/1287290672215552005/U3Q9mJ6Z_normal.jpg</v>
      </c>
      <c r="G359" s="67"/>
      <c r="H359" s="71"/>
      <c r="I359" s="72"/>
      <c r="J359" s="72"/>
      <c r="K359" s="71" t="s">
        <v>7529</v>
      </c>
      <c r="L359" s="75"/>
      <c r="M359" s="76"/>
      <c r="N359" s="76"/>
      <c r="O359" s="77"/>
      <c r="P359" s="78"/>
      <c r="Q359" s="78"/>
      <c r="R359" s="90"/>
      <c r="S359" s="90"/>
      <c r="T359" s="90"/>
      <c r="U359" s="90"/>
      <c r="V359" s="52"/>
      <c r="W359" s="52"/>
      <c r="X359" s="52"/>
      <c r="Y359" s="52"/>
      <c r="Z359" s="51"/>
      <c r="AA359" s="73"/>
      <c r="AB359" s="73"/>
      <c r="AC359" s="74"/>
      <c r="AD359" s="80" t="s">
        <v>4534</v>
      </c>
      <c r="AE359" s="86" t="s">
        <v>5446</v>
      </c>
      <c r="AF359" s="80">
        <v>469</v>
      </c>
      <c r="AG359" s="80">
        <v>365</v>
      </c>
      <c r="AH359" s="80">
        <v>38618</v>
      </c>
      <c r="AI359" s="80">
        <v>16207</v>
      </c>
      <c r="AJ359" s="80"/>
      <c r="AK359" s="80"/>
      <c r="AL359" s="80"/>
      <c r="AM359" s="80"/>
      <c r="AN359" s="80"/>
      <c r="AO359" s="82">
        <v>40361.515208333331</v>
      </c>
      <c r="AP359" s="80"/>
      <c r="AQ359" s="80" t="b">
        <v>1</v>
      </c>
      <c r="AR359" s="80" t="b">
        <v>0</v>
      </c>
      <c r="AS359" s="80" t="b">
        <v>0</v>
      </c>
      <c r="AT359" s="80"/>
      <c r="AU359" s="80">
        <v>1</v>
      </c>
      <c r="AV359" s="84" t="str">
        <f>HYPERLINK("https://abs.twimg.com/images/themes/theme1/bg.png")</f>
        <v>https://abs.twimg.com/images/themes/theme1/bg.png</v>
      </c>
      <c r="AW359" s="80" t="b">
        <v>0</v>
      </c>
      <c r="AX359" s="80" t="s">
        <v>7173</v>
      </c>
      <c r="AY359" s="84" t="str">
        <f>HYPERLINK("https://twitter.com/santz_lee")</f>
        <v>https://twitter.com/santz_lee</v>
      </c>
      <c r="AZ359" s="80" t="s">
        <v>66</v>
      </c>
      <c r="BA359" s="2"/>
      <c r="BB359" s="3"/>
      <c r="BC359" s="3"/>
      <c r="BD359" s="3"/>
      <c r="BE359" s="3"/>
    </row>
    <row r="360" spans="1:57" x14ac:dyDescent="0.35">
      <c r="A360" s="66" t="s">
        <v>495</v>
      </c>
      <c r="B360" s="67"/>
      <c r="C360" s="67"/>
      <c r="D360" s="68"/>
      <c r="E360" s="70"/>
      <c r="F360" s="106" t="str">
        <f>HYPERLINK("https://pbs.twimg.com/profile_images/1378843273834340353/W7B4PMcM_normal.jpg")</f>
        <v>https://pbs.twimg.com/profile_images/1378843273834340353/W7B4PMcM_normal.jpg</v>
      </c>
      <c r="G360" s="67"/>
      <c r="H360" s="71"/>
      <c r="I360" s="72"/>
      <c r="J360" s="72"/>
      <c r="K360" s="71" t="s">
        <v>7530</v>
      </c>
      <c r="L360" s="75"/>
      <c r="M360" s="76"/>
      <c r="N360" s="76"/>
      <c r="O360" s="77"/>
      <c r="P360" s="78"/>
      <c r="Q360" s="78"/>
      <c r="R360" s="90"/>
      <c r="S360" s="90"/>
      <c r="T360" s="90"/>
      <c r="U360" s="90"/>
      <c r="V360" s="52"/>
      <c r="W360" s="52"/>
      <c r="X360" s="52"/>
      <c r="Y360" s="52"/>
      <c r="Z360" s="51"/>
      <c r="AA360" s="73"/>
      <c r="AB360" s="73"/>
      <c r="AC360" s="74"/>
      <c r="AD360" s="80" t="s">
        <v>4535</v>
      </c>
      <c r="AE360" s="86" t="s">
        <v>5447</v>
      </c>
      <c r="AF360" s="80">
        <v>856</v>
      </c>
      <c r="AG360" s="80">
        <v>6</v>
      </c>
      <c r="AH360" s="80">
        <v>6672</v>
      </c>
      <c r="AI360" s="80">
        <v>2</v>
      </c>
      <c r="AJ360" s="80"/>
      <c r="AK360" s="80" t="s">
        <v>6228</v>
      </c>
      <c r="AL360" s="80" t="s">
        <v>6916</v>
      </c>
      <c r="AM360" s="84" t="str">
        <f>HYPERLINK("https://t.co/hIJYN33p4i")</f>
        <v>https://t.co/hIJYN33p4i</v>
      </c>
      <c r="AN360" s="80"/>
      <c r="AO360" s="82">
        <v>44285.033460648148</v>
      </c>
      <c r="AP360" s="84" t="str">
        <f>HYPERLINK("https://pbs.twimg.com/profile_banners/1376697702973501440/1628841494")</f>
        <v>https://pbs.twimg.com/profile_banners/1376697702973501440/1628841494</v>
      </c>
      <c r="AQ360" s="80" t="b">
        <v>1</v>
      </c>
      <c r="AR360" s="80" t="b">
        <v>0</v>
      </c>
      <c r="AS360" s="80" t="b">
        <v>0</v>
      </c>
      <c r="AT360" s="80"/>
      <c r="AU360" s="80">
        <v>0</v>
      </c>
      <c r="AV360" s="80"/>
      <c r="AW360" s="80" t="b">
        <v>0</v>
      </c>
      <c r="AX360" s="80" t="s">
        <v>7173</v>
      </c>
      <c r="AY360" s="84" t="str">
        <f>HYPERLINK("https://twitter.com/mybigbozz")</f>
        <v>https://twitter.com/mybigbozz</v>
      </c>
      <c r="AZ360" s="80" t="s">
        <v>66</v>
      </c>
      <c r="BA360" s="2"/>
      <c r="BB360" s="3"/>
      <c r="BC360" s="3"/>
      <c r="BD360" s="3"/>
      <c r="BE360" s="3"/>
    </row>
    <row r="361" spans="1:57" x14ac:dyDescent="0.35">
      <c r="A361" s="66" t="s">
        <v>496</v>
      </c>
      <c r="B361" s="67"/>
      <c r="C361" s="67"/>
      <c r="D361" s="68"/>
      <c r="E361" s="70"/>
      <c r="F361" s="106" t="str">
        <f>HYPERLINK("https://pbs.twimg.com/profile_images/1439889716787118081/jqePyKay_normal.jpg")</f>
        <v>https://pbs.twimg.com/profile_images/1439889716787118081/jqePyKay_normal.jpg</v>
      </c>
      <c r="G361" s="67"/>
      <c r="H361" s="71"/>
      <c r="I361" s="72"/>
      <c r="J361" s="72"/>
      <c r="K361" s="71" t="s">
        <v>7531</v>
      </c>
      <c r="L361" s="75"/>
      <c r="M361" s="76"/>
      <c r="N361" s="76"/>
      <c r="O361" s="77"/>
      <c r="P361" s="78"/>
      <c r="Q361" s="78"/>
      <c r="R361" s="90"/>
      <c r="S361" s="90"/>
      <c r="T361" s="90"/>
      <c r="U361" s="90"/>
      <c r="V361" s="52"/>
      <c r="W361" s="52"/>
      <c r="X361" s="52"/>
      <c r="Y361" s="52"/>
      <c r="Z361" s="51"/>
      <c r="AA361" s="73"/>
      <c r="AB361" s="73"/>
      <c r="AC361" s="74"/>
      <c r="AD361" s="80" t="s">
        <v>4536</v>
      </c>
      <c r="AE361" s="86" t="s">
        <v>3940</v>
      </c>
      <c r="AF361" s="80">
        <v>640</v>
      </c>
      <c r="AG361" s="80">
        <v>683</v>
      </c>
      <c r="AH361" s="80">
        <v>43983</v>
      </c>
      <c r="AI361" s="80">
        <v>1883</v>
      </c>
      <c r="AJ361" s="80"/>
      <c r="AK361" s="80" t="s">
        <v>6229</v>
      </c>
      <c r="AL361" s="80" t="s">
        <v>6917</v>
      </c>
      <c r="AM361" s="84" t="str">
        <f>HYPERLINK("https://t.co/DVbdNEw77f")</f>
        <v>https://t.co/DVbdNEw77f</v>
      </c>
      <c r="AN361" s="80"/>
      <c r="AO361" s="82">
        <v>44275.457812499997</v>
      </c>
      <c r="AP361" s="84" t="str">
        <f>HYPERLINK("https://pbs.twimg.com/profile_banners/1373227601829916685/1632131436")</f>
        <v>https://pbs.twimg.com/profile_banners/1373227601829916685/1632131436</v>
      </c>
      <c r="AQ361" s="80" t="b">
        <v>1</v>
      </c>
      <c r="AR361" s="80" t="b">
        <v>0</v>
      </c>
      <c r="AS361" s="80" t="b">
        <v>0</v>
      </c>
      <c r="AT361" s="80"/>
      <c r="AU361" s="80">
        <v>22</v>
      </c>
      <c r="AV361" s="80"/>
      <c r="AW361" s="80" t="b">
        <v>0</v>
      </c>
      <c r="AX361" s="80" t="s">
        <v>7173</v>
      </c>
      <c r="AY361" s="84" t="str">
        <f>HYPERLINK("https://twitter.com/adoreliu")</f>
        <v>https://twitter.com/adoreliu</v>
      </c>
      <c r="AZ361" s="80" t="s">
        <v>66</v>
      </c>
      <c r="BA361" s="2"/>
      <c r="BB361" s="3"/>
      <c r="BC361" s="3"/>
      <c r="BD361" s="3"/>
      <c r="BE361" s="3"/>
    </row>
    <row r="362" spans="1:57" x14ac:dyDescent="0.35">
      <c r="A362" s="66" t="s">
        <v>497</v>
      </c>
      <c r="B362" s="67"/>
      <c r="C362" s="67"/>
      <c r="D362" s="68"/>
      <c r="E362" s="70"/>
      <c r="F362" s="106" t="str">
        <f>HYPERLINK("https://pbs.twimg.com/profile_images/1424316165313077252/M-gKOipr_normal.jpg")</f>
        <v>https://pbs.twimg.com/profile_images/1424316165313077252/M-gKOipr_normal.jpg</v>
      </c>
      <c r="G362" s="67"/>
      <c r="H362" s="71"/>
      <c r="I362" s="72"/>
      <c r="J362" s="72"/>
      <c r="K362" s="71" t="s">
        <v>7532</v>
      </c>
      <c r="L362" s="75"/>
      <c r="M362" s="76"/>
      <c r="N362" s="76"/>
      <c r="O362" s="77"/>
      <c r="P362" s="78"/>
      <c r="Q362" s="78"/>
      <c r="R362" s="90"/>
      <c r="S362" s="90"/>
      <c r="T362" s="90"/>
      <c r="U362" s="90"/>
      <c r="V362" s="52"/>
      <c r="W362" s="52"/>
      <c r="X362" s="52"/>
      <c r="Y362" s="52"/>
      <c r="Z362" s="51"/>
      <c r="AA362" s="73"/>
      <c r="AB362" s="73"/>
      <c r="AC362" s="74"/>
      <c r="AD362" s="80" t="s">
        <v>4537</v>
      </c>
      <c r="AE362" s="86" t="s">
        <v>5448</v>
      </c>
      <c r="AF362" s="80">
        <v>683</v>
      </c>
      <c r="AG362" s="80">
        <v>802</v>
      </c>
      <c r="AH362" s="80">
        <v>54798</v>
      </c>
      <c r="AI362" s="80">
        <v>17780</v>
      </c>
      <c r="AJ362" s="80"/>
      <c r="AK362" s="80"/>
      <c r="AL362" s="80" t="s">
        <v>6918</v>
      </c>
      <c r="AM362" s="80"/>
      <c r="AN362" s="80"/>
      <c r="AO362" s="82">
        <v>41188.022372685184</v>
      </c>
      <c r="AP362" s="84" t="str">
        <f>HYPERLINK("https://pbs.twimg.com/profile_banners/863892793/1632220993")</f>
        <v>https://pbs.twimg.com/profile_banners/863892793/1632220993</v>
      </c>
      <c r="AQ362" s="80" t="b">
        <v>1</v>
      </c>
      <c r="AR362" s="80" t="b">
        <v>0</v>
      </c>
      <c r="AS362" s="80" t="b">
        <v>1</v>
      </c>
      <c r="AT362" s="80"/>
      <c r="AU362" s="80">
        <v>5</v>
      </c>
      <c r="AV362" s="84" t="str">
        <f>HYPERLINK("https://abs.twimg.com/images/themes/theme1/bg.png")</f>
        <v>https://abs.twimg.com/images/themes/theme1/bg.png</v>
      </c>
      <c r="AW362" s="80" t="b">
        <v>0</v>
      </c>
      <c r="AX362" s="80" t="s">
        <v>7173</v>
      </c>
      <c r="AY362" s="84" t="str">
        <f>HYPERLINK("https://twitter.com/dinisatashya")</f>
        <v>https://twitter.com/dinisatashya</v>
      </c>
      <c r="AZ362" s="80" t="s">
        <v>66</v>
      </c>
      <c r="BA362" s="2"/>
      <c r="BB362" s="3"/>
      <c r="BC362" s="3"/>
      <c r="BD362" s="3"/>
      <c r="BE362" s="3"/>
    </row>
    <row r="363" spans="1:57" x14ac:dyDescent="0.35">
      <c r="A363" s="66" t="s">
        <v>498</v>
      </c>
      <c r="B363" s="67"/>
      <c r="C363" s="67"/>
      <c r="D363" s="68"/>
      <c r="E363" s="70"/>
      <c r="F363" s="106" t="str">
        <f>HYPERLINK("https://pbs.twimg.com/profile_images/1442515520167706626/bKILrcQ4_normal.jpg")</f>
        <v>https://pbs.twimg.com/profile_images/1442515520167706626/bKILrcQ4_normal.jpg</v>
      </c>
      <c r="G363" s="67"/>
      <c r="H363" s="71"/>
      <c r="I363" s="72"/>
      <c r="J363" s="72"/>
      <c r="K363" s="71" t="s">
        <v>7533</v>
      </c>
      <c r="L363" s="75"/>
      <c r="M363" s="76"/>
      <c r="N363" s="76"/>
      <c r="O363" s="77"/>
      <c r="P363" s="78"/>
      <c r="Q363" s="78"/>
      <c r="R363" s="90"/>
      <c r="S363" s="90"/>
      <c r="T363" s="90"/>
      <c r="U363" s="90"/>
      <c r="V363" s="52"/>
      <c r="W363" s="52"/>
      <c r="X363" s="52"/>
      <c r="Y363" s="52"/>
      <c r="Z363" s="51"/>
      <c r="AA363" s="73"/>
      <c r="AB363" s="73"/>
      <c r="AC363" s="74"/>
      <c r="AD363" s="80" t="s">
        <v>4538</v>
      </c>
      <c r="AE363" s="86" t="s">
        <v>5449</v>
      </c>
      <c r="AF363" s="80">
        <v>171</v>
      </c>
      <c r="AG363" s="80">
        <v>161</v>
      </c>
      <c r="AH363" s="80">
        <v>10247</v>
      </c>
      <c r="AI363" s="80">
        <v>14094</v>
      </c>
      <c r="AJ363" s="80"/>
      <c r="AK363" s="80"/>
      <c r="AL363" s="80" t="s">
        <v>6919</v>
      </c>
      <c r="AM363" s="80"/>
      <c r="AN363" s="80"/>
      <c r="AO363" s="82">
        <v>40389.222638888888</v>
      </c>
      <c r="AP363" s="84" t="str">
        <f>HYPERLINK("https://pbs.twimg.com/profile_banners/172631887/1522471627")</f>
        <v>https://pbs.twimg.com/profile_banners/172631887/1522471627</v>
      </c>
      <c r="AQ363" s="80" t="b">
        <v>1</v>
      </c>
      <c r="AR363" s="80" t="b">
        <v>0</v>
      </c>
      <c r="AS363" s="80" t="b">
        <v>1</v>
      </c>
      <c r="AT363" s="80"/>
      <c r="AU363" s="80">
        <v>0</v>
      </c>
      <c r="AV363" s="84" t="str">
        <f>HYPERLINK("https://abs.twimg.com/images/themes/theme1/bg.png")</f>
        <v>https://abs.twimg.com/images/themes/theme1/bg.png</v>
      </c>
      <c r="AW363" s="80" t="b">
        <v>0</v>
      </c>
      <c r="AX363" s="80" t="s">
        <v>7173</v>
      </c>
      <c r="AY363" s="84" t="str">
        <f>HYPERLINK("https://twitter.com/hirasnapitupulu")</f>
        <v>https://twitter.com/hirasnapitupulu</v>
      </c>
      <c r="AZ363" s="80" t="s">
        <v>66</v>
      </c>
      <c r="BA363" s="2"/>
      <c r="BB363" s="3"/>
      <c r="BC363" s="3"/>
      <c r="BD363" s="3"/>
      <c r="BE363" s="3"/>
    </row>
    <row r="364" spans="1:57" x14ac:dyDescent="0.35">
      <c r="A364" s="66" t="s">
        <v>499</v>
      </c>
      <c r="B364" s="67"/>
      <c r="C364" s="67"/>
      <c r="D364" s="68"/>
      <c r="E364" s="70"/>
      <c r="F364" s="106" t="str">
        <f>HYPERLINK("https://pbs.twimg.com/profile_images/904787971747995648/GM35G3am_normal.jpg")</f>
        <v>https://pbs.twimg.com/profile_images/904787971747995648/GM35G3am_normal.jpg</v>
      </c>
      <c r="G364" s="67"/>
      <c r="H364" s="71"/>
      <c r="I364" s="72"/>
      <c r="J364" s="72"/>
      <c r="K364" s="71" t="s">
        <v>7534</v>
      </c>
      <c r="L364" s="75"/>
      <c r="M364" s="76"/>
      <c r="N364" s="76"/>
      <c r="O364" s="77"/>
      <c r="P364" s="78"/>
      <c r="Q364" s="78"/>
      <c r="R364" s="90"/>
      <c r="S364" s="90"/>
      <c r="T364" s="90"/>
      <c r="U364" s="90"/>
      <c r="V364" s="52"/>
      <c r="W364" s="52"/>
      <c r="X364" s="52"/>
      <c r="Y364" s="52"/>
      <c r="Z364" s="51"/>
      <c r="AA364" s="73"/>
      <c r="AB364" s="73"/>
      <c r="AC364" s="74"/>
      <c r="AD364" s="80" t="s">
        <v>4539</v>
      </c>
      <c r="AE364" s="86" t="s">
        <v>5450</v>
      </c>
      <c r="AF364" s="80">
        <v>507</v>
      </c>
      <c r="AG364" s="80">
        <v>280</v>
      </c>
      <c r="AH364" s="80">
        <v>10321</v>
      </c>
      <c r="AI364" s="80">
        <v>14008</v>
      </c>
      <c r="AJ364" s="80"/>
      <c r="AK364" s="80" t="s">
        <v>6230</v>
      </c>
      <c r="AL364" s="80" t="s">
        <v>4145</v>
      </c>
      <c r="AM364" s="80"/>
      <c r="AN364" s="80"/>
      <c r="AO364" s="82">
        <v>40717.344687500001</v>
      </c>
      <c r="AP364" s="84" t="str">
        <f>HYPERLINK("https://pbs.twimg.com/profile_banners/322496417/1504553022")</f>
        <v>https://pbs.twimg.com/profile_banners/322496417/1504553022</v>
      </c>
      <c r="AQ364" s="80" t="b">
        <v>0</v>
      </c>
      <c r="AR364" s="80" t="b">
        <v>0</v>
      </c>
      <c r="AS364" s="80" t="b">
        <v>1</v>
      </c>
      <c r="AT364" s="80"/>
      <c r="AU364" s="80">
        <v>2</v>
      </c>
      <c r="AV364" s="84" t="str">
        <f>HYPERLINK("https://abs.twimg.com/images/themes/theme10/bg.gif")</f>
        <v>https://abs.twimg.com/images/themes/theme10/bg.gif</v>
      </c>
      <c r="AW364" s="80" t="b">
        <v>0</v>
      </c>
      <c r="AX364" s="80" t="s">
        <v>7173</v>
      </c>
      <c r="AY364" s="84" t="str">
        <f>HYPERLINK("https://twitter.com/abdoeh_abbiati")</f>
        <v>https://twitter.com/abdoeh_abbiati</v>
      </c>
      <c r="AZ364" s="80" t="s">
        <v>66</v>
      </c>
      <c r="BA364" s="2"/>
      <c r="BB364" s="3"/>
      <c r="BC364" s="3"/>
      <c r="BD364" s="3"/>
      <c r="BE364" s="3"/>
    </row>
    <row r="365" spans="1:57" x14ac:dyDescent="0.35">
      <c r="A365" s="66" t="s">
        <v>500</v>
      </c>
      <c r="B365" s="67"/>
      <c r="C365" s="67"/>
      <c r="D365" s="68"/>
      <c r="E365" s="70"/>
      <c r="F365" s="106" t="str">
        <f>HYPERLINK("https://pbs.twimg.com/profile_images/1173508360232001542/zB83VZoX_normal.jpg")</f>
        <v>https://pbs.twimg.com/profile_images/1173508360232001542/zB83VZoX_normal.jpg</v>
      </c>
      <c r="G365" s="67"/>
      <c r="H365" s="71"/>
      <c r="I365" s="72"/>
      <c r="J365" s="72"/>
      <c r="K365" s="71" t="s">
        <v>7535</v>
      </c>
      <c r="L365" s="75"/>
      <c r="M365" s="76"/>
      <c r="N365" s="76"/>
      <c r="O365" s="77"/>
      <c r="P365" s="78"/>
      <c r="Q365" s="78"/>
      <c r="R365" s="90"/>
      <c r="S365" s="90"/>
      <c r="T365" s="90"/>
      <c r="U365" s="90"/>
      <c r="V365" s="52"/>
      <c r="W365" s="52"/>
      <c r="X365" s="52"/>
      <c r="Y365" s="52"/>
      <c r="Z365" s="51"/>
      <c r="AA365" s="73"/>
      <c r="AB365" s="73"/>
      <c r="AC365" s="74"/>
      <c r="AD365" s="80" t="s">
        <v>4540</v>
      </c>
      <c r="AE365" s="86" t="s">
        <v>5451</v>
      </c>
      <c r="AF365" s="80">
        <v>127</v>
      </c>
      <c r="AG365" s="80">
        <v>395</v>
      </c>
      <c r="AH365" s="80">
        <v>46376</v>
      </c>
      <c r="AI365" s="80">
        <v>756</v>
      </c>
      <c r="AJ365" s="80"/>
      <c r="AK365" s="80"/>
      <c r="AL365" s="80" t="s">
        <v>4145</v>
      </c>
      <c r="AM365" s="84" t="str">
        <f>HYPERLINK("https://t.co/qPZBJJFKfo")</f>
        <v>https://t.co/qPZBJJFKfo</v>
      </c>
      <c r="AN365" s="80"/>
      <c r="AO365" s="82">
        <v>40724.417743055557</v>
      </c>
      <c r="AP365" s="84" t="str">
        <f>HYPERLINK("https://pbs.twimg.com/profile_banners/326691663/1478048601")</f>
        <v>https://pbs.twimg.com/profile_banners/326691663/1478048601</v>
      </c>
      <c r="AQ365" s="80" t="b">
        <v>0</v>
      </c>
      <c r="AR365" s="80" t="b">
        <v>0</v>
      </c>
      <c r="AS365" s="80" t="b">
        <v>1</v>
      </c>
      <c r="AT365" s="80"/>
      <c r="AU365" s="80">
        <v>13</v>
      </c>
      <c r="AV365" s="84" t="str">
        <f>HYPERLINK("https://abs.twimg.com/images/themes/theme14/bg.gif")</f>
        <v>https://abs.twimg.com/images/themes/theme14/bg.gif</v>
      </c>
      <c r="AW365" s="80" t="b">
        <v>0</v>
      </c>
      <c r="AX365" s="80" t="s">
        <v>7173</v>
      </c>
      <c r="AY365" s="84" t="str">
        <f>HYPERLINK("https://twitter.com/grace_saa")</f>
        <v>https://twitter.com/grace_saa</v>
      </c>
      <c r="AZ365" s="80" t="s">
        <v>66</v>
      </c>
      <c r="BA365" s="2"/>
      <c r="BB365" s="3"/>
      <c r="BC365" s="3"/>
      <c r="BD365" s="3"/>
      <c r="BE365" s="3"/>
    </row>
    <row r="366" spans="1:57" x14ac:dyDescent="0.35">
      <c r="A366" s="66" t="s">
        <v>501</v>
      </c>
      <c r="B366" s="67"/>
      <c r="C366" s="67"/>
      <c r="D366" s="68"/>
      <c r="E366" s="70"/>
      <c r="F366" s="106" t="str">
        <f>HYPERLINK("https://pbs.twimg.com/profile_images/1418181053122965509/ri-esNCf_normal.jpg")</f>
        <v>https://pbs.twimg.com/profile_images/1418181053122965509/ri-esNCf_normal.jpg</v>
      </c>
      <c r="G366" s="67"/>
      <c r="H366" s="71"/>
      <c r="I366" s="72"/>
      <c r="J366" s="72"/>
      <c r="K366" s="71" t="s">
        <v>7536</v>
      </c>
      <c r="L366" s="75"/>
      <c r="M366" s="76"/>
      <c r="N366" s="76"/>
      <c r="O366" s="77"/>
      <c r="P366" s="78"/>
      <c r="Q366" s="78"/>
      <c r="R366" s="90"/>
      <c r="S366" s="90"/>
      <c r="T366" s="90"/>
      <c r="U366" s="90"/>
      <c r="V366" s="52"/>
      <c r="W366" s="52"/>
      <c r="X366" s="52"/>
      <c r="Y366" s="52"/>
      <c r="Z366" s="51"/>
      <c r="AA366" s="73"/>
      <c r="AB366" s="73"/>
      <c r="AC366" s="74"/>
      <c r="AD366" s="80" t="s">
        <v>4541</v>
      </c>
      <c r="AE366" s="86" t="s">
        <v>5452</v>
      </c>
      <c r="AF366" s="80">
        <v>1136</v>
      </c>
      <c r="AG366" s="80">
        <v>1115</v>
      </c>
      <c r="AH366" s="80">
        <v>9830</v>
      </c>
      <c r="AI366" s="80">
        <v>25390</v>
      </c>
      <c r="AJ366" s="80"/>
      <c r="AK366" s="80" t="s">
        <v>6231</v>
      </c>
      <c r="AL366" s="80"/>
      <c r="AM366" s="80"/>
      <c r="AN366" s="80"/>
      <c r="AO366" s="82">
        <v>44279.720983796295</v>
      </c>
      <c r="AP366" s="84" t="str">
        <f>HYPERLINK("https://pbs.twimg.com/profile_banners/1374772512580542464/1631085980")</f>
        <v>https://pbs.twimg.com/profile_banners/1374772512580542464/1631085980</v>
      </c>
      <c r="AQ366" s="80" t="b">
        <v>1</v>
      </c>
      <c r="AR366" s="80" t="b">
        <v>0</v>
      </c>
      <c r="AS366" s="80" t="b">
        <v>0</v>
      </c>
      <c r="AT366" s="80"/>
      <c r="AU366" s="80">
        <v>0</v>
      </c>
      <c r="AV366" s="80"/>
      <c r="AW366" s="80" t="b">
        <v>0</v>
      </c>
      <c r="AX366" s="80" t="s">
        <v>7173</v>
      </c>
      <c r="AY366" s="84" t="str">
        <f>HYPERLINK("https://twitter.com/cahngarit14")</f>
        <v>https://twitter.com/cahngarit14</v>
      </c>
      <c r="AZ366" s="80" t="s">
        <v>66</v>
      </c>
      <c r="BA366" s="2"/>
      <c r="BB366" s="3"/>
      <c r="BC366" s="3"/>
      <c r="BD366" s="3"/>
      <c r="BE366" s="3"/>
    </row>
    <row r="367" spans="1:57" x14ac:dyDescent="0.35">
      <c r="A367" s="66" t="s">
        <v>502</v>
      </c>
      <c r="B367" s="67"/>
      <c r="C367" s="67"/>
      <c r="D367" s="68"/>
      <c r="E367" s="70"/>
      <c r="F367" s="106" t="str">
        <f>HYPERLINK("https://pbs.twimg.com/profile_images/1364039509734686727/cjK3EuS0_normal.jpg")</f>
        <v>https://pbs.twimg.com/profile_images/1364039509734686727/cjK3EuS0_normal.jpg</v>
      </c>
      <c r="G367" s="67"/>
      <c r="H367" s="71"/>
      <c r="I367" s="72"/>
      <c r="J367" s="72"/>
      <c r="K367" s="71" t="s">
        <v>7537</v>
      </c>
      <c r="L367" s="75"/>
      <c r="M367" s="76"/>
      <c r="N367" s="76"/>
      <c r="O367" s="77"/>
      <c r="P367" s="78"/>
      <c r="Q367" s="78"/>
      <c r="R367" s="90"/>
      <c r="S367" s="90"/>
      <c r="T367" s="90"/>
      <c r="U367" s="90"/>
      <c r="V367" s="52"/>
      <c r="W367" s="52"/>
      <c r="X367" s="52"/>
      <c r="Y367" s="52"/>
      <c r="Z367" s="51"/>
      <c r="AA367" s="73"/>
      <c r="AB367" s="73"/>
      <c r="AC367" s="74"/>
      <c r="AD367" s="80" t="s">
        <v>4542</v>
      </c>
      <c r="AE367" s="86" t="s">
        <v>5453</v>
      </c>
      <c r="AF367" s="80">
        <v>889</v>
      </c>
      <c r="AG367" s="80">
        <v>847</v>
      </c>
      <c r="AH367" s="80">
        <v>2135</v>
      </c>
      <c r="AI367" s="80">
        <v>2792</v>
      </c>
      <c r="AJ367" s="80"/>
      <c r="AK367" s="80"/>
      <c r="AL367" s="80"/>
      <c r="AM367" s="80"/>
      <c r="AN367" s="80"/>
      <c r="AO367" s="82">
        <v>44241.579212962963</v>
      </c>
      <c r="AP367" s="80"/>
      <c r="AQ367" s="80" t="b">
        <v>1</v>
      </c>
      <c r="AR367" s="80" t="b">
        <v>0</v>
      </c>
      <c r="AS367" s="80" t="b">
        <v>0</v>
      </c>
      <c r="AT367" s="80"/>
      <c r="AU367" s="80">
        <v>0</v>
      </c>
      <c r="AV367" s="80"/>
      <c r="AW367" s="80" t="b">
        <v>0</v>
      </c>
      <c r="AX367" s="80" t="s">
        <v>7173</v>
      </c>
      <c r="AY367" s="84" t="str">
        <f>HYPERLINK("https://twitter.com/rudy30059411")</f>
        <v>https://twitter.com/rudy30059411</v>
      </c>
      <c r="AZ367" s="80" t="s">
        <v>66</v>
      </c>
      <c r="BA367" s="2"/>
      <c r="BB367" s="3"/>
      <c r="BC367" s="3"/>
      <c r="BD367" s="3"/>
      <c r="BE367" s="3"/>
    </row>
    <row r="368" spans="1:57" x14ac:dyDescent="0.35">
      <c r="A368" s="66" t="s">
        <v>503</v>
      </c>
      <c r="B368" s="67"/>
      <c r="C368" s="67"/>
      <c r="D368" s="68"/>
      <c r="E368" s="70"/>
      <c r="F368" s="106" t="str">
        <f>HYPERLINK("https://pbs.twimg.com/profile_images/1432846332524306437/-z95AKlX_normal.jpg")</f>
        <v>https://pbs.twimg.com/profile_images/1432846332524306437/-z95AKlX_normal.jpg</v>
      </c>
      <c r="G368" s="67"/>
      <c r="H368" s="71"/>
      <c r="I368" s="72"/>
      <c r="J368" s="72"/>
      <c r="K368" s="71" t="s">
        <v>7538</v>
      </c>
      <c r="L368" s="75"/>
      <c r="M368" s="76"/>
      <c r="N368" s="76"/>
      <c r="O368" s="77"/>
      <c r="P368" s="78"/>
      <c r="Q368" s="78"/>
      <c r="R368" s="90"/>
      <c r="S368" s="90"/>
      <c r="T368" s="90"/>
      <c r="U368" s="90"/>
      <c r="V368" s="52"/>
      <c r="W368" s="52"/>
      <c r="X368" s="52"/>
      <c r="Y368" s="52"/>
      <c r="Z368" s="51"/>
      <c r="AA368" s="73"/>
      <c r="AB368" s="73"/>
      <c r="AC368" s="74"/>
      <c r="AD368" s="80" t="s">
        <v>4543</v>
      </c>
      <c r="AE368" s="86" t="s">
        <v>5454</v>
      </c>
      <c r="AF368" s="80">
        <v>2106</v>
      </c>
      <c r="AG368" s="80">
        <v>2250</v>
      </c>
      <c r="AH368" s="80">
        <v>20950</v>
      </c>
      <c r="AI368" s="80">
        <v>98230</v>
      </c>
      <c r="AJ368" s="80"/>
      <c r="AK368" s="80" t="s">
        <v>6232</v>
      </c>
      <c r="AL368" s="80"/>
      <c r="AM368" s="80"/>
      <c r="AN368" s="80"/>
      <c r="AO368" s="82">
        <v>44195.407465277778</v>
      </c>
      <c r="AP368" s="84" t="str">
        <f>HYPERLINK("https://pbs.twimg.com/profile_banners/1344218267477368833/1629072407")</f>
        <v>https://pbs.twimg.com/profile_banners/1344218267477368833/1629072407</v>
      </c>
      <c r="AQ368" s="80" t="b">
        <v>1</v>
      </c>
      <c r="AR368" s="80" t="b">
        <v>0</v>
      </c>
      <c r="AS368" s="80" t="b">
        <v>0</v>
      </c>
      <c r="AT368" s="80"/>
      <c r="AU368" s="80">
        <v>2</v>
      </c>
      <c r="AV368" s="80"/>
      <c r="AW368" s="80" t="b">
        <v>0</v>
      </c>
      <c r="AX368" s="80" t="s">
        <v>7173</v>
      </c>
      <c r="AY368" s="84" t="str">
        <f>HYPERLINK("https://twitter.com/ewink_tie")</f>
        <v>https://twitter.com/ewink_tie</v>
      </c>
      <c r="AZ368" s="80" t="s">
        <v>66</v>
      </c>
      <c r="BA368" s="2"/>
      <c r="BB368" s="3"/>
      <c r="BC368" s="3"/>
      <c r="BD368" s="3"/>
      <c r="BE368" s="3"/>
    </row>
    <row r="369" spans="1:57" x14ac:dyDescent="0.35">
      <c r="A369" s="66" t="s">
        <v>504</v>
      </c>
      <c r="B369" s="67"/>
      <c r="C369" s="67"/>
      <c r="D369" s="68"/>
      <c r="E369" s="70"/>
      <c r="F369" s="106" t="str">
        <f>HYPERLINK("https://pbs.twimg.com/profile_images/1360534105570480128/QknkYIQb_normal.jpg")</f>
        <v>https://pbs.twimg.com/profile_images/1360534105570480128/QknkYIQb_normal.jpg</v>
      </c>
      <c r="G369" s="67"/>
      <c r="H369" s="71"/>
      <c r="I369" s="72"/>
      <c r="J369" s="72"/>
      <c r="K369" s="71" t="s">
        <v>7539</v>
      </c>
      <c r="L369" s="75"/>
      <c r="M369" s="76"/>
      <c r="N369" s="76"/>
      <c r="O369" s="77"/>
      <c r="P369" s="78"/>
      <c r="Q369" s="78"/>
      <c r="R369" s="90"/>
      <c r="S369" s="90"/>
      <c r="T369" s="90"/>
      <c r="U369" s="90"/>
      <c r="V369" s="52"/>
      <c r="W369" s="52"/>
      <c r="X369" s="52"/>
      <c r="Y369" s="52"/>
      <c r="Z369" s="51"/>
      <c r="AA369" s="73"/>
      <c r="AB369" s="73"/>
      <c r="AC369" s="74"/>
      <c r="AD369" s="80" t="s">
        <v>4544</v>
      </c>
      <c r="AE369" s="86" t="s">
        <v>5455</v>
      </c>
      <c r="AF369" s="80">
        <v>826</v>
      </c>
      <c r="AG369" s="80">
        <v>894</v>
      </c>
      <c r="AH369" s="80">
        <v>125409</v>
      </c>
      <c r="AI369" s="80">
        <v>124127</v>
      </c>
      <c r="AJ369" s="80"/>
      <c r="AK369" s="80"/>
      <c r="AL369" s="80"/>
      <c r="AM369" s="80"/>
      <c r="AN369" s="80"/>
      <c r="AO369" s="82">
        <v>40630.86440972222</v>
      </c>
      <c r="AP369" s="80"/>
      <c r="AQ369" s="80" t="b">
        <v>1</v>
      </c>
      <c r="AR369" s="80" t="b">
        <v>0</v>
      </c>
      <c r="AS369" s="80" t="b">
        <v>0</v>
      </c>
      <c r="AT369" s="80"/>
      <c r="AU369" s="80">
        <v>0</v>
      </c>
      <c r="AV369" s="84" t="str">
        <f>HYPERLINK("https://abs.twimg.com/images/themes/theme1/bg.png")</f>
        <v>https://abs.twimg.com/images/themes/theme1/bg.png</v>
      </c>
      <c r="AW369" s="80" t="b">
        <v>0</v>
      </c>
      <c r="AX369" s="80" t="s">
        <v>7173</v>
      </c>
      <c r="AY369" s="84" t="str">
        <f>HYPERLINK("https://twitter.com/bennydjuwanda")</f>
        <v>https://twitter.com/bennydjuwanda</v>
      </c>
      <c r="AZ369" s="80" t="s">
        <v>66</v>
      </c>
      <c r="BA369" s="2"/>
      <c r="BB369" s="3"/>
      <c r="BC369" s="3"/>
      <c r="BD369" s="3"/>
      <c r="BE369" s="3"/>
    </row>
    <row r="370" spans="1:57" x14ac:dyDescent="0.35">
      <c r="A370" s="66" t="s">
        <v>505</v>
      </c>
      <c r="B370" s="67"/>
      <c r="C370" s="67"/>
      <c r="D370" s="68"/>
      <c r="E370" s="70"/>
      <c r="F370" s="106" t="str">
        <f>HYPERLINK("https://pbs.twimg.com/profile_images/1399236471958118401/tZqXeUip_normal.jpg")</f>
        <v>https://pbs.twimg.com/profile_images/1399236471958118401/tZqXeUip_normal.jpg</v>
      </c>
      <c r="G370" s="67"/>
      <c r="H370" s="71"/>
      <c r="I370" s="72"/>
      <c r="J370" s="72"/>
      <c r="K370" s="71" t="s">
        <v>7540</v>
      </c>
      <c r="L370" s="75"/>
      <c r="M370" s="76"/>
      <c r="N370" s="76"/>
      <c r="O370" s="77"/>
      <c r="P370" s="78"/>
      <c r="Q370" s="78"/>
      <c r="R370" s="90"/>
      <c r="S370" s="90"/>
      <c r="T370" s="90"/>
      <c r="U370" s="90"/>
      <c r="V370" s="52"/>
      <c r="W370" s="52"/>
      <c r="X370" s="52"/>
      <c r="Y370" s="52"/>
      <c r="Z370" s="51"/>
      <c r="AA370" s="73"/>
      <c r="AB370" s="73"/>
      <c r="AC370" s="74"/>
      <c r="AD370" s="80" t="s">
        <v>4545</v>
      </c>
      <c r="AE370" s="86" t="s">
        <v>5456</v>
      </c>
      <c r="AF370" s="80">
        <v>339</v>
      </c>
      <c r="AG370" s="80">
        <v>189</v>
      </c>
      <c r="AH370" s="80">
        <v>2087</v>
      </c>
      <c r="AI370" s="80">
        <v>1708</v>
      </c>
      <c r="AJ370" s="80"/>
      <c r="AK370" s="80"/>
      <c r="AL370" s="80"/>
      <c r="AM370" s="80"/>
      <c r="AN370" s="80"/>
      <c r="AO370" s="82">
        <v>43211.630104166667</v>
      </c>
      <c r="AP370" s="84" t="str">
        <f>HYPERLINK("https://pbs.twimg.com/profile_banners/987709378194108416/1631749096")</f>
        <v>https://pbs.twimg.com/profile_banners/987709378194108416/1631749096</v>
      </c>
      <c r="AQ370" s="80" t="b">
        <v>1</v>
      </c>
      <c r="AR370" s="80" t="b">
        <v>0</v>
      </c>
      <c r="AS370" s="80" t="b">
        <v>1</v>
      </c>
      <c r="AT370" s="80"/>
      <c r="AU370" s="80">
        <v>0</v>
      </c>
      <c r="AV370" s="80"/>
      <c r="AW370" s="80" t="b">
        <v>0</v>
      </c>
      <c r="AX370" s="80" t="s">
        <v>7173</v>
      </c>
      <c r="AY370" s="84" t="str">
        <f>HYPERLINK("https://twitter.com/gathot57987929")</f>
        <v>https://twitter.com/gathot57987929</v>
      </c>
      <c r="AZ370" s="80" t="s">
        <v>66</v>
      </c>
      <c r="BA370" s="2"/>
      <c r="BB370" s="3"/>
      <c r="BC370" s="3"/>
      <c r="BD370" s="3"/>
      <c r="BE370" s="3"/>
    </row>
    <row r="371" spans="1:57" x14ac:dyDescent="0.35">
      <c r="A371" s="66" t="s">
        <v>506</v>
      </c>
      <c r="B371" s="67"/>
      <c r="C371" s="67"/>
      <c r="D371" s="68"/>
      <c r="E371" s="70"/>
      <c r="F371" s="106" t="str">
        <f>HYPERLINK("https://pbs.twimg.com/profile_images/1392090349594505220/_a0VOY2c_normal.jpg")</f>
        <v>https://pbs.twimg.com/profile_images/1392090349594505220/_a0VOY2c_normal.jpg</v>
      </c>
      <c r="G371" s="67"/>
      <c r="H371" s="71"/>
      <c r="I371" s="72"/>
      <c r="J371" s="72"/>
      <c r="K371" s="71" t="s">
        <v>7541</v>
      </c>
      <c r="L371" s="75"/>
      <c r="M371" s="76"/>
      <c r="N371" s="76"/>
      <c r="O371" s="77"/>
      <c r="P371" s="78"/>
      <c r="Q371" s="78"/>
      <c r="R371" s="90"/>
      <c r="S371" s="90"/>
      <c r="T371" s="90"/>
      <c r="U371" s="90"/>
      <c r="V371" s="52"/>
      <c r="W371" s="52"/>
      <c r="X371" s="52"/>
      <c r="Y371" s="52"/>
      <c r="Z371" s="51"/>
      <c r="AA371" s="73"/>
      <c r="AB371" s="73"/>
      <c r="AC371" s="74"/>
      <c r="AD371" s="80" t="s">
        <v>4546</v>
      </c>
      <c r="AE371" s="86" t="s">
        <v>5457</v>
      </c>
      <c r="AF371" s="80">
        <v>106</v>
      </c>
      <c r="AG371" s="80">
        <v>48</v>
      </c>
      <c r="AH371" s="80">
        <v>1271</v>
      </c>
      <c r="AI371" s="80">
        <v>3770</v>
      </c>
      <c r="AJ371" s="80"/>
      <c r="AK371" s="80" t="s">
        <v>6233</v>
      </c>
      <c r="AL371" s="80" t="s">
        <v>6795</v>
      </c>
      <c r="AM371" s="80"/>
      <c r="AN371" s="80"/>
      <c r="AO371" s="82">
        <v>42460.702789351853</v>
      </c>
      <c r="AP371" s="84" t="str">
        <f>HYPERLINK("https://pbs.twimg.com/profile_banners/715582430552272899/1619201643")</f>
        <v>https://pbs.twimg.com/profile_banners/715582430552272899/1619201643</v>
      </c>
      <c r="AQ371" s="80" t="b">
        <v>1</v>
      </c>
      <c r="AR371" s="80" t="b">
        <v>0</v>
      </c>
      <c r="AS371" s="80" t="b">
        <v>0</v>
      </c>
      <c r="AT371" s="80"/>
      <c r="AU371" s="80">
        <v>0</v>
      </c>
      <c r="AV371" s="80"/>
      <c r="AW371" s="80" t="b">
        <v>0</v>
      </c>
      <c r="AX371" s="80" t="s">
        <v>7173</v>
      </c>
      <c r="AY371" s="84" t="str">
        <f>HYPERLINK("https://twitter.com/yoshyosh12")</f>
        <v>https://twitter.com/yoshyosh12</v>
      </c>
      <c r="AZ371" s="80" t="s">
        <v>66</v>
      </c>
      <c r="BA371" s="2"/>
      <c r="BB371" s="3"/>
      <c r="BC371" s="3"/>
      <c r="BD371" s="3"/>
      <c r="BE371" s="3"/>
    </row>
    <row r="372" spans="1:57" x14ac:dyDescent="0.35">
      <c r="A372" s="66" t="s">
        <v>507</v>
      </c>
      <c r="B372" s="67"/>
      <c r="C372" s="67"/>
      <c r="D372" s="68"/>
      <c r="E372" s="70"/>
      <c r="F372" s="106" t="str">
        <f>HYPERLINK("https://abs.twimg.com/sticky/default_profile_images/default_profile_normal.png")</f>
        <v>https://abs.twimg.com/sticky/default_profile_images/default_profile_normal.png</v>
      </c>
      <c r="G372" s="67"/>
      <c r="H372" s="71"/>
      <c r="I372" s="72"/>
      <c r="J372" s="72"/>
      <c r="K372" s="71" t="s">
        <v>7542</v>
      </c>
      <c r="L372" s="75"/>
      <c r="M372" s="76"/>
      <c r="N372" s="76"/>
      <c r="O372" s="77"/>
      <c r="P372" s="78"/>
      <c r="Q372" s="78"/>
      <c r="R372" s="90"/>
      <c r="S372" s="90"/>
      <c r="T372" s="90"/>
      <c r="U372" s="90"/>
      <c r="V372" s="52"/>
      <c r="W372" s="52"/>
      <c r="X372" s="52"/>
      <c r="Y372" s="52"/>
      <c r="Z372" s="51"/>
      <c r="AA372" s="73"/>
      <c r="AB372" s="73"/>
      <c r="AC372" s="74"/>
      <c r="AD372" s="80" t="s">
        <v>4547</v>
      </c>
      <c r="AE372" s="86" t="s">
        <v>5458</v>
      </c>
      <c r="AF372" s="80">
        <v>161</v>
      </c>
      <c r="AG372" s="80">
        <v>98</v>
      </c>
      <c r="AH372" s="80">
        <v>5977</v>
      </c>
      <c r="AI372" s="80">
        <v>11366</v>
      </c>
      <c r="AJ372" s="80"/>
      <c r="AK372" s="80" t="s">
        <v>6234</v>
      </c>
      <c r="AL372" s="80"/>
      <c r="AM372" s="80"/>
      <c r="AN372" s="80"/>
      <c r="AO372" s="82">
        <v>44235.645532407405</v>
      </c>
      <c r="AP372" s="80"/>
      <c r="AQ372" s="80" t="b">
        <v>1</v>
      </c>
      <c r="AR372" s="80" t="b">
        <v>1</v>
      </c>
      <c r="AS372" s="80" t="b">
        <v>0</v>
      </c>
      <c r="AT372" s="80"/>
      <c r="AU372" s="80">
        <v>0</v>
      </c>
      <c r="AV372" s="80"/>
      <c r="AW372" s="80" t="b">
        <v>0</v>
      </c>
      <c r="AX372" s="80" t="s">
        <v>7173</v>
      </c>
      <c r="AY372" s="84" t="str">
        <f>HYPERLINK("https://twitter.com/hope4thebest6")</f>
        <v>https://twitter.com/hope4thebest6</v>
      </c>
      <c r="AZ372" s="80" t="s">
        <v>66</v>
      </c>
      <c r="BA372" s="2"/>
      <c r="BB372" s="3"/>
      <c r="BC372" s="3"/>
      <c r="BD372" s="3"/>
      <c r="BE372" s="3"/>
    </row>
    <row r="373" spans="1:57" x14ac:dyDescent="0.35">
      <c r="A373" s="66" t="s">
        <v>508</v>
      </c>
      <c r="B373" s="67"/>
      <c r="C373" s="67"/>
      <c r="D373" s="68"/>
      <c r="E373" s="70"/>
      <c r="F373" s="106" t="str">
        <f>HYPERLINK("https://pbs.twimg.com/profile_images/1437266988481474564/GC8EktPA_normal.jpg")</f>
        <v>https://pbs.twimg.com/profile_images/1437266988481474564/GC8EktPA_normal.jpg</v>
      </c>
      <c r="G373" s="67"/>
      <c r="H373" s="71"/>
      <c r="I373" s="72"/>
      <c r="J373" s="72"/>
      <c r="K373" s="71" t="s">
        <v>7543</v>
      </c>
      <c r="L373" s="75"/>
      <c r="M373" s="76"/>
      <c r="N373" s="76"/>
      <c r="O373" s="77"/>
      <c r="P373" s="78"/>
      <c r="Q373" s="78"/>
      <c r="R373" s="90"/>
      <c r="S373" s="90"/>
      <c r="T373" s="90"/>
      <c r="U373" s="90"/>
      <c r="V373" s="52"/>
      <c r="W373" s="52"/>
      <c r="X373" s="52"/>
      <c r="Y373" s="52"/>
      <c r="Z373" s="51"/>
      <c r="AA373" s="73"/>
      <c r="AB373" s="73"/>
      <c r="AC373" s="74"/>
      <c r="AD373" s="80" t="s">
        <v>4548</v>
      </c>
      <c r="AE373" s="86" t="s">
        <v>5459</v>
      </c>
      <c r="AF373" s="80">
        <v>3082</v>
      </c>
      <c r="AG373" s="80">
        <v>2662</v>
      </c>
      <c r="AH373" s="80">
        <v>11392</v>
      </c>
      <c r="AI373" s="80">
        <v>21582</v>
      </c>
      <c r="AJ373" s="80"/>
      <c r="AK373" s="80" t="s">
        <v>6235</v>
      </c>
      <c r="AL373" s="80" t="s">
        <v>4145</v>
      </c>
      <c r="AM373" s="84" t="str">
        <f>HYPERLINK("https://t.co/zjTsQtcC1f")</f>
        <v>https://t.co/zjTsQtcC1f</v>
      </c>
      <c r="AN373" s="80"/>
      <c r="AO373" s="82">
        <v>40078.622916666667</v>
      </c>
      <c r="AP373" s="84" t="str">
        <f>HYPERLINK("https://pbs.twimg.com/profile_banners/76353242/1422616483")</f>
        <v>https://pbs.twimg.com/profile_banners/76353242/1422616483</v>
      </c>
      <c r="AQ373" s="80" t="b">
        <v>0</v>
      </c>
      <c r="AR373" s="80" t="b">
        <v>0</v>
      </c>
      <c r="AS373" s="80" t="b">
        <v>0</v>
      </c>
      <c r="AT373" s="80"/>
      <c r="AU373" s="80">
        <v>0</v>
      </c>
      <c r="AV373" s="84" t="str">
        <f>HYPERLINK("https://abs.twimg.com/images/themes/theme1/bg.png")</f>
        <v>https://abs.twimg.com/images/themes/theme1/bg.png</v>
      </c>
      <c r="AW373" s="80" t="b">
        <v>0</v>
      </c>
      <c r="AX373" s="80" t="s">
        <v>7173</v>
      </c>
      <c r="AY373" s="84" t="str">
        <f>HYPERLINK("https://twitter.com/hendfry_gerard")</f>
        <v>https://twitter.com/hendfry_gerard</v>
      </c>
      <c r="AZ373" s="80" t="s">
        <v>66</v>
      </c>
      <c r="BA373" s="2"/>
      <c r="BB373" s="3"/>
      <c r="BC373" s="3"/>
      <c r="BD373" s="3"/>
      <c r="BE373" s="3"/>
    </row>
    <row r="374" spans="1:57" x14ac:dyDescent="0.35">
      <c r="A374" s="66" t="s">
        <v>509</v>
      </c>
      <c r="B374" s="67"/>
      <c r="C374" s="67"/>
      <c r="D374" s="68"/>
      <c r="E374" s="70"/>
      <c r="F374" s="106" t="str">
        <f>HYPERLINK("https://pbs.twimg.com/profile_images/1440890551956430852/NosCi8Zb_normal.jpg")</f>
        <v>https://pbs.twimg.com/profile_images/1440890551956430852/NosCi8Zb_normal.jpg</v>
      </c>
      <c r="G374" s="67"/>
      <c r="H374" s="71"/>
      <c r="I374" s="72"/>
      <c r="J374" s="72"/>
      <c r="K374" s="71" t="s">
        <v>7544</v>
      </c>
      <c r="L374" s="75"/>
      <c r="M374" s="76"/>
      <c r="N374" s="76"/>
      <c r="O374" s="77"/>
      <c r="P374" s="78"/>
      <c r="Q374" s="78"/>
      <c r="R374" s="90"/>
      <c r="S374" s="90"/>
      <c r="T374" s="90"/>
      <c r="U374" s="90"/>
      <c r="V374" s="52"/>
      <c r="W374" s="52"/>
      <c r="X374" s="52"/>
      <c r="Y374" s="52"/>
      <c r="Z374" s="51"/>
      <c r="AA374" s="73"/>
      <c r="AB374" s="73"/>
      <c r="AC374" s="74"/>
      <c r="AD374" s="80" t="s">
        <v>4549</v>
      </c>
      <c r="AE374" s="86" t="s">
        <v>5460</v>
      </c>
      <c r="AF374" s="80">
        <v>1944</v>
      </c>
      <c r="AG374" s="80">
        <v>1712</v>
      </c>
      <c r="AH374" s="80">
        <v>3992</v>
      </c>
      <c r="AI374" s="80">
        <v>10719</v>
      </c>
      <c r="AJ374" s="80"/>
      <c r="AK374" s="80" t="s">
        <v>6236</v>
      </c>
      <c r="AL374" s="80" t="s">
        <v>6920</v>
      </c>
      <c r="AM374" s="80"/>
      <c r="AN374" s="80"/>
      <c r="AO374" s="82">
        <v>42724.722210648149</v>
      </c>
      <c r="AP374" s="84" t="str">
        <f>HYPERLINK("https://pbs.twimg.com/profile_banners/811259867310616576/1482296813")</f>
        <v>https://pbs.twimg.com/profile_banners/811259867310616576/1482296813</v>
      </c>
      <c r="AQ374" s="80" t="b">
        <v>1</v>
      </c>
      <c r="AR374" s="80" t="b">
        <v>0</v>
      </c>
      <c r="AS374" s="80" t="b">
        <v>1</v>
      </c>
      <c r="AT374" s="80"/>
      <c r="AU374" s="80">
        <v>0</v>
      </c>
      <c r="AV374" s="80"/>
      <c r="AW374" s="80" t="b">
        <v>0</v>
      </c>
      <c r="AX374" s="80" t="s">
        <v>7173</v>
      </c>
      <c r="AY374" s="84" t="str">
        <f>HYPERLINK("https://twitter.com/pakde_gatot")</f>
        <v>https://twitter.com/pakde_gatot</v>
      </c>
      <c r="AZ374" s="80" t="s">
        <v>66</v>
      </c>
      <c r="BA374" s="2"/>
      <c r="BB374" s="3"/>
      <c r="BC374" s="3"/>
      <c r="BD374" s="3"/>
      <c r="BE374" s="3"/>
    </row>
    <row r="375" spans="1:57" x14ac:dyDescent="0.35">
      <c r="A375" s="66" t="s">
        <v>510</v>
      </c>
      <c r="B375" s="67"/>
      <c r="C375" s="67"/>
      <c r="D375" s="68"/>
      <c r="E375" s="70"/>
      <c r="F375" s="106" t="str">
        <f>HYPERLINK("https://pbs.twimg.com/profile_images/1311634731541295104/rqHvACze_normal.jpg")</f>
        <v>https://pbs.twimg.com/profile_images/1311634731541295104/rqHvACze_normal.jpg</v>
      </c>
      <c r="G375" s="67"/>
      <c r="H375" s="71"/>
      <c r="I375" s="72"/>
      <c r="J375" s="72"/>
      <c r="K375" s="71" t="s">
        <v>7545</v>
      </c>
      <c r="L375" s="75"/>
      <c r="M375" s="76"/>
      <c r="N375" s="76"/>
      <c r="O375" s="77"/>
      <c r="P375" s="78"/>
      <c r="Q375" s="78"/>
      <c r="R375" s="90"/>
      <c r="S375" s="90"/>
      <c r="T375" s="90"/>
      <c r="U375" s="90"/>
      <c r="V375" s="52"/>
      <c r="W375" s="52"/>
      <c r="X375" s="52"/>
      <c r="Y375" s="52"/>
      <c r="Z375" s="51"/>
      <c r="AA375" s="73"/>
      <c r="AB375" s="73"/>
      <c r="AC375" s="74"/>
      <c r="AD375" s="80" t="s">
        <v>4550</v>
      </c>
      <c r="AE375" s="86" t="s">
        <v>5461</v>
      </c>
      <c r="AF375" s="80">
        <v>1280</v>
      </c>
      <c r="AG375" s="80">
        <v>1224</v>
      </c>
      <c r="AH375" s="80">
        <v>4776</v>
      </c>
      <c r="AI375" s="80">
        <v>1870</v>
      </c>
      <c r="AJ375" s="80"/>
      <c r="AK375" s="80" t="s">
        <v>6237</v>
      </c>
      <c r="AL375" s="80" t="s">
        <v>6779</v>
      </c>
      <c r="AM375" s="80"/>
      <c r="AN375" s="80"/>
      <c r="AO375" s="82">
        <v>40481.170706018522</v>
      </c>
      <c r="AP375" s="84" t="str">
        <f>HYPERLINK("https://pbs.twimg.com/profile_banners/209910234/1579410743")</f>
        <v>https://pbs.twimg.com/profile_banners/209910234/1579410743</v>
      </c>
      <c r="AQ375" s="80" t="b">
        <v>1</v>
      </c>
      <c r="AR375" s="80" t="b">
        <v>0</v>
      </c>
      <c r="AS375" s="80" t="b">
        <v>1</v>
      </c>
      <c r="AT375" s="80"/>
      <c r="AU375" s="80">
        <v>0</v>
      </c>
      <c r="AV375" s="84" t="str">
        <f>HYPERLINK("https://abs.twimg.com/images/themes/theme1/bg.png")</f>
        <v>https://abs.twimg.com/images/themes/theme1/bg.png</v>
      </c>
      <c r="AW375" s="80" t="b">
        <v>0</v>
      </c>
      <c r="AX375" s="80" t="s">
        <v>7173</v>
      </c>
      <c r="AY375" s="84" t="str">
        <f>HYPERLINK("https://twitter.com/ardieithink")</f>
        <v>https://twitter.com/ardieithink</v>
      </c>
      <c r="AZ375" s="80" t="s">
        <v>66</v>
      </c>
      <c r="BA375" s="2"/>
      <c r="BB375" s="3"/>
      <c r="BC375" s="3"/>
      <c r="BD375" s="3"/>
      <c r="BE375" s="3"/>
    </row>
    <row r="376" spans="1:57" x14ac:dyDescent="0.35">
      <c r="A376" s="66" t="s">
        <v>511</v>
      </c>
      <c r="B376" s="67"/>
      <c r="C376" s="67"/>
      <c r="D376" s="68"/>
      <c r="E376" s="70"/>
      <c r="F376" s="106" t="str">
        <f>HYPERLINK("https://abs.twimg.com/sticky/default_profile_images/default_profile_normal.png")</f>
        <v>https://abs.twimg.com/sticky/default_profile_images/default_profile_normal.png</v>
      </c>
      <c r="G376" s="67"/>
      <c r="H376" s="71"/>
      <c r="I376" s="72"/>
      <c r="J376" s="72"/>
      <c r="K376" s="71" t="s">
        <v>7546</v>
      </c>
      <c r="L376" s="75"/>
      <c r="M376" s="76"/>
      <c r="N376" s="76"/>
      <c r="O376" s="77"/>
      <c r="P376" s="78"/>
      <c r="Q376" s="78"/>
      <c r="R376" s="90"/>
      <c r="S376" s="90"/>
      <c r="T376" s="90"/>
      <c r="U376" s="90"/>
      <c r="V376" s="52"/>
      <c r="W376" s="52"/>
      <c r="X376" s="52"/>
      <c r="Y376" s="52"/>
      <c r="Z376" s="51"/>
      <c r="AA376" s="73"/>
      <c r="AB376" s="73"/>
      <c r="AC376" s="74"/>
      <c r="AD376" s="80" t="s">
        <v>4551</v>
      </c>
      <c r="AE376" s="86" t="s">
        <v>5462</v>
      </c>
      <c r="AF376" s="80">
        <v>136</v>
      </c>
      <c r="AG376" s="80">
        <v>82</v>
      </c>
      <c r="AH376" s="80">
        <v>20018</v>
      </c>
      <c r="AI376" s="80">
        <v>19901</v>
      </c>
      <c r="AJ376" s="80"/>
      <c r="AK376" s="80"/>
      <c r="AL376" s="80"/>
      <c r="AM376" s="80"/>
      <c r="AN376" s="80"/>
      <c r="AO376" s="82">
        <v>43268.056689814817</v>
      </c>
      <c r="AP376" s="80"/>
      <c r="AQ376" s="80" t="b">
        <v>1</v>
      </c>
      <c r="AR376" s="80" t="b">
        <v>1</v>
      </c>
      <c r="AS376" s="80" t="b">
        <v>0</v>
      </c>
      <c r="AT376" s="80"/>
      <c r="AU376" s="80">
        <v>0</v>
      </c>
      <c r="AV376" s="80"/>
      <c r="AW376" s="80" t="b">
        <v>0</v>
      </c>
      <c r="AX376" s="80" t="s">
        <v>7173</v>
      </c>
      <c r="AY376" s="84" t="str">
        <f>HYPERLINK("https://twitter.com/teguh19699297")</f>
        <v>https://twitter.com/teguh19699297</v>
      </c>
      <c r="AZ376" s="80" t="s">
        <v>66</v>
      </c>
      <c r="BA376" s="2"/>
      <c r="BB376" s="3"/>
      <c r="BC376" s="3"/>
      <c r="BD376" s="3"/>
      <c r="BE376" s="3"/>
    </row>
    <row r="377" spans="1:57" x14ac:dyDescent="0.35">
      <c r="A377" s="66" t="s">
        <v>512</v>
      </c>
      <c r="B377" s="67"/>
      <c r="C377" s="67"/>
      <c r="D377" s="68"/>
      <c r="E377" s="70"/>
      <c r="F377" s="106" t="str">
        <f>HYPERLINK("https://pbs.twimg.com/profile_images/1432620983639150592/fJSIlYct_normal.jpg")</f>
        <v>https://pbs.twimg.com/profile_images/1432620983639150592/fJSIlYct_normal.jpg</v>
      </c>
      <c r="G377" s="67"/>
      <c r="H377" s="71"/>
      <c r="I377" s="72"/>
      <c r="J377" s="72"/>
      <c r="K377" s="71" t="s">
        <v>7547</v>
      </c>
      <c r="L377" s="75"/>
      <c r="M377" s="76"/>
      <c r="N377" s="76"/>
      <c r="O377" s="77"/>
      <c r="P377" s="78"/>
      <c r="Q377" s="78"/>
      <c r="R377" s="90"/>
      <c r="S377" s="90"/>
      <c r="T377" s="90"/>
      <c r="U377" s="90"/>
      <c r="V377" s="52"/>
      <c r="W377" s="52"/>
      <c r="X377" s="52"/>
      <c r="Y377" s="52"/>
      <c r="Z377" s="51"/>
      <c r="AA377" s="73"/>
      <c r="AB377" s="73"/>
      <c r="AC377" s="74"/>
      <c r="AD377" s="80" t="s">
        <v>4552</v>
      </c>
      <c r="AE377" s="86" t="s">
        <v>5463</v>
      </c>
      <c r="AF377" s="80">
        <v>473</v>
      </c>
      <c r="AG377" s="80">
        <v>86</v>
      </c>
      <c r="AH377" s="80">
        <v>5263</v>
      </c>
      <c r="AI377" s="80">
        <v>3113</v>
      </c>
      <c r="AJ377" s="80"/>
      <c r="AK377" s="80" t="s">
        <v>6238</v>
      </c>
      <c r="AL377" s="80" t="s">
        <v>6921</v>
      </c>
      <c r="AM377" s="80"/>
      <c r="AN377" s="80"/>
      <c r="AO377" s="82">
        <v>40313.360520833332</v>
      </c>
      <c r="AP377" s="84" t="str">
        <f>HYPERLINK("https://pbs.twimg.com/profile_banners/144097739/1627879174")</f>
        <v>https://pbs.twimg.com/profile_banners/144097739/1627879174</v>
      </c>
      <c r="AQ377" s="80" t="b">
        <v>1</v>
      </c>
      <c r="AR377" s="80" t="b">
        <v>0</v>
      </c>
      <c r="AS377" s="80" t="b">
        <v>1</v>
      </c>
      <c r="AT377" s="80"/>
      <c r="AU377" s="80">
        <v>1</v>
      </c>
      <c r="AV377" s="84" t="str">
        <f>HYPERLINK("https://abs.twimg.com/images/themes/theme1/bg.png")</f>
        <v>https://abs.twimg.com/images/themes/theme1/bg.png</v>
      </c>
      <c r="AW377" s="80" t="b">
        <v>0</v>
      </c>
      <c r="AX377" s="80" t="s">
        <v>7173</v>
      </c>
      <c r="AY377" s="84" t="str">
        <f>HYPERLINK("https://twitter.com/jhoe80")</f>
        <v>https://twitter.com/jhoe80</v>
      </c>
      <c r="AZ377" s="80" t="s">
        <v>66</v>
      </c>
      <c r="BA377" s="2"/>
      <c r="BB377" s="3"/>
      <c r="BC377" s="3"/>
      <c r="BD377" s="3"/>
      <c r="BE377" s="3"/>
    </row>
    <row r="378" spans="1:57" x14ac:dyDescent="0.35">
      <c r="A378" s="66" t="s">
        <v>513</v>
      </c>
      <c r="B378" s="67"/>
      <c r="C378" s="67"/>
      <c r="D378" s="68"/>
      <c r="E378" s="70"/>
      <c r="F378" s="106" t="str">
        <f>HYPERLINK("https://pbs.twimg.com/profile_images/1442151196987375617/RBkN0K3z_normal.jpg")</f>
        <v>https://pbs.twimg.com/profile_images/1442151196987375617/RBkN0K3z_normal.jpg</v>
      </c>
      <c r="G378" s="67"/>
      <c r="H378" s="71"/>
      <c r="I378" s="72"/>
      <c r="J378" s="72"/>
      <c r="K378" s="71" t="s">
        <v>7548</v>
      </c>
      <c r="L378" s="75"/>
      <c r="M378" s="76"/>
      <c r="N378" s="76"/>
      <c r="O378" s="77"/>
      <c r="P378" s="78"/>
      <c r="Q378" s="78"/>
      <c r="R378" s="90"/>
      <c r="S378" s="90"/>
      <c r="T378" s="90"/>
      <c r="U378" s="90"/>
      <c r="V378" s="52"/>
      <c r="W378" s="52"/>
      <c r="X378" s="52"/>
      <c r="Y378" s="52"/>
      <c r="Z378" s="51"/>
      <c r="AA378" s="73"/>
      <c r="AB378" s="73"/>
      <c r="AC378" s="74"/>
      <c r="AD378" s="80" t="s">
        <v>4553</v>
      </c>
      <c r="AE378" s="86" t="s">
        <v>5464</v>
      </c>
      <c r="AF378" s="80">
        <v>11592</v>
      </c>
      <c r="AG378" s="80">
        <v>13269</v>
      </c>
      <c r="AH378" s="80">
        <v>135290</v>
      </c>
      <c r="AI378" s="80">
        <v>298401</v>
      </c>
      <c r="AJ378" s="80"/>
      <c r="AK378" s="80" t="s">
        <v>6239</v>
      </c>
      <c r="AL378" s="80" t="s">
        <v>6922</v>
      </c>
      <c r="AM378" s="80"/>
      <c r="AN378" s="80"/>
      <c r="AO378" s="82">
        <v>43258.993981481479</v>
      </c>
      <c r="AP378" s="84" t="str">
        <f>HYPERLINK("https://pbs.twimg.com/profile_banners/1004873472626122752/1629406254")</f>
        <v>https://pbs.twimg.com/profile_banners/1004873472626122752/1629406254</v>
      </c>
      <c r="AQ378" s="80" t="b">
        <v>1</v>
      </c>
      <c r="AR378" s="80" t="b">
        <v>0</v>
      </c>
      <c r="AS378" s="80" t="b">
        <v>0</v>
      </c>
      <c r="AT378" s="80"/>
      <c r="AU378" s="80">
        <v>5</v>
      </c>
      <c r="AV378" s="80"/>
      <c r="AW378" s="80" t="b">
        <v>0</v>
      </c>
      <c r="AX378" s="80" t="s">
        <v>7173</v>
      </c>
      <c r="AY378" s="84" t="str">
        <f>HYPERLINK("https://twitter.com/d3v1s4_r3y4l")</f>
        <v>https://twitter.com/d3v1s4_r3y4l</v>
      </c>
      <c r="AZ378" s="80" t="s">
        <v>66</v>
      </c>
      <c r="BA378" s="2"/>
      <c r="BB378" s="3"/>
      <c r="BC378" s="3"/>
      <c r="BD378" s="3"/>
      <c r="BE378" s="3"/>
    </row>
    <row r="379" spans="1:57" x14ac:dyDescent="0.35">
      <c r="A379" s="66" t="s">
        <v>514</v>
      </c>
      <c r="B379" s="67"/>
      <c r="C379" s="67"/>
      <c r="D379" s="68"/>
      <c r="E379" s="70"/>
      <c r="F379" s="106" t="str">
        <f>HYPERLINK("https://pbs.twimg.com/profile_images/1282507727336439808/PYX-TojF_normal.jpg")</f>
        <v>https://pbs.twimg.com/profile_images/1282507727336439808/PYX-TojF_normal.jpg</v>
      </c>
      <c r="G379" s="67"/>
      <c r="H379" s="71"/>
      <c r="I379" s="72"/>
      <c r="J379" s="72"/>
      <c r="K379" s="71" t="s">
        <v>7549</v>
      </c>
      <c r="L379" s="75"/>
      <c r="M379" s="76"/>
      <c r="N379" s="76"/>
      <c r="O379" s="77"/>
      <c r="P379" s="78"/>
      <c r="Q379" s="78"/>
      <c r="R379" s="90"/>
      <c r="S379" s="90"/>
      <c r="T379" s="90"/>
      <c r="U379" s="90"/>
      <c r="V379" s="52"/>
      <c r="W379" s="52"/>
      <c r="X379" s="52"/>
      <c r="Y379" s="52"/>
      <c r="Z379" s="51"/>
      <c r="AA379" s="73"/>
      <c r="AB379" s="73"/>
      <c r="AC379" s="74"/>
      <c r="AD379" s="80" t="s">
        <v>4554</v>
      </c>
      <c r="AE379" s="86" t="s">
        <v>5465</v>
      </c>
      <c r="AF379" s="80">
        <v>1525</v>
      </c>
      <c r="AG379" s="80">
        <v>1286</v>
      </c>
      <c r="AH379" s="80">
        <v>9593</v>
      </c>
      <c r="AI379" s="80">
        <v>21767</v>
      </c>
      <c r="AJ379" s="80"/>
      <c r="AK379" s="80" t="s">
        <v>6240</v>
      </c>
      <c r="AL379" s="80"/>
      <c r="AM379" s="80"/>
      <c r="AN379" s="80"/>
      <c r="AO379" s="82">
        <v>44025.117245370369</v>
      </c>
      <c r="AP379" s="80"/>
      <c r="AQ379" s="80" t="b">
        <v>1</v>
      </c>
      <c r="AR379" s="80" t="b">
        <v>0</v>
      </c>
      <c r="AS379" s="80" t="b">
        <v>0</v>
      </c>
      <c r="AT379" s="80"/>
      <c r="AU379" s="80">
        <v>0</v>
      </c>
      <c r="AV379" s="80"/>
      <c r="AW379" s="80" t="b">
        <v>0</v>
      </c>
      <c r="AX379" s="80" t="s">
        <v>7173</v>
      </c>
      <c r="AY379" s="84" t="str">
        <f>HYPERLINK("https://twitter.com/nugroho99036078")</f>
        <v>https://twitter.com/nugroho99036078</v>
      </c>
      <c r="AZ379" s="80" t="s">
        <v>66</v>
      </c>
      <c r="BA379" s="2"/>
      <c r="BB379" s="3"/>
      <c r="BC379" s="3"/>
      <c r="BD379" s="3"/>
      <c r="BE379" s="3"/>
    </row>
    <row r="380" spans="1:57" x14ac:dyDescent="0.35">
      <c r="A380" s="66" t="s">
        <v>515</v>
      </c>
      <c r="B380" s="67"/>
      <c r="C380" s="67"/>
      <c r="D380" s="68"/>
      <c r="E380" s="70"/>
      <c r="F380" s="106" t="str">
        <f>HYPERLINK("https://pbs.twimg.com/profile_images/1415314400374714381/g7DFKYlj_normal.jpg")</f>
        <v>https://pbs.twimg.com/profile_images/1415314400374714381/g7DFKYlj_normal.jpg</v>
      </c>
      <c r="G380" s="67"/>
      <c r="H380" s="71"/>
      <c r="I380" s="72"/>
      <c r="J380" s="72"/>
      <c r="K380" s="71" t="s">
        <v>7550</v>
      </c>
      <c r="L380" s="75"/>
      <c r="M380" s="76"/>
      <c r="N380" s="76"/>
      <c r="O380" s="77"/>
      <c r="P380" s="78"/>
      <c r="Q380" s="78"/>
      <c r="R380" s="90"/>
      <c r="S380" s="90"/>
      <c r="T380" s="90"/>
      <c r="U380" s="90"/>
      <c r="V380" s="52"/>
      <c r="W380" s="52"/>
      <c r="X380" s="52"/>
      <c r="Y380" s="52"/>
      <c r="Z380" s="51"/>
      <c r="AA380" s="73"/>
      <c r="AB380" s="73"/>
      <c r="AC380" s="74"/>
      <c r="AD380" s="80" t="s">
        <v>4555</v>
      </c>
      <c r="AE380" s="86" t="s">
        <v>5466</v>
      </c>
      <c r="AF380" s="80">
        <v>116</v>
      </c>
      <c r="AG380" s="80">
        <v>23</v>
      </c>
      <c r="AH380" s="80">
        <v>1394</v>
      </c>
      <c r="AI380" s="80">
        <v>722</v>
      </c>
      <c r="AJ380" s="80"/>
      <c r="AK380" s="80" t="s">
        <v>6241</v>
      </c>
      <c r="AL380" s="80" t="s">
        <v>6923</v>
      </c>
      <c r="AM380" s="80"/>
      <c r="AN380" s="80"/>
      <c r="AO380" s="82">
        <v>42194.263657407406</v>
      </c>
      <c r="AP380" s="84" t="str">
        <f>HYPERLINK("https://pbs.twimg.com/profile_banners/3272585988/1596711776")</f>
        <v>https://pbs.twimg.com/profile_banners/3272585988/1596711776</v>
      </c>
      <c r="AQ380" s="80" t="b">
        <v>1</v>
      </c>
      <c r="AR380" s="80" t="b">
        <v>0</v>
      </c>
      <c r="AS380" s="80" t="b">
        <v>0</v>
      </c>
      <c r="AT380" s="80"/>
      <c r="AU380" s="80">
        <v>0</v>
      </c>
      <c r="AV380" s="84" t="str">
        <f>HYPERLINK("https://abs.twimg.com/images/themes/theme1/bg.png")</f>
        <v>https://abs.twimg.com/images/themes/theme1/bg.png</v>
      </c>
      <c r="AW380" s="80" t="b">
        <v>0</v>
      </c>
      <c r="AX380" s="80" t="s">
        <v>7173</v>
      </c>
      <c r="AY380" s="84" t="str">
        <f>HYPERLINK("https://twitter.com/rbslgn")</f>
        <v>https://twitter.com/rbslgn</v>
      </c>
      <c r="AZ380" s="80" t="s">
        <v>66</v>
      </c>
      <c r="BA380" s="2"/>
      <c r="BB380" s="3"/>
      <c r="BC380" s="3"/>
      <c r="BD380" s="3"/>
      <c r="BE380" s="3"/>
    </row>
    <row r="381" spans="1:57" x14ac:dyDescent="0.35">
      <c r="A381" s="66" t="s">
        <v>516</v>
      </c>
      <c r="B381" s="67"/>
      <c r="C381" s="67"/>
      <c r="D381" s="68"/>
      <c r="E381" s="70"/>
      <c r="F381" s="106" t="str">
        <f>HYPERLINK("https://pbs.twimg.com/profile_images/1354878830373167109/FfMlv2RH_normal.jpg")</f>
        <v>https://pbs.twimg.com/profile_images/1354878830373167109/FfMlv2RH_normal.jpg</v>
      </c>
      <c r="G381" s="67"/>
      <c r="H381" s="71"/>
      <c r="I381" s="72"/>
      <c r="J381" s="72"/>
      <c r="K381" s="71" t="s">
        <v>7551</v>
      </c>
      <c r="L381" s="75"/>
      <c r="M381" s="76"/>
      <c r="N381" s="76"/>
      <c r="O381" s="77"/>
      <c r="P381" s="78"/>
      <c r="Q381" s="78"/>
      <c r="R381" s="90"/>
      <c r="S381" s="90"/>
      <c r="T381" s="90"/>
      <c r="U381" s="90"/>
      <c r="V381" s="52"/>
      <c r="W381" s="52"/>
      <c r="X381" s="52"/>
      <c r="Y381" s="52"/>
      <c r="Z381" s="51"/>
      <c r="AA381" s="73"/>
      <c r="AB381" s="73"/>
      <c r="AC381" s="74"/>
      <c r="AD381" s="80" t="s">
        <v>4556</v>
      </c>
      <c r="AE381" s="86" t="s">
        <v>5467</v>
      </c>
      <c r="AF381" s="80">
        <v>242</v>
      </c>
      <c r="AG381" s="80">
        <v>222</v>
      </c>
      <c r="AH381" s="80">
        <v>2656</v>
      </c>
      <c r="AI381" s="80">
        <v>1690</v>
      </c>
      <c r="AJ381" s="80"/>
      <c r="AK381" s="80" t="s">
        <v>6242</v>
      </c>
      <c r="AL381" s="80" t="s">
        <v>6924</v>
      </c>
      <c r="AM381" s="80"/>
      <c r="AN381" s="80"/>
      <c r="AO381" s="82">
        <v>43887.639930555553</v>
      </c>
      <c r="AP381" s="84" t="str">
        <f>HYPERLINK("https://pbs.twimg.com/profile_banners/1232687029474844673/1611872694")</f>
        <v>https://pbs.twimg.com/profile_banners/1232687029474844673/1611872694</v>
      </c>
      <c r="AQ381" s="80" t="b">
        <v>1</v>
      </c>
      <c r="AR381" s="80" t="b">
        <v>0</v>
      </c>
      <c r="AS381" s="80" t="b">
        <v>1</v>
      </c>
      <c r="AT381" s="80"/>
      <c r="AU381" s="80">
        <v>0</v>
      </c>
      <c r="AV381" s="80"/>
      <c r="AW381" s="80" t="b">
        <v>0</v>
      </c>
      <c r="AX381" s="80" t="s">
        <v>7173</v>
      </c>
      <c r="AY381" s="84" t="str">
        <f>HYPERLINK("https://twitter.com/bangben26616216")</f>
        <v>https://twitter.com/bangben26616216</v>
      </c>
      <c r="AZ381" s="80" t="s">
        <v>66</v>
      </c>
      <c r="BA381" s="2"/>
      <c r="BB381" s="3"/>
      <c r="BC381" s="3"/>
      <c r="BD381" s="3"/>
      <c r="BE381" s="3"/>
    </row>
    <row r="382" spans="1:57" x14ac:dyDescent="0.35">
      <c r="A382" s="66" t="s">
        <v>517</v>
      </c>
      <c r="B382" s="67"/>
      <c r="C382" s="67"/>
      <c r="D382" s="68"/>
      <c r="E382" s="70"/>
      <c r="F382" s="106" t="str">
        <f>HYPERLINK("https://pbs.twimg.com/profile_images/1375336683571343361/A6pVUody_normal.jpg")</f>
        <v>https://pbs.twimg.com/profile_images/1375336683571343361/A6pVUody_normal.jpg</v>
      </c>
      <c r="G382" s="67"/>
      <c r="H382" s="71"/>
      <c r="I382" s="72"/>
      <c r="J382" s="72"/>
      <c r="K382" s="71" t="s">
        <v>7552</v>
      </c>
      <c r="L382" s="75"/>
      <c r="M382" s="76"/>
      <c r="N382" s="76"/>
      <c r="O382" s="77"/>
      <c r="P382" s="78"/>
      <c r="Q382" s="78"/>
      <c r="R382" s="90"/>
      <c r="S382" s="90"/>
      <c r="T382" s="90"/>
      <c r="U382" s="90"/>
      <c r="V382" s="52"/>
      <c r="W382" s="52"/>
      <c r="X382" s="52"/>
      <c r="Y382" s="52"/>
      <c r="Z382" s="51"/>
      <c r="AA382" s="73"/>
      <c r="AB382" s="73"/>
      <c r="AC382" s="74"/>
      <c r="AD382" s="80" t="s">
        <v>4557</v>
      </c>
      <c r="AE382" s="86" t="s">
        <v>5468</v>
      </c>
      <c r="AF382" s="80">
        <v>4999</v>
      </c>
      <c r="AG382" s="80">
        <v>3419</v>
      </c>
      <c r="AH382" s="80">
        <v>4944</v>
      </c>
      <c r="AI382" s="80">
        <v>8330</v>
      </c>
      <c r="AJ382" s="80"/>
      <c r="AK382" s="80" t="s">
        <v>6243</v>
      </c>
      <c r="AL382" s="80"/>
      <c r="AM382" s="80"/>
      <c r="AN382" s="80"/>
      <c r="AO382" s="82">
        <v>44276.485381944447</v>
      </c>
      <c r="AP382" s="84" t="str">
        <f>HYPERLINK("https://pbs.twimg.com/profile_banners/1373599934277058562/1616740750")</f>
        <v>https://pbs.twimg.com/profile_banners/1373599934277058562/1616740750</v>
      </c>
      <c r="AQ382" s="80" t="b">
        <v>1</v>
      </c>
      <c r="AR382" s="80" t="b">
        <v>0</v>
      </c>
      <c r="AS382" s="80" t="b">
        <v>0</v>
      </c>
      <c r="AT382" s="80"/>
      <c r="AU382" s="80">
        <v>0</v>
      </c>
      <c r="AV382" s="80"/>
      <c r="AW382" s="80" t="b">
        <v>0</v>
      </c>
      <c r="AX382" s="80" t="s">
        <v>7173</v>
      </c>
      <c r="AY382" s="84" t="str">
        <f>HYPERLINK("https://twitter.com/meng_1234567")</f>
        <v>https://twitter.com/meng_1234567</v>
      </c>
      <c r="AZ382" s="80" t="s">
        <v>66</v>
      </c>
      <c r="BA382" s="2"/>
      <c r="BB382" s="3"/>
      <c r="BC382" s="3"/>
      <c r="BD382" s="3"/>
      <c r="BE382" s="3"/>
    </row>
    <row r="383" spans="1:57" x14ac:dyDescent="0.35">
      <c r="A383" s="66" t="s">
        <v>518</v>
      </c>
      <c r="B383" s="67"/>
      <c r="C383" s="67"/>
      <c r="D383" s="68"/>
      <c r="E383" s="70"/>
      <c r="F383" s="106" t="str">
        <f>HYPERLINK("https://pbs.twimg.com/profile_images/2628930155/6c77c2cf5339f45ccd95192b7f513461_normal.jpeg")</f>
        <v>https://pbs.twimg.com/profile_images/2628930155/6c77c2cf5339f45ccd95192b7f513461_normal.jpeg</v>
      </c>
      <c r="G383" s="67"/>
      <c r="H383" s="71"/>
      <c r="I383" s="72"/>
      <c r="J383" s="72"/>
      <c r="K383" s="71" t="s">
        <v>7553</v>
      </c>
      <c r="L383" s="75"/>
      <c r="M383" s="76"/>
      <c r="N383" s="76"/>
      <c r="O383" s="77"/>
      <c r="P383" s="78"/>
      <c r="Q383" s="78"/>
      <c r="R383" s="90"/>
      <c r="S383" s="90"/>
      <c r="T383" s="90"/>
      <c r="U383" s="90"/>
      <c r="V383" s="52"/>
      <c r="W383" s="52"/>
      <c r="X383" s="52"/>
      <c r="Y383" s="52"/>
      <c r="Z383" s="51"/>
      <c r="AA383" s="73"/>
      <c r="AB383" s="73"/>
      <c r="AC383" s="74"/>
      <c r="AD383" s="80" t="s">
        <v>4558</v>
      </c>
      <c r="AE383" s="86" t="s">
        <v>5469</v>
      </c>
      <c r="AF383" s="80">
        <v>135</v>
      </c>
      <c r="AG383" s="80">
        <v>66</v>
      </c>
      <c r="AH383" s="80">
        <v>8708</v>
      </c>
      <c r="AI383" s="80">
        <v>8743</v>
      </c>
      <c r="AJ383" s="80"/>
      <c r="AK383" s="80" t="s">
        <v>6244</v>
      </c>
      <c r="AL383" s="80" t="s">
        <v>6925</v>
      </c>
      <c r="AM383" s="80"/>
      <c r="AN383" s="80"/>
      <c r="AO383" s="82">
        <v>40340.143622685187</v>
      </c>
      <c r="AP383" s="80"/>
      <c r="AQ383" s="80" t="b">
        <v>0</v>
      </c>
      <c r="AR383" s="80" t="b">
        <v>0</v>
      </c>
      <c r="AS383" s="80" t="b">
        <v>0</v>
      </c>
      <c r="AT383" s="80"/>
      <c r="AU383" s="80">
        <v>0</v>
      </c>
      <c r="AV383" s="84" t="str">
        <f>HYPERLINK("https://abs.twimg.com/images/themes/theme7/bg.gif")</f>
        <v>https://abs.twimg.com/images/themes/theme7/bg.gif</v>
      </c>
      <c r="AW383" s="80" t="b">
        <v>0</v>
      </c>
      <c r="AX383" s="80" t="s">
        <v>7173</v>
      </c>
      <c r="AY383" s="84" t="str">
        <f>HYPERLINK("https://twitter.com/qutu_qupret")</f>
        <v>https://twitter.com/qutu_qupret</v>
      </c>
      <c r="AZ383" s="80" t="s">
        <v>66</v>
      </c>
      <c r="BA383" s="2"/>
      <c r="BB383" s="3"/>
      <c r="BC383" s="3"/>
      <c r="BD383" s="3"/>
      <c r="BE383" s="3"/>
    </row>
    <row r="384" spans="1:57" x14ac:dyDescent="0.35">
      <c r="A384" s="66" t="s">
        <v>519</v>
      </c>
      <c r="B384" s="67"/>
      <c r="C384" s="67"/>
      <c r="D384" s="68"/>
      <c r="E384" s="70"/>
      <c r="F384" s="106" t="str">
        <f>HYPERLINK("https://pbs.twimg.com/profile_images/1336051810113482752/BHz2zeBW_normal.jpg")</f>
        <v>https://pbs.twimg.com/profile_images/1336051810113482752/BHz2zeBW_normal.jpg</v>
      </c>
      <c r="G384" s="67"/>
      <c r="H384" s="71"/>
      <c r="I384" s="72"/>
      <c r="J384" s="72"/>
      <c r="K384" s="71" t="s">
        <v>7554</v>
      </c>
      <c r="L384" s="75"/>
      <c r="M384" s="76"/>
      <c r="N384" s="76"/>
      <c r="O384" s="77"/>
      <c r="P384" s="78"/>
      <c r="Q384" s="78"/>
      <c r="R384" s="90"/>
      <c r="S384" s="90"/>
      <c r="T384" s="90"/>
      <c r="U384" s="90"/>
      <c r="V384" s="52"/>
      <c r="W384" s="52"/>
      <c r="X384" s="52"/>
      <c r="Y384" s="52"/>
      <c r="Z384" s="51"/>
      <c r="AA384" s="73"/>
      <c r="AB384" s="73"/>
      <c r="AC384" s="74"/>
      <c r="AD384" s="80" t="s">
        <v>4559</v>
      </c>
      <c r="AE384" s="86" t="s">
        <v>5470</v>
      </c>
      <c r="AF384" s="80">
        <v>670</v>
      </c>
      <c r="AG384" s="80">
        <v>517</v>
      </c>
      <c r="AH384" s="80">
        <v>4496</v>
      </c>
      <c r="AI384" s="80">
        <v>1548</v>
      </c>
      <c r="AJ384" s="80"/>
      <c r="AK384" s="80" t="s">
        <v>6245</v>
      </c>
      <c r="AL384" s="80"/>
      <c r="AM384" s="80"/>
      <c r="AN384" s="80"/>
      <c r="AO384" s="82">
        <v>43855.381736111114</v>
      </c>
      <c r="AP384" s="80"/>
      <c r="AQ384" s="80" t="b">
        <v>1</v>
      </c>
      <c r="AR384" s="80" t="b">
        <v>0</v>
      </c>
      <c r="AS384" s="80" t="b">
        <v>0</v>
      </c>
      <c r="AT384" s="80"/>
      <c r="AU384" s="80">
        <v>0</v>
      </c>
      <c r="AV384" s="80"/>
      <c r="AW384" s="80" t="b">
        <v>0</v>
      </c>
      <c r="AX384" s="80" t="s">
        <v>7173</v>
      </c>
      <c r="AY384" s="84" t="str">
        <f>HYPERLINK("https://twitter.com/bendoll02708591")</f>
        <v>https://twitter.com/bendoll02708591</v>
      </c>
      <c r="AZ384" s="80" t="s">
        <v>66</v>
      </c>
      <c r="BA384" s="2"/>
      <c r="BB384" s="3"/>
      <c r="BC384" s="3"/>
      <c r="BD384" s="3"/>
      <c r="BE384" s="3"/>
    </row>
    <row r="385" spans="1:57" x14ac:dyDescent="0.35">
      <c r="A385" s="66" t="s">
        <v>520</v>
      </c>
      <c r="B385" s="67"/>
      <c r="C385" s="67"/>
      <c r="D385" s="68"/>
      <c r="E385" s="70"/>
      <c r="F385" s="106" t="str">
        <f>HYPERLINK("https://pbs.twimg.com/profile_images/1421671608494608384/Bi-iXfXE_normal.jpg")</f>
        <v>https://pbs.twimg.com/profile_images/1421671608494608384/Bi-iXfXE_normal.jpg</v>
      </c>
      <c r="G385" s="67"/>
      <c r="H385" s="71"/>
      <c r="I385" s="72"/>
      <c r="J385" s="72"/>
      <c r="K385" s="71" t="s">
        <v>7555</v>
      </c>
      <c r="L385" s="75"/>
      <c r="M385" s="76"/>
      <c r="N385" s="76"/>
      <c r="O385" s="77"/>
      <c r="P385" s="78"/>
      <c r="Q385" s="78"/>
      <c r="R385" s="90"/>
      <c r="S385" s="90"/>
      <c r="T385" s="90"/>
      <c r="U385" s="90"/>
      <c r="V385" s="52"/>
      <c r="W385" s="52"/>
      <c r="X385" s="52"/>
      <c r="Y385" s="52"/>
      <c r="Z385" s="51"/>
      <c r="AA385" s="73"/>
      <c r="AB385" s="73"/>
      <c r="AC385" s="74"/>
      <c r="AD385" s="80" t="s">
        <v>4560</v>
      </c>
      <c r="AE385" s="86" t="s">
        <v>5471</v>
      </c>
      <c r="AF385" s="80">
        <v>4966</v>
      </c>
      <c r="AG385" s="80">
        <v>4333</v>
      </c>
      <c r="AH385" s="80">
        <v>53257</v>
      </c>
      <c r="AI385" s="80">
        <v>185137</v>
      </c>
      <c r="AJ385" s="80"/>
      <c r="AK385" s="80" t="s">
        <v>6246</v>
      </c>
      <c r="AL385" s="80"/>
      <c r="AM385" s="80"/>
      <c r="AN385" s="80"/>
      <c r="AO385" s="82">
        <v>44001.182083333333</v>
      </c>
      <c r="AP385" s="84" t="str">
        <f>HYPERLINK("https://pbs.twimg.com/profile_banners/1273833386960797698/1627787898")</f>
        <v>https://pbs.twimg.com/profile_banners/1273833386960797698/1627787898</v>
      </c>
      <c r="AQ385" s="80" t="b">
        <v>1</v>
      </c>
      <c r="AR385" s="80" t="b">
        <v>0</v>
      </c>
      <c r="AS385" s="80" t="b">
        <v>0</v>
      </c>
      <c r="AT385" s="80"/>
      <c r="AU385" s="80">
        <v>1</v>
      </c>
      <c r="AV385" s="80"/>
      <c r="AW385" s="80" t="b">
        <v>0</v>
      </c>
      <c r="AX385" s="80" t="s">
        <v>7173</v>
      </c>
      <c r="AY385" s="84" t="str">
        <f>HYPERLINK("https://twitter.com/tobatsaat")</f>
        <v>https://twitter.com/tobatsaat</v>
      </c>
      <c r="AZ385" s="80" t="s">
        <v>66</v>
      </c>
      <c r="BA385" s="2"/>
      <c r="BB385" s="3"/>
      <c r="BC385" s="3"/>
      <c r="BD385" s="3"/>
      <c r="BE385" s="3"/>
    </row>
    <row r="386" spans="1:57" x14ac:dyDescent="0.35">
      <c r="A386" s="66" t="s">
        <v>521</v>
      </c>
      <c r="B386" s="67"/>
      <c r="C386" s="67"/>
      <c r="D386" s="68"/>
      <c r="E386" s="70"/>
      <c r="F386" s="106" t="str">
        <f>HYPERLINK("https://pbs.twimg.com/profile_images/1424320052799541252/MC6nfrs0_normal.jpg")</f>
        <v>https://pbs.twimg.com/profile_images/1424320052799541252/MC6nfrs0_normal.jpg</v>
      </c>
      <c r="G386" s="67"/>
      <c r="H386" s="71"/>
      <c r="I386" s="72"/>
      <c r="J386" s="72"/>
      <c r="K386" s="71" t="s">
        <v>7556</v>
      </c>
      <c r="L386" s="75"/>
      <c r="M386" s="76"/>
      <c r="N386" s="76"/>
      <c r="O386" s="77"/>
      <c r="P386" s="78"/>
      <c r="Q386" s="78"/>
      <c r="R386" s="90"/>
      <c r="S386" s="90"/>
      <c r="T386" s="90"/>
      <c r="U386" s="90"/>
      <c r="V386" s="52"/>
      <c r="W386" s="52"/>
      <c r="X386" s="52"/>
      <c r="Y386" s="52"/>
      <c r="Z386" s="51"/>
      <c r="AA386" s="73"/>
      <c r="AB386" s="73"/>
      <c r="AC386" s="74"/>
      <c r="AD386" s="80" t="s">
        <v>4561</v>
      </c>
      <c r="AE386" s="86" t="s">
        <v>5472</v>
      </c>
      <c r="AF386" s="80">
        <v>1352</v>
      </c>
      <c r="AG386" s="80">
        <v>1620</v>
      </c>
      <c r="AH386" s="80">
        <v>109949</v>
      </c>
      <c r="AI386" s="80">
        <v>163228</v>
      </c>
      <c r="AJ386" s="80"/>
      <c r="AK386" s="80" t="s">
        <v>6247</v>
      </c>
      <c r="AL386" s="80"/>
      <c r="AM386" s="80"/>
      <c r="AN386" s="80"/>
      <c r="AO386" s="82">
        <v>41884.480694444443</v>
      </c>
      <c r="AP386" s="84" t="str">
        <f>HYPERLINK("https://pbs.twimg.com/profile_banners/2785772216/1560521609")</f>
        <v>https://pbs.twimg.com/profile_banners/2785772216/1560521609</v>
      </c>
      <c r="AQ386" s="80" t="b">
        <v>1</v>
      </c>
      <c r="AR386" s="80" t="b">
        <v>0</v>
      </c>
      <c r="AS386" s="80" t="b">
        <v>1</v>
      </c>
      <c r="AT386" s="80"/>
      <c r="AU386" s="80">
        <v>2</v>
      </c>
      <c r="AV386" s="84" t="str">
        <f>HYPERLINK("https://abs.twimg.com/images/themes/theme1/bg.png")</f>
        <v>https://abs.twimg.com/images/themes/theme1/bg.png</v>
      </c>
      <c r="AW386" s="80" t="b">
        <v>0</v>
      </c>
      <c r="AX386" s="80" t="s">
        <v>7173</v>
      </c>
      <c r="AY386" s="84" t="str">
        <f>HYPERLINK("https://twitter.com/ujkomar")</f>
        <v>https://twitter.com/ujkomar</v>
      </c>
      <c r="AZ386" s="80" t="s">
        <v>66</v>
      </c>
      <c r="BA386" s="2"/>
      <c r="BB386" s="3"/>
      <c r="BC386" s="3"/>
      <c r="BD386" s="3"/>
      <c r="BE386" s="3"/>
    </row>
    <row r="387" spans="1:57" x14ac:dyDescent="0.35">
      <c r="A387" s="66" t="s">
        <v>522</v>
      </c>
      <c r="B387" s="67"/>
      <c r="C387" s="67"/>
      <c r="D387" s="68"/>
      <c r="E387" s="70"/>
      <c r="F387" s="106" t="str">
        <f>HYPERLINK("https://pbs.twimg.com/profile_images/1380751435260813314/cyHRNw8X_normal.jpg")</f>
        <v>https://pbs.twimg.com/profile_images/1380751435260813314/cyHRNw8X_normal.jpg</v>
      </c>
      <c r="G387" s="67"/>
      <c r="H387" s="71"/>
      <c r="I387" s="72"/>
      <c r="J387" s="72"/>
      <c r="K387" s="71" t="s">
        <v>7557</v>
      </c>
      <c r="L387" s="75"/>
      <c r="M387" s="76"/>
      <c r="N387" s="76"/>
      <c r="O387" s="77"/>
      <c r="P387" s="78"/>
      <c r="Q387" s="78"/>
      <c r="R387" s="90"/>
      <c r="S387" s="90"/>
      <c r="T387" s="90"/>
      <c r="U387" s="90"/>
      <c r="V387" s="52"/>
      <c r="W387" s="52"/>
      <c r="X387" s="52"/>
      <c r="Y387" s="52"/>
      <c r="Z387" s="51"/>
      <c r="AA387" s="73"/>
      <c r="AB387" s="73"/>
      <c r="AC387" s="74"/>
      <c r="AD387" s="80" t="s">
        <v>4562</v>
      </c>
      <c r="AE387" s="86" t="s">
        <v>5473</v>
      </c>
      <c r="AF387" s="80">
        <v>328</v>
      </c>
      <c r="AG387" s="80">
        <v>53</v>
      </c>
      <c r="AH387" s="80">
        <v>1447</v>
      </c>
      <c r="AI387" s="80">
        <v>2864</v>
      </c>
      <c r="AJ387" s="80"/>
      <c r="AK387" s="80"/>
      <c r="AL387" s="80" t="s">
        <v>6814</v>
      </c>
      <c r="AM387" s="80"/>
      <c r="AN387" s="80"/>
      <c r="AO387" s="82">
        <v>42662.699745370373</v>
      </c>
      <c r="AP387" s="80"/>
      <c r="AQ387" s="80" t="b">
        <v>1</v>
      </c>
      <c r="AR387" s="80" t="b">
        <v>0</v>
      </c>
      <c r="AS387" s="80" t="b">
        <v>0</v>
      </c>
      <c r="AT387" s="80"/>
      <c r="AU387" s="80">
        <v>0</v>
      </c>
      <c r="AV387" s="80"/>
      <c r="AW387" s="80" t="b">
        <v>0</v>
      </c>
      <c r="AX387" s="80" t="s">
        <v>7173</v>
      </c>
      <c r="AY387" s="84" t="str">
        <f>HYPERLINK("https://twitter.com/edyss05")</f>
        <v>https://twitter.com/edyss05</v>
      </c>
      <c r="AZ387" s="80" t="s">
        <v>66</v>
      </c>
      <c r="BA387" s="2"/>
      <c r="BB387" s="3"/>
      <c r="BC387" s="3"/>
      <c r="BD387" s="3"/>
      <c r="BE387" s="3"/>
    </row>
    <row r="388" spans="1:57" x14ac:dyDescent="0.35">
      <c r="A388" s="66" t="s">
        <v>523</v>
      </c>
      <c r="B388" s="67"/>
      <c r="C388" s="67"/>
      <c r="D388" s="68"/>
      <c r="E388" s="70"/>
      <c r="F388" s="106" t="str">
        <f>HYPERLINK("https://pbs.twimg.com/profile_images/811490546560532481/Ib_VUX9I_normal.jpg")</f>
        <v>https://pbs.twimg.com/profile_images/811490546560532481/Ib_VUX9I_normal.jpg</v>
      </c>
      <c r="G388" s="67"/>
      <c r="H388" s="71"/>
      <c r="I388" s="72"/>
      <c r="J388" s="72"/>
      <c r="K388" s="71" t="s">
        <v>7558</v>
      </c>
      <c r="L388" s="75"/>
      <c r="M388" s="76"/>
      <c r="N388" s="76"/>
      <c r="O388" s="77"/>
      <c r="P388" s="78"/>
      <c r="Q388" s="78"/>
      <c r="R388" s="90"/>
      <c r="S388" s="90"/>
      <c r="T388" s="90"/>
      <c r="U388" s="90"/>
      <c r="V388" s="52"/>
      <c r="W388" s="52"/>
      <c r="X388" s="52"/>
      <c r="Y388" s="52"/>
      <c r="Z388" s="51"/>
      <c r="AA388" s="73"/>
      <c r="AB388" s="73"/>
      <c r="AC388" s="74"/>
      <c r="AD388" s="80" t="s">
        <v>4563</v>
      </c>
      <c r="AE388" s="86" t="s">
        <v>5474</v>
      </c>
      <c r="AF388" s="80">
        <v>1480</v>
      </c>
      <c r="AG388" s="80">
        <v>1417</v>
      </c>
      <c r="AH388" s="80">
        <v>2789</v>
      </c>
      <c r="AI388" s="80">
        <v>1231</v>
      </c>
      <c r="AJ388" s="80"/>
      <c r="AK388" s="80" t="s">
        <v>6248</v>
      </c>
      <c r="AL388" s="80" t="s">
        <v>4145</v>
      </c>
      <c r="AM388" s="80"/>
      <c r="AN388" s="80"/>
      <c r="AO388" s="82">
        <v>40208.06758101852</v>
      </c>
      <c r="AP388" s="84" t="str">
        <f>HYPERLINK("https://pbs.twimg.com/profile_banners/109724070/1481723260")</f>
        <v>https://pbs.twimg.com/profile_banners/109724070/1481723260</v>
      </c>
      <c r="AQ388" s="80" t="b">
        <v>0</v>
      </c>
      <c r="AR388" s="80" t="b">
        <v>0</v>
      </c>
      <c r="AS388" s="80" t="b">
        <v>0</v>
      </c>
      <c r="AT388" s="80"/>
      <c r="AU388" s="80">
        <v>0</v>
      </c>
      <c r="AV388" s="84" t="str">
        <f>HYPERLINK("https://abs.twimg.com/images/themes/theme5/bg.gif")</f>
        <v>https://abs.twimg.com/images/themes/theme5/bg.gif</v>
      </c>
      <c r="AW388" s="80" t="b">
        <v>0</v>
      </c>
      <c r="AX388" s="80" t="s">
        <v>7173</v>
      </c>
      <c r="AY388" s="84" t="str">
        <f>HYPERLINK("https://twitter.com/benny_moewi")</f>
        <v>https://twitter.com/benny_moewi</v>
      </c>
      <c r="AZ388" s="80" t="s">
        <v>66</v>
      </c>
      <c r="BA388" s="2"/>
      <c r="BB388" s="3"/>
      <c r="BC388" s="3"/>
      <c r="BD388" s="3"/>
      <c r="BE388" s="3"/>
    </row>
    <row r="389" spans="1:57" x14ac:dyDescent="0.35">
      <c r="A389" s="66" t="s">
        <v>524</v>
      </c>
      <c r="B389" s="67"/>
      <c r="C389" s="67"/>
      <c r="D389" s="68"/>
      <c r="E389" s="70"/>
      <c r="F389" s="106" t="str">
        <f>HYPERLINK("https://pbs.twimg.com/profile_images/1413510250485800969/qCDHSzqp_normal.jpg")</f>
        <v>https://pbs.twimg.com/profile_images/1413510250485800969/qCDHSzqp_normal.jpg</v>
      </c>
      <c r="G389" s="67"/>
      <c r="H389" s="71"/>
      <c r="I389" s="72"/>
      <c r="J389" s="72"/>
      <c r="K389" s="71" t="s">
        <v>7559</v>
      </c>
      <c r="L389" s="75"/>
      <c r="M389" s="76"/>
      <c r="N389" s="76"/>
      <c r="O389" s="77"/>
      <c r="P389" s="78"/>
      <c r="Q389" s="78"/>
      <c r="R389" s="90"/>
      <c r="S389" s="90"/>
      <c r="T389" s="90"/>
      <c r="U389" s="90"/>
      <c r="V389" s="52"/>
      <c r="W389" s="52"/>
      <c r="X389" s="52"/>
      <c r="Y389" s="52"/>
      <c r="Z389" s="51"/>
      <c r="AA389" s="73"/>
      <c r="AB389" s="73"/>
      <c r="AC389" s="74"/>
      <c r="AD389" s="80" t="s">
        <v>4564</v>
      </c>
      <c r="AE389" s="86" t="s">
        <v>5475</v>
      </c>
      <c r="AF389" s="80">
        <v>5003</v>
      </c>
      <c r="AG389" s="80">
        <v>2917</v>
      </c>
      <c r="AH389" s="80">
        <v>59877</v>
      </c>
      <c r="AI389" s="80">
        <v>162900</v>
      </c>
      <c r="AJ389" s="80"/>
      <c r="AK389" s="80" t="s">
        <v>6249</v>
      </c>
      <c r="AL389" s="80" t="s">
        <v>6926</v>
      </c>
      <c r="AM389" s="80"/>
      <c r="AN389" s="80"/>
      <c r="AO389" s="82">
        <v>42991.477754629632</v>
      </c>
      <c r="AP389" s="84" t="str">
        <f>HYPERLINK("https://pbs.twimg.com/profile_banners/907928837534605312/1628221884")</f>
        <v>https://pbs.twimg.com/profile_banners/907928837534605312/1628221884</v>
      </c>
      <c r="AQ389" s="80" t="b">
        <v>1</v>
      </c>
      <c r="AR389" s="80" t="b">
        <v>0</v>
      </c>
      <c r="AS389" s="80" t="b">
        <v>1</v>
      </c>
      <c r="AT389" s="80"/>
      <c r="AU389" s="80">
        <v>0</v>
      </c>
      <c r="AV389" s="80"/>
      <c r="AW389" s="80" t="b">
        <v>0</v>
      </c>
      <c r="AX389" s="80" t="s">
        <v>7173</v>
      </c>
      <c r="AY389" s="84" t="str">
        <f>HYPERLINK("https://twitter.com/hadisang70")</f>
        <v>https://twitter.com/hadisang70</v>
      </c>
      <c r="AZ389" s="80" t="s">
        <v>66</v>
      </c>
      <c r="BA389" s="2"/>
      <c r="BB389" s="3"/>
      <c r="BC389" s="3"/>
      <c r="BD389" s="3"/>
      <c r="BE389" s="3"/>
    </row>
    <row r="390" spans="1:57" x14ac:dyDescent="0.35">
      <c r="A390" s="66" t="s">
        <v>525</v>
      </c>
      <c r="B390" s="67"/>
      <c r="C390" s="67"/>
      <c r="D390" s="68"/>
      <c r="E390" s="70"/>
      <c r="F390" s="106" t="str">
        <f>HYPERLINK("https://pbs.twimg.com/profile_images/879402588789063680/0X4i1e21_normal.jpg")</f>
        <v>https://pbs.twimg.com/profile_images/879402588789063680/0X4i1e21_normal.jpg</v>
      </c>
      <c r="G390" s="67"/>
      <c r="H390" s="71"/>
      <c r="I390" s="72"/>
      <c r="J390" s="72"/>
      <c r="K390" s="71" t="s">
        <v>7560</v>
      </c>
      <c r="L390" s="75"/>
      <c r="M390" s="76"/>
      <c r="N390" s="76"/>
      <c r="O390" s="77"/>
      <c r="P390" s="78"/>
      <c r="Q390" s="78"/>
      <c r="R390" s="90"/>
      <c r="S390" s="90"/>
      <c r="T390" s="90"/>
      <c r="U390" s="90"/>
      <c r="V390" s="52"/>
      <c r="W390" s="52"/>
      <c r="X390" s="52"/>
      <c r="Y390" s="52"/>
      <c r="Z390" s="51"/>
      <c r="AA390" s="73"/>
      <c r="AB390" s="73"/>
      <c r="AC390" s="74"/>
      <c r="AD390" s="80" t="s">
        <v>4565</v>
      </c>
      <c r="AE390" s="86" t="s">
        <v>5476</v>
      </c>
      <c r="AF390" s="80">
        <v>537</v>
      </c>
      <c r="AG390" s="80">
        <v>149</v>
      </c>
      <c r="AH390" s="80">
        <v>14922</v>
      </c>
      <c r="AI390" s="80">
        <v>1848</v>
      </c>
      <c r="AJ390" s="80"/>
      <c r="AK390" s="80"/>
      <c r="AL390" s="80"/>
      <c r="AM390" s="80"/>
      <c r="AN390" s="80"/>
      <c r="AO390" s="82">
        <v>41944.352453703701</v>
      </c>
      <c r="AP390" s="80"/>
      <c r="AQ390" s="80" t="b">
        <v>1</v>
      </c>
      <c r="AR390" s="80" t="b">
        <v>0</v>
      </c>
      <c r="AS390" s="80" t="b">
        <v>0</v>
      </c>
      <c r="AT390" s="80"/>
      <c r="AU390" s="80">
        <v>0</v>
      </c>
      <c r="AV390" s="84" t="str">
        <f>HYPERLINK("https://abs.twimg.com/images/themes/theme1/bg.png")</f>
        <v>https://abs.twimg.com/images/themes/theme1/bg.png</v>
      </c>
      <c r="AW390" s="80" t="b">
        <v>0</v>
      </c>
      <c r="AX390" s="80" t="s">
        <v>7173</v>
      </c>
      <c r="AY390" s="84" t="str">
        <f>HYPERLINK("https://twitter.com/fajarfirhadi")</f>
        <v>https://twitter.com/fajarfirhadi</v>
      </c>
      <c r="AZ390" s="80" t="s">
        <v>66</v>
      </c>
      <c r="BA390" s="2"/>
      <c r="BB390" s="3"/>
      <c r="BC390" s="3"/>
      <c r="BD390" s="3"/>
      <c r="BE390" s="3"/>
    </row>
    <row r="391" spans="1:57" x14ac:dyDescent="0.35">
      <c r="A391" s="66" t="s">
        <v>526</v>
      </c>
      <c r="B391" s="67"/>
      <c r="C391" s="67"/>
      <c r="D391" s="68"/>
      <c r="E391" s="70"/>
      <c r="F391" s="106" t="str">
        <f>HYPERLINK("https://pbs.twimg.com/profile_images/1313379345797267456/nZtw5LtC_normal.jpg")</f>
        <v>https://pbs.twimg.com/profile_images/1313379345797267456/nZtw5LtC_normal.jpg</v>
      </c>
      <c r="G391" s="67"/>
      <c r="H391" s="71"/>
      <c r="I391" s="72"/>
      <c r="J391" s="72"/>
      <c r="K391" s="71" t="s">
        <v>7561</v>
      </c>
      <c r="L391" s="75"/>
      <c r="M391" s="76"/>
      <c r="N391" s="76"/>
      <c r="O391" s="77"/>
      <c r="P391" s="78"/>
      <c r="Q391" s="78"/>
      <c r="R391" s="90"/>
      <c r="S391" s="90"/>
      <c r="T391" s="90"/>
      <c r="U391" s="90"/>
      <c r="V391" s="52"/>
      <c r="W391" s="52"/>
      <c r="X391" s="52"/>
      <c r="Y391" s="52"/>
      <c r="Z391" s="51"/>
      <c r="AA391" s="73"/>
      <c r="AB391" s="73"/>
      <c r="AC391" s="74"/>
      <c r="AD391" s="80" t="s">
        <v>4566</v>
      </c>
      <c r="AE391" s="86" t="s">
        <v>5477</v>
      </c>
      <c r="AF391" s="80">
        <v>1314</v>
      </c>
      <c r="AG391" s="80">
        <v>1113</v>
      </c>
      <c r="AH391" s="80">
        <v>7151</v>
      </c>
      <c r="AI391" s="80">
        <v>7881</v>
      </c>
      <c r="AJ391" s="80"/>
      <c r="AK391" s="80" t="s">
        <v>6250</v>
      </c>
      <c r="AL391" s="80" t="s">
        <v>6927</v>
      </c>
      <c r="AM391" s="80"/>
      <c r="AN391" s="80"/>
      <c r="AO391" s="82">
        <v>41254.713460648149</v>
      </c>
      <c r="AP391" s="84" t="str">
        <f>HYPERLINK("https://pbs.twimg.com/profile_banners/1004435160/1601914070")</f>
        <v>https://pbs.twimg.com/profile_banners/1004435160/1601914070</v>
      </c>
      <c r="AQ391" s="80" t="b">
        <v>1</v>
      </c>
      <c r="AR391" s="80" t="b">
        <v>0</v>
      </c>
      <c r="AS391" s="80" t="b">
        <v>0</v>
      </c>
      <c r="AT391" s="80"/>
      <c r="AU391" s="80">
        <v>0</v>
      </c>
      <c r="AV391" s="84" t="str">
        <f>HYPERLINK("https://abs.twimg.com/images/themes/theme1/bg.png")</f>
        <v>https://abs.twimg.com/images/themes/theme1/bg.png</v>
      </c>
      <c r="AW391" s="80" t="b">
        <v>0</v>
      </c>
      <c r="AX391" s="80" t="s">
        <v>7173</v>
      </c>
      <c r="AY391" s="84" t="str">
        <f>HYPERLINK("https://twitter.com/to_w3lly")</f>
        <v>https://twitter.com/to_w3lly</v>
      </c>
      <c r="AZ391" s="80" t="s">
        <v>66</v>
      </c>
      <c r="BA391" s="2"/>
      <c r="BB391" s="3"/>
      <c r="BC391" s="3"/>
      <c r="BD391" s="3"/>
      <c r="BE391" s="3"/>
    </row>
    <row r="392" spans="1:57" x14ac:dyDescent="0.35">
      <c r="A392" s="66" t="s">
        <v>527</v>
      </c>
      <c r="B392" s="67"/>
      <c r="C392" s="67"/>
      <c r="D392" s="68"/>
      <c r="E392" s="70"/>
      <c r="F392" s="106" t="str">
        <f>HYPERLINK("https://pbs.twimg.com/profile_images/1422732296231153664/p0MMp6tV_normal.jpg")</f>
        <v>https://pbs.twimg.com/profile_images/1422732296231153664/p0MMp6tV_normal.jpg</v>
      </c>
      <c r="G392" s="67"/>
      <c r="H392" s="71"/>
      <c r="I392" s="72"/>
      <c r="J392" s="72"/>
      <c r="K392" s="71" t="s">
        <v>7562</v>
      </c>
      <c r="L392" s="75"/>
      <c r="M392" s="76"/>
      <c r="N392" s="76"/>
      <c r="O392" s="77"/>
      <c r="P392" s="78"/>
      <c r="Q392" s="78"/>
      <c r="R392" s="90"/>
      <c r="S392" s="90"/>
      <c r="T392" s="90"/>
      <c r="U392" s="90"/>
      <c r="V392" s="52"/>
      <c r="W392" s="52"/>
      <c r="X392" s="52"/>
      <c r="Y392" s="52"/>
      <c r="Z392" s="51"/>
      <c r="AA392" s="73"/>
      <c r="AB392" s="73"/>
      <c r="AC392" s="74"/>
      <c r="AD392" s="80" t="s">
        <v>4567</v>
      </c>
      <c r="AE392" s="86" t="s">
        <v>5478</v>
      </c>
      <c r="AF392" s="80">
        <v>626</v>
      </c>
      <c r="AG392" s="80">
        <v>653</v>
      </c>
      <c r="AH392" s="80">
        <v>12325</v>
      </c>
      <c r="AI392" s="80">
        <v>434</v>
      </c>
      <c r="AJ392" s="80"/>
      <c r="AK392" s="80" t="s">
        <v>6251</v>
      </c>
      <c r="AL392" s="80" t="s">
        <v>6862</v>
      </c>
      <c r="AM392" s="80"/>
      <c r="AN392" s="80"/>
      <c r="AO392" s="82">
        <v>41023.255347222221</v>
      </c>
      <c r="AP392" s="84" t="str">
        <f>HYPERLINK("https://pbs.twimg.com/profile_banners/561771859/1581690126")</f>
        <v>https://pbs.twimg.com/profile_banners/561771859/1581690126</v>
      </c>
      <c r="AQ392" s="80" t="b">
        <v>1</v>
      </c>
      <c r="AR392" s="80" t="b">
        <v>0</v>
      </c>
      <c r="AS392" s="80" t="b">
        <v>1</v>
      </c>
      <c r="AT392" s="80"/>
      <c r="AU392" s="80">
        <v>1</v>
      </c>
      <c r="AV392" s="84" t="str">
        <f>HYPERLINK("https://abs.twimg.com/images/themes/theme1/bg.png")</f>
        <v>https://abs.twimg.com/images/themes/theme1/bg.png</v>
      </c>
      <c r="AW392" s="80" t="b">
        <v>0</v>
      </c>
      <c r="AX392" s="80" t="s">
        <v>7173</v>
      </c>
      <c r="AY392" s="84" t="str">
        <f>HYPERLINK("https://twitter.com/didy_40")</f>
        <v>https://twitter.com/didy_40</v>
      </c>
      <c r="AZ392" s="80" t="s">
        <v>66</v>
      </c>
      <c r="BA392" s="2"/>
      <c r="BB392" s="3"/>
      <c r="BC392" s="3"/>
      <c r="BD392" s="3"/>
      <c r="BE392" s="3"/>
    </row>
    <row r="393" spans="1:57" x14ac:dyDescent="0.35">
      <c r="A393" s="66" t="s">
        <v>528</v>
      </c>
      <c r="B393" s="67"/>
      <c r="C393" s="67"/>
      <c r="D393" s="68"/>
      <c r="E393" s="70"/>
      <c r="F393" s="106" t="str">
        <f>HYPERLINK("https://pbs.twimg.com/profile_images/1435598942528360452/CeVM7KS6_normal.jpg")</f>
        <v>https://pbs.twimg.com/profile_images/1435598942528360452/CeVM7KS6_normal.jpg</v>
      </c>
      <c r="G393" s="67"/>
      <c r="H393" s="71"/>
      <c r="I393" s="72"/>
      <c r="J393" s="72"/>
      <c r="K393" s="71" t="s">
        <v>7563</v>
      </c>
      <c r="L393" s="75"/>
      <c r="M393" s="76"/>
      <c r="N393" s="76"/>
      <c r="O393" s="77"/>
      <c r="P393" s="78"/>
      <c r="Q393" s="78"/>
      <c r="R393" s="90"/>
      <c r="S393" s="90"/>
      <c r="T393" s="90"/>
      <c r="U393" s="90"/>
      <c r="V393" s="52"/>
      <c r="W393" s="52"/>
      <c r="X393" s="52"/>
      <c r="Y393" s="52"/>
      <c r="Z393" s="51"/>
      <c r="AA393" s="73"/>
      <c r="AB393" s="73"/>
      <c r="AC393" s="74"/>
      <c r="AD393" s="80" t="s">
        <v>4568</v>
      </c>
      <c r="AE393" s="86" t="s">
        <v>5479</v>
      </c>
      <c r="AF393" s="80">
        <v>77</v>
      </c>
      <c r="AG393" s="80">
        <v>58</v>
      </c>
      <c r="AH393" s="80">
        <v>1219</v>
      </c>
      <c r="AI393" s="80">
        <v>234</v>
      </c>
      <c r="AJ393" s="80"/>
      <c r="AK393" s="80" t="s">
        <v>6252</v>
      </c>
      <c r="AL393" s="80"/>
      <c r="AM393" s="80"/>
      <c r="AN393" s="80"/>
      <c r="AO393" s="82">
        <v>43794.625254629631</v>
      </c>
      <c r="AP393" s="84" t="str">
        <f>HYPERLINK("https://pbs.twimg.com/profile_banners/1198979671771074568/1631108436")</f>
        <v>https://pbs.twimg.com/profile_banners/1198979671771074568/1631108436</v>
      </c>
      <c r="AQ393" s="80" t="b">
        <v>1</v>
      </c>
      <c r="AR393" s="80" t="b">
        <v>0</v>
      </c>
      <c r="AS393" s="80" t="b">
        <v>0</v>
      </c>
      <c r="AT393" s="80"/>
      <c r="AU393" s="80">
        <v>0</v>
      </c>
      <c r="AV393" s="80"/>
      <c r="AW393" s="80" t="b">
        <v>0</v>
      </c>
      <c r="AX393" s="80" t="s">
        <v>7173</v>
      </c>
      <c r="AY393" s="84" t="str">
        <f>HYPERLINK("https://twitter.com/rohmansyahsuja1")</f>
        <v>https://twitter.com/rohmansyahsuja1</v>
      </c>
      <c r="AZ393" s="80" t="s">
        <v>66</v>
      </c>
      <c r="BA393" s="2"/>
      <c r="BB393" s="3"/>
      <c r="BC393" s="3"/>
      <c r="BD393" s="3"/>
      <c r="BE393" s="3"/>
    </row>
    <row r="394" spans="1:57" x14ac:dyDescent="0.35">
      <c r="A394" s="66" t="s">
        <v>529</v>
      </c>
      <c r="B394" s="67"/>
      <c r="C394" s="67"/>
      <c r="D394" s="68"/>
      <c r="E394" s="70"/>
      <c r="F394" s="106" t="str">
        <f>HYPERLINK("https://pbs.twimg.com/profile_images/1331861041081245696/FH0BDGYx_normal.jpg")</f>
        <v>https://pbs.twimg.com/profile_images/1331861041081245696/FH0BDGYx_normal.jpg</v>
      </c>
      <c r="G394" s="67"/>
      <c r="H394" s="71"/>
      <c r="I394" s="72"/>
      <c r="J394" s="72"/>
      <c r="K394" s="71" t="s">
        <v>7564</v>
      </c>
      <c r="L394" s="75"/>
      <c r="M394" s="76"/>
      <c r="N394" s="76"/>
      <c r="O394" s="77"/>
      <c r="P394" s="78"/>
      <c r="Q394" s="78"/>
      <c r="R394" s="90"/>
      <c r="S394" s="90"/>
      <c r="T394" s="90"/>
      <c r="U394" s="90"/>
      <c r="V394" s="52"/>
      <c r="W394" s="52"/>
      <c r="X394" s="52"/>
      <c r="Y394" s="52"/>
      <c r="Z394" s="51"/>
      <c r="AA394" s="73"/>
      <c r="AB394" s="73"/>
      <c r="AC394" s="74"/>
      <c r="AD394" s="80" t="s">
        <v>4569</v>
      </c>
      <c r="AE394" s="86" t="s">
        <v>5480</v>
      </c>
      <c r="AF394" s="80">
        <v>59</v>
      </c>
      <c r="AG394" s="80">
        <v>23</v>
      </c>
      <c r="AH394" s="80">
        <v>48</v>
      </c>
      <c r="AI394" s="80">
        <v>86</v>
      </c>
      <c r="AJ394" s="80"/>
      <c r="AK394" s="80"/>
      <c r="AL394" s="80"/>
      <c r="AM394" s="80"/>
      <c r="AN394" s="80"/>
      <c r="AO394" s="82">
        <v>44161.307106481479</v>
      </c>
      <c r="AP394" s="80"/>
      <c r="AQ394" s="80" t="b">
        <v>1</v>
      </c>
      <c r="AR394" s="80" t="b">
        <v>0</v>
      </c>
      <c r="AS394" s="80" t="b">
        <v>0</v>
      </c>
      <c r="AT394" s="80"/>
      <c r="AU394" s="80">
        <v>0</v>
      </c>
      <c r="AV394" s="80"/>
      <c r="AW394" s="80" t="b">
        <v>0</v>
      </c>
      <c r="AX394" s="80" t="s">
        <v>7173</v>
      </c>
      <c r="AY394" s="84" t="str">
        <f>HYPERLINK("https://twitter.com/aliusma83109423")</f>
        <v>https://twitter.com/aliusma83109423</v>
      </c>
      <c r="AZ394" s="80" t="s">
        <v>66</v>
      </c>
      <c r="BA394" s="2"/>
      <c r="BB394" s="3"/>
      <c r="BC394" s="3"/>
      <c r="BD394" s="3"/>
      <c r="BE394" s="3"/>
    </row>
    <row r="395" spans="1:57" x14ac:dyDescent="0.35">
      <c r="A395" s="66" t="s">
        <v>530</v>
      </c>
      <c r="B395" s="67"/>
      <c r="C395" s="67"/>
      <c r="D395" s="68"/>
      <c r="E395" s="70"/>
      <c r="F395" s="106" t="str">
        <f>HYPERLINK("https://pbs.twimg.com/profile_images/1424933432165949441/lxTZUnpP_normal.jpg")</f>
        <v>https://pbs.twimg.com/profile_images/1424933432165949441/lxTZUnpP_normal.jpg</v>
      </c>
      <c r="G395" s="67"/>
      <c r="H395" s="71"/>
      <c r="I395" s="72"/>
      <c r="J395" s="72"/>
      <c r="K395" s="71" t="s">
        <v>7565</v>
      </c>
      <c r="L395" s="75"/>
      <c r="M395" s="76"/>
      <c r="N395" s="76"/>
      <c r="O395" s="77"/>
      <c r="P395" s="78"/>
      <c r="Q395" s="78"/>
      <c r="R395" s="90"/>
      <c r="S395" s="90"/>
      <c r="T395" s="90"/>
      <c r="U395" s="90"/>
      <c r="V395" s="52"/>
      <c r="W395" s="52"/>
      <c r="X395" s="52"/>
      <c r="Y395" s="52"/>
      <c r="Z395" s="51"/>
      <c r="AA395" s="73"/>
      <c r="AB395" s="73"/>
      <c r="AC395" s="74"/>
      <c r="AD395" s="80" t="s">
        <v>4570</v>
      </c>
      <c r="AE395" s="86" t="s">
        <v>5481</v>
      </c>
      <c r="AF395" s="80">
        <v>0</v>
      </c>
      <c r="AG395" s="80">
        <v>0</v>
      </c>
      <c r="AH395" s="80">
        <v>301</v>
      </c>
      <c r="AI395" s="80">
        <v>1</v>
      </c>
      <c r="AJ395" s="80"/>
      <c r="AK395" s="80"/>
      <c r="AL395" s="80"/>
      <c r="AM395" s="80"/>
      <c r="AN395" s="80"/>
      <c r="AO395" s="82">
        <v>44418.13753472222</v>
      </c>
      <c r="AP395" s="80"/>
      <c r="AQ395" s="80" t="b">
        <v>1</v>
      </c>
      <c r="AR395" s="80" t="b">
        <v>0</v>
      </c>
      <c r="AS395" s="80" t="b">
        <v>0</v>
      </c>
      <c r="AT395" s="80"/>
      <c r="AU395" s="80">
        <v>0</v>
      </c>
      <c r="AV395" s="80"/>
      <c r="AW395" s="80" t="b">
        <v>0</v>
      </c>
      <c r="AX395" s="80" t="s">
        <v>7173</v>
      </c>
      <c r="AY395" s="84" t="str">
        <f>HYPERLINK("https://twitter.com/halopolsekraman")</f>
        <v>https://twitter.com/halopolsekraman</v>
      </c>
      <c r="AZ395" s="80" t="s">
        <v>66</v>
      </c>
      <c r="BA395" s="2"/>
      <c r="BB395" s="3"/>
      <c r="BC395" s="3"/>
      <c r="BD395" s="3"/>
      <c r="BE395" s="3"/>
    </row>
    <row r="396" spans="1:57" x14ac:dyDescent="0.35">
      <c r="A396" s="66" t="s">
        <v>531</v>
      </c>
      <c r="B396" s="67"/>
      <c r="C396" s="67"/>
      <c r="D396" s="68"/>
      <c r="E396" s="70"/>
      <c r="F396" s="106" t="str">
        <f>HYPERLINK("https://pbs.twimg.com/profile_images/1439937233969041409/mdcThWGA_normal.jpg")</f>
        <v>https://pbs.twimg.com/profile_images/1439937233969041409/mdcThWGA_normal.jpg</v>
      </c>
      <c r="G396" s="67"/>
      <c r="H396" s="71"/>
      <c r="I396" s="72"/>
      <c r="J396" s="72"/>
      <c r="K396" s="71" t="s">
        <v>7566</v>
      </c>
      <c r="L396" s="75"/>
      <c r="M396" s="76"/>
      <c r="N396" s="76"/>
      <c r="O396" s="77"/>
      <c r="P396" s="78"/>
      <c r="Q396" s="78"/>
      <c r="R396" s="90"/>
      <c r="S396" s="90"/>
      <c r="T396" s="90"/>
      <c r="U396" s="90"/>
      <c r="V396" s="52"/>
      <c r="W396" s="52"/>
      <c r="X396" s="52"/>
      <c r="Y396" s="52"/>
      <c r="Z396" s="51"/>
      <c r="AA396" s="73"/>
      <c r="AB396" s="73"/>
      <c r="AC396" s="74"/>
      <c r="AD396" s="80" t="s">
        <v>4571</v>
      </c>
      <c r="AE396" s="86" t="s">
        <v>5482</v>
      </c>
      <c r="AF396" s="80">
        <v>1907</v>
      </c>
      <c r="AG396" s="80">
        <v>1738</v>
      </c>
      <c r="AH396" s="80">
        <v>6826</v>
      </c>
      <c r="AI396" s="80">
        <v>9333</v>
      </c>
      <c r="AJ396" s="80"/>
      <c r="AK396" s="80" t="s">
        <v>6253</v>
      </c>
      <c r="AL396" s="80"/>
      <c r="AM396" s="80"/>
      <c r="AN396" s="80"/>
      <c r="AO396" s="82">
        <v>44374.406030092592</v>
      </c>
      <c r="AP396" s="84" t="str">
        <f>HYPERLINK("https://pbs.twimg.com/profile_banners/1409085167440781312/1625153030")</f>
        <v>https://pbs.twimg.com/profile_banners/1409085167440781312/1625153030</v>
      </c>
      <c r="AQ396" s="80" t="b">
        <v>1</v>
      </c>
      <c r="AR396" s="80" t="b">
        <v>0</v>
      </c>
      <c r="AS396" s="80" t="b">
        <v>0</v>
      </c>
      <c r="AT396" s="80"/>
      <c r="AU396" s="80">
        <v>0</v>
      </c>
      <c r="AV396" s="80"/>
      <c r="AW396" s="80" t="b">
        <v>0</v>
      </c>
      <c r="AX396" s="80" t="s">
        <v>7173</v>
      </c>
      <c r="AY396" s="84" t="str">
        <f>HYPERLINK("https://twitter.com/budiatnogr")</f>
        <v>https://twitter.com/budiatnogr</v>
      </c>
      <c r="AZ396" s="80" t="s">
        <v>66</v>
      </c>
      <c r="BA396" s="2"/>
      <c r="BB396" s="3"/>
      <c r="BC396" s="3"/>
      <c r="BD396" s="3"/>
      <c r="BE396" s="3"/>
    </row>
    <row r="397" spans="1:57" x14ac:dyDescent="0.35">
      <c r="A397" s="66" t="s">
        <v>532</v>
      </c>
      <c r="B397" s="67"/>
      <c r="C397" s="67"/>
      <c r="D397" s="68"/>
      <c r="E397" s="70"/>
      <c r="F397" s="106" t="str">
        <f>HYPERLINK("https://pbs.twimg.com/profile_images/378800000803979541/c5cd25e4c0e67f03fb89529ebceb7eaf_normal.jpeg")</f>
        <v>https://pbs.twimg.com/profile_images/378800000803979541/c5cd25e4c0e67f03fb89529ebceb7eaf_normal.jpeg</v>
      </c>
      <c r="G397" s="67"/>
      <c r="H397" s="71"/>
      <c r="I397" s="72"/>
      <c r="J397" s="72"/>
      <c r="K397" s="71" t="s">
        <v>7567</v>
      </c>
      <c r="L397" s="75"/>
      <c r="M397" s="76"/>
      <c r="N397" s="76"/>
      <c r="O397" s="77"/>
      <c r="P397" s="78"/>
      <c r="Q397" s="78"/>
      <c r="R397" s="90"/>
      <c r="S397" s="90"/>
      <c r="T397" s="90"/>
      <c r="U397" s="90"/>
      <c r="V397" s="52"/>
      <c r="W397" s="52"/>
      <c r="X397" s="52"/>
      <c r="Y397" s="52"/>
      <c r="Z397" s="51"/>
      <c r="AA397" s="73"/>
      <c r="AB397" s="73"/>
      <c r="AC397" s="74"/>
      <c r="AD397" s="80" t="s">
        <v>4572</v>
      </c>
      <c r="AE397" s="86" t="s">
        <v>5483</v>
      </c>
      <c r="AF397" s="80">
        <v>852</v>
      </c>
      <c r="AG397" s="80">
        <v>10905</v>
      </c>
      <c r="AH397" s="80">
        <v>9567</v>
      </c>
      <c r="AI397" s="80">
        <v>0</v>
      </c>
      <c r="AJ397" s="80"/>
      <c r="AK397" s="80" t="s">
        <v>6254</v>
      </c>
      <c r="AL397" s="80" t="s">
        <v>6928</v>
      </c>
      <c r="AM397" s="84" t="str">
        <f>HYPERLINK("http://t.co/ZJ3KFf7E2l")</f>
        <v>http://t.co/ZJ3KFf7E2l</v>
      </c>
      <c r="AN397" s="80"/>
      <c r="AO397" s="82">
        <v>40542.661562499998</v>
      </c>
      <c r="AP397" s="84" t="str">
        <f>HYPERLINK("https://pbs.twimg.com/profile_banners/232229656/1385685492")</f>
        <v>https://pbs.twimg.com/profile_banners/232229656/1385685492</v>
      </c>
      <c r="AQ397" s="80" t="b">
        <v>1</v>
      </c>
      <c r="AR397" s="80" t="b">
        <v>0</v>
      </c>
      <c r="AS397" s="80" t="b">
        <v>0</v>
      </c>
      <c r="AT397" s="80"/>
      <c r="AU397" s="80">
        <v>10</v>
      </c>
      <c r="AV397" s="84" t="str">
        <f>HYPERLINK("https://abs.twimg.com/images/themes/theme1/bg.png")</f>
        <v>https://abs.twimg.com/images/themes/theme1/bg.png</v>
      </c>
      <c r="AW397" s="80" t="b">
        <v>0</v>
      </c>
      <c r="AX397" s="80" t="s">
        <v>7173</v>
      </c>
      <c r="AY397" s="84" t="str">
        <f>HYPERLINK("https://twitter.com/lokerbumncpns")</f>
        <v>https://twitter.com/lokerbumncpns</v>
      </c>
      <c r="AZ397" s="80" t="s">
        <v>66</v>
      </c>
      <c r="BA397" s="2"/>
      <c r="BB397" s="3"/>
      <c r="BC397" s="3"/>
      <c r="BD397" s="3"/>
      <c r="BE397" s="3"/>
    </row>
    <row r="398" spans="1:57" x14ac:dyDescent="0.35">
      <c r="A398" s="66" t="s">
        <v>533</v>
      </c>
      <c r="B398" s="67"/>
      <c r="C398" s="67"/>
      <c r="D398" s="68"/>
      <c r="E398" s="70"/>
      <c r="F398" s="106" t="str">
        <f>HYPERLINK("https://pbs.twimg.com/profile_images/1427938539782561797/G2tVKg___normal.jpg")</f>
        <v>https://pbs.twimg.com/profile_images/1427938539782561797/G2tVKg___normal.jpg</v>
      </c>
      <c r="G398" s="67"/>
      <c r="H398" s="71"/>
      <c r="I398" s="72"/>
      <c r="J398" s="72"/>
      <c r="K398" s="71" t="s">
        <v>7568</v>
      </c>
      <c r="L398" s="75"/>
      <c r="M398" s="76"/>
      <c r="N398" s="76"/>
      <c r="O398" s="77"/>
      <c r="P398" s="78"/>
      <c r="Q398" s="78"/>
      <c r="R398" s="90"/>
      <c r="S398" s="90"/>
      <c r="T398" s="90"/>
      <c r="U398" s="90"/>
      <c r="V398" s="52"/>
      <c r="W398" s="52"/>
      <c r="X398" s="52"/>
      <c r="Y398" s="52"/>
      <c r="Z398" s="51"/>
      <c r="AA398" s="73"/>
      <c r="AB398" s="73"/>
      <c r="AC398" s="74"/>
      <c r="AD398" s="80" t="s">
        <v>4573</v>
      </c>
      <c r="AE398" s="86" t="s">
        <v>5484</v>
      </c>
      <c r="AF398" s="80">
        <v>1736</v>
      </c>
      <c r="AG398" s="80">
        <v>1265</v>
      </c>
      <c r="AH398" s="80">
        <v>129638</v>
      </c>
      <c r="AI398" s="80">
        <v>132762</v>
      </c>
      <c r="AJ398" s="80"/>
      <c r="AK398" s="80" t="s">
        <v>6255</v>
      </c>
      <c r="AL398" s="80"/>
      <c r="AM398" s="80"/>
      <c r="AN398" s="80"/>
      <c r="AO398" s="82">
        <v>43429.772650462961</v>
      </c>
      <c r="AP398" s="84" t="str">
        <f>HYPERLINK("https://pbs.twimg.com/profile_banners/1066761591830458368/1623934943")</f>
        <v>https://pbs.twimg.com/profile_banners/1066761591830458368/1623934943</v>
      </c>
      <c r="AQ398" s="80" t="b">
        <v>1</v>
      </c>
      <c r="AR398" s="80" t="b">
        <v>0</v>
      </c>
      <c r="AS398" s="80" t="b">
        <v>0</v>
      </c>
      <c r="AT398" s="80"/>
      <c r="AU398" s="80">
        <v>0</v>
      </c>
      <c r="AV398" s="80"/>
      <c r="AW398" s="80" t="b">
        <v>0</v>
      </c>
      <c r="AX398" s="80" t="s">
        <v>7173</v>
      </c>
      <c r="AY398" s="84" t="str">
        <f>HYPERLINK("https://twitter.com/ndaru_wardani")</f>
        <v>https://twitter.com/ndaru_wardani</v>
      </c>
      <c r="AZ398" s="80" t="s">
        <v>66</v>
      </c>
      <c r="BA398" s="2"/>
      <c r="BB398" s="3"/>
      <c r="BC398" s="3"/>
      <c r="BD398" s="3"/>
      <c r="BE398" s="3"/>
    </row>
    <row r="399" spans="1:57" x14ac:dyDescent="0.35">
      <c r="A399" s="66" t="s">
        <v>534</v>
      </c>
      <c r="B399" s="67"/>
      <c r="C399" s="67"/>
      <c r="D399" s="68"/>
      <c r="E399" s="70"/>
      <c r="F399" s="106" t="str">
        <f>HYPERLINK("https://pbs.twimg.com/profile_images/1430523490755485701/F-KzASZz_normal.jpg")</f>
        <v>https://pbs.twimg.com/profile_images/1430523490755485701/F-KzASZz_normal.jpg</v>
      </c>
      <c r="G399" s="67"/>
      <c r="H399" s="71"/>
      <c r="I399" s="72"/>
      <c r="J399" s="72"/>
      <c r="K399" s="71" t="s">
        <v>7569</v>
      </c>
      <c r="L399" s="75"/>
      <c r="M399" s="76"/>
      <c r="N399" s="76"/>
      <c r="O399" s="77"/>
      <c r="P399" s="78"/>
      <c r="Q399" s="78"/>
      <c r="R399" s="90"/>
      <c r="S399" s="90"/>
      <c r="T399" s="90"/>
      <c r="U399" s="90"/>
      <c r="V399" s="52"/>
      <c r="W399" s="52"/>
      <c r="X399" s="52"/>
      <c r="Y399" s="52"/>
      <c r="Z399" s="51"/>
      <c r="AA399" s="73"/>
      <c r="AB399" s="73"/>
      <c r="AC399" s="74"/>
      <c r="AD399" s="80" t="s">
        <v>4574</v>
      </c>
      <c r="AE399" s="86" t="s">
        <v>3941</v>
      </c>
      <c r="AF399" s="80">
        <v>71</v>
      </c>
      <c r="AG399" s="80">
        <v>46</v>
      </c>
      <c r="AH399" s="80">
        <v>12103</v>
      </c>
      <c r="AI399" s="80">
        <v>543</v>
      </c>
      <c r="AJ399" s="80"/>
      <c r="AK399" s="80" t="s">
        <v>6256</v>
      </c>
      <c r="AL399" s="80">
        <v>62</v>
      </c>
      <c r="AM399" s="80"/>
      <c r="AN399" s="80"/>
      <c r="AO399" s="82">
        <v>40905.149062500001</v>
      </c>
      <c r="AP399" s="80"/>
      <c r="AQ399" s="80" t="b">
        <v>0</v>
      </c>
      <c r="AR399" s="80" t="b">
        <v>0</v>
      </c>
      <c r="AS399" s="80" t="b">
        <v>0</v>
      </c>
      <c r="AT399" s="80"/>
      <c r="AU399" s="80">
        <v>0</v>
      </c>
      <c r="AV399" s="84" t="str">
        <f>HYPERLINK("https://abs.twimg.com/images/themes/theme16/bg.gif")</f>
        <v>https://abs.twimg.com/images/themes/theme16/bg.gif</v>
      </c>
      <c r="AW399" s="80" t="b">
        <v>0</v>
      </c>
      <c r="AX399" s="80" t="s">
        <v>7173</v>
      </c>
      <c r="AY399" s="84" t="str">
        <f>HYPERLINK("https://twitter.com/_____sasa")</f>
        <v>https://twitter.com/_____sasa</v>
      </c>
      <c r="AZ399" s="80" t="s">
        <v>66</v>
      </c>
      <c r="BA399" s="2"/>
      <c r="BB399" s="3"/>
      <c r="BC399" s="3"/>
      <c r="BD399" s="3"/>
      <c r="BE399" s="3"/>
    </row>
    <row r="400" spans="1:57" x14ac:dyDescent="0.35">
      <c r="A400" s="66" t="s">
        <v>1067</v>
      </c>
      <c r="B400" s="67"/>
      <c r="C400" s="67"/>
      <c r="D400" s="68"/>
      <c r="E400" s="70"/>
      <c r="F400" s="106" t="str">
        <f>HYPERLINK("https://pbs.twimg.com/profile_images/1264624335282528256/_OqUtaUs_normal.jpg")</f>
        <v>https://pbs.twimg.com/profile_images/1264624335282528256/_OqUtaUs_normal.jpg</v>
      </c>
      <c r="G400" s="67"/>
      <c r="H400" s="71"/>
      <c r="I400" s="72"/>
      <c r="J400" s="72"/>
      <c r="K400" s="71" t="s">
        <v>7570</v>
      </c>
      <c r="L400" s="75"/>
      <c r="M400" s="76"/>
      <c r="N400" s="76"/>
      <c r="O400" s="77"/>
      <c r="P400" s="78"/>
      <c r="Q400" s="78"/>
      <c r="R400" s="90"/>
      <c r="S400" s="90"/>
      <c r="T400" s="90"/>
      <c r="U400" s="90"/>
      <c r="V400" s="52"/>
      <c r="W400" s="52"/>
      <c r="X400" s="52"/>
      <c r="Y400" s="52"/>
      <c r="Z400" s="51"/>
      <c r="AA400" s="73"/>
      <c r="AB400" s="73"/>
      <c r="AC400" s="74"/>
      <c r="AD400" s="80" t="s">
        <v>4575</v>
      </c>
      <c r="AE400" s="86" t="s">
        <v>4079</v>
      </c>
      <c r="AF400" s="80">
        <v>5198</v>
      </c>
      <c r="AG400" s="80">
        <v>205969</v>
      </c>
      <c r="AH400" s="80">
        <v>130909</v>
      </c>
      <c r="AI400" s="80">
        <v>125</v>
      </c>
      <c r="AJ400" s="80"/>
      <c r="AK400" s="80" t="s">
        <v>6257</v>
      </c>
      <c r="AL400" s="80" t="s">
        <v>4145</v>
      </c>
      <c r="AM400" s="84" t="str">
        <f>HYPERLINK("https://t.co/fCYQssrT76")</f>
        <v>https://t.co/fCYQssrT76</v>
      </c>
      <c r="AN400" s="80"/>
      <c r="AO400" s="82">
        <v>43310.585613425923</v>
      </c>
      <c r="AP400" s="84" t="str">
        <f>HYPERLINK("https://pbs.twimg.com/profile_banners/1023569652994080769/1595785648")</f>
        <v>https://pbs.twimg.com/profile_banners/1023569652994080769/1595785648</v>
      </c>
      <c r="AQ400" s="80" t="b">
        <v>1</v>
      </c>
      <c r="AR400" s="80" t="b">
        <v>0</v>
      </c>
      <c r="AS400" s="80" t="b">
        <v>0</v>
      </c>
      <c r="AT400" s="80"/>
      <c r="AU400" s="80">
        <v>1630</v>
      </c>
      <c r="AV400" s="80"/>
      <c r="AW400" s="80" t="b">
        <v>0</v>
      </c>
      <c r="AX400" s="80" t="s">
        <v>7173</v>
      </c>
      <c r="AY400" s="84" t="str">
        <f>HYPERLINK("https://twitter.com/literarybase")</f>
        <v>https://twitter.com/literarybase</v>
      </c>
      <c r="AZ400" s="80" t="s">
        <v>65</v>
      </c>
      <c r="BA400" s="2"/>
      <c r="BB400" s="3"/>
      <c r="BC400" s="3"/>
      <c r="BD400" s="3"/>
      <c r="BE400" s="3"/>
    </row>
    <row r="401" spans="1:57" x14ac:dyDescent="0.35">
      <c r="A401" s="66" t="s">
        <v>535</v>
      </c>
      <c r="B401" s="67"/>
      <c r="C401" s="67"/>
      <c r="D401" s="68"/>
      <c r="E401" s="70"/>
      <c r="F401" s="106" t="str">
        <f>HYPERLINK("https://pbs.twimg.com/profile_images/1387369325309267969/_wqlbvkb_normal.jpg")</f>
        <v>https://pbs.twimg.com/profile_images/1387369325309267969/_wqlbvkb_normal.jpg</v>
      </c>
      <c r="G401" s="67"/>
      <c r="H401" s="71"/>
      <c r="I401" s="72"/>
      <c r="J401" s="72"/>
      <c r="K401" s="71" t="s">
        <v>7571</v>
      </c>
      <c r="L401" s="75"/>
      <c r="M401" s="76"/>
      <c r="N401" s="76"/>
      <c r="O401" s="77"/>
      <c r="P401" s="78"/>
      <c r="Q401" s="78"/>
      <c r="R401" s="90"/>
      <c r="S401" s="90"/>
      <c r="T401" s="90"/>
      <c r="U401" s="90"/>
      <c r="V401" s="52"/>
      <c r="W401" s="52"/>
      <c r="X401" s="52"/>
      <c r="Y401" s="52"/>
      <c r="Z401" s="51"/>
      <c r="AA401" s="73"/>
      <c r="AB401" s="73"/>
      <c r="AC401" s="74"/>
      <c r="AD401" s="80" t="s">
        <v>4576</v>
      </c>
      <c r="AE401" s="86" t="s">
        <v>5485</v>
      </c>
      <c r="AF401" s="80">
        <v>345</v>
      </c>
      <c r="AG401" s="80">
        <v>277</v>
      </c>
      <c r="AH401" s="80">
        <v>10924</v>
      </c>
      <c r="AI401" s="80">
        <v>186</v>
      </c>
      <c r="AJ401" s="80"/>
      <c r="AK401" s="80" t="s">
        <v>6258</v>
      </c>
      <c r="AL401" s="80"/>
      <c r="AM401" s="80"/>
      <c r="AN401" s="80"/>
      <c r="AO401" s="82">
        <v>44314.47991898148</v>
      </c>
      <c r="AP401" s="84" t="str">
        <f>HYPERLINK("https://pbs.twimg.com/profile_banners/1387368674030325763/1627793667")</f>
        <v>https://pbs.twimg.com/profile_banners/1387368674030325763/1627793667</v>
      </c>
      <c r="AQ401" s="80" t="b">
        <v>1</v>
      </c>
      <c r="AR401" s="80" t="b">
        <v>0</v>
      </c>
      <c r="AS401" s="80" t="b">
        <v>0</v>
      </c>
      <c r="AT401" s="80"/>
      <c r="AU401" s="80">
        <v>0</v>
      </c>
      <c r="AV401" s="80"/>
      <c r="AW401" s="80" t="b">
        <v>0</v>
      </c>
      <c r="AX401" s="80" t="s">
        <v>7173</v>
      </c>
      <c r="AY401" s="84" t="str">
        <f>HYPERLINK("https://twitter.com/tehmanispanas4")</f>
        <v>https://twitter.com/tehmanispanas4</v>
      </c>
      <c r="AZ401" s="80" t="s">
        <v>66</v>
      </c>
      <c r="BA401" s="2"/>
      <c r="BB401" s="3"/>
      <c r="BC401" s="3"/>
      <c r="BD401" s="3"/>
      <c r="BE401" s="3"/>
    </row>
    <row r="402" spans="1:57" x14ac:dyDescent="0.35">
      <c r="A402" s="66" t="s">
        <v>536</v>
      </c>
      <c r="B402" s="67"/>
      <c r="C402" s="67"/>
      <c r="D402" s="68"/>
      <c r="E402" s="70"/>
      <c r="F402" s="106" t="str">
        <f>HYPERLINK("https://pbs.twimg.com/profile_images/1417416336859295745/8FXomDLs_normal.jpg")</f>
        <v>https://pbs.twimg.com/profile_images/1417416336859295745/8FXomDLs_normal.jpg</v>
      </c>
      <c r="G402" s="67"/>
      <c r="H402" s="71"/>
      <c r="I402" s="72"/>
      <c r="J402" s="72"/>
      <c r="K402" s="71" t="s">
        <v>7572</v>
      </c>
      <c r="L402" s="75"/>
      <c r="M402" s="76"/>
      <c r="N402" s="76"/>
      <c r="O402" s="77"/>
      <c r="P402" s="78"/>
      <c r="Q402" s="78"/>
      <c r="R402" s="90"/>
      <c r="S402" s="90"/>
      <c r="T402" s="90"/>
      <c r="U402" s="90"/>
      <c r="V402" s="52"/>
      <c r="W402" s="52"/>
      <c r="X402" s="52"/>
      <c r="Y402" s="52"/>
      <c r="Z402" s="51"/>
      <c r="AA402" s="73"/>
      <c r="AB402" s="73"/>
      <c r="AC402" s="74"/>
      <c r="AD402" s="80" t="s">
        <v>4577</v>
      </c>
      <c r="AE402" s="86" t="s">
        <v>5486</v>
      </c>
      <c r="AF402" s="80">
        <v>2573</v>
      </c>
      <c r="AG402" s="80">
        <v>2279</v>
      </c>
      <c r="AH402" s="80">
        <v>18871</v>
      </c>
      <c r="AI402" s="80">
        <v>7094</v>
      </c>
      <c r="AJ402" s="80"/>
      <c r="AK402" s="80"/>
      <c r="AL402" s="80" t="s">
        <v>6903</v>
      </c>
      <c r="AM402" s="80"/>
      <c r="AN402" s="80"/>
      <c r="AO402" s="82">
        <v>43696.459733796299</v>
      </c>
      <c r="AP402" s="84" t="str">
        <f>HYPERLINK("https://pbs.twimg.com/profile_banners/1163405270405353475/1606916125")</f>
        <v>https://pbs.twimg.com/profile_banners/1163405270405353475/1606916125</v>
      </c>
      <c r="AQ402" s="80" t="b">
        <v>1</v>
      </c>
      <c r="AR402" s="80" t="b">
        <v>0</v>
      </c>
      <c r="AS402" s="80" t="b">
        <v>0</v>
      </c>
      <c r="AT402" s="80"/>
      <c r="AU402" s="80">
        <v>0</v>
      </c>
      <c r="AV402" s="80"/>
      <c r="AW402" s="80" t="b">
        <v>0</v>
      </c>
      <c r="AX402" s="80" t="s">
        <v>7173</v>
      </c>
      <c r="AY402" s="84" t="str">
        <f>HYPERLINK("https://twitter.com/budipra87870630")</f>
        <v>https://twitter.com/budipra87870630</v>
      </c>
      <c r="AZ402" s="80" t="s">
        <v>66</v>
      </c>
      <c r="BA402" s="2"/>
      <c r="BB402" s="3"/>
      <c r="BC402" s="3"/>
      <c r="BD402" s="3"/>
      <c r="BE402" s="3"/>
    </row>
    <row r="403" spans="1:57" x14ac:dyDescent="0.35">
      <c r="A403" s="66" t="s">
        <v>537</v>
      </c>
      <c r="B403" s="67"/>
      <c r="C403" s="67"/>
      <c r="D403" s="68"/>
      <c r="E403" s="70"/>
      <c r="F403" s="106" t="str">
        <f>HYPERLINK("https://pbs.twimg.com/profile_images/1386307957994844162/_WHgojRb_normal.jpg")</f>
        <v>https://pbs.twimg.com/profile_images/1386307957994844162/_WHgojRb_normal.jpg</v>
      </c>
      <c r="G403" s="67"/>
      <c r="H403" s="71"/>
      <c r="I403" s="72"/>
      <c r="J403" s="72"/>
      <c r="K403" s="71" t="s">
        <v>7573</v>
      </c>
      <c r="L403" s="75"/>
      <c r="M403" s="76"/>
      <c r="N403" s="76"/>
      <c r="O403" s="77"/>
      <c r="P403" s="78"/>
      <c r="Q403" s="78"/>
      <c r="R403" s="90"/>
      <c r="S403" s="90"/>
      <c r="T403" s="90"/>
      <c r="U403" s="90"/>
      <c r="V403" s="52"/>
      <c r="W403" s="52"/>
      <c r="X403" s="52"/>
      <c r="Y403" s="52"/>
      <c r="Z403" s="51"/>
      <c r="AA403" s="73"/>
      <c r="AB403" s="73"/>
      <c r="AC403" s="74"/>
      <c r="AD403" s="80" t="s">
        <v>4578</v>
      </c>
      <c r="AE403" s="86" t="s">
        <v>5487</v>
      </c>
      <c r="AF403" s="80">
        <v>151</v>
      </c>
      <c r="AG403" s="80">
        <v>38</v>
      </c>
      <c r="AH403" s="80">
        <v>476</v>
      </c>
      <c r="AI403" s="80">
        <v>15789</v>
      </c>
      <c r="AJ403" s="80"/>
      <c r="AK403" s="80" t="s">
        <v>6259</v>
      </c>
      <c r="AL403" s="80" t="s">
        <v>6929</v>
      </c>
      <c r="AM403" s="80"/>
      <c r="AN403" s="80"/>
      <c r="AO403" s="82">
        <v>42908.67015046296</v>
      </c>
      <c r="AP403" s="84" t="str">
        <f>HYPERLINK("https://pbs.twimg.com/profile_banners/877920366001217538/1614707249")</f>
        <v>https://pbs.twimg.com/profile_banners/877920366001217538/1614707249</v>
      </c>
      <c r="AQ403" s="80" t="b">
        <v>1</v>
      </c>
      <c r="AR403" s="80" t="b">
        <v>0</v>
      </c>
      <c r="AS403" s="80" t="b">
        <v>1</v>
      </c>
      <c r="AT403" s="80"/>
      <c r="AU403" s="80">
        <v>1</v>
      </c>
      <c r="AV403" s="80"/>
      <c r="AW403" s="80" t="b">
        <v>0</v>
      </c>
      <c r="AX403" s="80" t="s">
        <v>7173</v>
      </c>
      <c r="AY403" s="84" t="str">
        <f>HYPERLINK("https://twitter.com/daodibn")</f>
        <v>https://twitter.com/daodibn</v>
      </c>
      <c r="AZ403" s="80" t="s">
        <v>66</v>
      </c>
      <c r="BA403" s="2"/>
      <c r="BB403" s="3"/>
      <c r="BC403" s="3"/>
      <c r="BD403" s="3"/>
      <c r="BE403" s="3"/>
    </row>
    <row r="404" spans="1:57" x14ac:dyDescent="0.35">
      <c r="A404" s="66" t="s">
        <v>538</v>
      </c>
      <c r="B404" s="67"/>
      <c r="C404" s="67"/>
      <c r="D404" s="68"/>
      <c r="E404" s="70"/>
      <c r="F404" s="106" t="str">
        <f>HYPERLINK("https://pbs.twimg.com/profile_images/1343110910697586695/mz6zrMu5_normal.jpg")</f>
        <v>https://pbs.twimg.com/profile_images/1343110910697586695/mz6zrMu5_normal.jpg</v>
      </c>
      <c r="G404" s="67"/>
      <c r="H404" s="71"/>
      <c r="I404" s="72"/>
      <c r="J404" s="72"/>
      <c r="K404" s="71" t="s">
        <v>7574</v>
      </c>
      <c r="L404" s="75"/>
      <c r="M404" s="76"/>
      <c r="N404" s="76"/>
      <c r="O404" s="77"/>
      <c r="P404" s="78"/>
      <c r="Q404" s="78"/>
      <c r="R404" s="90"/>
      <c r="S404" s="90"/>
      <c r="T404" s="90"/>
      <c r="U404" s="90"/>
      <c r="V404" s="52"/>
      <c r="W404" s="52"/>
      <c r="X404" s="52"/>
      <c r="Y404" s="52"/>
      <c r="Z404" s="51"/>
      <c r="AA404" s="73"/>
      <c r="AB404" s="73"/>
      <c r="AC404" s="74"/>
      <c r="AD404" s="80" t="s">
        <v>4579</v>
      </c>
      <c r="AE404" s="86" t="s">
        <v>5488</v>
      </c>
      <c r="AF404" s="80">
        <v>2328</v>
      </c>
      <c r="AG404" s="80">
        <v>1885</v>
      </c>
      <c r="AH404" s="80">
        <v>3134</v>
      </c>
      <c r="AI404" s="80">
        <v>41090</v>
      </c>
      <c r="AJ404" s="80"/>
      <c r="AK404" s="80" t="s">
        <v>6260</v>
      </c>
      <c r="AL404" s="80" t="s">
        <v>6880</v>
      </c>
      <c r="AM404" s="80"/>
      <c r="AN404" s="80"/>
      <c r="AO404" s="82">
        <v>44192.324513888889</v>
      </c>
      <c r="AP404" s="84" t="str">
        <f>HYPERLINK("https://pbs.twimg.com/profile_banners/1343101021837398019/1609057588")</f>
        <v>https://pbs.twimg.com/profile_banners/1343101021837398019/1609057588</v>
      </c>
      <c r="AQ404" s="80" t="b">
        <v>1</v>
      </c>
      <c r="AR404" s="80" t="b">
        <v>0</v>
      </c>
      <c r="AS404" s="80" t="b">
        <v>1</v>
      </c>
      <c r="AT404" s="80"/>
      <c r="AU404" s="80">
        <v>1</v>
      </c>
      <c r="AV404" s="80"/>
      <c r="AW404" s="80" t="b">
        <v>0</v>
      </c>
      <c r="AX404" s="80" t="s">
        <v>7173</v>
      </c>
      <c r="AY404" s="84" t="str">
        <f>HYPERLINK("https://twitter.com/sumaryo80184182")</f>
        <v>https://twitter.com/sumaryo80184182</v>
      </c>
      <c r="AZ404" s="80" t="s">
        <v>66</v>
      </c>
      <c r="BA404" s="2"/>
      <c r="BB404" s="3"/>
      <c r="BC404" s="3"/>
      <c r="BD404" s="3"/>
      <c r="BE404" s="3"/>
    </row>
    <row r="405" spans="1:57" x14ac:dyDescent="0.35">
      <c r="A405" s="66" t="s">
        <v>539</v>
      </c>
      <c r="B405" s="67"/>
      <c r="C405" s="67"/>
      <c r="D405" s="68"/>
      <c r="E405" s="70"/>
      <c r="F405" s="106" t="str">
        <f>HYPERLINK("https://pbs.twimg.com/profile_images/1427536586888007680/8WIGi-2D_normal.jpg")</f>
        <v>https://pbs.twimg.com/profile_images/1427536586888007680/8WIGi-2D_normal.jpg</v>
      </c>
      <c r="G405" s="67"/>
      <c r="H405" s="71"/>
      <c r="I405" s="72"/>
      <c r="J405" s="72"/>
      <c r="K405" s="71" t="s">
        <v>7575</v>
      </c>
      <c r="L405" s="75"/>
      <c r="M405" s="76"/>
      <c r="N405" s="76"/>
      <c r="O405" s="77"/>
      <c r="P405" s="78"/>
      <c r="Q405" s="78"/>
      <c r="R405" s="90"/>
      <c r="S405" s="90"/>
      <c r="T405" s="90"/>
      <c r="U405" s="90"/>
      <c r="V405" s="52"/>
      <c r="W405" s="52"/>
      <c r="X405" s="52"/>
      <c r="Y405" s="52"/>
      <c r="Z405" s="51"/>
      <c r="AA405" s="73"/>
      <c r="AB405" s="73"/>
      <c r="AC405" s="74"/>
      <c r="AD405" s="80" t="s">
        <v>4580</v>
      </c>
      <c r="AE405" s="86" t="s">
        <v>5489</v>
      </c>
      <c r="AF405" s="80">
        <v>497</v>
      </c>
      <c r="AG405" s="80">
        <v>614</v>
      </c>
      <c r="AH405" s="80">
        <v>44794</v>
      </c>
      <c r="AI405" s="80">
        <v>58310</v>
      </c>
      <c r="AJ405" s="80"/>
      <c r="AK405" s="80"/>
      <c r="AL405" s="80"/>
      <c r="AM405" s="80"/>
      <c r="AN405" s="80"/>
      <c r="AO405" s="82">
        <v>42197.421273148146</v>
      </c>
      <c r="AP405" s="80"/>
      <c r="AQ405" s="80" t="b">
        <v>1</v>
      </c>
      <c r="AR405" s="80" t="b">
        <v>0</v>
      </c>
      <c r="AS405" s="80" t="b">
        <v>0</v>
      </c>
      <c r="AT405" s="80"/>
      <c r="AU405" s="80">
        <v>0</v>
      </c>
      <c r="AV405" s="84" t="str">
        <f>HYPERLINK("https://abs.twimg.com/images/themes/theme1/bg.png")</f>
        <v>https://abs.twimg.com/images/themes/theme1/bg.png</v>
      </c>
      <c r="AW405" s="80" t="b">
        <v>0</v>
      </c>
      <c r="AX405" s="80" t="s">
        <v>7173</v>
      </c>
      <c r="AY405" s="84" t="str">
        <f>HYPERLINK("https://twitter.com/rich146754")</f>
        <v>https://twitter.com/rich146754</v>
      </c>
      <c r="AZ405" s="80" t="s">
        <v>66</v>
      </c>
      <c r="BA405" s="2"/>
      <c r="BB405" s="3"/>
      <c r="BC405" s="3"/>
      <c r="BD405" s="3"/>
      <c r="BE405" s="3"/>
    </row>
    <row r="406" spans="1:57" x14ac:dyDescent="0.35">
      <c r="A406" s="66" t="s">
        <v>540</v>
      </c>
      <c r="B406" s="67"/>
      <c r="C406" s="67"/>
      <c r="D406" s="68"/>
      <c r="E406" s="70"/>
      <c r="F406" s="106" t="str">
        <f>HYPERLINK("https://pbs.twimg.com/profile_images/1246453556376293378/YbxHUgOP_normal.jpg")</f>
        <v>https://pbs.twimg.com/profile_images/1246453556376293378/YbxHUgOP_normal.jpg</v>
      </c>
      <c r="G406" s="67"/>
      <c r="H406" s="71"/>
      <c r="I406" s="72"/>
      <c r="J406" s="72"/>
      <c r="K406" s="71" t="s">
        <v>7576</v>
      </c>
      <c r="L406" s="75"/>
      <c r="M406" s="76"/>
      <c r="N406" s="76"/>
      <c r="O406" s="77"/>
      <c r="P406" s="78"/>
      <c r="Q406" s="78"/>
      <c r="R406" s="90"/>
      <c r="S406" s="90"/>
      <c r="T406" s="90"/>
      <c r="U406" s="90"/>
      <c r="V406" s="52"/>
      <c r="W406" s="52"/>
      <c r="X406" s="52"/>
      <c r="Y406" s="52"/>
      <c r="Z406" s="51"/>
      <c r="AA406" s="73"/>
      <c r="AB406" s="73"/>
      <c r="AC406" s="74"/>
      <c r="AD406" s="80" t="s">
        <v>4581</v>
      </c>
      <c r="AE406" s="86" t="s">
        <v>5490</v>
      </c>
      <c r="AF406" s="80">
        <v>1271</v>
      </c>
      <c r="AG406" s="80">
        <v>808</v>
      </c>
      <c r="AH406" s="80">
        <v>149113</v>
      </c>
      <c r="AI406" s="80">
        <v>117091</v>
      </c>
      <c r="AJ406" s="80"/>
      <c r="AK406" s="80" t="s">
        <v>6261</v>
      </c>
      <c r="AL406" s="80" t="s">
        <v>6805</v>
      </c>
      <c r="AM406" s="84" t="str">
        <f>HYPERLINK("https://t.co/L7sMGTweIW")</f>
        <v>https://t.co/L7sMGTweIW</v>
      </c>
      <c r="AN406" s="80"/>
      <c r="AO406" s="82">
        <v>40065.291261574072</v>
      </c>
      <c r="AP406" s="84" t="str">
        <f>HYPERLINK("https://pbs.twimg.com/profile_banners/72789272/1475990088")</f>
        <v>https://pbs.twimg.com/profile_banners/72789272/1475990088</v>
      </c>
      <c r="AQ406" s="80" t="b">
        <v>1</v>
      </c>
      <c r="AR406" s="80" t="b">
        <v>0</v>
      </c>
      <c r="AS406" s="80" t="b">
        <v>1</v>
      </c>
      <c r="AT406" s="80"/>
      <c r="AU406" s="80">
        <v>9</v>
      </c>
      <c r="AV406" s="84" t="str">
        <f>HYPERLINK("https://abs.twimg.com/images/themes/theme1/bg.png")</f>
        <v>https://abs.twimg.com/images/themes/theme1/bg.png</v>
      </c>
      <c r="AW406" s="80" t="b">
        <v>0</v>
      </c>
      <c r="AX406" s="80" t="s">
        <v>7173</v>
      </c>
      <c r="AY406" s="84" t="str">
        <f>HYPERLINK("https://twitter.com/gusary")</f>
        <v>https://twitter.com/gusary</v>
      </c>
      <c r="AZ406" s="80" t="s">
        <v>66</v>
      </c>
      <c r="BA406" s="2"/>
      <c r="BB406" s="3"/>
      <c r="BC406" s="3"/>
      <c r="BD406" s="3"/>
      <c r="BE406" s="3"/>
    </row>
    <row r="407" spans="1:57" x14ac:dyDescent="0.35">
      <c r="A407" s="66" t="s">
        <v>541</v>
      </c>
      <c r="B407" s="67"/>
      <c r="C407" s="67"/>
      <c r="D407" s="68"/>
      <c r="E407" s="70"/>
      <c r="F407" s="106" t="str">
        <f>HYPERLINK("https://pbs.twimg.com/profile_images/1317859611660095493/uMxgR6iV_normal.jpg")</f>
        <v>https://pbs.twimg.com/profile_images/1317859611660095493/uMxgR6iV_normal.jpg</v>
      </c>
      <c r="G407" s="67"/>
      <c r="H407" s="71"/>
      <c r="I407" s="72"/>
      <c r="J407" s="72"/>
      <c r="K407" s="71" t="s">
        <v>7577</v>
      </c>
      <c r="L407" s="75"/>
      <c r="M407" s="76"/>
      <c r="N407" s="76"/>
      <c r="O407" s="77"/>
      <c r="P407" s="78"/>
      <c r="Q407" s="78"/>
      <c r="R407" s="90"/>
      <c r="S407" s="90"/>
      <c r="T407" s="90"/>
      <c r="U407" s="90"/>
      <c r="V407" s="52"/>
      <c r="W407" s="52"/>
      <c r="X407" s="52"/>
      <c r="Y407" s="52"/>
      <c r="Z407" s="51"/>
      <c r="AA407" s="73"/>
      <c r="AB407" s="73"/>
      <c r="AC407" s="74"/>
      <c r="AD407" s="80" t="s">
        <v>4582</v>
      </c>
      <c r="AE407" s="86" t="s">
        <v>5491</v>
      </c>
      <c r="AF407" s="80">
        <v>383</v>
      </c>
      <c r="AG407" s="80">
        <v>486</v>
      </c>
      <c r="AH407" s="80">
        <v>19171</v>
      </c>
      <c r="AI407" s="80">
        <v>38158</v>
      </c>
      <c r="AJ407" s="80"/>
      <c r="AK407" s="80" t="s">
        <v>6262</v>
      </c>
      <c r="AL407" s="80" t="s">
        <v>6762</v>
      </c>
      <c r="AM407" s="84" t="str">
        <f>HYPERLINK("https://t.co/T5TcfPkg85")</f>
        <v>https://t.co/T5TcfPkg85</v>
      </c>
      <c r="AN407" s="80"/>
      <c r="AO407" s="82">
        <v>42883.234016203707</v>
      </c>
      <c r="AP407" s="84" t="str">
        <f>HYPERLINK("https://pbs.twimg.com/profile_banners/868702621699162113/1589895397")</f>
        <v>https://pbs.twimg.com/profile_banners/868702621699162113/1589895397</v>
      </c>
      <c r="AQ407" s="80" t="b">
        <v>1</v>
      </c>
      <c r="AR407" s="80" t="b">
        <v>0</v>
      </c>
      <c r="AS407" s="80" t="b">
        <v>1</v>
      </c>
      <c r="AT407" s="80"/>
      <c r="AU407" s="80">
        <v>0</v>
      </c>
      <c r="AV407" s="80"/>
      <c r="AW407" s="80" t="b">
        <v>0</v>
      </c>
      <c r="AX407" s="80" t="s">
        <v>7173</v>
      </c>
      <c r="AY407" s="84" t="str">
        <f>HYPERLINK("https://twitter.com/kevinfhyl_")</f>
        <v>https://twitter.com/kevinfhyl_</v>
      </c>
      <c r="AZ407" s="80" t="s">
        <v>66</v>
      </c>
      <c r="BA407" s="2"/>
      <c r="BB407" s="3"/>
      <c r="BC407" s="3"/>
      <c r="BD407" s="3"/>
      <c r="BE407" s="3"/>
    </row>
    <row r="408" spans="1:57" x14ac:dyDescent="0.35">
      <c r="A408" s="66" t="s">
        <v>542</v>
      </c>
      <c r="B408" s="67"/>
      <c r="C408" s="67"/>
      <c r="D408" s="68"/>
      <c r="E408" s="70"/>
      <c r="F408" s="106" t="str">
        <f>HYPERLINK("https://pbs.twimg.com/profile_images/1437310071227117569/F0j16cOW_normal.jpg")</f>
        <v>https://pbs.twimg.com/profile_images/1437310071227117569/F0j16cOW_normal.jpg</v>
      </c>
      <c r="G408" s="67"/>
      <c r="H408" s="71"/>
      <c r="I408" s="72"/>
      <c r="J408" s="72"/>
      <c r="K408" s="71" t="s">
        <v>7578</v>
      </c>
      <c r="L408" s="75"/>
      <c r="M408" s="76"/>
      <c r="N408" s="76"/>
      <c r="O408" s="77"/>
      <c r="P408" s="78"/>
      <c r="Q408" s="78"/>
      <c r="R408" s="90"/>
      <c r="S408" s="90"/>
      <c r="T408" s="90"/>
      <c r="U408" s="90"/>
      <c r="V408" s="52"/>
      <c r="W408" s="52"/>
      <c r="X408" s="52"/>
      <c r="Y408" s="52"/>
      <c r="Z408" s="51"/>
      <c r="AA408" s="73"/>
      <c r="AB408" s="73"/>
      <c r="AC408" s="74"/>
      <c r="AD408" s="80" t="s">
        <v>4583</v>
      </c>
      <c r="AE408" s="86" t="s">
        <v>5492</v>
      </c>
      <c r="AF408" s="80">
        <v>930</v>
      </c>
      <c r="AG408" s="80">
        <v>30</v>
      </c>
      <c r="AH408" s="80">
        <v>3392</v>
      </c>
      <c r="AI408" s="80">
        <v>2399</v>
      </c>
      <c r="AJ408" s="80"/>
      <c r="AK408" s="80" t="s">
        <v>6263</v>
      </c>
      <c r="AL408" s="80" t="s">
        <v>6775</v>
      </c>
      <c r="AM408" s="80"/>
      <c r="AN408" s="80"/>
      <c r="AO408" s="82">
        <v>40075.423831018517</v>
      </c>
      <c r="AP408" s="84" t="str">
        <f>HYPERLINK("https://pbs.twimg.com/profile_banners/75519605/1498971489")</f>
        <v>https://pbs.twimg.com/profile_banners/75519605/1498971489</v>
      </c>
      <c r="AQ408" s="80" t="b">
        <v>0</v>
      </c>
      <c r="AR408" s="80" t="b">
        <v>0</v>
      </c>
      <c r="AS408" s="80" t="b">
        <v>1</v>
      </c>
      <c r="AT408" s="80"/>
      <c r="AU408" s="80">
        <v>0</v>
      </c>
      <c r="AV408" s="84" t="str">
        <f>HYPERLINK("https://abs.twimg.com/images/themes/theme15/bg.png")</f>
        <v>https://abs.twimg.com/images/themes/theme15/bg.png</v>
      </c>
      <c r="AW408" s="80" t="b">
        <v>0</v>
      </c>
      <c r="AX408" s="80" t="s">
        <v>7173</v>
      </c>
      <c r="AY408" s="84" t="str">
        <f>HYPERLINK("https://twitter.com/februuuzz")</f>
        <v>https://twitter.com/februuuzz</v>
      </c>
      <c r="AZ408" s="80" t="s">
        <v>66</v>
      </c>
      <c r="BA408" s="2"/>
      <c r="BB408" s="3"/>
      <c r="BC408" s="3"/>
      <c r="BD408" s="3"/>
      <c r="BE408" s="3"/>
    </row>
    <row r="409" spans="1:57" x14ac:dyDescent="0.35">
      <c r="A409" s="66" t="s">
        <v>543</v>
      </c>
      <c r="B409" s="67"/>
      <c r="C409" s="67"/>
      <c r="D409" s="68"/>
      <c r="E409" s="70"/>
      <c r="F409" s="106" t="str">
        <f>HYPERLINK("https://pbs.twimg.com/profile_images/1359231791819722752/Pbj4v0BD_normal.jpg")</f>
        <v>https://pbs.twimg.com/profile_images/1359231791819722752/Pbj4v0BD_normal.jpg</v>
      </c>
      <c r="G409" s="67"/>
      <c r="H409" s="71"/>
      <c r="I409" s="72"/>
      <c r="J409" s="72"/>
      <c r="K409" s="71" t="s">
        <v>7579</v>
      </c>
      <c r="L409" s="75"/>
      <c r="M409" s="76"/>
      <c r="N409" s="76"/>
      <c r="O409" s="77"/>
      <c r="P409" s="78"/>
      <c r="Q409" s="78"/>
      <c r="R409" s="90"/>
      <c r="S409" s="90"/>
      <c r="T409" s="90"/>
      <c r="U409" s="90"/>
      <c r="V409" s="52"/>
      <c r="W409" s="52"/>
      <c r="X409" s="52"/>
      <c r="Y409" s="52"/>
      <c r="Z409" s="51"/>
      <c r="AA409" s="73"/>
      <c r="AB409" s="73"/>
      <c r="AC409" s="74"/>
      <c r="AD409" s="80" t="s">
        <v>4584</v>
      </c>
      <c r="AE409" s="86" t="s">
        <v>5493</v>
      </c>
      <c r="AF409" s="80">
        <v>686</v>
      </c>
      <c r="AG409" s="80">
        <v>355</v>
      </c>
      <c r="AH409" s="80">
        <v>21004</v>
      </c>
      <c r="AI409" s="80">
        <v>376</v>
      </c>
      <c r="AJ409" s="80"/>
      <c r="AK409" s="80" t="s">
        <v>6264</v>
      </c>
      <c r="AL409" s="80" t="s">
        <v>6930</v>
      </c>
      <c r="AM409" s="80"/>
      <c r="AN409" s="80"/>
      <c r="AO409" s="82">
        <v>41176.086736111109</v>
      </c>
      <c r="AP409" s="84" t="str">
        <f>HYPERLINK("https://pbs.twimg.com/profile_banners/842783275/1469583919")</f>
        <v>https://pbs.twimg.com/profile_banners/842783275/1469583919</v>
      </c>
      <c r="AQ409" s="80" t="b">
        <v>0</v>
      </c>
      <c r="AR409" s="80" t="b">
        <v>0</v>
      </c>
      <c r="AS409" s="80" t="b">
        <v>1</v>
      </c>
      <c r="AT409" s="80"/>
      <c r="AU409" s="80">
        <v>0</v>
      </c>
      <c r="AV409" s="84" t="str">
        <f>HYPERLINK("https://abs.twimg.com/images/themes/theme1/bg.png")</f>
        <v>https://abs.twimg.com/images/themes/theme1/bg.png</v>
      </c>
      <c r="AW409" s="80" t="b">
        <v>0</v>
      </c>
      <c r="AX409" s="80" t="s">
        <v>7173</v>
      </c>
      <c r="AY409" s="84" t="str">
        <f>HYPERLINK("https://twitter.com/meispm")</f>
        <v>https://twitter.com/meispm</v>
      </c>
      <c r="AZ409" s="80" t="s">
        <v>66</v>
      </c>
      <c r="BA409" s="2"/>
      <c r="BB409" s="3"/>
      <c r="BC409" s="3"/>
      <c r="BD409" s="3"/>
      <c r="BE409" s="3"/>
    </row>
    <row r="410" spans="1:57" x14ac:dyDescent="0.35">
      <c r="A410" s="66" t="s">
        <v>544</v>
      </c>
      <c r="B410" s="67"/>
      <c r="C410" s="67"/>
      <c r="D410" s="68"/>
      <c r="E410" s="70"/>
      <c r="F410" s="106" t="str">
        <f>HYPERLINK("https://pbs.twimg.com/profile_images/1350817322668232704/VZqwkCSj_normal.jpg")</f>
        <v>https://pbs.twimg.com/profile_images/1350817322668232704/VZqwkCSj_normal.jpg</v>
      </c>
      <c r="G410" s="67"/>
      <c r="H410" s="71"/>
      <c r="I410" s="72"/>
      <c r="J410" s="72"/>
      <c r="K410" s="71" t="s">
        <v>7580</v>
      </c>
      <c r="L410" s="75"/>
      <c r="M410" s="76"/>
      <c r="N410" s="76"/>
      <c r="O410" s="77"/>
      <c r="P410" s="78"/>
      <c r="Q410" s="78"/>
      <c r="R410" s="90"/>
      <c r="S410" s="90"/>
      <c r="T410" s="90"/>
      <c r="U410" s="90"/>
      <c r="V410" s="52"/>
      <c r="W410" s="52"/>
      <c r="X410" s="52"/>
      <c r="Y410" s="52"/>
      <c r="Z410" s="51"/>
      <c r="AA410" s="73"/>
      <c r="AB410" s="73"/>
      <c r="AC410" s="74"/>
      <c r="AD410" s="80" t="s">
        <v>4585</v>
      </c>
      <c r="AE410" s="86" t="s">
        <v>5494</v>
      </c>
      <c r="AF410" s="80">
        <v>3855</v>
      </c>
      <c r="AG410" s="80">
        <v>3490</v>
      </c>
      <c r="AH410" s="80">
        <v>17253</v>
      </c>
      <c r="AI410" s="80">
        <v>54915</v>
      </c>
      <c r="AJ410" s="80"/>
      <c r="AK410" s="80" t="s">
        <v>6265</v>
      </c>
      <c r="AL410" s="80"/>
      <c r="AM410" s="80"/>
      <c r="AN410" s="80"/>
      <c r="AO410" s="82">
        <v>43601.049942129626</v>
      </c>
      <c r="AP410" s="80"/>
      <c r="AQ410" s="80" t="b">
        <v>1</v>
      </c>
      <c r="AR410" s="80" t="b">
        <v>0</v>
      </c>
      <c r="AS410" s="80" t="b">
        <v>0</v>
      </c>
      <c r="AT410" s="80"/>
      <c r="AU410" s="80">
        <v>0</v>
      </c>
      <c r="AV410" s="80"/>
      <c r="AW410" s="80" t="b">
        <v>0</v>
      </c>
      <c r="AX410" s="80" t="s">
        <v>7173</v>
      </c>
      <c r="AY410" s="84" t="str">
        <f>HYPERLINK("https://twitter.com/ciput84725571")</f>
        <v>https://twitter.com/ciput84725571</v>
      </c>
      <c r="AZ410" s="80" t="s">
        <v>66</v>
      </c>
      <c r="BA410" s="2"/>
      <c r="BB410" s="3"/>
      <c r="BC410" s="3"/>
      <c r="BD410" s="3"/>
      <c r="BE410" s="3"/>
    </row>
    <row r="411" spans="1:57" x14ac:dyDescent="0.35">
      <c r="A411" s="66" t="s">
        <v>545</v>
      </c>
      <c r="B411" s="67"/>
      <c r="C411" s="67"/>
      <c r="D411" s="68"/>
      <c r="E411" s="70"/>
      <c r="F411" s="106" t="str">
        <f>HYPERLINK("https://pbs.twimg.com/profile_images/1442465755992231940/4-Ib_f4n_normal.jpg")</f>
        <v>https://pbs.twimg.com/profile_images/1442465755992231940/4-Ib_f4n_normal.jpg</v>
      </c>
      <c r="G411" s="67"/>
      <c r="H411" s="71"/>
      <c r="I411" s="72"/>
      <c r="J411" s="72"/>
      <c r="K411" s="71" t="s">
        <v>7581</v>
      </c>
      <c r="L411" s="75"/>
      <c r="M411" s="76"/>
      <c r="N411" s="76"/>
      <c r="O411" s="77"/>
      <c r="P411" s="78"/>
      <c r="Q411" s="78"/>
      <c r="R411" s="90"/>
      <c r="S411" s="90"/>
      <c r="T411" s="90"/>
      <c r="U411" s="90"/>
      <c r="V411" s="52"/>
      <c r="W411" s="52"/>
      <c r="X411" s="52"/>
      <c r="Y411" s="52"/>
      <c r="Z411" s="51"/>
      <c r="AA411" s="73"/>
      <c r="AB411" s="73"/>
      <c r="AC411" s="74"/>
      <c r="AD411" s="80" t="s">
        <v>4586</v>
      </c>
      <c r="AE411" s="86" t="s">
        <v>5495</v>
      </c>
      <c r="AF411" s="80">
        <v>793</v>
      </c>
      <c r="AG411" s="80">
        <v>908</v>
      </c>
      <c r="AH411" s="80">
        <v>5957</v>
      </c>
      <c r="AI411" s="80">
        <v>2393</v>
      </c>
      <c r="AJ411" s="80"/>
      <c r="AK411" s="84" t="str">
        <f>HYPERLINK("https://t.co/XHOyqgtaQm")</f>
        <v>https://t.co/XHOyqgtaQm</v>
      </c>
      <c r="AL411" s="80" t="s">
        <v>6931</v>
      </c>
      <c r="AM411" s="80"/>
      <c r="AN411" s="80"/>
      <c r="AO411" s="82">
        <v>44276.180555555555</v>
      </c>
      <c r="AP411" s="84" t="str">
        <f>HYPERLINK("https://pbs.twimg.com/profile_banners/1373489495941677059/1632572566")</f>
        <v>https://pbs.twimg.com/profile_banners/1373489495941677059/1632572566</v>
      </c>
      <c r="AQ411" s="80" t="b">
        <v>1</v>
      </c>
      <c r="AR411" s="80" t="b">
        <v>0</v>
      </c>
      <c r="AS411" s="80" t="b">
        <v>1</v>
      </c>
      <c r="AT411" s="80"/>
      <c r="AU411" s="80">
        <v>0</v>
      </c>
      <c r="AV411" s="80"/>
      <c r="AW411" s="80" t="b">
        <v>0</v>
      </c>
      <c r="AX411" s="80" t="s">
        <v>7173</v>
      </c>
      <c r="AY411" s="84" t="str">
        <f>HYPERLINK("https://twitter.com/cinuuuul")</f>
        <v>https://twitter.com/cinuuuul</v>
      </c>
      <c r="AZ411" s="80" t="s">
        <v>66</v>
      </c>
      <c r="BA411" s="2"/>
      <c r="BB411" s="3"/>
      <c r="BC411" s="3"/>
      <c r="BD411" s="3"/>
      <c r="BE411" s="3"/>
    </row>
    <row r="412" spans="1:57" x14ac:dyDescent="0.35">
      <c r="A412" s="66" t="s">
        <v>1068</v>
      </c>
      <c r="B412" s="67"/>
      <c r="C412" s="67"/>
      <c r="D412" s="68"/>
      <c r="E412" s="70"/>
      <c r="F412" s="106" t="str">
        <f>HYPERLINK("https://pbs.twimg.com/profile_images/1425427790828949508/Vu0MwI6s_normal.jpg")</f>
        <v>https://pbs.twimg.com/profile_images/1425427790828949508/Vu0MwI6s_normal.jpg</v>
      </c>
      <c r="G412" s="67"/>
      <c r="H412" s="71"/>
      <c r="I412" s="72"/>
      <c r="J412" s="72"/>
      <c r="K412" s="71" t="s">
        <v>7582</v>
      </c>
      <c r="L412" s="75"/>
      <c r="M412" s="76"/>
      <c r="N412" s="76"/>
      <c r="O412" s="77"/>
      <c r="P412" s="78"/>
      <c r="Q412" s="78"/>
      <c r="R412" s="90"/>
      <c r="S412" s="90"/>
      <c r="T412" s="90"/>
      <c r="U412" s="90"/>
      <c r="V412" s="52"/>
      <c r="W412" s="52"/>
      <c r="X412" s="52"/>
      <c r="Y412" s="52"/>
      <c r="Z412" s="51"/>
      <c r="AA412" s="73"/>
      <c r="AB412" s="73"/>
      <c r="AC412" s="74"/>
      <c r="AD412" s="80" t="s">
        <v>4587</v>
      </c>
      <c r="AE412" s="86" t="s">
        <v>3942</v>
      </c>
      <c r="AF412" s="80">
        <v>467</v>
      </c>
      <c r="AG412" s="80">
        <v>537</v>
      </c>
      <c r="AH412" s="80">
        <v>2646</v>
      </c>
      <c r="AI412" s="80">
        <v>3434</v>
      </c>
      <c r="AJ412" s="80"/>
      <c r="AK412" s="80" t="s">
        <v>6266</v>
      </c>
      <c r="AL412" s="80" t="s">
        <v>6896</v>
      </c>
      <c r="AM412" s="84" t="str">
        <f>HYPERLINK("https://t.co/lDQm4rEzUC")</f>
        <v>https://t.co/lDQm4rEzUC</v>
      </c>
      <c r="AN412" s="80"/>
      <c r="AO412" s="82">
        <v>44123.239664351851</v>
      </c>
      <c r="AP412" s="84" t="str">
        <f>HYPERLINK("https://pbs.twimg.com/profile_banners/1318065543169986562/1628770222")</f>
        <v>https://pbs.twimg.com/profile_banners/1318065543169986562/1628770222</v>
      </c>
      <c r="AQ412" s="80" t="b">
        <v>1</v>
      </c>
      <c r="AR412" s="80" t="b">
        <v>0</v>
      </c>
      <c r="AS412" s="80" t="b">
        <v>1</v>
      </c>
      <c r="AT412" s="80"/>
      <c r="AU412" s="80">
        <v>0</v>
      </c>
      <c r="AV412" s="80"/>
      <c r="AW412" s="80" t="b">
        <v>0</v>
      </c>
      <c r="AX412" s="80" t="s">
        <v>7173</v>
      </c>
      <c r="AY412" s="84" t="str">
        <f>HYPERLINK("https://twitter.com/chaxcha____")</f>
        <v>https://twitter.com/chaxcha____</v>
      </c>
      <c r="AZ412" s="80" t="s">
        <v>65</v>
      </c>
      <c r="BA412" s="2"/>
      <c r="BB412" s="3"/>
      <c r="BC412" s="3"/>
      <c r="BD412" s="3"/>
      <c r="BE412" s="3"/>
    </row>
    <row r="413" spans="1:57" x14ac:dyDescent="0.35">
      <c r="A413" s="66" t="s">
        <v>546</v>
      </c>
      <c r="B413" s="67"/>
      <c r="C413" s="67"/>
      <c r="D413" s="68"/>
      <c r="E413" s="70"/>
      <c r="F413" s="106" t="str">
        <f>HYPERLINK("https://pbs.twimg.com/profile_images/1313353962628677633/H5zVNy_L_normal.jpg")</f>
        <v>https://pbs.twimg.com/profile_images/1313353962628677633/H5zVNy_L_normal.jpg</v>
      </c>
      <c r="G413" s="67"/>
      <c r="H413" s="71"/>
      <c r="I413" s="72"/>
      <c r="J413" s="72"/>
      <c r="K413" s="71" t="s">
        <v>7583</v>
      </c>
      <c r="L413" s="75"/>
      <c r="M413" s="76"/>
      <c r="N413" s="76"/>
      <c r="O413" s="77"/>
      <c r="P413" s="78"/>
      <c r="Q413" s="78"/>
      <c r="R413" s="90"/>
      <c r="S413" s="90"/>
      <c r="T413" s="90"/>
      <c r="U413" s="90"/>
      <c r="V413" s="52"/>
      <c r="W413" s="52"/>
      <c r="X413" s="52"/>
      <c r="Y413" s="52"/>
      <c r="Z413" s="51"/>
      <c r="AA413" s="73"/>
      <c r="AB413" s="73"/>
      <c r="AC413" s="74"/>
      <c r="AD413" s="80" t="s">
        <v>4588</v>
      </c>
      <c r="AE413" s="86" t="s">
        <v>5496</v>
      </c>
      <c r="AF413" s="80">
        <v>2228</v>
      </c>
      <c r="AG413" s="80">
        <v>589</v>
      </c>
      <c r="AH413" s="80">
        <v>9225</v>
      </c>
      <c r="AI413" s="80">
        <v>4562</v>
      </c>
      <c r="AJ413" s="80"/>
      <c r="AK413" s="80"/>
      <c r="AL413" s="80"/>
      <c r="AM413" s="80"/>
      <c r="AN413" s="80"/>
      <c r="AO413" s="82">
        <v>44110.237453703703</v>
      </c>
      <c r="AP413" s="80"/>
      <c r="AQ413" s="80" t="b">
        <v>1</v>
      </c>
      <c r="AR413" s="80" t="b">
        <v>0</v>
      </c>
      <c r="AS413" s="80" t="b">
        <v>0</v>
      </c>
      <c r="AT413" s="80"/>
      <c r="AU413" s="80">
        <v>0</v>
      </c>
      <c r="AV413" s="80"/>
      <c r="AW413" s="80" t="b">
        <v>0</v>
      </c>
      <c r="AX413" s="80" t="s">
        <v>7173</v>
      </c>
      <c r="AY413" s="84" t="str">
        <f>HYPERLINK("https://twitter.com/cassarekayasa")</f>
        <v>https://twitter.com/cassarekayasa</v>
      </c>
      <c r="AZ413" s="80" t="s">
        <v>66</v>
      </c>
      <c r="BA413" s="2"/>
      <c r="BB413" s="3"/>
      <c r="BC413" s="3"/>
      <c r="BD413" s="3"/>
      <c r="BE413" s="3"/>
    </row>
    <row r="414" spans="1:57" x14ac:dyDescent="0.35">
      <c r="A414" s="66" t="s">
        <v>547</v>
      </c>
      <c r="B414" s="67"/>
      <c r="C414" s="67"/>
      <c r="D414" s="68"/>
      <c r="E414" s="70"/>
      <c r="F414" s="106" t="str">
        <f>HYPERLINK("https://pbs.twimg.com/profile_images/1430056501939347464/fxVPSZwa_normal.jpg")</f>
        <v>https://pbs.twimg.com/profile_images/1430056501939347464/fxVPSZwa_normal.jpg</v>
      </c>
      <c r="G414" s="67"/>
      <c r="H414" s="71"/>
      <c r="I414" s="72"/>
      <c r="J414" s="72"/>
      <c r="K414" s="71" t="s">
        <v>7584</v>
      </c>
      <c r="L414" s="75"/>
      <c r="M414" s="76"/>
      <c r="N414" s="76"/>
      <c r="O414" s="77"/>
      <c r="P414" s="78"/>
      <c r="Q414" s="78"/>
      <c r="R414" s="90"/>
      <c r="S414" s="90"/>
      <c r="T414" s="90"/>
      <c r="U414" s="90"/>
      <c r="V414" s="52"/>
      <c r="W414" s="52"/>
      <c r="X414" s="52"/>
      <c r="Y414" s="52"/>
      <c r="Z414" s="51"/>
      <c r="AA414" s="73"/>
      <c r="AB414" s="73"/>
      <c r="AC414" s="74"/>
      <c r="AD414" s="80" t="s">
        <v>4589</v>
      </c>
      <c r="AE414" s="86" t="s">
        <v>5497</v>
      </c>
      <c r="AF414" s="80">
        <v>2324</v>
      </c>
      <c r="AG414" s="80">
        <v>1335</v>
      </c>
      <c r="AH414" s="80">
        <v>14037</v>
      </c>
      <c r="AI414" s="80">
        <v>29586</v>
      </c>
      <c r="AJ414" s="80"/>
      <c r="AK414" s="80" t="s">
        <v>6267</v>
      </c>
      <c r="AL414" s="80" t="s">
        <v>6932</v>
      </c>
      <c r="AM414" s="80"/>
      <c r="AN414" s="80"/>
      <c r="AO414" s="82">
        <v>40566.674826388888</v>
      </c>
      <c r="AP414" s="84" t="str">
        <f>HYPERLINK("https://pbs.twimg.com/profile_banners/241966405/1487356179")</f>
        <v>https://pbs.twimg.com/profile_banners/241966405/1487356179</v>
      </c>
      <c r="AQ414" s="80" t="b">
        <v>1</v>
      </c>
      <c r="AR414" s="80" t="b">
        <v>0</v>
      </c>
      <c r="AS414" s="80" t="b">
        <v>0</v>
      </c>
      <c r="AT414" s="80"/>
      <c r="AU414" s="80">
        <v>0</v>
      </c>
      <c r="AV414" s="84" t="str">
        <f>HYPERLINK("https://abs.twimg.com/images/themes/theme1/bg.png")</f>
        <v>https://abs.twimg.com/images/themes/theme1/bg.png</v>
      </c>
      <c r="AW414" s="80" t="b">
        <v>0</v>
      </c>
      <c r="AX414" s="80" t="s">
        <v>7173</v>
      </c>
      <c r="AY414" s="84" t="str">
        <f>HYPERLINK("https://twitter.com/arif_fcr")</f>
        <v>https://twitter.com/arif_fcr</v>
      </c>
      <c r="AZ414" s="80" t="s">
        <v>66</v>
      </c>
      <c r="BA414" s="2"/>
      <c r="BB414" s="3"/>
      <c r="BC414" s="3"/>
      <c r="BD414" s="3"/>
      <c r="BE414" s="3"/>
    </row>
    <row r="415" spans="1:57" x14ac:dyDescent="0.35">
      <c r="A415" s="66" t="s">
        <v>548</v>
      </c>
      <c r="B415" s="67"/>
      <c r="C415" s="67"/>
      <c r="D415" s="68"/>
      <c r="E415" s="70"/>
      <c r="F415" s="106" t="str">
        <f>HYPERLINK("https://pbs.twimg.com/profile_images/1082804506247671808/PBBfbq78_normal.jpg")</f>
        <v>https://pbs.twimg.com/profile_images/1082804506247671808/PBBfbq78_normal.jpg</v>
      </c>
      <c r="G415" s="67"/>
      <c r="H415" s="71"/>
      <c r="I415" s="72"/>
      <c r="J415" s="72"/>
      <c r="K415" s="71" t="s">
        <v>7585</v>
      </c>
      <c r="L415" s="75"/>
      <c r="M415" s="76"/>
      <c r="N415" s="76"/>
      <c r="O415" s="77"/>
      <c r="P415" s="78"/>
      <c r="Q415" s="78"/>
      <c r="R415" s="90"/>
      <c r="S415" s="90"/>
      <c r="T415" s="90"/>
      <c r="U415" s="90"/>
      <c r="V415" s="52"/>
      <c r="W415" s="52"/>
      <c r="X415" s="52"/>
      <c r="Y415" s="52"/>
      <c r="Z415" s="51"/>
      <c r="AA415" s="73"/>
      <c r="AB415" s="73"/>
      <c r="AC415" s="74"/>
      <c r="AD415" s="80" t="s">
        <v>4590</v>
      </c>
      <c r="AE415" s="86" t="s">
        <v>5498</v>
      </c>
      <c r="AF415" s="80">
        <v>427</v>
      </c>
      <c r="AG415" s="80">
        <v>425</v>
      </c>
      <c r="AH415" s="80">
        <v>20190</v>
      </c>
      <c r="AI415" s="80">
        <v>24331</v>
      </c>
      <c r="AJ415" s="80"/>
      <c r="AK415" s="80" t="s">
        <v>6268</v>
      </c>
      <c r="AL415" s="80" t="s">
        <v>6773</v>
      </c>
      <c r="AM415" s="80"/>
      <c r="AN415" s="80"/>
      <c r="AO415" s="82">
        <v>39780.334444444445</v>
      </c>
      <c r="AP415" s="84" t="str">
        <f>HYPERLINK("https://pbs.twimg.com/profile_banners/17702848/1546995778")</f>
        <v>https://pbs.twimg.com/profile_banners/17702848/1546995778</v>
      </c>
      <c r="AQ415" s="80" t="b">
        <v>0</v>
      </c>
      <c r="AR415" s="80" t="b">
        <v>0</v>
      </c>
      <c r="AS415" s="80" t="b">
        <v>0</v>
      </c>
      <c r="AT415" s="80"/>
      <c r="AU415" s="80">
        <v>0</v>
      </c>
      <c r="AV415" s="84" t="str">
        <f>HYPERLINK("https://abs.twimg.com/images/themes/theme13/bg.gif")</f>
        <v>https://abs.twimg.com/images/themes/theme13/bg.gif</v>
      </c>
      <c r="AW415" s="80" t="b">
        <v>0</v>
      </c>
      <c r="AX415" s="80" t="s">
        <v>7173</v>
      </c>
      <c r="AY415" s="84" t="str">
        <f>HYPERLINK("https://twitter.com/affanusman")</f>
        <v>https://twitter.com/affanusman</v>
      </c>
      <c r="AZ415" s="80" t="s">
        <v>66</v>
      </c>
      <c r="BA415" s="2"/>
      <c r="BB415" s="3"/>
      <c r="BC415" s="3"/>
      <c r="BD415" s="3"/>
      <c r="BE415" s="3"/>
    </row>
    <row r="416" spans="1:57" x14ac:dyDescent="0.35">
      <c r="A416" s="66" t="s">
        <v>549</v>
      </c>
      <c r="B416" s="67"/>
      <c r="C416" s="67"/>
      <c r="D416" s="68"/>
      <c r="E416" s="70"/>
      <c r="F416" s="106" t="str">
        <f>HYPERLINK("https://pbs.twimg.com/profile_images/1424953203787919366/-vKaAnht_normal.jpg")</f>
        <v>https://pbs.twimg.com/profile_images/1424953203787919366/-vKaAnht_normal.jpg</v>
      </c>
      <c r="G416" s="67"/>
      <c r="H416" s="71"/>
      <c r="I416" s="72"/>
      <c r="J416" s="72"/>
      <c r="K416" s="71" t="s">
        <v>7586</v>
      </c>
      <c r="L416" s="75"/>
      <c r="M416" s="76"/>
      <c r="N416" s="76"/>
      <c r="O416" s="77"/>
      <c r="P416" s="78"/>
      <c r="Q416" s="78"/>
      <c r="R416" s="90"/>
      <c r="S416" s="90"/>
      <c r="T416" s="90"/>
      <c r="U416" s="90"/>
      <c r="V416" s="52"/>
      <c r="W416" s="52"/>
      <c r="X416" s="52"/>
      <c r="Y416" s="52"/>
      <c r="Z416" s="51"/>
      <c r="AA416" s="73"/>
      <c r="AB416" s="73"/>
      <c r="AC416" s="74"/>
      <c r="AD416" s="80" t="s">
        <v>4591</v>
      </c>
      <c r="AE416" s="86" t="s">
        <v>5499</v>
      </c>
      <c r="AF416" s="80">
        <v>2460</v>
      </c>
      <c r="AG416" s="80">
        <v>1437</v>
      </c>
      <c r="AH416" s="80">
        <v>21765</v>
      </c>
      <c r="AI416" s="80">
        <v>32525</v>
      </c>
      <c r="AJ416" s="80"/>
      <c r="AK416" s="80" t="s">
        <v>6269</v>
      </c>
      <c r="AL416" s="80"/>
      <c r="AM416" s="80"/>
      <c r="AN416" s="80"/>
      <c r="AO416" s="82">
        <v>44124.197569444441</v>
      </c>
      <c r="AP416" s="84" t="str">
        <f>HYPERLINK("https://pbs.twimg.com/profile_banners/1318412621389864962/1628668533")</f>
        <v>https://pbs.twimg.com/profile_banners/1318412621389864962/1628668533</v>
      </c>
      <c r="AQ416" s="80" t="b">
        <v>1</v>
      </c>
      <c r="AR416" s="80" t="b">
        <v>0</v>
      </c>
      <c r="AS416" s="80" t="b">
        <v>0</v>
      </c>
      <c r="AT416" s="80"/>
      <c r="AU416" s="80">
        <v>0</v>
      </c>
      <c r="AV416" s="80"/>
      <c r="AW416" s="80" t="b">
        <v>0</v>
      </c>
      <c r="AX416" s="80" t="s">
        <v>7173</v>
      </c>
      <c r="AY416" s="84" t="str">
        <f>HYPERLINK("https://twitter.com/tumim_urim")</f>
        <v>https://twitter.com/tumim_urim</v>
      </c>
      <c r="AZ416" s="80" t="s">
        <v>66</v>
      </c>
      <c r="BA416" s="2"/>
      <c r="BB416" s="3"/>
      <c r="BC416" s="3"/>
      <c r="BD416" s="3"/>
      <c r="BE416" s="3"/>
    </row>
    <row r="417" spans="1:57" x14ac:dyDescent="0.35">
      <c r="A417" s="66" t="s">
        <v>550</v>
      </c>
      <c r="B417" s="67"/>
      <c r="C417" s="67"/>
      <c r="D417" s="68"/>
      <c r="E417" s="70"/>
      <c r="F417" s="106" t="str">
        <f>HYPERLINK("https://pbs.twimg.com/profile_images/1306411276059340800/F26RaZMa_normal.jpg")</f>
        <v>https://pbs.twimg.com/profile_images/1306411276059340800/F26RaZMa_normal.jpg</v>
      </c>
      <c r="G417" s="67"/>
      <c r="H417" s="71"/>
      <c r="I417" s="72"/>
      <c r="J417" s="72"/>
      <c r="K417" s="71" t="s">
        <v>7587</v>
      </c>
      <c r="L417" s="75"/>
      <c r="M417" s="76"/>
      <c r="N417" s="76"/>
      <c r="O417" s="77"/>
      <c r="P417" s="78"/>
      <c r="Q417" s="78"/>
      <c r="R417" s="90"/>
      <c r="S417" s="90"/>
      <c r="T417" s="90"/>
      <c r="U417" s="90"/>
      <c r="V417" s="52"/>
      <c r="W417" s="52"/>
      <c r="X417" s="52"/>
      <c r="Y417" s="52"/>
      <c r="Z417" s="51"/>
      <c r="AA417" s="73"/>
      <c r="AB417" s="73"/>
      <c r="AC417" s="74"/>
      <c r="AD417" s="80" t="s">
        <v>4592</v>
      </c>
      <c r="AE417" s="86" t="s">
        <v>5500</v>
      </c>
      <c r="AF417" s="80">
        <v>402</v>
      </c>
      <c r="AG417" s="80">
        <v>322</v>
      </c>
      <c r="AH417" s="80">
        <v>2704</v>
      </c>
      <c r="AI417" s="80">
        <v>1705</v>
      </c>
      <c r="AJ417" s="80"/>
      <c r="AK417" s="80" t="s">
        <v>6270</v>
      </c>
      <c r="AL417" s="80"/>
      <c r="AM417" s="80"/>
      <c r="AN417" s="80"/>
      <c r="AO417" s="82">
        <v>44069.652800925927</v>
      </c>
      <c r="AP417" s="80"/>
      <c r="AQ417" s="80" t="b">
        <v>1</v>
      </c>
      <c r="AR417" s="80" t="b">
        <v>0</v>
      </c>
      <c r="AS417" s="80" t="b">
        <v>0</v>
      </c>
      <c r="AT417" s="80"/>
      <c r="AU417" s="80">
        <v>0</v>
      </c>
      <c r="AV417" s="80"/>
      <c r="AW417" s="80" t="b">
        <v>0</v>
      </c>
      <c r="AX417" s="80" t="s">
        <v>7173</v>
      </c>
      <c r="AY417" s="84" t="str">
        <f>HYPERLINK("https://twitter.com/terpojoks")</f>
        <v>https://twitter.com/terpojoks</v>
      </c>
      <c r="AZ417" s="80" t="s">
        <v>66</v>
      </c>
      <c r="BA417" s="2"/>
      <c r="BB417" s="3"/>
      <c r="BC417" s="3"/>
      <c r="BD417" s="3"/>
      <c r="BE417" s="3"/>
    </row>
    <row r="418" spans="1:57" x14ac:dyDescent="0.35">
      <c r="A418" s="66" t="s">
        <v>551</v>
      </c>
      <c r="B418" s="67"/>
      <c r="C418" s="67"/>
      <c r="D418" s="68"/>
      <c r="E418" s="70"/>
      <c r="F418" s="106" t="str">
        <f>HYPERLINK("https://pbs.twimg.com/profile_images/1422118969419255808/nJqwFhQc_normal.jpg")</f>
        <v>https://pbs.twimg.com/profile_images/1422118969419255808/nJqwFhQc_normal.jpg</v>
      </c>
      <c r="G418" s="67"/>
      <c r="H418" s="71"/>
      <c r="I418" s="72"/>
      <c r="J418" s="72"/>
      <c r="K418" s="71" t="s">
        <v>7588</v>
      </c>
      <c r="L418" s="75"/>
      <c r="M418" s="76"/>
      <c r="N418" s="76"/>
      <c r="O418" s="77"/>
      <c r="P418" s="78"/>
      <c r="Q418" s="78"/>
      <c r="R418" s="90"/>
      <c r="S418" s="90"/>
      <c r="T418" s="90"/>
      <c r="U418" s="90"/>
      <c r="V418" s="52"/>
      <c r="W418" s="52"/>
      <c r="X418" s="52"/>
      <c r="Y418" s="52"/>
      <c r="Z418" s="51"/>
      <c r="AA418" s="73"/>
      <c r="AB418" s="73"/>
      <c r="AC418" s="74"/>
      <c r="AD418" s="80" t="s">
        <v>4593</v>
      </c>
      <c r="AE418" s="86" t="s">
        <v>5501</v>
      </c>
      <c r="AF418" s="80">
        <v>3935</v>
      </c>
      <c r="AG418" s="80">
        <v>2899</v>
      </c>
      <c r="AH418" s="80">
        <v>26233</v>
      </c>
      <c r="AI418" s="80">
        <v>66088</v>
      </c>
      <c r="AJ418" s="80"/>
      <c r="AK418" s="80" t="s">
        <v>6271</v>
      </c>
      <c r="AL418" s="80" t="s">
        <v>6777</v>
      </c>
      <c r="AM418" s="80"/>
      <c r="AN418" s="80"/>
      <c r="AO418" s="82">
        <v>42649.689733796295</v>
      </c>
      <c r="AP418" s="84" t="str">
        <f>HYPERLINK("https://pbs.twimg.com/profile_banners/784069006042935297/1607391694")</f>
        <v>https://pbs.twimg.com/profile_banners/784069006042935297/1607391694</v>
      </c>
      <c r="AQ418" s="80" t="b">
        <v>1</v>
      </c>
      <c r="AR418" s="80" t="b">
        <v>0</v>
      </c>
      <c r="AS418" s="80" t="b">
        <v>1</v>
      </c>
      <c r="AT418" s="80"/>
      <c r="AU418" s="80">
        <v>1</v>
      </c>
      <c r="AV418" s="80"/>
      <c r="AW418" s="80" t="b">
        <v>0</v>
      </c>
      <c r="AX418" s="80" t="s">
        <v>7173</v>
      </c>
      <c r="AY418" s="84" t="str">
        <f>HYPERLINK("https://twitter.com/lrahmadsyahj2p")</f>
        <v>https://twitter.com/lrahmadsyahj2p</v>
      </c>
      <c r="AZ418" s="80" t="s">
        <v>66</v>
      </c>
      <c r="BA418" s="2"/>
      <c r="BB418" s="3"/>
      <c r="BC418" s="3"/>
      <c r="BD418" s="3"/>
      <c r="BE418" s="3"/>
    </row>
    <row r="419" spans="1:57" x14ac:dyDescent="0.35">
      <c r="A419" s="66" t="s">
        <v>552</v>
      </c>
      <c r="B419" s="67"/>
      <c r="C419" s="67"/>
      <c r="D419" s="68"/>
      <c r="E419" s="70"/>
      <c r="F419" s="106" t="str">
        <f>HYPERLINK("https://pbs.twimg.com/profile_images/1442402898248306688/RrREZYdX_normal.jpg")</f>
        <v>https://pbs.twimg.com/profile_images/1442402898248306688/RrREZYdX_normal.jpg</v>
      </c>
      <c r="G419" s="67"/>
      <c r="H419" s="71"/>
      <c r="I419" s="72"/>
      <c r="J419" s="72"/>
      <c r="K419" s="71" t="s">
        <v>7589</v>
      </c>
      <c r="L419" s="75"/>
      <c r="M419" s="76"/>
      <c r="N419" s="76"/>
      <c r="O419" s="77"/>
      <c r="P419" s="78"/>
      <c r="Q419" s="78"/>
      <c r="R419" s="90"/>
      <c r="S419" s="90"/>
      <c r="T419" s="90"/>
      <c r="U419" s="90"/>
      <c r="V419" s="52"/>
      <c r="W419" s="52"/>
      <c r="X419" s="52"/>
      <c r="Y419" s="52"/>
      <c r="Z419" s="51"/>
      <c r="AA419" s="73"/>
      <c r="AB419" s="73"/>
      <c r="AC419" s="74"/>
      <c r="AD419" s="80" t="s">
        <v>4594</v>
      </c>
      <c r="AE419" s="86" t="s">
        <v>5502</v>
      </c>
      <c r="AF419" s="80">
        <v>11066</v>
      </c>
      <c r="AG419" s="80">
        <v>11582</v>
      </c>
      <c r="AH419" s="80">
        <v>158357</v>
      </c>
      <c r="AI419" s="80">
        <v>95962</v>
      </c>
      <c r="AJ419" s="80"/>
      <c r="AK419" s="80" t="s">
        <v>6272</v>
      </c>
      <c r="AL419" s="80" t="s">
        <v>6933</v>
      </c>
      <c r="AM419" s="80"/>
      <c r="AN419" s="80"/>
      <c r="AO419" s="82">
        <v>43854.078680555554</v>
      </c>
      <c r="AP419" s="84" t="str">
        <f>HYPERLINK("https://pbs.twimg.com/profile_banners/1220524874667454464/1631787831")</f>
        <v>https://pbs.twimg.com/profile_banners/1220524874667454464/1631787831</v>
      </c>
      <c r="AQ419" s="80" t="b">
        <v>1</v>
      </c>
      <c r="AR419" s="80" t="b">
        <v>0</v>
      </c>
      <c r="AS419" s="80" t="b">
        <v>1</v>
      </c>
      <c r="AT419" s="80"/>
      <c r="AU419" s="80">
        <v>1</v>
      </c>
      <c r="AV419" s="80"/>
      <c r="AW419" s="80" t="b">
        <v>0</v>
      </c>
      <c r="AX419" s="80" t="s">
        <v>7173</v>
      </c>
      <c r="AY419" s="84" t="str">
        <f>HYPERLINK("https://twitter.com/vonbron_ajah")</f>
        <v>https://twitter.com/vonbron_ajah</v>
      </c>
      <c r="AZ419" s="80" t="s">
        <v>66</v>
      </c>
      <c r="BA419" s="2"/>
      <c r="BB419" s="3"/>
      <c r="BC419" s="3"/>
      <c r="BD419" s="3"/>
      <c r="BE419" s="3"/>
    </row>
    <row r="420" spans="1:57" x14ac:dyDescent="0.35">
      <c r="A420" s="66" t="s">
        <v>553</v>
      </c>
      <c r="B420" s="67"/>
      <c r="C420" s="67"/>
      <c r="D420" s="68"/>
      <c r="E420" s="70"/>
      <c r="F420" s="106" t="str">
        <f>HYPERLINK("https://pbs.twimg.com/profile_images/1257333646492610561/Hvs_mJ7f_normal.jpg")</f>
        <v>https://pbs.twimg.com/profile_images/1257333646492610561/Hvs_mJ7f_normal.jpg</v>
      </c>
      <c r="G420" s="67"/>
      <c r="H420" s="71"/>
      <c r="I420" s="72"/>
      <c r="J420" s="72"/>
      <c r="K420" s="71" t="s">
        <v>7590</v>
      </c>
      <c r="L420" s="75"/>
      <c r="M420" s="76"/>
      <c r="N420" s="76"/>
      <c r="O420" s="77"/>
      <c r="P420" s="78"/>
      <c r="Q420" s="78"/>
      <c r="R420" s="90"/>
      <c r="S420" s="90"/>
      <c r="T420" s="90"/>
      <c r="U420" s="90"/>
      <c r="V420" s="52"/>
      <c r="W420" s="52"/>
      <c r="X420" s="52"/>
      <c r="Y420" s="52"/>
      <c r="Z420" s="51"/>
      <c r="AA420" s="73"/>
      <c r="AB420" s="73"/>
      <c r="AC420" s="74"/>
      <c r="AD420" s="80" t="s">
        <v>4595</v>
      </c>
      <c r="AE420" s="86" t="s">
        <v>5503</v>
      </c>
      <c r="AF420" s="80">
        <v>546</v>
      </c>
      <c r="AG420" s="80">
        <v>235</v>
      </c>
      <c r="AH420" s="80">
        <v>9391</v>
      </c>
      <c r="AI420" s="80">
        <v>21374</v>
      </c>
      <c r="AJ420" s="80"/>
      <c r="AK420" s="80" t="s">
        <v>6273</v>
      </c>
      <c r="AL420" s="80"/>
      <c r="AM420" s="80"/>
      <c r="AN420" s="80"/>
      <c r="AO420" s="82">
        <v>43955.65053240741</v>
      </c>
      <c r="AP420" s="84" t="str">
        <f>HYPERLINK("https://pbs.twimg.com/profile_banners/1257333301116878851/1609346877")</f>
        <v>https://pbs.twimg.com/profile_banners/1257333301116878851/1609346877</v>
      </c>
      <c r="AQ420" s="80" t="b">
        <v>1</v>
      </c>
      <c r="AR420" s="80" t="b">
        <v>0</v>
      </c>
      <c r="AS420" s="80" t="b">
        <v>0</v>
      </c>
      <c r="AT420" s="80"/>
      <c r="AU420" s="80">
        <v>0</v>
      </c>
      <c r="AV420" s="80"/>
      <c r="AW420" s="80" t="b">
        <v>0</v>
      </c>
      <c r="AX420" s="80" t="s">
        <v>7173</v>
      </c>
      <c r="AY420" s="84" t="str">
        <f>HYPERLINK("https://twitter.com/eandalusy")</f>
        <v>https://twitter.com/eandalusy</v>
      </c>
      <c r="AZ420" s="80" t="s">
        <v>66</v>
      </c>
      <c r="BA420" s="2"/>
      <c r="BB420" s="3"/>
      <c r="BC420" s="3"/>
      <c r="BD420" s="3"/>
      <c r="BE420" s="3"/>
    </row>
    <row r="421" spans="1:57" x14ac:dyDescent="0.35">
      <c r="A421" s="66" t="s">
        <v>554</v>
      </c>
      <c r="B421" s="67"/>
      <c r="C421" s="67"/>
      <c r="D421" s="68"/>
      <c r="E421" s="70"/>
      <c r="F421" s="106" t="str">
        <f>HYPERLINK("https://pbs.twimg.com/profile_images/1255837893207052290/4eWOK_UM_normal.jpg")</f>
        <v>https://pbs.twimg.com/profile_images/1255837893207052290/4eWOK_UM_normal.jpg</v>
      </c>
      <c r="G421" s="67"/>
      <c r="H421" s="71"/>
      <c r="I421" s="72"/>
      <c r="J421" s="72"/>
      <c r="K421" s="71" t="s">
        <v>7591</v>
      </c>
      <c r="L421" s="75"/>
      <c r="M421" s="76"/>
      <c r="N421" s="76"/>
      <c r="O421" s="77"/>
      <c r="P421" s="78"/>
      <c r="Q421" s="78"/>
      <c r="R421" s="90"/>
      <c r="S421" s="90"/>
      <c r="T421" s="90"/>
      <c r="U421" s="90"/>
      <c r="V421" s="52"/>
      <c r="W421" s="52"/>
      <c r="X421" s="52"/>
      <c r="Y421" s="52"/>
      <c r="Z421" s="51"/>
      <c r="AA421" s="73"/>
      <c r="AB421" s="73"/>
      <c r="AC421" s="74"/>
      <c r="AD421" s="80" t="s">
        <v>4596</v>
      </c>
      <c r="AE421" s="86" t="s">
        <v>5504</v>
      </c>
      <c r="AF421" s="80">
        <v>677</v>
      </c>
      <c r="AG421" s="80">
        <v>490</v>
      </c>
      <c r="AH421" s="80">
        <v>1144</v>
      </c>
      <c r="AI421" s="80">
        <v>24871</v>
      </c>
      <c r="AJ421" s="80"/>
      <c r="AK421" s="80" t="s">
        <v>6274</v>
      </c>
      <c r="AL421" s="80" t="s">
        <v>6934</v>
      </c>
      <c r="AM421" s="80"/>
      <c r="AN421" s="80"/>
      <c r="AO421" s="82">
        <v>43951.523252314815</v>
      </c>
      <c r="AP421" s="80"/>
      <c r="AQ421" s="80" t="b">
        <v>1</v>
      </c>
      <c r="AR421" s="80" t="b">
        <v>0</v>
      </c>
      <c r="AS421" s="80" t="b">
        <v>1</v>
      </c>
      <c r="AT421" s="80"/>
      <c r="AU421" s="80">
        <v>0</v>
      </c>
      <c r="AV421" s="80"/>
      <c r="AW421" s="80" t="b">
        <v>0</v>
      </c>
      <c r="AX421" s="80" t="s">
        <v>7173</v>
      </c>
      <c r="AY421" s="84" t="str">
        <f>HYPERLINK("https://twitter.com/detitik1")</f>
        <v>https://twitter.com/detitik1</v>
      </c>
      <c r="AZ421" s="80" t="s">
        <v>66</v>
      </c>
      <c r="BA421" s="2"/>
      <c r="BB421" s="3"/>
      <c r="BC421" s="3"/>
      <c r="BD421" s="3"/>
      <c r="BE421" s="3"/>
    </row>
    <row r="422" spans="1:57" x14ac:dyDescent="0.35">
      <c r="A422" s="66" t="s">
        <v>555</v>
      </c>
      <c r="B422" s="67"/>
      <c r="C422" s="67"/>
      <c r="D422" s="68"/>
      <c r="E422" s="70"/>
      <c r="F422" s="106" t="str">
        <f>HYPERLINK("https://pbs.twimg.com/profile_images/1338844021456703489/Jcp2n9Wb_normal.jpg")</f>
        <v>https://pbs.twimg.com/profile_images/1338844021456703489/Jcp2n9Wb_normal.jpg</v>
      </c>
      <c r="G422" s="67"/>
      <c r="H422" s="71"/>
      <c r="I422" s="72"/>
      <c r="J422" s="72"/>
      <c r="K422" s="71" t="s">
        <v>7592</v>
      </c>
      <c r="L422" s="75"/>
      <c r="M422" s="76"/>
      <c r="N422" s="76"/>
      <c r="O422" s="77"/>
      <c r="P422" s="78"/>
      <c r="Q422" s="78"/>
      <c r="R422" s="90"/>
      <c r="S422" s="90"/>
      <c r="T422" s="90"/>
      <c r="U422" s="90"/>
      <c r="V422" s="52"/>
      <c r="W422" s="52"/>
      <c r="X422" s="52"/>
      <c r="Y422" s="52"/>
      <c r="Z422" s="51"/>
      <c r="AA422" s="73"/>
      <c r="AB422" s="73"/>
      <c r="AC422" s="74"/>
      <c r="AD422" s="80" t="s">
        <v>4597</v>
      </c>
      <c r="AE422" s="86" t="s">
        <v>5505</v>
      </c>
      <c r="AF422" s="80">
        <v>221</v>
      </c>
      <c r="AG422" s="80">
        <v>224</v>
      </c>
      <c r="AH422" s="80">
        <v>8510</v>
      </c>
      <c r="AI422" s="80">
        <v>15712</v>
      </c>
      <c r="AJ422" s="80"/>
      <c r="AK422" s="80" t="s">
        <v>6275</v>
      </c>
      <c r="AL422" s="80"/>
      <c r="AM422" s="80"/>
      <c r="AN422" s="80"/>
      <c r="AO422" s="82">
        <v>44179.389247685183</v>
      </c>
      <c r="AP422" s="84" t="str">
        <f>HYPERLINK("https://pbs.twimg.com/profile_banners/1338413501841195008/1607958040")</f>
        <v>https://pbs.twimg.com/profile_banners/1338413501841195008/1607958040</v>
      </c>
      <c r="AQ422" s="80" t="b">
        <v>1</v>
      </c>
      <c r="AR422" s="80" t="b">
        <v>0</v>
      </c>
      <c r="AS422" s="80" t="b">
        <v>0</v>
      </c>
      <c r="AT422" s="80"/>
      <c r="AU422" s="80">
        <v>0</v>
      </c>
      <c r="AV422" s="80"/>
      <c r="AW422" s="80" t="b">
        <v>0</v>
      </c>
      <c r="AX422" s="80" t="s">
        <v>7173</v>
      </c>
      <c r="AY422" s="84" t="str">
        <f>HYPERLINK("https://twitter.com/masyarakatradio")</f>
        <v>https://twitter.com/masyarakatradio</v>
      </c>
      <c r="AZ422" s="80" t="s">
        <v>66</v>
      </c>
      <c r="BA422" s="2"/>
      <c r="BB422" s="3"/>
      <c r="BC422" s="3"/>
      <c r="BD422" s="3"/>
      <c r="BE422" s="3"/>
    </row>
    <row r="423" spans="1:57" x14ac:dyDescent="0.35">
      <c r="A423" s="66" t="s">
        <v>556</v>
      </c>
      <c r="B423" s="67"/>
      <c r="C423" s="67"/>
      <c r="D423" s="68"/>
      <c r="E423" s="70"/>
      <c r="F423" s="106" t="str">
        <f>HYPERLINK("https://pbs.twimg.com/profile_images/1429389986718048259/2fR6wE77_normal.jpg")</f>
        <v>https://pbs.twimg.com/profile_images/1429389986718048259/2fR6wE77_normal.jpg</v>
      </c>
      <c r="G423" s="67"/>
      <c r="H423" s="71"/>
      <c r="I423" s="72"/>
      <c r="J423" s="72"/>
      <c r="K423" s="71" t="s">
        <v>7593</v>
      </c>
      <c r="L423" s="75"/>
      <c r="M423" s="76"/>
      <c r="N423" s="76"/>
      <c r="O423" s="77"/>
      <c r="P423" s="78"/>
      <c r="Q423" s="78"/>
      <c r="R423" s="90"/>
      <c r="S423" s="90"/>
      <c r="T423" s="90"/>
      <c r="U423" s="90"/>
      <c r="V423" s="52"/>
      <c r="W423" s="52"/>
      <c r="X423" s="52"/>
      <c r="Y423" s="52"/>
      <c r="Z423" s="51"/>
      <c r="AA423" s="73"/>
      <c r="AB423" s="73"/>
      <c r="AC423" s="74"/>
      <c r="AD423" s="80" t="s">
        <v>4598</v>
      </c>
      <c r="AE423" s="86" t="s">
        <v>5506</v>
      </c>
      <c r="AF423" s="80">
        <v>6632</v>
      </c>
      <c r="AG423" s="80">
        <v>6642</v>
      </c>
      <c r="AH423" s="80">
        <v>4811</v>
      </c>
      <c r="AI423" s="80">
        <v>28184</v>
      </c>
      <c r="AJ423" s="80"/>
      <c r="AK423" s="80" t="s">
        <v>6276</v>
      </c>
      <c r="AL423" s="80" t="s">
        <v>6935</v>
      </c>
      <c r="AM423" s="80"/>
      <c r="AN423" s="80"/>
      <c r="AO423" s="82">
        <v>41155.037245370368</v>
      </c>
      <c r="AP423" s="84" t="str">
        <f>HYPERLINK("https://pbs.twimg.com/profile_banners/799338488/1613175273")</f>
        <v>https://pbs.twimg.com/profile_banners/799338488/1613175273</v>
      </c>
      <c r="AQ423" s="80" t="b">
        <v>1</v>
      </c>
      <c r="AR423" s="80" t="b">
        <v>0</v>
      </c>
      <c r="AS423" s="80" t="b">
        <v>1</v>
      </c>
      <c r="AT423" s="80"/>
      <c r="AU423" s="80">
        <v>0</v>
      </c>
      <c r="AV423" s="84" t="str">
        <f>HYPERLINK("https://abs.twimg.com/images/themes/theme1/bg.png")</f>
        <v>https://abs.twimg.com/images/themes/theme1/bg.png</v>
      </c>
      <c r="AW423" s="80" t="b">
        <v>0</v>
      </c>
      <c r="AX423" s="80" t="s">
        <v>7173</v>
      </c>
      <c r="AY423" s="84" t="str">
        <f>HYPERLINK("https://twitter.com/ariztkadju")</f>
        <v>https://twitter.com/ariztkadju</v>
      </c>
      <c r="AZ423" s="80" t="s">
        <v>66</v>
      </c>
      <c r="BA423" s="2"/>
      <c r="BB423" s="3"/>
      <c r="BC423" s="3"/>
      <c r="BD423" s="3"/>
      <c r="BE423" s="3"/>
    </row>
    <row r="424" spans="1:57" x14ac:dyDescent="0.35">
      <c r="A424" s="66" t="s">
        <v>557</v>
      </c>
      <c r="B424" s="67"/>
      <c r="C424" s="67"/>
      <c r="D424" s="68"/>
      <c r="E424" s="70"/>
      <c r="F424" s="106" t="str">
        <f>HYPERLINK("https://pbs.twimg.com/profile_images/1402526029705478147/IJ6KuFdP_normal.jpg")</f>
        <v>https://pbs.twimg.com/profile_images/1402526029705478147/IJ6KuFdP_normal.jpg</v>
      </c>
      <c r="G424" s="67"/>
      <c r="H424" s="71"/>
      <c r="I424" s="72"/>
      <c r="J424" s="72"/>
      <c r="K424" s="71" t="s">
        <v>7594</v>
      </c>
      <c r="L424" s="75"/>
      <c r="M424" s="76"/>
      <c r="N424" s="76"/>
      <c r="O424" s="77"/>
      <c r="P424" s="78"/>
      <c r="Q424" s="78"/>
      <c r="R424" s="90"/>
      <c r="S424" s="90"/>
      <c r="T424" s="90"/>
      <c r="U424" s="90"/>
      <c r="V424" s="52"/>
      <c r="W424" s="52"/>
      <c r="X424" s="52"/>
      <c r="Y424" s="52"/>
      <c r="Z424" s="51"/>
      <c r="AA424" s="73"/>
      <c r="AB424" s="73"/>
      <c r="AC424" s="74"/>
      <c r="AD424" s="80" t="s">
        <v>4599</v>
      </c>
      <c r="AE424" s="86" t="s">
        <v>5507</v>
      </c>
      <c r="AF424" s="80">
        <v>1988</v>
      </c>
      <c r="AG424" s="80">
        <v>1887</v>
      </c>
      <c r="AH424" s="80">
        <v>111187</v>
      </c>
      <c r="AI424" s="80">
        <v>106309</v>
      </c>
      <c r="AJ424" s="80"/>
      <c r="AK424" s="80" t="s">
        <v>6277</v>
      </c>
      <c r="AL424" s="80" t="s">
        <v>6805</v>
      </c>
      <c r="AM424" s="80"/>
      <c r="AN424" s="80"/>
      <c r="AO424" s="82">
        <v>42515.511979166666</v>
      </c>
      <c r="AP424" s="84" t="str">
        <f>HYPERLINK("https://pbs.twimg.com/profile_banners/735444618515353601/1621339683")</f>
        <v>https://pbs.twimg.com/profile_banners/735444618515353601/1621339683</v>
      </c>
      <c r="AQ424" s="80" t="b">
        <v>0</v>
      </c>
      <c r="AR424" s="80" t="b">
        <v>0</v>
      </c>
      <c r="AS424" s="80" t="b">
        <v>1</v>
      </c>
      <c r="AT424" s="80"/>
      <c r="AU424" s="80">
        <v>1</v>
      </c>
      <c r="AV424" s="84" t="str">
        <f>HYPERLINK("https://abs.twimg.com/images/themes/theme1/bg.png")</f>
        <v>https://abs.twimg.com/images/themes/theme1/bg.png</v>
      </c>
      <c r="AW424" s="80" t="b">
        <v>0</v>
      </c>
      <c r="AX424" s="80" t="s">
        <v>7173</v>
      </c>
      <c r="AY424" s="84" t="str">
        <f>HYPERLINK("https://twitter.com/maximus_syukur")</f>
        <v>https://twitter.com/maximus_syukur</v>
      </c>
      <c r="AZ424" s="80" t="s">
        <v>66</v>
      </c>
      <c r="BA424" s="2"/>
      <c r="BB424" s="3"/>
      <c r="BC424" s="3"/>
      <c r="BD424" s="3"/>
      <c r="BE424" s="3"/>
    </row>
    <row r="425" spans="1:57" x14ac:dyDescent="0.35">
      <c r="A425" s="66" t="s">
        <v>558</v>
      </c>
      <c r="B425" s="67"/>
      <c r="C425" s="67"/>
      <c r="D425" s="68"/>
      <c r="E425" s="70"/>
      <c r="F425" s="106" t="str">
        <f>HYPERLINK("https://pbs.twimg.com/profile_images/1330877251492007936/d207JPzc_normal.jpg")</f>
        <v>https://pbs.twimg.com/profile_images/1330877251492007936/d207JPzc_normal.jpg</v>
      </c>
      <c r="G425" s="67"/>
      <c r="H425" s="71"/>
      <c r="I425" s="72"/>
      <c r="J425" s="72"/>
      <c r="K425" s="71" t="s">
        <v>7595</v>
      </c>
      <c r="L425" s="75"/>
      <c r="M425" s="76"/>
      <c r="N425" s="76"/>
      <c r="O425" s="77"/>
      <c r="P425" s="78"/>
      <c r="Q425" s="78"/>
      <c r="R425" s="90"/>
      <c r="S425" s="90"/>
      <c r="T425" s="90"/>
      <c r="U425" s="90"/>
      <c r="V425" s="52"/>
      <c r="W425" s="52"/>
      <c r="X425" s="52"/>
      <c r="Y425" s="52"/>
      <c r="Z425" s="51"/>
      <c r="AA425" s="73"/>
      <c r="AB425" s="73"/>
      <c r="AC425" s="74"/>
      <c r="AD425" s="80" t="s">
        <v>4600</v>
      </c>
      <c r="AE425" s="86" t="s">
        <v>5508</v>
      </c>
      <c r="AF425" s="80">
        <v>660</v>
      </c>
      <c r="AG425" s="80">
        <v>74</v>
      </c>
      <c r="AH425" s="80">
        <v>11373</v>
      </c>
      <c r="AI425" s="80">
        <v>4037</v>
      </c>
      <c r="AJ425" s="80"/>
      <c r="AK425" s="80" t="s">
        <v>6278</v>
      </c>
      <c r="AL425" s="80" t="s">
        <v>6762</v>
      </c>
      <c r="AM425" s="80"/>
      <c r="AN425" s="80"/>
      <c r="AO425" s="82">
        <v>40931.274918981479</v>
      </c>
      <c r="AP425" s="84" t="str">
        <f>HYPERLINK("https://pbs.twimg.com/profile_banners/471747068/1587690359")</f>
        <v>https://pbs.twimg.com/profile_banners/471747068/1587690359</v>
      </c>
      <c r="AQ425" s="80" t="b">
        <v>0</v>
      </c>
      <c r="AR425" s="80" t="b">
        <v>0</v>
      </c>
      <c r="AS425" s="80" t="b">
        <v>0</v>
      </c>
      <c r="AT425" s="80"/>
      <c r="AU425" s="80">
        <v>0</v>
      </c>
      <c r="AV425" s="84" t="str">
        <f>HYPERLINK("https://abs.twimg.com/images/themes/theme19/bg.gif")</f>
        <v>https://abs.twimg.com/images/themes/theme19/bg.gif</v>
      </c>
      <c r="AW425" s="80" t="b">
        <v>0</v>
      </c>
      <c r="AX425" s="80" t="s">
        <v>7173</v>
      </c>
      <c r="AY425" s="84" t="str">
        <f>HYPERLINK("https://twitter.com/ba_wcksn")</f>
        <v>https://twitter.com/ba_wcksn</v>
      </c>
      <c r="AZ425" s="80" t="s">
        <v>66</v>
      </c>
      <c r="BA425" s="2"/>
      <c r="BB425" s="3"/>
      <c r="BC425" s="3"/>
      <c r="BD425" s="3"/>
      <c r="BE425" s="3"/>
    </row>
    <row r="426" spans="1:57" x14ac:dyDescent="0.35">
      <c r="A426" s="66" t="s">
        <v>559</v>
      </c>
      <c r="B426" s="67"/>
      <c r="C426" s="67"/>
      <c r="D426" s="68"/>
      <c r="E426" s="70"/>
      <c r="F426" s="106" t="str">
        <f>HYPERLINK("https://pbs.twimg.com/profile_images/1366011710000099333/Q-AGEz0n_normal.jpg")</f>
        <v>https://pbs.twimg.com/profile_images/1366011710000099333/Q-AGEz0n_normal.jpg</v>
      </c>
      <c r="G426" s="67"/>
      <c r="H426" s="71"/>
      <c r="I426" s="72"/>
      <c r="J426" s="72"/>
      <c r="K426" s="71" t="s">
        <v>7596</v>
      </c>
      <c r="L426" s="75"/>
      <c r="M426" s="76"/>
      <c r="N426" s="76"/>
      <c r="O426" s="77"/>
      <c r="P426" s="78"/>
      <c r="Q426" s="78"/>
      <c r="R426" s="90"/>
      <c r="S426" s="90"/>
      <c r="T426" s="90"/>
      <c r="U426" s="90"/>
      <c r="V426" s="52"/>
      <c r="W426" s="52"/>
      <c r="X426" s="52"/>
      <c r="Y426" s="52"/>
      <c r="Z426" s="51"/>
      <c r="AA426" s="73"/>
      <c r="AB426" s="73"/>
      <c r="AC426" s="74"/>
      <c r="AD426" s="80" t="s">
        <v>4601</v>
      </c>
      <c r="AE426" s="86" t="s">
        <v>5509</v>
      </c>
      <c r="AF426" s="80">
        <v>750</v>
      </c>
      <c r="AG426" s="80">
        <v>624</v>
      </c>
      <c r="AH426" s="80">
        <v>1064</v>
      </c>
      <c r="AI426" s="80">
        <v>4016</v>
      </c>
      <c r="AJ426" s="80"/>
      <c r="AK426" s="80" t="s">
        <v>6279</v>
      </c>
      <c r="AL426" s="80"/>
      <c r="AM426" s="80"/>
      <c r="AN426" s="80"/>
      <c r="AO426" s="82">
        <v>43222.69127314815</v>
      </c>
      <c r="AP426" s="80"/>
      <c r="AQ426" s="80" t="b">
        <v>1</v>
      </c>
      <c r="AR426" s="80" t="b">
        <v>0</v>
      </c>
      <c r="AS426" s="80" t="b">
        <v>0</v>
      </c>
      <c r="AT426" s="80"/>
      <c r="AU426" s="80">
        <v>0</v>
      </c>
      <c r="AV426" s="80"/>
      <c r="AW426" s="80" t="b">
        <v>0</v>
      </c>
      <c r="AX426" s="80" t="s">
        <v>7173</v>
      </c>
      <c r="AY426" s="84" t="str">
        <f>HYPERLINK("https://twitter.com/appellowj")</f>
        <v>https://twitter.com/appellowj</v>
      </c>
      <c r="AZ426" s="80" t="s">
        <v>66</v>
      </c>
      <c r="BA426" s="2"/>
      <c r="BB426" s="3"/>
      <c r="BC426" s="3"/>
      <c r="BD426" s="3"/>
      <c r="BE426" s="3"/>
    </row>
    <row r="427" spans="1:57" x14ac:dyDescent="0.35">
      <c r="A427" s="66" t="s">
        <v>560</v>
      </c>
      <c r="B427" s="67"/>
      <c r="C427" s="67"/>
      <c r="D427" s="68"/>
      <c r="E427" s="70"/>
      <c r="F427" s="106" t="str">
        <f>HYPERLINK("https://pbs.twimg.com/profile_images/1213788106702196737/hKIL0jXB_normal.jpg")</f>
        <v>https://pbs.twimg.com/profile_images/1213788106702196737/hKIL0jXB_normal.jpg</v>
      </c>
      <c r="G427" s="67"/>
      <c r="H427" s="71"/>
      <c r="I427" s="72"/>
      <c r="J427" s="72"/>
      <c r="K427" s="71" t="s">
        <v>7597</v>
      </c>
      <c r="L427" s="75"/>
      <c r="M427" s="76"/>
      <c r="N427" s="76"/>
      <c r="O427" s="77"/>
      <c r="P427" s="78"/>
      <c r="Q427" s="78"/>
      <c r="R427" s="90"/>
      <c r="S427" s="90"/>
      <c r="T427" s="90"/>
      <c r="U427" s="90"/>
      <c r="V427" s="52"/>
      <c r="W427" s="52"/>
      <c r="X427" s="52"/>
      <c r="Y427" s="52"/>
      <c r="Z427" s="51"/>
      <c r="AA427" s="73"/>
      <c r="AB427" s="73"/>
      <c r="AC427" s="74"/>
      <c r="AD427" s="80" t="s">
        <v>4602</v>
      </c>
      <c r="AE427" s="86" t="s">
        <v>5510</v>
      </c>
      <c r="AF427" s="80">
        <v>983</v>
      </c>
      <c r="AG427" s="80">
        <v>682</v>
      </c>
      <c r="AH427" s="80">
        <v>4472</v>
      </c>
      <c r="AI427" s="80">
        <v>16954</v>
      </c>
      <c r="AJ427" s="80"/>
      <c r="AK427" s="80" t="s">
        <v>6280</v>
      </c>
      <c r="AL427" s="80" t="s">
        <v>6777</v>
      </c>
      <c r="AM427" s="80"/>
      <c r="AN427" s="80"/>
      <c r="AO427" s="82">
        <v>43236.073182870372</v>
      </c>
      <c r="AP427" s="84" t="str">
        <f>HYPERLINK("https://pbs.twimg.com/profile_banners/996567254614425603/1535344464")</f>
        <v>https://pbs.twimg.com/profile_banners/996567254614425603/1535344464</v>
      </c>
      <c r="AQ427" s="80" t="b">
        <v>1</v>
      </c>
      <c r="AR427" s="80" t="b">
        <v>0</v>
      </c>
      <c r="AS427" s="80" t="b">
        <v>1</v>
      </c>
      <c r="AT427" s="80"/>
      <c r="AU427" s="80">
        <v>0</v>
      </c>
      <c r="AV427" s="80"/>
      <c r="AW427" s="80" t="b">
        <v>0</v>
      </c>
      <c r="AX427" s="80" t="s">
        <v>7173</v>
      </c>
      <c r="AY427" s="84" t="str">
        <f>HYPERLINK("https://twitter.com/em2munawar")</f>
        <v>https://twitter.com/em2munawar</v>
      </c>
      <c r="AZ427" s="80" t="s">
        <v>66</v>
      </c>
      <c r="BA427" s="2"/>
      <c r="BB427" s="3"/>
      <c r="BC427" s="3"/>
      <c r="BD427" s="3"/>
      <c r="BE427" s="3"/>
    </row>
    <row r="428" spans="1:57" x14ac:dyDescent="0.35">
      <c r="A428" s="66" t="s">
        <v>561</v>
      </c>
      <c r="B428" s="67"/>
      <c r="C428" s="67"/>
      <c r="D428" s="68"/>
      <c r="E428" s="70"/>
      <c r="F428" s="106" t="str">
        <f>HYPERLINK("https://pbs.twimg.com/profile_images/1236269797588881411/6GOcak40_normal.jpg")</f>
        <v>https://pbs.twimg.com/profile_images/1236269797588881411/6GOcak40_normal.jpg</v>
      </c>
      <c r="G428" s="67"/>
      <c r="H428" s="71"/>
      <c r="I428" s="72"/>
      <c r="J428" s="72"/>
      <c r="K428" s="71" t="s">
        <v>7598</v>
      </c>
      <c r="L428" s="75"/>
      <c r="M428" s="76"/>
      <c r="N428" s="76"/>
      <c r="O428" s="77"/>
      <c r="P428" s="78"/>
      <c r="Q428" s="78"/>
      <c r="R428" s="90"/>
      <c r="S428" s="90"/>
      <c r="T428" s="90"/>
      <c r="U428" s="90"/>
      <c r="V428" s="52"/>
      <c r="W428" s="52"/>
      <c r="X428" s="52"/>
      <c r="Y428" s="52"/>
      <c r="Z428" s="51"/>
      <c r="AA428" s="73"/>
      <c r="AB428" s="73"/>
      <c r="AC428" s="74"/>
      <c r="AD428" s="80" t="s">
        <v>4603</v>
      </c>
      <c r="AE428" s="86" t="s">
        <v>5511</v>
      </c>
      <c r="AF428" s="80">
        <v>142</v>
      </c>
      <c r="AG428" s="80">
        <v>60</v>
      </c>
      <c r="AH428" s="80">
        <v>877</v>
      </c>
      <c r="AI428" s="80">
        <v>593</v>
      </c>
      <c r="AJ428" s="80"/>
      <c r="AK428" s="80"/>
      <c r="AL428" s="80"/>
      <c r="AM428" s="80"/>
      <c r="AN428" s="80"/>
      <c r="AO428" s="82">
        <v>41557.946203703701</v>
      </c>
      <c r="AP428" s="80"/>
      <c r="AQ428" s="80" t="b">
        <v>1</v>
      </c>
      <c r="AR428" s="80" t="b">
        <v>0</v>
      </c>
      <c r="AS428" s="80" t="b">
        <v>0</v>
      </c>
      <c r="AT428" s="80"/>
      <c r="AU428" s="80">
        <v>0</v>
      </c>
      <c r="AV428" s="84" t="str">
        <f>HYPERLINK("https://abs.twimg.com/images/themes/theme1/bg.png")</f>
        <v>https://abs.twimg.com/images/themes/theme1/bg.png</v>
      </c>
      <c r="AW428" s="80" t="b">
        <v>0</v>
      </c>
      <c r="AX428" s="80" t="s">
        <v>7173</v>
      </c>
      <c r="AY428" s="84" t="str">
        <f>HYPERLINK("https://twitter.com/mnqincognito")</f>
        <v>https://twitter.com/mnqincognito</v>
      </c>
      <c r="AZ428" s="80" t="s">
        <v>66</v>
      </c>
      <c r="BA428" s="2"/>
      <c r="BB428" s="3"/>
      <c r="BC428" s="3"/>
      <c r="BD428" s="3"/>
      <c r="BE428" s="3"/>
    </row>
    <row r="429" spans="1:57" x14ac:dyDescent="0.35">
      <c r="A429" s="66" t="s">
        <v>562</v>
      </c>
      <c r="B429" s="67"/>
      <c r="C429" s="67"/>
      <c r="D429" s="68"/>
      <c r="E429" s="70"/>
      <c r="F429" s="106" t="str">
        <f>HYPERLINK("https://pbs.twimg.com/profile_images/1435145463041122305/dzrh6HuB_normal.jpg")</f>
        <v>https://pbs.twimg.com/profile_images/1435145463041122305/dzrh6HuB_normal.jpg</v>
      </c>
      <c r="G429" s="67"/>
      <c r="H429" s="71"/>
      <c r="I429" s="72"/>
      <c r="J429" s="72"/>
      <c r="K429" s="71" t="s">
        <v>7599</v>
      </c>
      <c r="L429" s="75"/>
      <c r="M429" s="76"/>
      <c r="N429" s="76"/>
      <c r="O429" s="77"/>
      <c r="P429" s="78"/>
      <c r="Q429" s="78"/>
      <c r="R429" s="90"/>
      <c r="S429" s="90"/>
      <c r="T429" s="90"/>
      <c r="U429" s="90"/>
      <c r="V429" s="52"/>
      <c r="W429" s="52"/>
      <c r="X429" s="52"/>
      <c r="Y429" s="52"/>
      <c r="Z429" s="51"/>
      <c r="AA429" s="73"/>
      <c r="AB429" s="73"/>
      <c r="AC429" s="74"/>
      <c r="AD429" s="80" t="s">
        <v>4604</v>
      </c>
      <c r="AE429" s="86" t="s">
        <v>5512</v>
      </c>
      <c r="AF429" s="80">
        <v>1263</v>
      </c>
      <c r="AG429" s="80">
        <v>86</v>
      </c>
      <c r="AH429" s="80">
        <v>1981</v>
      </c>
      <c r="AI429" s="80">
        <v>186</v>
      </c>
      <c r="AJ429" s="80"/>
      <c r="AK429" s="80" t="s">
        <v>6281</v>
      </c>
      <c r="AL429" s="80" t="s">
        <v>6936</v>
      </c>
      <c r="AM429" s="80"/>
      <c r="AN429" s="80"/>
      <c r="AO429" s="82">
        <v>40706.730000000003</v>
      </c>
      <c r="AP429" s="84" t="str">
        <f>HYPERLINK("https://pbs.twimg.com/profile_banners/315927303/1585752668")</f>
        <v>https://pbs.twimg.com/profile_banners/315927303/1585752668</v>
      </c>
      <c r="AQ429" s="80" t="b">
        <v>0</v>
      </c>
      <c r="AR429" s="80" t="b">
        <v>0</v>
      </c>
      <c r="AS429" s="80" t="b">
        <v>1</v>
      </c>
      <c r="AT429" s="80"/>
      <c r="AU429" s="80">
        <v>0</v>
      </c>
      <c r="AV429" s="84" t="str">
        <f>HYPERLINK("https://abs.twimg.com/images/themes/theme1/bg.png")</f>
        <v>https://abs.twimg.com/images/themes/theme1/bg.png</v>
      </c>
      <c r="AW429" s="80" t="b">
        <v>0</v>
      </c>
      <c r="AX429" s="80" t="s">
        <v>7173</v>
      </c>
      <c r="AY429" s="84" t="str">
        <f>HYPERLINK("https://twitter.com/clown_mui")</f>
        <v>https://twitter.com/clown_mui</v>
      </c>
      <c r="AZ429" s="80" t="s">
        <v>66</v>
      </c>
      <c r="BA429" s="2"/>
      <c r="BB429" s="3"/>
      <c r="BC429" s="3"/>
      <c r="BD429" s="3"/>
      <c r="BE429" s="3"/>
    </row>
    <row r="430" spans="1:57" x14ac:dyDescent="0.35">
      <c r="A430" s="66" t="s">
        <v>563</v>
      </c>
      <c r="B430" s="67"/>
      <c r="C430" s="67"/>
      <c r="D430" s="68"/>
      <c r="E430" s="70"/>
      <c r="F430" s="106" t="str">
        <f>HYPERLINK("https://pbs.twimg.com/profile_images/1083265026792673280/MKs_LDRH_normal.jpg")</f>
        <v>https://pbs.twimg.com/profile_images/1083265026792673280/MKs_LDRH_normal.jpg</v>
      </c>
      <c r="G430" s="67"/>
      <c r="H430" s="71"/>
      <c r="I430" s="72"/>
      <c r="J430" s="72"/>
      <c r="K430" s="71" t="s">
        <v>7600</v>
      </c>
      <c r="L430" s="75"/>
      <c r="M430" s="76"/>
      <c r="N430" s="76"/>
      <c r="O430" s="77"/>
      <c r="P430" s="78"/>
      <c r="Q430" s="78"/>
      <c r="R430" s="90"/>
      <c r="S430" s="90"/>
      <c r="T430" s="90"/>
      <c r="U430" s="90"/>
      <c r="V430" s="52"/>
      <c r="W430" s="52"/>
      <c r="X430" s="52"/>
      <c r="Y430" s="52"/>
      <c r="Z430" s="51"/>
      <c r="AA430" s="73"/>
      <c r="AB430" s="73"/>
      <c r="AC430" s="74"/>
      <c r="AD430" s="80" t="s">
        <v>4605</v>
      </c>
      <c r="AE430" s="86" t="s">
        <v>5513</v>
      </c>
      <c r="AF430" s="80">
        <v>107</v>
      </c>
      <c r="AG430" s="80">
        <v>204</v>
      </c>
      <c r="AH430" s="80">
        <v>58044</v>
      </c>
      <c r="AI430" s="80">
        <v>1102</v>
      </c>
      <c r="AJ430" s="80"/>
      <c r="AK430" s="80" t="s">
        <v>6282</v>
      </c>
      <c r="AL430" s="80" t="s">
        <v>6785</v>
      </c>
      <c r="AM430" s="80"/>
      <c r="AN430" s="80"/>
      <c r="AO430" s="82">
        <v>43475.282627314817</v>
      </c>
      <c r="AP430" s="80"/>
      <c r="AQ430" s="80" t="b">
        <v>1</v>
      </c>
      <c r="AR430" s="80" t="b">
        <v>0</v>
      </c>
      <c r="AS430" s="80" t="b">
        <v>1</v>
      </c>
      <c r="AT430" s="80"/>
      <c r="AU430" s="80">
        <v>0</v>
      </c>
      <c r="AV430" s="80"/>
      <c r="AW430" s="80" t="b">
        <v>0</v>
      </c>
      <c r="AX430" s="80" t="s">
        <v>7173</v>
      </c>
      <c r="AY430" s="84" t="str">
        <f>HYPERLINK("https://twitter.com/gunadi84380182")</f>
        <v>https://twitter.com/gunadi84380182</v>
      </c>
      <c r="AZ430" s="80" t="s">
        <v>66</v>
      </c>
      <c r="BA430" s="2"/>
      <c r="BB430" s="3"/>
      <c r="BC430" s="3"/>
      <c r="BD430" s="3"/>
      <c r="BE430" s="3"/>
    </row>
    <row r="431" spans="1:57" x14ac:dyDescent="0.35">
      <c r="A431" s="66" t="s">
        <v>564</v>
      </c>
      <c r="B431" s="67"/>
      <c r="C431" s="67"/>
      <c r="D431" s="68"/>
      <c r="E431" s="70"/>
      <c r="F431" s="106" t="str">
        <f>HYPERLINK("https://pbs.twimg.com/profile_images/838581180849016832/GnmKvNk9_normal.jpg")</f>
        <v>https://pbs.twimg.com/profile_images/838581180849016832/GnmKvNk9_normal.jpg</v>
      </c>
      <c r="G431" s="67"/>
      <c r="H431" s="71"/>
      <c r="I431" s="72"/>
      <c r="J431" s="72"/>
      <c r="K431" s="71" t="s">
        <v>7601</v>
      </c>
      <c r="L431" s="75"/>
      <c r="M431" s="76"/>
      <c r="N431" s="76"/>
      <c r="O431" s="77"/>
      <c r="P431" s="78"/>
      <c r="Q431" s="78"/>
      <c r="R431" s="90"/>
      <c r="S431" s="90"/>
      <c r="T431" s="90"/>
      <c r="U431" s="90"/>
      <c r="V431" s="52"/>
      <c r="W431" s="52"/>
      <c r="X431" s="52"/>
      <c r="Y431" s="52"/>
      <c r="Z431" s="51"/>
      <c r="AA431" s="73"/>
      <c r="AB431" s="73"/>
      <c r="AC431" s="74"/>
      <c r="AD431" s="80" t="s">
        <v>4606</v>
      </c>
      <c r="AE431" s="86" t="s">
        <v>5514</v>
      </c>
      <c r="AF431" s="80">
        <v>643</v>
      </c>
      <c r="AG431" s="80">
        <v>324</v>
      </c>
      <c r="AH431" s="80">
        <v>39734</v>
      </c>
      <c r="AI431" s="80">
        <v>1665</v>
      </c>
      <c r="AJ431" s="80"/>
      <c r="AK431" s="80"/>
      <c r="AL431" s="80" t="s">
        <v>4145</v>
      </c>
      <c r="AM431" s="80"/>
      <c r="AN431" s="80"/>
      <c r="AO431" s="82">
        <v>40067.147037037037</v>
      </c>
      <c r="AP431" s="80"/>
      <c r="AQ431" s="80" t="b">
        <v>1</v>
      </c>
      <c r="AR431" s="80" t="b">
        <v>0</v>
      </c>
      <c r="AS431" s="80" t="b">
        <v>1</v>
      </c>
      <c r="AT431" s="80"/>
      <c r="AU431" s="80">
        <v>0</v>
      </c>
      <c r="AV431" s="84" t="str">
        <f>HYPERLINK("https://abs.twimg.com/images/themes/theme1/bg.png")</f>
        <v>https://abs.twimg.com/images/themes/theme1/bg.png</v>
      </c>
      <c r="AW431" s="80" t="b">
        <v>0</v>
      </c>
      <c r="AX431" s="80" t="s">
        <v>7173</v>
      </c>
      <c r="AY431" s="84" t="str">
        <f>HYPERLINK("https://twitter.com/dirmanrdl")</f>
        <v>https://twitter.com/dirmanrdl</v>
      </c>
      <c r="AZ431" s="80" t="s">
        <v>66</v>
      </c>
      <c r="BA431" s="2"/>
      <c r="BB431" s="3"/>
      <c r="BC431" s="3"/>
      <c r="BD431" s="3"/>
      <c r="BE431" s="3"/>
    </row>
    <row r="432" spans="1:57" x14ac:dyDescent="0.35">
      <c r="A432" s="66" t="s">
        <v>565</v>
      </c>
      <c r="B432" s="67"/>
      <c r="C432" s="67"/>
      <c r="D432" s="68"/>
      <c r="E432" s="70"/>
      <c r="F432" s="106" t="str">
        <f>HYPERLINK("https://pbs.twimg.com/profile_images/1327607789435305986/Uz6tDuZm_normal.jpg")</f>
        <v>https://pbs.twimg.com/profile_images/1327607789435305986/Uz6tDuZm_normal.jpg</v>
      </c>
      <c r="G432" s="67"/>
      <c r="H432" s="71"/>
      <c r="I432" s="72"/>
      <c r="J432" s="72"/>
      <c r="K432" s="71" t="s">
        <v>7602</v>
      </c>
      <c r="L432" s="75"/>
      <c r="M432" s="76"/>
      <c r="N432" s="76"/>
      <c r="O432" s="77"/>
      <c r="P432" s="78"/>
      <c r="Q432" s="78"/>
      <c r="R432" s="90"/>
      <c r="S432" s="90"/>
      <c r="T432" s="90"/>
      <c r="U432" s="90"/>
      <c r="V432" s="52"/>
      <c r="W432" s="52"/>
      <c r="X432" s="52"/>
      <c r="Y432" s="52"/>
      <c r="Z432" s="51"/>
      <c r="AA432" s="73"/>
      <c r="AB432" s="73"/>
      <c r="AC432" s="74"/>
      <c r="AD432" s="80" t="s">
        <v>4607</v>
      </c>
      <c r="AE432" s="86" t="s">
        <v>5515</v>
      </c>
      <c r="AF432" s="80">
        <v>295</v>
      </c>
      <c r="AG432" s="80">
        <v>281</v>
      </c>
      <c r="AH432" s="80">
        <v>23100</v>
      </c>
      <c r="AI432" s="80">
        <v>36934</v>
      </c>
      <c r="AJ432" s="80"/>
      <c r="AK432" s="80"/>
      <c r="AL432" s="80"/>
      <c r="AM432" s="80"/>
      <c r="AN432" s="80"/>
      <c r="AO432" s="82">
        <v>43897.358715277776</v>
      </c>
      <c r="AP432" s="80"/>
      <c r="AQ432" s="80" t="b">
        <v>1</v>
      </c>
      <c r="AR432" s="80" t="b">
        <v>0</v>
      </c>
      <c r="AS432" s="80" t="b">
        <v>0</v>
      </c>
      <c r="AT432" s="80"/>
      <c r="AU432" s="80">
        <v>0</v>
      </c>
      <c r="AV432" s="80"/>
      <c r="AW432" s="80" t="b">
        <v>0</v>
      </c>
      <c r="AX432" s="80" t="s">
        <v>7173</v>
      </c>
      <c r="AY432" s="84" t="str">
        <f>HYPERLINK("https://twitter.com/amiipoerwa")</f>
        <v>https://twitter.com/amiipoerwa</v>
      </c>
      <c r="AZ432" s="80" t="s">
        <v>66</v>
      </c>
      <c r="BA432" s="2"/>
      <c r="BB432" s="3"/>
      <c r="BC432" s="3"/>
      <c r="BD432" s="3"/>
      <c r="BE432" s="3"/>
    </row>
    <row r="433" spans="1:57" x14ac:dyDescent="0.35">
      <c r="A433" s="66" t="s">
        <v>566</v>
      </c>
      <c r="B433" s="67"/>
      <c r="C433" s="67"/>
      <c r="D433" s="68"/>
      <c r="E433" s="70"/>
      <c r="F433" s="106" t="str">
        <f>HYPERLINK("https://pbs.twimg.com/profile_images/1349680564706578434/k8OlDxsJ_normal.jpg")</f>
        <v>https://pbs.twimg.com/profile_images/1349680564706578434/k8OlDxsJ_normal.jpg</v>
      </c>
      <c r="G433" s="67"/>
      <c r="H433" s="71"/>
      <c r="I433" s="72"/>
      <c r="J433" s="72"/>
      <c r="K433" s="71" t="s">
        <v>7603</v>
      </c>
      <c r="L433" s="75"/>
      <c r="M433" s="76"/>
      <c r="N433" s="76"/>
      <c r="O433" s="77"/>
      <c r="P433" s="78"/>
      <c r="Q433" s="78"/>
      <c r="R433" s="90"/>
      <c r="S433" s="90"/>
      <c r="T433" s="90"/>
      <c r="U433" s="90"/>
      <c r="V433" s="52"/>
      <c r="W433" s="52"/>
      <c r="X433" s="52"/>
      <c r="Y433" s="52"/>
      <c r="Z433" s="51"/>
      <c r="AA433" s="73"/>
      <c r="AB433" s="73"/>
      <c r="AC433" s="74"/>
      <c r="AD433" s="80" t="s">
        <v>4608</v>
      </c>
      <c r="AE433" s="86" t="s">
        <v>5516</v>
      </c>
      <c r="AF433" s="80">
        <v>823</v>
      </c>
      <c r="AG433" s="80">
        <v>652</v>
      </c>
      <c r="AH433" s="80">
        <v>7858</v>
      </c>
      <c r="AI433" s="80">
        <v>15768</v>
      </c>
      <c r="AJ433" s="80"/>
      <c r="AK433" s="80" t="s">
        <v>6283</v>
      </c>
      <c r="AL433" s="80" t="s">
        <v>6787</v>
      </c>
      <c r="AM433" s="80"/>
      <c r="AN433" s="80"/>
      <c r="AO433" s="82">
        <v>43395.657129629632</v>
      </c>
      <c r="AP433" s="84" t="str">
        <f>HYPERLINK("https://pbs.twimg.com/profile_banners/1054398541915803648/1602957971")</f>
        <v>https://pbs.twimg.com/profile_banners/1054398541915803648/1602957971</v>
      </c>
      <c r="AQ433" s="80" t="b">
        <v>1</v>
      </c>
      <c r="AR433" s="80" t="b">
        <v>0</v>
      </c>
      <c r="AS433" s="80" t="b">
        <v>0</v>
      </c>
      <c r="AT433" s="80"/>
      <c r="AU433" s="80">
        <v>0</v>
      </c>
      <c r="AV433" s="80"/>
      <c r="AW433" s="80" t="b">
        <v>0</v>
      </c>
      <c r="AX433" s="80" t="s">
        <v>7173</v>
      </c>
      <c r="AY433" s="84" t="str">
        <f>HYPERLINK("https://twitter.com/ervan_jtm")</f>
        <v>https://twitter.com/ervan_jtm</v>
      </c>
      <c r="AZ433" s="80" t="s">
        <v>66</v>
      </c>
      <c r="BA433" s="2"/>
      <c r="BB433" s="3"/>
      <c r="BC433" s="3"/>
      <c r="BD433" s="3"/>
      <c r="BE433" s="3"/>
    </row>
    <row r="434" spans="1:57" x14ac:dyDescent="0.35">
      <c r="A434" s="66" t="s">
        <v>567</v>
      </c>
      <c r="B434" s="67"/>
      <c r="C434" s="67"/>
      <c r="D434" s="68"/>
      <c r="E434" s="70"/>
      <c r="F434" s="106" t="str">
        <f>HYPERLINK("https://pbs.twimg.com/profile_images/1432602696226197506/gWuRgD9k_normal.jpg")</f>
        <v>https://pbs.twimg.com/profile_images/1432602696226197506/gWuRgD9k_normal.jpg</v>
      </c>
      <c r="G434" s="67"/>
      <c r="H434" s="71"/>
      <c r="I434" s="72"/>
      <c r="J434" s="72"/>
      <c r="K434" s="71" t="s">
        <v>7604</v>
      </c>
      <c r="L434" s="75"/>
      <c r="M434" s="76"/>
      <c r="N434" s="76"/>
      <c r="O434" s="77"/>
      <c r="P434" s="78"/>
      <c r="Q434" s="78"/>
      <c r="R434" s="90"/>
      <c r="S434" s="90"/>
      <c r="T434" s="90"/>
      <c r="U434" s="90"/>
      <c r="V434" s="52"/>
      <c r="W434" s="52"/>
      <c r="X434" s="52"/>
      <c r="Y434" s="52"/>
      <c r="Z434" s="51"/>
      <c r="AA434" s="73"/>
      <c r="AB434" s="73"/>
      <c r="AC434" s="74"/>
      <c r="AD434" s="80" t="s">
        <v>4609</v>
      </c>
      <c r="AE434" s="86" t="s">
        <v>5517</v>
      </c>
      <c r="AF434" s="80">
        <v>310</v>
      </c>
      <c r="AG434" s="80">
        <v>330</v>
      </c>
      <c r="AH434" s="80">
        <v>13140</v>
      </c>
      <c r="AI434" s="80">
        <v>11014</v>
      </c>
      <c r="AJ434" s="80"/>
      <c r="AK434" s="80" t="s">
        <v>6284</v>
      </c>
      <c r="AL434" s="80" t="s">
        <v>6937</v>
      </c>
      <c r="AM434" s="84" t="str">
        <f>HYPERLINK("https://t.co/0COT3jlc72")</f>
        <v>https://t.co/0COT3jlc72</v>
      </c>
      <c r="AN434" s="80"/>
      <c r="AO434" s="82">
        <v>41831.66002314815</v>
      </c>
      <c r="AP434" s="84" t="str">
        <f>HYPERLINK("https://pbs.twimg.com/profile_banners/2617566708/1620734749")</f>
        <v>https://pbs.twimg.com/profile_banners/2617566708/1620734749</v>
      </c>
      <c r="AQ434" s="80" t="b">
        <v>0</v>
      </c>
      <c r="AR434" s="80" t="b">
        <v>0</v>
      </c>
      <c r="AS434" s="80" t="b">
        <v>1</v>
      </c>
      <c r="AT434" s="80"/>
      <c r="AU434" s="80">
        <v>1</v>
      </c>
      <c r="AV434" s="84" t="str">
        <f>HYPERLINK("https://abs.twimg.com/images/themes/theme12/bg.gif")</f>
        <v>https://abs.twimg.com/images/themes/theme12/bg.gif</v>
      </c>
      <c r="AW434" s="80" t="b">
        <v>0</v>
      </c>
      <c r="AX434" s="80" t="s">
        <v>7173</v>
      </c>
      <c r="AY434" s="84" t="str">
        <f>HYPERLINK("https://twitter.com/yussandrifikri")</f>
        <v>https://twitter.com/yussandrifikri</v>
      </c>
      <c r="AZ434" s="80" t="s">
        <v>66</v>
      </c>
      <c r="BA434" s="2"/>
      <c r="BB434" s="3"/>
      <c r="BC434" s="3"/>
      <c r="BD434" s="3"/>
      <c r="BE434" s="3"/>
    </row>
    <row r="435" spans="1:57" x14ac:dyDescent="0.35">
      <c r="A435" s="66" t="s">
        <v>1069</v>
      </c>
      <c r="B435" s="67"/>
      <c r="C435" s="67"/>
      <c r="D435" s="68"/>
      <c r="E435" s="70"/>
      <c r="F435" s="106" t="str">
        <f>HYPERLINK("https://pbs.twimg.com/profile_images/1370544194335305729/-3q74pLx_normal.jpg")</f>
        <v>https://pbs.twimg.com/profile_images/1370544194335305729/-3q74pLx_normal.jpg</v>
      </c>
      <c r="G435" s="67"/>
      <c r="H435" s="71"/>
      <c r="I435" s="72"/>
      <c r="J435" s="72"/>
      <c r="K435" s="71" t="s">
        <v>7605</v>
      </c>
      <c r="L435" s="75"/>
      <c r="M435" s="76"/>
      <c r="N435" s="76"/>
      <c r="O435" s="77"/>
      <c r="P435" s="78"/>
      <c r="Q435" s="78"/>
      <c r="R435" s="90"/>
      <c r="S435" s="90"/>
      <c r="T435" s="90"/>
      <c r="U435" s="90"/>
      <c r="V435" s="52"/>
      <c r="W435" s="52"/>
      <c r="X435" s="52"/>
      <c r="Y435" s="52"/>
      <c r="Z435" s="51"/>
      <c r="AA435" s="73"/>
      <c r="AB435" s="73"/>
      <c r="AC435" s="74"/>
      <c r="AD435" s="80" t="s">
        <v>4610</v>
      </c>
      <c r="AE435" s="86" t="s">
        <v>3943</v>
      </c>
      <c r="AF435" s="80">
        <v>207</v>
      </c>
      <c r="AG435" s="80">
        <v>218</v>
      </c>
      <c r="AH435" s="80">
        <v>6519</v>
      </c>
      <c r="AI435" s="80">
        <v>6246</v>
      </c>
      <c r="AJ435" s="80"/>
      <c r="AK435" s="80" t="s">
        <v>6285</v>
      </c>
      <c r="AL435" s="80" t="s">
        <v>6938</v>
      </c>
      <c r="AM435" s="80"/>
      <c r="AN435" s="80"/>
      <c r="AO435" s="82">
        <v>41273.542060185187</v>
      </c>
      <c r="AP435" s="84" t="str">
        <f>HYPERLINK("https://pbs.twimg.com/profile_banners/1047818113/1632487374")</f>
        <v>https://pbs.twimg.com/profile_banners/1047818113/1632487374</v>
      </c>
      <c r="AQ435" s="80" t="b">
        <v>1</v>
      </c>
      <c r="AR435" s="80" t="b">
        <v>0</v>
      </c>
      <c r="AS435" s="80" t="b">
        <v>1</v>
      </c>
      <c r="AT435" s="80"/>
      <c r="AU435" s="80">
        <v>0</v>
      </c>
      <c r="AV435" s="84" t="str">
        <f>HYPERLINK("https://abs.twimg.com/images/themes/theme1/bg.png")</f>
        <v>https://abs.twimg.com/images/themes/theme1/bg.png</v>
      </c>
      <c r="AW435" s="80" t="b">
        <v>0</v>
      </c>
      <c r="AX435" s="80" t="s">
        <v>7173</v>
      </c>
      <c r="AY435" s="84" t="str">
        <f>HYPERLINK("https://twitter.com/bobbygr__")</f>
        <v>https://twitter.com/bobbygr__</v>
      </c>
      <c r="AZ435" s="80" t="s">
        <v>65</v>
      </c>
      <c r="BA435" s="2"/>
      <c r="BB435" s="3"/>
      <c r="BC435" s="3"/>
      <c r="BD435" s="3"/>
      <c r="BE435" s="3"/>
    </row>
    <row r="436" spans="1:57" x14ac:dyDescent="0.35">
      <c r="A436" s="66" t="s">
        <v>568</v>
      </c>
      <c r="B436" s="67"/>
      <c r="C436" s="67"/>
      <c r="D436" s="68"/>
      <c r="E436" s="70"/>
      <c r="F436" s="106" t="str">
        <f>HYPERLINK("https://pbs.twimg.com/profile_images/1384031403931684878/cFq5RAYb_normal.jpg")</f>
        <v>https://pbs.twimg.com/profile_images/1384031403931684878/cFq5RAYb_normal.jpg</v>
      </c>
      <c r="G436" s="67"/>
      <c r="H436" s="71"/>
      <c r="I436" s="72"/>
      <c r="J436" s="72"/>
      <c r="K436" s="71" t="s">
        <v>7606</v>
      </c>
      <c r="L436" s="75"/>
      <c r="M436" s="76"/>
      <c r="N436" s="76"/>
      <c r="O436" s="77"/>
      <c r="P436" s="78"/>
      <c r="Q436" s="78"/>
      <c r="R436" s="90"/>
      <c r="S436" s="90"/>
      <c r="T436" s="90"/>
      <c r="U436" s="90"/>
      <c r="V436" s="52"/>
      <c r="W436" s="52"/>
      <c r="X436" s="52"/>
      <c r="Y436" s="52"/>
      <c r="Z436" s="51"/>
      <c r="AA436" s="73"/>
      <c r="AB436" s="73"/>
      <c r="AC436" s="74"/>
      <c r="AD436" s="80" t="s">
        <v>4611</v>
      </c>
      <c r="AE436" s="86" t="s">
        <v>5518</v>
      </c>
      <c r="AF436" s="80">
        <v>5864</v>
      </c>
      <c r="AG436" s="80">
        <v>6032</v>
      </c>
      <c r="AH436" s="80">
        <v>1869</v>
      </c>
      <c r="AI436" s="80">
        <v>1859</v>
      </c>
      <c r="AJ436" s="80"/>
      <c r="AK436" s="80" t="s">
        <v>6286</v>
      </c>
      <c r="AL436" s="80"/>
      <c r="AM436" s="80"/>
      <c r="AN436" s="80"/>
      <c r="AO436" s="82">
        <v>44184.513090277775</v>
      </c>
      <c r="AP436" s="84" t="str">
        <f>HYPERLINK("https://pbs.twimg.com/profile_banners/1340270259408793607/1631463382")</f>
        <v>https://pbs.twimg.com/profile_banners/1340270259408793607/1631463382</v>
      </c>
      <c r="AQ436" s="80" t="b">
        <v>1</v>
      </c>
      <c r="AR436" s="80" t="b">
        <v>0</v>
      </c>
      <c r="AS436" s="80" t="b">
        <v>0</v>
      </c>
      <c r="AT436" s="80"/>
      <c r="AU436" s="80">
        <v>0</v>
      </c>
      <c r="AV436" s="80"/>
      <c r="AW436" s="80" t="b">
        <v>0</v>
      </c>
      <c r="AX436" s="80" t="s">
        <v>7173</v>
      </c>
      <c r="AY436" s="84" t="str">
        <f>HYPERLINK("https://twitter.com/justin_899")</f>
        <v>https://twitter.com/justin_899</v>
      </c>
      <c r="AZ436" s="80" t="s">
        <v>66</v>
      </c>
      <c r="BA436" s="2"/>
      <c r="BB436" s="3"/>
      <c r="BC436" s="3"/>
      <c r="BD436" s="3"/>
      <c r="BE436" s="3"/>
    </row>
    <row r="437" spans="1:57" x14ac:dyDescent="0.35">
      <c r="A437" s="66" t="s">
        <v>569</v>
      </c>
      <c r="B437" s="67"/>
      <c r="C437" s="67"/>
      <c r="D437" s="68"/>
      <c r="E437" s="70"/>
      <c r="F437" s="106" t="str">
        <f>HYPERLINK("https://pbs.twimg.com/profile_images/1101221808831750144/oBW-bu6M_normal.jpg")</f>
        <v>https://pbs.twimg.com/profile_images/1101221808831750144/oBW-bu6M_normal.jpg</v>
      </c>
      <c r="G437" s="67"/>
      <c r="H437" s="71"/>
      <c r="I437" s="72"/>
      <c r="J437" s="72"/>
      <c r="K437" s="71" t="s">
        <v>7607</v>
      </c>
      <c r="L437" s="75"/>
      <c r="M437" s="76"/>
      <c r="N437" s="76"/>
      <c r="O437" s="77"/>
      <c r="P437" s="78"/>
      <c r="Q437" s="78"/>
      <c r="R437" s="90"/>
      <c r="S437" s="90"/>
      <c r="T437" s="90"/>
      <c r="U437" s="90"/>
      <c r="V437" s="52"/>
      <c r="W437" s="52"/>
      <c r="X437" s="52"/>
      <c r="Y437" s="52"/>
      <c r="Z437" s="51"/>
      <c r="AA437" s="73"/>
      <c r="AB437" s="73"/>
      <c r="AC437" s="74"/>
      <c r="AD437" s="80" t="s">
        <v>4612</v>
      </c>
      <c r="AE437" s="86" t="s">
        <v>5519</v>
      </c>
      <c r="AF437" s="80">
        <v>4963</v>
      </c>
      <c r="AG437" s="80">
        <v>1786</v>
      </c>
      <c r="AH437" s="80">
        <v>368355</v>
      </c>
      <c r="AI437" s="80">
        <v>633251</v>
      </c>
      <c r="AJ437" s="80"/>
      <c r="AK437" s="80"/>
      <c r="AL437" s="80"/>
      <c r="AM437" s="80"/>
      <c r="AN437" s="80"/>
      <c r="AO437" s="82">
        <v>42483.414907407408</v>
      </c>
      <c r="AP437" s="80"/>
      <c r="AQ437" s="80" t="b">
        <v>1</v>
      </c>
      <c r="AR437" s="80" t="b">
        <v>0</v>
      </c>
      <c r="AS437" s="80" t="b">
        <v>1</v>
      </c>
      <c r="AT437" s="80"/>
      <c r="AU437" s="80">
        <v>4</v>
      </c>
      <c r="AV437" s="80"/>
      <c r="AW437" s="80" t="b">
        <v>0</v>
      </c>
      <c r="AX437" s="80" t="s">
        <v>7173</v>
      </c>
      <c r="AY437" s="84" t="str">
        <f>HYPERLINK("https://twitter.com/lizaariani5")</f>
        <v>https://twitter.com/lizaariani5</v>
      </c>
      <c r="AZ437" s="80" t="s">
        <v>66</v>
      </c>
      <c r="BA437" s="2"/>
      <c r="BB437" s="3"/>
      <c r="BC437" s="3"/>
      <c r="BD437" s="3"/>
      <c r="BE437" s="3"/>
    </row>
    <row r="438" spans="1:57" x14ac:dyDescent="0.35">
      <c r="A438" s="66" t="s">
        <v>570</v>
      </c>
      <c r="B438" s="67"/>
      <c r="C438" s="67"/>
      <c r="D438" s="68"/>
      <c r="E438" s="70"/>
      <c r="F438" s="106" t="str">
        <f>HYPERLINK("https://pbs.twimg.com/profile_images/1434368489721004034/FSnaJIq6_normal.jpg")</f>
        <v>https://pbs.twimg.com/profile_images/1434368489721004034/FSnaJIq6_normal.jpg</v>
      </c>
      <c r="G438" s="67"/>
      <c r="H438" s="71"/>
      <c r="I438" s="72"/>
      <c r="J438" s="72"/>
      <c r="K438" s="71" t="s">
        <v>7608</v>
      </c>
      <c r="L438" s="75"/>
      <c r="M438" s="76"/>
      <c r="N438" s="76"/>
      <c r="O438" s="77"/>
      <c r="P438" s="78"/>
      <c r="Q438" s="78"/>
      <c r="R438" s="90"/>
      <c r="S438" s="90"/>
      <c r="T438" s="90"/>
      <c r="U438" s="90"/>
      <c r="V438" s="52"/>
      <c r="W438" s="52"/>
      <c r="X438" s="52"/>
      <c r="Y438" s="52"/>
      <c r="Z438" s="51"/>
      <c r="AA438" s="73"/>
      <c r="AB438" s="73"/>
      <c r="AC438" s="74"/>
      <c r="AD438" s="80" t="s">
        <v>4613</v>
      </c>
      <c r="AE438" s="86" t="s">
        <v>5520</v>
      </c>
      <c r="AF438" s="80">
        <v>795</v>
      </c>
      <c r="AG438" s="80">
        <v>873</v>
      </c>
      <c r="AH438" s="80">
        <v>61963</v>
      </c>
      <c r="AI438" s="80">
        <v>50302</v>
      </c>
      <c r="AJ438" s="80"/>
      <c r="AK438" s="80" t="s">
        <v>6287</v>
      </c>
      <c r="AL438" s="80" t="s">
        <v>6770</v>
      </c>
      <c r="AM438" s="80"/>
      <c r="AN438" s="80"/>
      <c r="AO438" s="82">
        <v>42780.678124999999</v>
      </c>
      <c r="AP438" s="84" t="str">
        <f>HYPERLINK("https://pbs.twimg.com/profile_banners/831537612141703172/1575808362")</f>
        <v>https://pbs.twimg.com/profile_banners/831537612141703172/1575808362</v>
      </c>
      <c r="AQ438" s="80" t="b">
        <v>1</v>
      </c>
      <c r="AR438" s="80" t="b">
        <v>0</v>
      </c>
      <c r="AS438" s="80" t="b">
        <v>1</v>
      </c>
      <c r="AT438" s="80"/>
      <c r="AU438" s="80">
        <v>0</v>
      </c>
      <c r="AV438" s="80"/>
      <c r="AW438" s="80" t="b">
        <v>0</v>
      </c>
      <c r="AX438" s="80" t="s">
        <v>7173</v>
      </c>
      <c r="AY438" s="84" t="str">
        <f>HYPERLINK("https://twitter.com/widiatis279")</f>
        <v>https://twitter.com/widiatis279</v>
      </c>
      <c r="AZ438" s="80" t="s">
        <v>66</v>
      </c>
      <c r="BA438" s="2"/>
      <c r="BB438" s="3"/>
      <c r="BC438" s="3"/>
      <c r="BD438" s="3"/>
      <c r="BE438" s="3"/>
    </row>
    <row r="439" spans="1:57" x14ac:dyDescent="0.35">
      <c r="A439" s="66" t="s">
        <v>571</v>
      </c>
      <c r="B439" s="67"/>
      <c r="C439" s="67"/>
      <c r="D439" s="68"/>
      <c r="E439" s="70"/>
      <c r="F439" s="106" t="str">
        <f>HYPERLINK("https://pbs.twimg.com/profile_images/1425992680937443332/sRlpUGW__normal.jpg")</f>
        <v>https://pbs.twimg.com/profile_images/1425992680937443332/sRlpUGW__normal.jpg</v>
      </c>
      <c r="G439" s="67"/>
      <c r="H439" s="71"/>
      <c r="I439" s="72"/>
      <c r="J439" s="72"/>
      <c r="K439" s="71" t="s">
        <v>7609</v>
      </c>
      <c r="L439" s="75"/>
      <c r="M439" s="76"/>
      <c r="N439" s="76"/>
      <c r="O439" s="77"/>
      <c r="P439" s="78"/>
      <c r="Q439" s="78"/>
      <c r="R439" s="90"/>
      <c r="S439" s="90"/>
      <c r="T439" s="90"/>
      <c r="U439" s="90"/>
      <c r="V439" s="52"/>
      <c r="W439" s="52"/>
      <c r="X439" s="52"/>
      <c r="Y439" s="52"/>
      <c r="Z439" s="51"/>
      <c r="AA439" s="73"/>
      <c r="AB439" s="73"/>
      <c r="AC439" s="74"/>
      <c r="AD439" s="80" t="s">
        <v>4614</v>
      </c>
      <c r="AE439" s="86" t="s">
        <v>5521</v>
      </c>
      <c r="AF439" s="80">
        <v>5005</v>
      </c>
      <c r="AG439" s="80">
        <v>4048</v>
      </c>
      <c r="AH439" s="80">
        <v>4108</v>
      </c>
      <c r="AI439" s="80">
        <v>18233</v>
      </c>
      <c r="AJ439" s="80"/>
      <c r="AK439" s="80" t="s">
        <v>6288</v>
      </c>
      <c r="AL439" s="80" t="s">
        <v>6939</v>
      </c>
      <c r="AM439" s="80"/>
      <c r="AN439" s="80"/>
      <c r="AO439" s="82">
        <v>42182.230162037034</v>
      </c>
      <c r="AP439" s="84" t="str">
        <f>HYPERLINK("https://pbs.twimg.com/profile_banners/3257415062/1628818124")</f>
        <v>https://pbs.twimg.com/profile_banners/3257415062/1628818124</v>
      </c>
      <c r="AQ439" s="80" t="b">
        <v>1</v>
      </c>
      <c r="AR439" s="80" t="b">
        <v>0</v>
      </c>
      <c r="AS439" s="80" t="b">
        <v>0</v>
      </c>
      <c r="AT439" s="80"/>
      <c r="AU439" s="80">
        <v>0</v>
      </c>
      <c r="AV439" s="84" t="str">
        <f>HYPERLINK("https://abs.twimg.com/images/themes/theme1/bg.png")</f>
        <v>https://abs.twimg.com/images/themes/theme1/bg.png</v>
      </c>
      <c r="AW439" s="80" t="b">
        <v>0</v>
      </c>
      <c r="AX439" s="80" t="s">
        <v>7173</v>
      </c>
      <c r="AY439" s="84" t="str">
        <f>HYPERLINK("https://twitter.com/nathanaelnugro1")</f>
        <v>https://twitter.com/nathanaelnugro1</v>
      </c>
      <c r="AZ439" s="80" t="s">
        <v>66</v>
      </c>
      <c r="BA439" s="2"/>
      <c r="BB439" s="3"/>
      <c r="BC439" s="3"/>
      <c r="BD439" s="3"/>
      <c r="BE439" s="3"/>
    </row>
    <row r="440" spans="1:57" x14ac:dyDescent="0.35">
      <c r="A440" s="66" t="s">
        <v>572</v>
      </c>
      <c r="B440" s="67"/>
      <c r="C440" s="67"/>
      <c r="D440" s="68"/>
      <c r="E440" s="70"/>
      <c r="F440" s="106" t="str">
        <f>HYPERLINK("https://pbs.twimg.com/profile_images/1397913917427384321/DGyNz_cB_normal.jpg")</f>
        <v>https://pbs.twimg.com/profile_images/1397913917427384321/DGyNz_cB_normal.jpg</v>
      </c>
      <c r="G440" s="67"/>
      <c r="H440" s="71"/>
      <c r="I440" s="72"/>
      <c r="J440" s="72"/>
      <c r="K440" s="71" t="s">
        <v>7610</v>
      </c>
      <c r="L440" s="75"/>
      <c r="M440" s="76"/>
      <c r="N440" s="76"/>
      <c r="O440" s="77"/>
      <c r="P440" s="78"/>
      <c r="Q440" s="78"/>
      <c r="R440" s="90"/>
      <c r="S440" s="90"/>
      <c r="T440" s="90"/>
      <c r="U440" s="90"/>
      <c r="V440" s="52"/>
      <c r="W440" s="52"/>
      <c r="X440" s="52"/>
      <c r="Y440" s="52"/>
      <c r="Z440" s="51"/>
      <c r="AA440" s="73"/>
      <c r="AB440" s="73"/>
      <c r="AC440" s="74"/>
      <c r="AD440" s="80" t="s">
        <v>4615</v>
      </c>
      <c r="AE440" s="86" t="s">
        <v>5522</v>
      </c>
      <c r="AF440" s="80">
        <v>1165</v>
      </c>
      <c r="AG440" s="80">
        <v>891</v>
      </c>
      <c r="AH440" s="80">
        <v>11675</v>
      </c>
      <c r="AI440" s="80">
        <v>15589</v>
      </c>
      <c r="AJ440" s="80"/>
      <c r="AK440" s="80" t="s">
        <v>6289</v>
      </c>
      <c r="AL440" s="80" t="s">
        <v>6940</v>
      </c>
      <c r="AM440" s="80"/>
      <c r="AN440" s="80"/>
      <c r="AO440" s="82">
        <v>40689.135497685187</v>
      </c>
      <c r="AP440" s="84" t="str">
        <f>HYPERLINK("https://pbs.twimg.com/profile_banners/305375879/1622124200")</f>
        <v>https://pbs.twimg.com/profile_banners/305375879/1622124200</v>
      </c>
      <c r="AQ440" s="80" t="b">
        <v>0</v>
      </c>
      <c r="AR440" s="80" t="b">
        <v>0</v>
      </c>
      <c r="AS440" s="80" t="b">
        <v>0</v>
      </c>
      <c r="AT440" s="80"/>
      <c r="AU440" s="80">
        <v>0</v>
      </c>
      <c r="AV440" s="84" t="str">
        <f>HYPERLINK("https://abs.twimg.com/images/themes/theme18/bg.gif")</f>
        <v>https://abs.twimg.com/images/themes/theme18/bg.gif</v>
      </c>
      <c r="AW440" s="80" t="b">
        <v>0</v>
      </c>
      <c r="AX440" s="80" t="s">
        <v>7173</v>
      </c>
      <c r="AY440" s="84" t="str">
        <f>HYPERLINK("https://twitter.com/erosyad")</f>
        <v>https://twitter.com/erosyad</v>
      </c>
      <c r="AZ440" s="80" t="s">
        <v>66</v>
      </c>
      <c r="BA440" s="2"/>
      <c r="BB440" s="3"/>
      <c r="BC440" s="3"/>
      <c r="BD440" s="3"/>
      <c r="BE440" s="3"/>
    </row>
    <row r="441" spans="1:57" x14ac:dyDescent="0.35">
      <c r="A441" s="66" t="s">
        <v>573</v>
      </c>
      <c r="B441" s="67"/>
      <c r="C441" s="67"/>
      <c r="D441" s="68"/>
      <c r="E441" s="70"/>
      <c r="F441" s="106" t="str">
        <f>HYPERLINK("https://pbs.twimg.com/profile_images/1411672865804492800/M_WVMrxw_normal.jpg")</f>
        <v>https://pbs.twimg.com/profile_images/1411672865804492800/M_WVMrxw_normal.jpg</v>
      </c>
      <c r="G441" s="67"/>
      <c r="H441" s="71"/>
      <c r="I441" s="72"/>
      <c r="J441" s="72"/>
      <c r="K441" s="71" t="s">
        <v>7611</v>
      </c>
      <c r="L441" s="75"/>
      <c r="M441" s="76"/>
      <c r="N441" s="76"/>
      <c r="O441" s="77"/>
      <c r="P441" s="78"/>
      <c r="Q441" s="78"/>
      <c r="R441" s="90"/>
      <c r="S441" s="90"/>
      <c r="T441" s="90"/>
      <c r="U441" s="90"/>
      <c r="V441" s="52"/>
      <c r="W441" s="52"/>
      <c r="X441" s="52"/>
      <c r="Y441" s="52"/>
      <c r="Z441" s="51"/>
      <c r="AA441" s="73"/>
      <c r="AB441" s="73"/>
      <c r="AC441" s="74"/>
      <c r="AD441" s="80" t="s">
        <v>4616</v>
      </c>
      <c r="AE441" s="86" t="s">
        <v>5523</v>
      </c>
      <c r="AF441" s="80">
        <v>2992</v>
      </c>
      <c r="AG441" s="80">
        <v>3413</v>
      </c>
      <c r="AH441" s="80">
        <v>50602</v>
      </c>
      <c r="AI441" s="80">
        <v>48114</v>
      </c>
      <c r="AJ441" s="80"/>
      <c r="AK441" s="80" t="s">
        <v>6290</v>
      </c>
      <c r="AL441" s="80" t="s">
        <v>6941</v>
      </c>
      <c r="AM441" s="80"/>
      <c r="AN441" s="80"/>
      <c r="AO441" s="82">
        <v>43883.226377314815</v>
      </c>
      <c r="AP441" s="84" t="str">
        <f>HYPERLINK("https://pbs.twimg.com/profile_banners/1231087591757246464/1618656555")</f>
        <v>https://pbs.twimg.com/profile_banners/1231087591757246464/1618656555</v>
      </c>
      <c r="AQ441" s="80" t="b">
        <v>1</v>
      </c>
      <c r="AR441" s="80" t="b">
        <v>0</v>
      </c>
      <c r="AS441" s="80" t="b">
        <v>0</v>
      </c>
      <c r="AT441" s="80"/>
      <c r="AU441" s="80">
        <v>1</v>
      </c>
      <c r="AV441" s="80"/>
      <c r="AW441" s="80" t="b">
        <v>0</v>
      </c>
      <c r="AX441" s="80" t="s">
        <v>7173</v>
      </c>
      <c r="AY441" s="84" t="str">
        <f>HYPERLINK("https://twitter.com/nogososroasli")</f>
        <v>https://twitter.com/nogososroasli</v>
      </c>
      <c r="AZ441" s="80" t="s">
        <v>66</v>
      </c>
      <c r="BA441" s="2"/>
      <c r="BB441" s="3"/>
      <c r="BC441" s="3"/>
      <c r="BD441" s="3"/>
      <c r="BE441" s="3"/>
    </row>
    <row r="442" spans="1:57" x14ac:dyDescent="0.35">
      <c r="A442" s="66" t="s">
        <v>574</v>
      </c>
      <c r="B442" s="67"/>
      <c r="C442" s="67"/>
      <c r="D442" s="68"/>
      <c r="E442" s="70"/>
      <c r="F442" s="106" t="str">
        <f>HYPERLINK("https://pbs.twimg.com/profile_images/1432866140129304577/-cjJrGNS_normal.jpg")</f>
        <v>https://pbs.twimg.com/profile_images/1432866140129304577/-cjJrGNS_normal.jpg</v>
      </c>
      <c r="G442" s="67"/>
      <c r="H442" s="71"/>
      <c r="I442" s="72"/>
      <c r="J442" s="72"/>
      <c r="K442" s="71" t="s">
        <v>7612</v>
      </c>
      <c r="L442" s="75"/>
      <c r="M442" s="76"/>
      <c r="N442" s="76"/>
      <c r="O442" s="77"/>
      <c r="P442" s="78"/>
      <c r="Q442" s="78"/>
      <c r="R442" s="90"/>
      <c r="S442" s="90"/>
      <c r="T442" s="90"/>
      <c r="U442" s="90"/>
      <c r="V442" s="52"/>
      <c r="W442" s="52"/>
      <c r="X442" s="52"/>
      <c r="Y442" s="52"/>
      <c r="Z442" s="51"/>
      <c r="AA442" s="73"/>
      <c r="AB442" s="73"/>
      <c r="AC442" s="74"/>
      <c r="AD442" s="80" t="s">
        <v>4617</v>
      </c>
      <c r="AE442" s="86" t="s">
        <v>5524</v>
      </c>
      <c r="AF442" s="80">
        <v>2785</v>
      </c>
      <c r="AG442" s="80">
        <v>2754</v>
      </c>
      <c r="AH442" s="80">
        <v>12899</v>
      </c>
      <c r="AI442" s="80">
        <v>61304</v>
      </c>
      <c r="AJ442" s="80"/>
      <c r="AK442" s="80" t="s">
        <v>6291</v>
      </c>
      <c r="AL442" s="80" t="s">
        <v>6915</v>
      </c>
      <c r="AM442" s="80"/>
      <c r="AN442" s="80"/>
      <c r="AO442" s="82">
        <v>40856.467256944445</v>
      </c>
      <c r="AP442" s="84" t="str">
        <f>HYPERLINK("https://pbs.twimg.com/profile_banners/408396727/1601109197")</f>
        <v>https://pbs.twimg.com/profile_banners/408396727/1601109197</v>
      </c>
      <c r="AQ442" s="80" t="b">
        <v>1</v>
      </c>
      <c r="AR442" s="80" t="b">
        <v>0</v>
      </c>
      <c r="AS442" s="80" t="b">
        <v>1</v>
      </c>
      <c r="AT442" s="80"/>
      <c r="AU442" s="80">
        <v>0</v>
      </c>
      <c r="AV442" s="84" t="str">
        <f>HYPERLINK("https://abs.twimg.com/images/themes/theme1/bg.png")</f>
        <v>https://abs.twimg.com/images/themes/theme1/bg.png</v>
      </c>
      <c r="AW442" s="80" t="b">
        <v>0</v>
      </c>
      <c r="AX442" s="80" t="s">
        <v>7173</v>
      </c>
      <c r="AY442" s="84" t="str">
        <f>HYPERLINK("https://twitter.com/diana_harianti")</f>
        <v>https://twitter.com/diana_harianti</v>
      </c>
      <c r="AZ442" s="80" t="s">
        <v>66</v>
      </c>
      <c r="BA442" s="2"/>
      <c r="BB442" s="3"/>
      <c r="BC442" s="3"/>
      <c r="BD442" s="3"/>
      <c r="BE442" s="3"/>
    </row>
    <row r="443" spans="1:57" x14ac:dyDescent="0.35">
      <c r="A443" s="66" t="s">
        <v>575</v>
      </c>
      <c r="B443" s="67"/>
      <c r="C443" s="67"/>
      <c r="D443" s="68"/>
      <c r="E443" s="70"/>
      <c r="F443" s="106" t="str">
        <f>HYPERLINK("https://pbs.twimg.com/profile_images/1440292090299092996/QlYaiu6-_normal.jpg")</f>
        <v>https://pbs.twimg.com/profile_images/1440292090299092996/QlYaiu6-_normal.jpg</v>
      </c>
      <c r="G443" s="67"/>
      <c r="H443" s="71"/>
      <c r="I443" s="72"/>
      <c r="J443" s="72"/>
      <c r="K443" s="71" t="s">
        <v>7613</v>
      </c>
      <c r="L443" s="75"/>
      <c r="M443" s="76"/>
      <c r="N443" s="76"/>
      <c r="O443" s="77"/>
      <c r="P443" s="78"/>
      <c r="Q443" s="78"/>
      <c r="R443" s="90"/>
      <c r="S443" s="90"/>
      <c r="T443" s="90"/>
      <c r="U443" s="90"/>
      <c r="V443" s="52"/>
      <c r="W443" s="52"/>
      <c r="X443" s="52"/>
      <c r="Y443" s="52"/>
      <c r="Z443" s="51"/>
      <c r="AA443" s="73"/>
      <c r="AB443" s="73"/>
      <c r="AC443" s="74"/>
      <c r="AD443" s="80" t="s">
        <v>4618</v>
      </c>
      <c r="AE443" s="86" t="s">
        <v>5525</v>
      </c>
      <c r="AF443" s="80">
        <v>2</v>
      </c>
      <c r="AG443" s="80">
        <v>0</v>
      </c>
      <c r="AH443" s="80">
        <v>26</v>
      </c>
      <c r="AI443" s="80">
        <v>0</v>
      </c>
      <c r="AJ443" s="80"/>
      <c r="AK443" s="80" t="s">
        <v>6292</v>
      </c>
      <c r="AL443" s="80" t="s">
        <v>6942</v>
      </c>
      <c r="AM443" s="80"/>
      <c r="AN443" s="80"/>
      <c r="AO443" s="82">
        <v>44460.517256944448</v>
      </c>
      <c r="AP443" s="84" t="str">
        <f>HYPERLINK("https://pbs.twimg.com/profile_banners/1440290893748076549/1632227369")</f>
        <v>https://pbs.twimg.com/profile_banners/1440290893748076549/1632227369</v>
      </c>
      <c r="AQ443" s="80" t="b">
        <v>1</v>
      </c>
      <c r="AR443" s="80" t="b">
        <v>0</v>
      </c>
      <c r="AS443" s="80" t="b">
        <v>1</v>
      </c>
      <c r="AT443" s="80"/>
      <c r="AU443" s="80">
        <v>0</v>
      </c>
      <c r="AV443" s="80"/>
      <c r="AW443" s="80" t="b">
        <v>0</v>
      </c>
      <c r="AX443" s="80" t="s">
        <v>7173</v>
      </c>
      <c r="AY443" s="84" t="str">
        <f>HYPERLINK("https://twitter.com/kahfihouse")</f>
        <v>https://twitter.com/kahfihouse</v>
      </c>
      <c r="AZ443" s="80" t="s">
        <v>66</v>
      </c>
      <c r="BA443" s="2"/>
      <c r="BB443" s="3"/>
      <c r="BC443" s="3"/>
      <c r="BD443" s="3"/>
      <c r="BE443" s="3"/>
    </row>
    <row r="444" spans="1:57" x14ac:dyDescent="0.35">
      <c r="A444" s="66" t="s">
        <v>1070</v>
      </c>
      <c r="B444" s="67"/>
      <c r="C444" s="67"/>
      <c r="D444" s="68"/>
      <c r="E444" s="70"/>
      <c r="F444" s="106" t="str">
        <f>HYPERLINK("https://pbs.twimg.com/profile_images/1418498004252717056/8Upn2udk_normal.jpg")</f>
        <v>https://pbs.twimg.com/profile_images/1418498004252717056/8Upn2udk_normal.jpg</v>
      </c>
      <c r="G444" s="67"/>
      <c r="H444" s="71"/>
      <c r="I444" s="72"/>
      <c r="J444" s="72"/>
      <c r="K444" s="71" t="s">
        <v>7614</v>
      </c>
      <c r="L444" s="75"/>
      <c r="M444" s="76"/>
      <c r="N444" s="76"/>
      <c r="O444" s="77"/>
      <c r="P444" s="78"/>
      <c r="Q444" s="78"/>
      <c r="R444" s="90"/>
      <c r="S444" s="90"/>
      <c r="T444" s="90"/>
      <c r="U444" s="90"/>
      <c r="V444" s="52"/>
      <c r="W444" s="52"/>
      <c r="X444" s="52"/>
      <c r="Y444" s="52"/>
      <c r="Z444" s="51"/>
      <c r="AA444" s="73"/>
      <c r="AB444" s="73"/>
      <c r="AC444" s="74"/>
      <c r="AD444" s="80" t="s">
        <v>4619</v>
      </c>
      <c r="AE444" s="86" t="s">
        <v>3944</v>
      </c>
      <c r="AF444" s="80">
        <v>6885</v>
      </c>
      <c r="AG444" s="80">
        <v>44279</v>
      </c>
      <c r="AH444" s="80">
        <v>290688</v>
      </c>
      <c r="AI444" s="80">
        <v>534</v>
      </c>
      <c r="AJ444" s="80"/>
      <c r="AK444" s="80" t="s">
        <v>6293</v>
      </c>
      <c r="AL444" s="80" t="s">
        <v>6943</v>
      </c>
      <c r="AM444" s="84" t="str">
        <f>HYPERLINK("https://t.co/d3t6L0M0vq")</f>
        <v>https://t.co/d3t6L0M0vq</v>
      </c>
      <c r="AN444" s="80"/>
      <c r="AO444" s="82">
        <v>43734.117928240739</v>
      </c>
      <c r="AP444" s="84" t="str">
        <f>HYPERLINK("https://pbs.twimg.com/profile_banners/1177052356925513728/1598457044")</f>
        <v>https://pbs.twimg.com/profile_banners/1177052356925513728/1598457044</v>
      </c>
      <c r="AQ444" s="80" t="b">
        <v>1</v>
      </c>
      <c r="AR444" s="80" t="b">
        <v>0</v>
      </c>
      <c r="AS444" s="80" t="b">
        <v>0</v>
      </c>
      <c r="AT444" s="80"/>
      <c r="AU444" s="80">
        <v>197</v>
      </c>
      <c r="AV444" s="80"/>
      <c r="AW444" s="80" t="b">
        <v>0</v>
      </c>
      <c r="AX444" s="80" t="s">
        <v>7173</v>
      </c>
      <c r="AY444" s="84" t="str">
        <f>HYPERLINK("https://twitter.com/undipmenfess")</f>
        <v>https://twitter.com/undipmenfess</v>
      </c>
      <c r="AZ444" s="80" t="s">
        <v>65</v>
      </c>
      <c r="BA444" s="2"/>
      <c r="BB444" s="3"/>
      <c r="BC444" s="3"/>
      <c r="BD444" s="3"/>
      <c r="BE444" s="3"/>
    </row>
    <row r="445" spans="1:57" x14ac:dyDescent="0.35">
      <c r="A445" s="66" t="s">
        <v>576</v>
      </c>
      <c r="B445" s="67"/>
      <c r="C445" s="67"/>
      <c r="D445" s="68"/>
      <c r="E445" s="70"/>
      <c r="F445" s="106" t="str">
        <f>HYPERLINK("https://pbs.twimg.com/profile_images/1413705437585707012/XBcUUuRe_normal.jpg")</f>
        <v>https://pbs.twimg.com/profile_images/1413705437585707012/XBcUUuRe_normal.jpg</v>
      </c>
      <c r="G445" s="67"/>
      <c r="H445" s="71"/>
      <c r="I445" s="72"/>
      <c r="J445" s="72"/>
      <c r="K445" s="71" t="s">
        <v>7615</v>
      </c>
      <c r="L445" s="75"/>
      <c r="M445" s="76"/>
      <c r="N445" s="76"/>
      <c r="O445" s="77"/>
      <c r="P445" s="78"/>
      <c r="Q445" s="78"/>
      <c r="R445" s="90"/>
      <c r="S445" s="90"/>
      <c r="T445" s="90"/>
      <c r="U445" s="90"/>
      <c r="V445" s="52"/>
      <c r="W445" s="52"/>
      <c r="X445" s="52"/>
      <c r="Y445" s="52"/>
      <c r="Z445" s="51"/>
      <c r="AA445" s="73"/>
      <c r="AB445" s="73"/>
      <c r="AC445" s="74"/>
      <c r="AD445" s="80" t="s">
        <v>4620</v>
      </c>
      <c r="AE445" s="86" t="s">
        <v>5526</v>
      </c>
      <c r="AF445" s="80">
        <v>2251</v>
      </c>
      <c r="AG445" s="80">
        <v>580</v>
      </c>
      <c r="AH445" s="80">
        <v>14537</v>
      </c>
      <c r="AI445" s="80">
        <v>8046</v>
      </c>
      <c r="AJ445" s="80"/>
      <c r="AK445" s="80" t="s">
        <v>6294</v>
      </c>
      <c r="AL445" s="80"/>
      <c r="AM445" s="80"/>
      <c r="AN445" s="80"/>
      <c r="AO445" s="82">
        <v>44352.548784722225</v>
      </c>
      <c r="AP445" s="84" t="str">
        <f>HYPERLINK("https://pbs.twimg.com/profile_banners/1401164252455444484/1622899290")</f>
        <v>https://pbs.twimg.com/profile_banners/1401164252455444484/1622899290</v>
      </c>
      <c r="AQ445" s="80" t="b">
        <v>1</v>
      </c>
      <c r="AR445" s="80" t="b">
        <v>0</v>
      </c>
      <c r="AS445" s="80" t="b">
        <v>0</v>
      </c>
      <c r="AT445" s="80"/>
      <c r="AU445" s="80">
        <v>0</v>
      </c>
      <c r="AV445" s="80"/>
      <c r="AW445" s="80" t="b">
        <v>0</v>
      </c>
      <c r="AX445" s="80" t="s">
        <v>7173</v>
      </c>
      <c r="AY445" s="84" t="str">
        <f>HYPERLINK("https://twitter.com/abisabarudin2")</f>
        <v>https://twitter.com/abisabarudin2</v>
      </c>
      <c r="AZ445" s="80" t="s">
        <v>66</v>
      </c>
      <c r="BA445" s="2"/>
      <c r="BB445" s="3"/>
      <c r="BC445" s="3"/>
      <c r="BD445" s="3"/>
      <c r="BE445" s="3"/>
    </row>
    <row r="446" spans="1:57" x14ac:dyDescent="0.35">
      <c r="A446" s="66" t="s">
        <v>627</v>
      </c>
      <c r="B446" s="67"/>
      <c r="C446" s="67"/>
      <c r="D446" s="68"/>
      <c r="E446" s="70"/>
      <c r="F446" s="106" t="str">
        <f>HYPERLINK("https://pbs.twimg.com/profile_images/1442479825097134088/6Yzvm7-w_normal.jpg")</f>
        <v>https://pbs.twimg.com/profile_images/1442479825097134088/6Yzvm7-w_normal.jpg</v>
      </c>
      <c r="G446" s="67"/>
      <c r="H446" s="71"/>
      <c r="I446" s="72"/>
      <c r="J446" s="72"/>
      <c r="K446" s="71" t="s">
        <v>7616</v>
      </c>
      <c r="L446" s="75"/>
      <c r="M446" s="76"/>
      <c r="N446" s="76"/>
      <c r="O446" s="77"/>
      <c r="P446" s="78"/>
      <c r="Q446" s="78"/>
      <c r="R446" s="90"/>
      <c r="S446" s="90"/>
      <c r="T446" s="90"/>
      <c r="U446" s="90"/>
      <c r="V446" s="52"/>
      <c r="W446" s="52"/>
      <c r="X446" s="52"/>
      <c r="Y446" s="52"/>
      <c r="Z446" s="51"/>
      <c r="AA446" s="73"/>
      <c r="AB446" s="73"/>
      <c r="AC446" s="74"/>
      <c r="AD446" s="80" t="s">
        <v>4621</v>
      </c>
      <c r="AE446" s="86" t="s">
        <v>3950</v>
      </c>
      <c r="AF446" s="80">
        <v>4432</v>
      </c>
      <c r="AG446" s="80">
        <v>9077</v>
      </c>
      <c r="AH446" s="80">
        <v>17979</v>
      </c>
      <c r="AI446" s="80">
        <v>33352</v>
      </c>
      <c r="AJ446" s="80"/>
      <c r="AK446" s="80" t="s">
        <v>6295</v>
      </c>
      <c r="AL446" s="80" t="s">
        <v>4145</v>
      </c>
      <c r="AM446" s="80"/>
      <c r="AN446" s="80"/>
      <c r="AO446" s="82">
        <v>43050.416597222225</v>
      </c>
      <c r="AP446" s="84" t="str">
        <f>HYPERLINK("https://pbs.twimg.com/profile_banners/929287558281830400/1632749016")</f>
        <v>https://pbs.twimg.com/profile_banners/929287558281830400/1632749016</v>
      </c>
      <c r="AQ446" s="80" t="b">
        <v>1</v>
      </c>
      <c r="AR446" s="80" t="b">
        <v>0</v>
      </c>
      <c r="AS446" s="80" t="b">
        <v>0</v>
      </c>
      <c r="AT446" s="80"/>
      <c r="AU446" s="80">
        <v>2</v>
      </c>
      <c r="AV446" s="80"/>
      <c r="AW446" s="80" t="b">
        <v>0</v>
      </c>
      <c r="AX446" s="80" t="s">
        <v>7173</v>
      </c>
      <c r="AY446" s="84" t="str">
        <f>HYPERLINK("https://twitter.com/yaniarsim")</f>
        <v>https://twitter.com/yaniarsim</v>
      </c>
      <c r="AZ446" s="80" t="s">
        <v>66</v>
      </c>
      <c r="BA446" s="2"/>
      <c r="BB446" s="3"/>
      <c r="BC446" s="3"/>
      <c r="BD446" s="3"/>
      <c r="BE446" s="3"/>
    </row>
    <row r="447" spans="1:57" x14ac:dyDescent="0.35">
      <c r="A447" s="66" t="s">
        <v>577</v>
      </c>
      <c r="B447" s="67"/>
      <c r="C447" s="67"/>
      <c r="D447" s="68"/>
      <c r="E447" s="70"/>
      <c r="F447" s="106" t="str">
        <f>HYPERLINK("https://pbs.twimg.com/profile_images/1442686251019038720/13R5BdpD_normal.jpg")</f>
        <v>https://pbs.twimg.com/profile_images/1442686251019038720/13R5BdpD_normal.jpg</v>
      </c>
      <c r="G447" s="67"/>
      <c r="H447" s="71"/>
      <c r="I447" s="72"/>
      <c r="J447" s="72"/>
      <c r="K447" s="71" t="s">
        <v>7617</v>
      </c>
      <c r="L447" s="75"/>
      <c r="M447" s="76"/>
      <c r="N447" s="76"/>
      <c r="O447" s="77"/>
      <c r="P447" s="78"/>
      <c r="Q447" s="78"/>
      <c r="R447" s="90"/>
      <c r="S447" s="90"/>
      <c r="T447" s="90"/>
      <c r="U447" s="90"/>
      <c r="V447" s="52"/>
      <c r="W447" s="52"/>
      <c r="X447" s="52"/>
      <c r="Y447" s="52"/>
      <c r="Z447" s="51"/>
      <c r="AA447" s="73"/>
      <c r="AB447" s="73"/>
      <c r="AC447" s="74"/>
      <c r="AD447" s="80" t="s">
        <v>4622</v>
      </c>
      <c r="AE447" s="86" t="s">
        <v>5527</v>
      </c>
      <c r="AF447" s="80">
        <v>3749</v>
      </c>
      <c r="AG447" s="80">
        <v>4032</v>
      </c>
      <c r="AH447" s="80">
        <v>10625</v>
      </c>
      <c r="AI447" s="80">
        <v>12</v>
      </c>
      <c r="AJ447" s="80"/>
      <c r="AK447" s="80" t="s">
        <v>6296</v>
      </c>
      <c r="AL447" s="80" t="s">
        <v>6944</v>
      </c>
      <c r="AM447" s="80"/>
      <c r="AN447" s="80"/>
      <c r="AO447" s="82">
        <v>44369.147557870368</v>
      </c>
      <c r="AP447" s="84" t="str">
        <f>HYPERLINK("https://pbs.twimg.com/profile_banners/1407179488425877504/1632778798")</f>
        <v>https://pbs.twimg.com/profile_banners/1407179488425877504/1632778798</v>
      </c>
      <c r="AQ447" s="80" t="b">
        <v>1</v>
      </c>
      <c r="AR447" s="80" t="b">
        <v>0</v>
      </c>
      <c r="AS447" s="80" t="b">
        <v>0</v>
      </c>
      <c r="AT447" s="80"/>
      <c r="AU447" s="80">
        <v>0</v>
      </c>
      <c r="AV447" s="80"/>
      <c r="AW447" s="80" t="b">
        <v>0</v>
      </c>
      <c r="AX447" s="80" t="s">
        <v>7173</v>
      </c>
      <c r="AY447" s="84" t="str">
        <f>HYPERLINK("https://twitter.com/surauid")</f>
        <v>https://twitter.com/surauid</v>
      </c>
      <c r="AZ447" s="80" t="s">
        <v>66</v>
      </c>
      <c r="BA447" s="2"/>
      <c r="BB447" s="3"/>
      <c r="BC447" s="3"/>
      <c r="BD447" s="3"/>
      <c r="BE447" s="3"/>
    </row>
    <row r="448" spans="1:57" x14ac:dyDescent="0.35">
      <c r="A448" s="66" t="s">
        <v>578</v>
      </c>
      <c r="B448" s="67"/>
      <c r="C448" s="67"/>
      <c r="D448" s="68"/>
      <c r="E448" s="70"/>
      <c r="F448" s="106" t="str">
        <f>HYPERLINK("https://pbs.twimg.com/profile_images/1435119202537406468/L2bRWhhi_normal.jpg")</f>
        <v>https://pbs.twimg.com/profile_images/1435119202537406468/L2bRWhhi_normal.jpg</v>
      </c>
      <c r="G448" s="67"/>
      <c r="H448" s="71"/>
      <c r="I448" s="72"/>
      <c r="J448" s="72"/>
      <c r="K448" s="71" t="s">
        <v>7618</v>
      </c>
      <c r="L448" s="75"/>
      <c r="M448" s="76"/>
      <c r="N448" s="76"/>
      <c r="O448" s="77"/>
      <c r="P448" s="78"/>
      <c r="Q448" s="78"/>
      <c r="R448" s="90"/>
      <c r="S448" s="90"/>
      <c r="T448" s="90"/>
      <c r="U448" s="90"/>
      <c r="V448" s="52"/>
      <c r="W448" s="52"/>
      <c r="X448" s="52"/>
      <c r="Y448" s="52"/>
      <c r="Z448" s="51"/>
      <c r="AA448" s="73"/>
      <c r="AB448" s="73"/>
      <c r="AC448" s="74"/>
      <c r="AD448" s="80" t="s">
        <v>4623</v>
      </c>
      <c r="AE448" s="86" t="s">
        <v>5528</v>
      </c>
      <c r="AF448" s="80">
        <v>942</v>
      </c>
      <c r="AG448" s="80">
        <v>901</v>
      </c>
      <c r="AH448" s="80">
        <v>6183</v>
      </c>
      <c r="AI448" s="80">
        <v>11053</v>
      </c>
      <c r="AJ448" s="80"/>
      <c r="AK448" s="80" t="s">
        <v>6297</v>
      </c>
      <c r="AL448" s="80"/>
      <c r="AM448" s="80"/>
      <c r="AN448" s="80"/>
      <c r="AO448" s="82">
        <v>43736.537789351853</v>
      </c>
      <c r="AP448" s="84" t="str">
        <f>HYPERLINK("https://pbs.twimg.com/profile_banners/1177929358121390081/1597356401")</f>
        <v>https://pbs.twimg.com/profile_banners/1177929358121390081/1597356401</v>
      </c>
      <c r="AQ448" s="80" t="b">
        <v>1</v>
      </c>
      <c r="AR448" s="80" t="b">
        <v>0</v>
      </c>
      <c r="AS448" s="80" t="b">
        <v>0</v>
      </c>
      <c r="AT448" s="80"/>
      <c r="AU448" s="80">
        <v>0</v>
      </c>
      <c r="AV448" s="80"/>
      <c r="AW448" s="80" t="b">
        <v>0</v>
      </c>
      <c r="AX448" s="80" t="s">
        <v>7173</v>
      </c>
      <c r="AY448" s="84" t="str">
        <f>HYPERLINK("https://twitter.com/kangcafebubar")</f>
        <v>https://twitter.com/kangcafebubar</v>
      </c>
      <c r="AZ448" s="80" t="s">
        <v>66</v>
      </c>
      <c r="BA448" s="2"/>
      <c r="BB448" s="3"/>
      <c r="BC448" s="3"/>
      <c r="BD448" s="3"/>
      <c r="BE448" s="3"/>
    </row>
    <row r="449" spans="1:57" x14ac:dyDescent="0.35">
      <c r="A449" s="66" t="s">
        <v>579</v>
      </c>
      <c r="B449" s="67"/>
      <c r="C449" s="67"/>
      <c r="D449" s="68"/>
      <c r="E449" s="70"/>
      <c r="F449" s="106" t="str">
        <f>HYPERLINK("https://pbs.twimg.com/profile_images/1183208794500685826/U7RAotCy_normal.jpg")</f>
        <v>https://pbs.twimg.com/profile_images/1183208794500685826/U7RAotCy_normal.jpg</v>
      </c>
      <c r="G449" s="67"/>
      <c r="H449" s="71"/>
      <c r="I449" s="72"/>
      <c r="J449" s="72"/>
      <c r="K449" s="71" t="s">
        <v>7619</v>
      </c>
      <c r="L449" s="75"/>
      <c r="M449" s="76"/>
      <c r="N449" s="76"/>
      <c r="O449" s="77"/>
      <c r="P449" s="78"/>
      <c r="Q449" s="78"/>
      <c r="R449" s="90"/>
      <c r="S449" s="90"/>
      <c r="T449" s="90"/>
      <c r="U449" s="90"/>
      <c r="V449" s="52"/>
      <c r="W449" s="52"/>
      <c r="X449" s="52"/>
      <c r="Y449" s="52"/>
      <c r="Z449" s="51"/>
      <c r="AA449" s="73"/>
      <c r="AB449" s="73"/>
      <c r="AC449" s="74"/>
      <c r="AD449" s="80" t="s">
        <v>4624</v>
      </c>
      <c r="AE449" s="86" t="s">
        <v>5529</v>
      </c>
      <c r="AF449" s="80">
        <v>1641</v>
      </c>
      <c r="AG449" s="80">
        <v>1038</v>
      </c>
      <c r="AH449" s="80">
        <v>34159</v>
      </c>
      <c r="AI449" s="80">
        <v>64904</v>
      </c>
      <c r="AJ449" s="80"/>
      <c r="AK449" s="80" t="s">
        <v>6298</v>
      </c>
      <c r="AL449" s="80" t="s">
        <v>6770</v>
      </c>
      <c r="AM449" s="80"/>
      <c r="AN449" s="80"/>
      <c r="AO449" s="82">
        <v>43318.334699074076</v>
      </c>
      <c r="AP449" s="84" t="str">
        <f>HYPERLINK("https://pbs.twimg.com/profile_banners/1026377827828957185/1535035665")</f>
        <v>https://pbs.twimg.com/profile_banners/1026377827828957185/1535035665</v>
      </c>
      <c r="AQ449" s="80" t="b">
        <v>1</v>
      </c>
      <c r="AR449" s="80" t="b">
        <v>0</v>
      </c>
      <c r="AS449" s="80" t="b">
        <v>1</v>
      </c>
      <c r="AT449" s="80"/>
      <c r="AU449" s="80">
        <v>0</v>
      </c>
      <c r="AV449" s="80"/>
      <c r="AW449" s="80" t="b">
        <v>0</v>
      </c>
      <c r="AX449" s="80" t="s">
        <v>7173</v>
      </c>
      <c r="AY449" s="84" t="str">
        <f>HYPERLINK("https://twitter.com/ashabym")</f>
        <v>https://twitter.com/ashabym</v>
      </c>
      <c r="AZ449" s="80" t="s">
        <v>66</v>
      </c>
      <c r="BA449" s="2"/>
      <c r="BB449" s="3"/>
      <c r="BC449" s="3"/>
      <c r="BD449" s="3"/>
      <c r="BE449" s="3"/>
    </row>
    <row r="450" spans="1:57" x14ac:dyDescent="0.35">
      <c r="A450" s="66" t="s">
        <v>580</v>
      </c>
      <c r="B450" s="67"/>
      <c r="C450" s="67"/>
      <c r="D450" s="68"/>
      <c r="E450" s="70"/>
      <c r="F450" s="106" t="str">
        <f>HYPERLINK("https://pbs.twimg.com/profile_images/1068036003997208576/QvA4FmOL_normal.jpg")</f>
        <v>https://pbs.twimg.com/profile_images/1068036003997208576/QvA4FmOL_normal.jpg</v>
      </c>
      <c r="G450" s="67"/>
      <c r="H450" s="71"/>
      <c r="I450" s="72"/>
      <c r="J450" s="72"/>
      <c r="K450" s="71" t="s">
        <v>7620</v>
      </c>
      <c r="L450" s="75"/>
      <c r="M450" s="76"/>
      <c r="N450" s="76"/>
      <c r="O450" s="77"/>
      <c r="P450" s="78"/>
      <c r="Q450" s="78"/>
      <c r="R450" s="90"/>
      <c r="S450" s="90"/>
      <c r="T450" s="90"/>
      <c r="U450" s="90"/>
      <c r="V450" s="52"/>
      <c r="W450" s="52"/>
      <c r="X450" s="52"/>
      <c r="Y450" s="52"/>
      <c r="Z450" s="51"/>
      <c r="AA450" s="73"/>
      <c r="AB450" s="73"/>
      <c r="AC450" s="74"/>
      <c r="AD450" s="80" t="s">
        <v>4625</v>
      </c>
      <c r="AE450" s="86" t="s">
        <v>5530</v>
      </c>
      <c r="AF450" s="80">
        <v>275</v>
      </c>
      <c r="AG450" s="80">
        <v>31</v>
      </c>
      <c r="AH450" s="80">
        <v>1467</v>
      </c>
      <c r="AI450" s="80">
        <v>423</v>
      </c>
      <c r="AJ450" s="80"/>
      <c r="AK450" s="80" t="s">
        <v>6299</v>
      </c>
      <c r="AL450" s="80" t="s">
        <v>6945</v>
      </c>
      <c r="AM450" s="80"/>
      <c r="AN450" s="80"/>
      <c r="AO450" s="82">
        <v>43178.513402777775</v>
      </c>
      <c r="AP450" s="84" t="str">
        <f>HYPERLINK("https://pbs.twimg.com/profile_banners/975708287344635905/1556740792")</f>
        <v>https://pbs.twimg.com/profile_banners/975708287344635905/1556740792</v>
      </c>
      <c r="AQ450" s="80" t="b">
        <v>1</v>
      </c>
      <c r="AR450" s="80" t="b">
        <v>0</v>
      </c>
      <c r="AS450" s="80" t="b">
        <v>0</v>
      </c>
      <c r="AT450" s="80"/>
      <c r="AU450" s="80">
        <v>0</v>
      </c>
      <c r="AV450" s="80"/>
      <c r="AW450" s="80" t="b">
        <v>0</v>
      </c>
      <c r="AX450" s="80" t="s">
        <v>7173</v>
      </c>
      <c r="AY450" s="84" t="str">
        <f>HYPERLINK("https://twitter.com/ftr1114")</f>
        <v>https://twitter.com/ftr1114</v>
      </c>
      <c r="AZ450" s="80" t="s">
        <v>66</v>
      </c>
      <c r="BA450" s="2"/>
      <c r="BB450" s="3"/>
      <c r="BC450" s="3"/>
      <c r="BD450" s="3"/>
      <c r="BE450" s="3"/>
    </row>
    <row r="451" spans="1:57" x14ac:dyDescent="0.35">
      <c r="A451" s="66" t="s">
        <v>584</v>
      </c>
      <c r="B451" s="67"/>
      <c r="C451" s="67"/>
      <c r="D451" s="68"/>
      <c r="E451" s="70"/>
      <c r="F451" s="106" t="str">
        <f>HYPERLINK("https://pbs.twimg.com/profile_images/1439468788311752705/KDPn4nMo_normal.jpg")</f>
        <v>https://pbs.twimg.com/profile_images/1439468788311752705/KDPn4nMo_normal.jpg</v>
      </c>
      <c r="G451" s="67"/>
      <c r="H451" s="71"/>
      <c r="I451" s="72"/>
      <c r="J451" s="72"/>
      <c r="K451" s="71" t="s">
        <v>7621</v>
      </c>
      <c r="L451" s="75"/>
      <c r="M451" s="76"/>
      <c r="N451" s="76"/>
      <c r="O451" s="77"/>
      <c r="P451" s="78"/>
      <c r="Q451" s="78"/>
      <c r="R451" s="90"/>
      <c r="S451" s="90"/>
      <c r="T451" s="90"/>
      <c r="U451" s="90"/>
      <c r="V451" s="52"/>
      <c r="W451" s="52"/>
      <c r="X451" s="52"/>
      <c r="Y451" s="52"/>
      <c r="Z451" s="51"/>
      <c r="AA451" s="73"/>
      <c r="AB451" s="73"/>
      <c r="AC451" s="74"/>
      <c r="AD451" s="80" t="s">
        <v>4626</v>
      </c>
      <c r="AE451" s="86" t="s">
        <v>3945</v>
      </c>
      <c r="AF451" s="80">
        <v>891</v>
      </c>
      <c r="AG451" s="80">
        <v>64204</v>
      </c>
      <c r="AH451" s="80">
        <v>100662</v>
      </c>
      <c r="AI451" s="80">
        <v>1412</v>
      </c>
      <c r="AJ451" s="80"/>
      <c r="AK451" s="80" t="s">
        <v>6300</v>
      </c>
      <c r="AL451" s="80"/>
      <c r="AM451" s="84" t="str">
        <f>HYPERLINK("https://t.co/oMfS1Khv5F")</f>
        <v>https://t.co/oMfS1Khv5F</v>
      </c>
      <c r="AN451" s="80"/>
      <c r="AO451" s="82">
        <v>40932.472870370373</v>
      </c>
      <c r="AP451" s="84" t="str">
        <f>HYPERLINK("https://pbs.twimg.com/profile_banners/472857347/1621379338")</f>
        <v>https://pbs.twimg.com/profile_banners/472857347/1621379338</v>
      </c>
      <c r="AQ451" s="80" t="b">
        <v>0</v>
      </c>
      <c r="AR451" s="80" t="b">
        <v>0</v>
      </c>
      <c r="AS451" s="80" t="b">
        <v>1</v>
      </c>
      <c r="AT451" s="80"/>
      <c r="AU451" s="80">
        <v>156</v>
      </c>
      <c r="AV451" s="84" t="str">
        <f>HYPERLINK("https://abs.twimg.com/images/themes/theme1/bg.png")</f>
        <v>https://abs.twimg.com/images/themes/theme1/bg.png</v>
      </c>
      <c r="AW451" s="80" t="b">
        <v>0</v>
      </c>
      <c r="AX451" s="80" t="s">
        <v>7173</v>
      </c>
      <c r="AY451" s="84" t="str">
        <f>HYPERLINK("https://twitter.com/widassatyo")</f>
        <v>https://twitter.com/widassatyo</v>
      </c>
      <c r="AZ451" s="80" t="s">
        <v>66</v>
      </c>
      <c r="BA451" s="2"/>
      <c r="BB451" s="3"/>
      <c r="BC451" s="3"/>
      <c r="BD451" s="3"/>
      <c r="BE451" s="3"/>
    </row>
    <row r="452" spans="1:57" x14ac:dyDescent="0.35">
      <c r="A452" s="66" t="s">
        <v>581</v>
      </c>
      <c r="B452" s="67"/>
      <c r="C452" s="67"/>
      <c r="D452" s="68"/>
      <c r="E452" s="70"/>
      <c r="F452" s="106" t="str">
        <f>HYPERLINK("https://pbs.twimg.com/profile_images/1432444006517018625/x8edZ1us_normal.jpg")</f>
        <v>https://pbs.twimg.com/profile_images/1432444006517018625/x8edZ1us_normal.jpg</v>
      </c>
      <c r="G452" s="67"/>
      <c r="H452" s="71"/>
      <c r="I452" s="72"/>
      <c r="J452" s="72"/>
      <c r="K452" s="71" t="s">
        <v>7622</v>
      </c>
      <c r="L452" s="75"/>
      <c r="M452" s="76"/>
      <c r="N452" s="76"/>
      <c r="O452" s="77"/>
      <c r="P452" s="78"/>
      <c r="Q452" s="78"/>
      <c r="R452" s="90"/>
      <c r="S452" s="90"/>
      <c r="T452" s="90"/>
      <c r="U452" s="90"/>
      <c r="V452" s="52"/>
      <c r="W452" s="52"/>
      <c r="X452" s="52"/>
      <c r="Y452" s="52"/>
      <c r="Z452" s="51"/>
      <c r="AA452" s="73"/>
      <c r="AB452" s="73"/>
      <c r="AC452" s="74"/>
      <c r="AD452" s="80" t="s">
        <v>4627</v>
      </c>
      <c r="AE452" s="86" t="s">
        <v>5531</v>
      </c>
      <c r="AF452" s="80">
        <v>1114</v>
      </c>
      <c r="AG452" s="80">
        <v>364</v>
      </c>
      <c r="AH452" s="80">
        <v>1531</v>
      </c>
      <c r="AI452" s="80">
        <v>1268</v>
      </c>
      <c r="AJ452" s="80"/>
      <c r="AK452" s="80" t="s">
        <v>6301</v>
      </c>
      <c r="AL452" s="80" t="s">
        <v>6762</v>
      </c>
      <c r="AM452" s="80"/>
      <c r="AN452" s="80"/>
      <c r="AO452" s="82">
        <v>41180.083715277775</v>
      </c>
      <c r="AP452" s="84" t="str">
        <f>HYPERLINK("https://pbs.twimg.com/profile_banners/850296967/1348838770")</f>
        <v>https://pbs.twimg.com/profile_banners/850296967/1348838770</v>
      </c>
      <c r="AQ452" s="80" t="b">
        <v>1</v>
      </c>
      <c r="AR452" s="80" t="b">
        <v>0</v>
      </c>
      <c r="AS452" s="80" t="b">
        <v>1</v>
      </c>
      <c r="AT452" s="80"/>
      <c r="AU452" s="80">
        <v>0</v>
      </c>
      <c r="AV452" s="84" t="str">
        <f>HYPERLINK("https://abs.twimg.com/images/themes/theme1/bg.png")</f>
        <v>https://abs.twimg.com/images/themes/theme1/bg.png</v>
      </c>
      <c r="AW452" s="80" t="b">
        <v>0</v>
      </c>
      <c r="AX452" s="80" t="s">
        <v>7173</v>
      </c>
      <c r="AY452" s="84" t="str">
        <f>HYPERLINK("https://twitter.com/hendryxdwi")</f>
        <v>https://twitter.com/hendryxdwi</v>
      </c>
      <c r="AZ452" s="80" t="s">
        <v>66</v>
      </c>
      <c r="BA452" s="2"/>
      <c r="BB452" s="3"/>
      <c r="BC452" s="3"/>
      <c r="BD452" s="3"/>
      <c r="BE452" s="3"/>
    </row>
    <row r="453" spans="1:57" x14ac:dyDescent="0.35">
      <c r="A453" s="66" t="s">
        <v>582</v>
      </c>
      <c r="B453" s="67"/>
      <c r="C453" s="67"/>
      <c r="D453" s="68"/>
      <c r="E453" s="70"/>
      <c r="F453" s="106" t="str">
        <f>HYPERLINK("https://pbs.twimg.com/profile_images/1442527051471200259/mnaMNbxF_normal.jpg")</f>
        <v>https://pbs.twimg.com/profile_images/1442527051471200259/mnaMNbxF_normal.jpg</v>
      </c>
      <c r="G453" s="67"/>
      <c r="H453" s="71"/>
      <c r="I453" s="72"/>
      <c r="J453" s="72"/>
      <c r="K453" s="71" t="s">
        <v>7623</v>
      </c>
      <c r="L453" s="75"/>
      <c r="M453" s="76"/>
      <c r="N453" s="76"/>
      <c r="O453" s="77"/>
      <c r="P453" s="78"/>
      <c r="Q453" s="78"/>
      <c r="R453" s="90"/>
      <c r="S453" s="90"/>
      <c r="T453" s="90"/>
      <c r="U453" s="90"/>
      <c r="V453" s="52"/>
      <c r="W453" s="52"/>
      <c r="X453" s="52"/>
      <c r="Y453" s="52"/>
      <c r="Z453" s="51"/>
      <c r="AA453" s="73"/>
      <c r="AB453" s="73"/>
      <c r="AC453" s="74"/>
      <c r="AD453" s="80" t="s">
        <v>4628</v>
      </c>
      <c r="AE453" s="86" t="s">
        <v>5532</v>
      </c>
      <c r="AF453" s="80">
        <v>179</v>
      </c>
      <c r="AG453" s="80">
        <v>512</v>
      </c>
      <c r="AH453" s="80">
        <v>11674</v>
      </c>
      <c r="AI453" s="80">
        <v>17236</v>
      </c>
      <c r="AJ453" s="80"/>
      <c r="AK453" s="80"/>
      <c r="AL453" s="80" t="s">
        <v>6946</v>
      </c>
      <c r="AM453" s="80"/>
      <c r="AN453" s="80"/>
      <c r="AO453" s="82">
        <v>41224.443437499998</v>
      </c>
      <c r="AP453" s="84" t="str">
        <f>HYPERLINK("https://pbs.twimg.com/profile_banners/941014423/1480175776")</f>
        <v>https://pbs.twimg.com/profile_banners/941014423/1480175776</v>
      </c>
      <c r="AQ453" s="80" t="b">
        <v>0</v>
      </c>
      <c r="AR453" s="80" t="b">
        <v>0</v>
      </c>
      <c r="AS453" s="80" t="b">
        <v>0</v>
      </c>
      <c r="AT453" s="80"/>
      <c r="AU453" s="80">
        <v>1</v>
      </c>
      <c r="AV453" s="84" t="str">
        <f>HYPERLINK("https://abs.twimg.com/images/themes/theme15/bg.png")</f>
        <v>https://abs.twimg.com/images/themes/theme15/bg.png</v>
      </c>
      <c r="AW453" s="80" t="b">
        <v>0</v>
      </c>
      <c r="AX453" s="80" t="s">
        <v>7173</v>
      </c>
      <c r="AY453" s="84" t="str">
        <f>HYPERLINK("https://twitter.com/yasariqbal9")</f>
        <v>https://twitter.com/yasariqbal9</v>
      </c>
      <c r="AZ453" s="80" t="s">
        <v>66</v>
      </c>
      <c r="BA453" s="2"/>
      <c r="BB453" s="3"/>
      <c r="BC453" s="3"/>
      <c r="BD453" s="3"/>
      <c r="BE453" s="3"/>
    </row>
    <row r="454" spans="1:57" x14ac:dyDescent="0.35">
      <c r="A454" s="66" t="s">
        <v>583</v>
      </c>
      <c r="B454" s="67"/>
      <c r="C454" s="67"/>
      <c r="D454" s="68"/>
      <c r="E454" s="70"/>
      <c r="F454" s="106" t="str">
        <f>HYPERLINK("https://pbs.twimg.com/profile_images/1348994969512525826/TDRZrZ-q_normal.jpg")</f>
        <v>https://pbs.twimg.com/profile_images/1348994969512525826/TDRZrZ-q_normal.jpg</v>
      </c>
      <c r="G454" s="67"/>
      <c r="H454" s="71"/>
      <c r="I454" s="72"/>
      <c r="J454" s="72"/>
      <c r="K454" s="71" t="s">
        <v>7624</v>
      </c>
      <c r="L454" s="75"/>
      <c r="M454" s="76"/>
      <c r="N454" s="76"/>
      <c r="O454" s="77"/>
      <c r="P454" s="78"/>
      <c r="Q454" s="78"/>
      <c r="R454" s="90"/>
      <c r="S454" s="90"/>
      <c r="T454" s="90"/>
      <c r="U454" s="90"/>
      <c r="V454" s="52"/>
      <c r="W454" s="52"/>
      <c r="X454" s="52"/>
      <c r="Y454" s="52"/>
      <c r="Z454" s="51"/>
      <c r="AA454" s="73"/>
      <c r="AB454" s="73"/>
      <c r="AC454" s="74"/>
      <c r="AD454" s="80" t="s">
        <v>4629</v>
      </c>
      <c r="AE454" s="86" t="s">
        <v>5533</v>
      </c>
      <c r="AF454" s="80">
        <v>620</v>
      </c>
      <c r="AG454" s="80">
        <v>98</v>
      </c>
      <c r="AH454" s="80">
        <v>1975</v>
      </c>
      <c r="AI454" s="80">
        <v>1479</v>
      </c>
      <c r="AJ454" s="80"/>
      <c r="AK454" s="80"/>
      <c r="AL454" s="80" t="s">
        <v>6947</v>
      </c>
      <c r="AM454" s="80"/>
      <c r="AN454" s="80"/>
      <c r="AO454" s="82">
        <v>40687.348587962966</v>
      </c>
      <c r="AP454" s="84" t="str">
        <f>HYPERLINK("https://pbs.twimg.com/profile_banners/304294941/1588399571")</f>
        <v>https://pbs.twimg.com/profile_banners/304294941/1588399571</v>
      </c>
      <c r="AQ454" s="80" t="b">
        <v>1</v>
      </c>
      <c r="AR454" s="80" t="b">
        <v>0</v>
      </c>
      <c r="AS454" s="80" t="b">
        <v>1</v>
      </c>
      <c r="AT454" s="80"/>
      <c r="AU454" s="80">
        <v>0</v>
      </c>
      <c r="AV454" s="84" t="str">
        <f>HYPERLINK("https://abs.twimg.com/images/themes/theme1/bg.png")</f>
        <v>https://abs.twimg.com/images/themes/theme1/bg.png</v>
      </c>
      <c r="AW454" s="80" t="b">
        <v>0</v>
      </c>
      <c r="AX454" s="80" t="s">
        <v>7173</v>
      </c>
      <c r="AY454" s="84" t="str">
        <f>HYPERLINK("https://twitter.com/danz51")</f>
        <v>https://twitter.com/danz51</v>
      </c>
      <c r="AZ454" s="80" t="s">
        <v>66</v>
      </c>
      <c r="BA454" s="2"/>
      <c r="BB454" s="3"/>
      <c r="BC454" s="3"/>
      <c r="BD454" s="3"/>
      <c r="BE454" s="3"/>
    </row>
    <row r="455" spans="1:57" x14ac:dyDescent="0.35">
      <c r="A455" s="66" t="s">
        <v>585</v>
      </c>
      <c r="B455" s="67"/>
      <c r="C455" s="67"/>
      <c r="D455" s="68"/>
      <c r="E455" s="70"/>
      <c r="F455" s="106" t="str">
        <f>HYPERLINK("https://pbs.twimg.com/profile_images/1431968986330120196/-6hfzVkE_normal.jpg")</f>
        <v>https://pbs.twimg.com/profile_images/1431968986330120196/-6hfzVkE_normal.jpg</v>
      </c>
      <c r="G455" s="67"/>
      <c r="H455" s="71"/>
      <c r="I455" s="72"/>
      <c r="J455" s="72"/>
      <c r="K455" s="71" t="s">
        <v>7625</v>
      </c>
      <c r="L455" s="75"/>
      <c r="M455" s="76"/>
      <c r="N455" s="76"/>
      <c r="O455" s="77"/>
      <c r="P455" s="78"/>
      <c r="Q455" s="78"/>
      <c r="R455" s="90"/>
      <c r="S455" s="90"/>
      <c r="T455" s="90"/>
      <c r="U455" s="90"/>
      <c r="V455" s="52"/>
      <c r="W455" s="52"/>
      <c r="X455" s="52"/>
      <c r="Y455" s="52"/>
      <c r="Z455" s="51"/>
      <c r="AA455" s="73"/>
      <c r="AB455" s="73"/>
      <c r="AC455" s="74"/>
      <c r="AD455" s="80" t="s">
        <v>4630</v>
      </c>
      <c r="AE455" s="86" t="s">
        <v>5534</v>
      </c>
      <c r="AF455" s="80">
        <v>2100</v>
      </c>
      <c r="AG455" s="80">
        <v>375</v>
      </c>
      <c r="AH455" s="80">
        <v>216514</v>
      </c>
      <c r="AI455" s="80">
        <v>80776</v>
      </c>
      <c r="AJ455" s="80"/>
      <c r="AK455" s="80" t="s">
        <v>6302</v>
      </c>
      <c r="AL455" s="80"/>
      <c r="AM455" s="84" t="str">
        <f>HYPERLINK("https://t.co/E9vyR9GQEQ")</f>
        <v>https://t.co/E9vyR9GQEQ</v>
      </c>
      <c r="AN455" s="80"/>
      <c r="AO455" s="82">
        <v>42599.170937499999</v>
      </c>
      <c r="AP455" s="84" t="str">
        <f>HYPERLINK("https://pbs.twimg.com/profile_banners/765761609134379008/1520602499")</f>
        <v>https://pbs.twimg.com/profile_banners/765761609134379008/1520602499</v>
      </c>
      <c r="AQ455" s="80" t="b">
        <v>1</v>
      </c>
      <c r="AR455" s="80" t="b">
        <v>0</v>
      </c>
      <c r="AS455" s="80" t="b">
        <v>0</v>
      </c>
      <c r="AT455" s="80"/>
      <c r="AU455" s="80">
        <v>1</v>
      </c>
      <c r="AV455" s="80"/>
      <c r="AW455" s="80" t="b">
        <v>0</v>
      </c>
      <c r="AX455" s="80" t="s">
        <v>7173</v>
      </c>
      <c r="AY455" s="84" t="str">
        <f>HYPERLINK("https://twitter.com/renjunions")</f>
        <v>https://twitter.com/renjunions</v>
      </c>
      <c r="AZ455" s="80" t="s">
        <v>66</v>
      </c>
      <c r="BA455" s="2"/>
      <c r="BB455" s="3"/>
      <c r="BC455" s="3"/>
      <c r="BD455" s="3"/>
      <c r="BE455" s="3"/>
    </row>
    <row r="456" spans="1:57" x14ac:dyDescent="0.35">
      <c r="A456" s="66" t="s">
        <v>586</v>
      </c>
      <c r="B456" s="67"/>
      <c r="C456" s="67"/>
      <c r="D456" s="68"/>
      <c r="E456" s="70"/>
      <c r="F456" s="106" t="str">
        <f>HYPERLINK("https://pbs.twimg.com/profile_images/1438000944189345793/eSTfsaWg_normal.jpg")</f>
        <v>https://pbs.twimg.com/profile_images/1438000944189345793/eSTfsaWg_normal.jpg</v>
      </c>
      <c r="G456" s="67"/>
      <c r="H456" s="71"/>
      <c r="I456" s="72"/>
      <c r="J456" s="72"/>
      <c r="K456" s="71" t="s">
        <v>7626</v>
      </c>
      <c r="L456" s="75"/>
      <c r="M456" s="76"/>
      <c r="N456" s="76"/>
      <c r="O456" s="77"/>
      <c r="P456" s="78"/>
      <c r="Q456" s="78"/>
      <c r="R456" s="90"/>
      <c r="S456" s="90"/>
      <c r="T456" s="90"/>
      <c r="U456" s="90"/>
      <c r="V456" s="52"/>
      <c r="W456" s="52"/>
      <c r="X456" s="52"/>
      <c r="Y456" s="52"/>
      <c r="Z456" s="51"/>
      <c r="AA456" s="73"/>
      <c r="AB456" s="73"/>
      <c r="AC456" s="74"/>
      <c r="AD456" s="80" t="s">
        <v>4631</v>
      </c>
      <c r="AE456" s="86" t="s">
        <v>5535</v>
      </c>
      <c r="AF456" s="80">
        <v>1182</v>
      </c>
      <c r="AG456" s="80">
        <v>308</v>
      </c>
      <c r="AH456" s="80">
        <v>4765</v>
      </c>
      <c r="AI456" s="80">
        <v>279</v>
      </c>
      <c r="AJ456" s="80"/>
      <c r="AK456" s="80"/>
      <c r="AL456" s="80" t="s">
        <v>6875</v>
      </c>
      <c r="AM456" s="80"/>
      <c r="AN456" s="80"/>
      <c r="AO456" s="82">
        <v>41370.249872685185</v>
      </c>
      <c r="AP456" s="84" t="str">
        <f>HYPERLINK("https://pbs.twimg.com/profile_banners/1330815770/1605860673")</f>
        <v>https://pbs.twimg.com/profile_banners/1330815770/1605860673</v>
      </c>
      <c r="AQ456" s="80" t="b">
        <v>0</v>
      </c>
      <c r="AR456" s="80" t="b">
        <v>0</v>
      </c>
      <c r="AS456" s="80" t="b">
        <v>1</v>
      </c>
      <c r="AT456" s="80"/>
      <c r="AU456" s="80">
        <v>0</v>
      </c>
      <c r="AV456" s="84" t="str">
        <f>HYPERLINK("https://abs.twimg.com/images/themes/theme1/bg.png")</f>
        <v>https://abs.twimg.com/images/themes/theme1/bg.png</v>
      </c>
      <c r="AW456" s="80" t="b">
        <v>0</v>
      </c>
      <c r="AX456" s="80" t="s">
        <v>7173</v>
      </c>
      <c r="AY456" s="84" t="str">
        <f>HYPERLINK("https://twitter.com/dehanoer")</f>
        <v>https://twitter.com/dehanoer</v>
      </c>
      <c r="AZ456" s="80" t="s">
        <v>66</v>
      </c>
      <c r="BA456" s="2"/>
      <c r="BB456" s="3"/>
      <c r="BC456" s="3"/>
      <c r="BD456" s="3"/>
      <c r="BE456" s="3"/>
    </row>
    <row r="457" spans="1:57" x14ac:dyDescent="0.35">
      <c r="A457" s="66" t="s">
        <v>587</v>
      </c>
      <c r="B457" s="67"/>
      <c r="C457" s="67"/>
      <c r="D457" s="68"/>
      <c r="E457" s="70"/>
      <c r="F457" s="106" t="str">
        <f>HYPERLINK("https://pbs.twimg.com/profile_images/1424191457406058498/ZzMr-CxY_normal.jpg")</f>
        <v>https://pbs.twimg.com/profile_images/1424191457406058498/ZzMr-CxY_normal.jpg</v>
      </c>
      <c r="G457" s="67"/>
      <c r="H457" s="71"/>
      <c r="I457" s="72"/>
      <c r="J457" s="72"/>
      <c r="K457" s="71" t="s">
        <v>7627</v>
      </c>
      <c r="L457" s="75"/>
      <c r="M457" s="76"/>
      <c r="N457" s="76"/>
      <c r="O457" s="77"/>
      <c r="P457" s="78"/>
      <c r="Q457" s="78"/>
      <c r="R457" s="90"/>
      <c r="S457" s="90"/>
      <c r="T457" s="90"/>
      <c r="U457" s="90"/>
      <c r="V457" s="52"/>
      <c r="W457" s="52"/>
      <c r="X457" s="52"/>
      <c r="Y457" s="52"/>
      <c r="Z457" s="51"/>
      <c r="AA457" s="73"/>
      <c r="AB457" s="73"/>
      <c r="AC457" s="74"/>
      <c r="AD457" s="80" t="s">
        <v>4632</v>
      </c>
      <c r="AE457" s="86" t="s">
        <v>3947</v>
      </c>
      <c r="AF457" s="80">
        <v>1791</v>
      </c>
      <c r="AG457" s="80">
        <v>2265</v>
      </c>
      <c r="AH457" s="80">
        <v>82048</v>
      </c>
      <c r="AI457" s="80">
        <v>2626</v>
      </c>
      <c r="AJ457" s="80"/>
      <c r="AK457" s="80" t="s">
        <v>6303</v>
      </c>
      <c r="AL457" s="80" t="s">
        <v>6948</v>
      </c>
      <c r="AM457" s="84" t="str">
        <f>HYPERLINK("https://t.co/Jlul2iU3Ul")</f>
        <v>https://t.co/Jlul2iU3Ul</v>
      </c>
      <c r="AN457" s="80"/>
      <c r="AO457" s="82">
        <v>41646.418229166666</v>
      </c>
      <c r="AP457" s="84" t="str">
        <f>HYPERLINK("https://pbs.twimg.com/profile_banners/2280372726/1624707083")</f>
        <v>https://pbs.twimg.com/profile_banners/2280372726/1624707083</v>
      </c>
      <c r="AQ457" s="80" t="b">
        <v>1</v>
      </c>
      <c r="AR457" s="80" t="b">
        <v>0</v>
      </c>
      <c r="AS457" s="80" t="b">
        <v>1</v>
      </c>
      <c r="AT457" s="80"/>
      <c r="AU457" s="80">
        <v>8</v>
      </c>
      <c r="AV457" s="84" t="str">
        <f>HYPERLINK("https://abs.twimg.com/images/themes/theme1/bg.png")</f>
        <v>https://abs.twimg.com/images/themes/theme1/bg.png</v>
      </c>
      <c r="AW457" s="80" t="b">
        <v>0</v>
      </c>
      <c r="AX457" s="80" t="s">
        <v>7173</v>
      </c>
      <c r="AY457" s="84" t="str">
        <f>HYPERLINK("https://twitter.com/eboondcah")</f>
        <v>https://twitter.com/eboondcah</v>
      </c>
      <c r="AZ457" s="80" t="s">
        <v>66</v>
      </c>
      <c r="BA457" s="2"/>
      <c r="BB457" s="3"/>
      <c r="BC457" s="3"/>
      <c r="BD457" s="3"/>
      <c r="BE457" s="3"/>
    </row>
    <row r="458" spans="1:57" x14ac:dyDescent="0.35">
      <c r="A458" s="66" t="s">
        <v>588</v>
      </c>
      <c r="B458" s="67"/>
      <c r="C458" s="67"/>
      <c r="D458" s="68"/>
      <c r="E458" s="70"/>
      <c r="F458" s="106" t="str">
        <f>HYPERLINK("https://pbs.twimg.com/profile_images/1442693262918053891/ZD2Y2CGp_normal.jpg")</f>
        <v>https://pbs.twimg.com/profile_images/1442693262918053891/ZD2Y2CGp_normal.jpg</v>
      </c>
      <c r="G458" s="67"/>
      <c r="H458" s="71"/>
      <c r="I458" s="72"/>
      <c r="J458" s="72"/>
      <c r="K458" s="71" t="s">
        <v>7628</v>
      </c>
      <c r="L458" s="75"/>
      <c r="M458" s="76"/>
      <c r="N458" s="76"/>
      <c r="O458" s="77"/>
      <c r="P458" s="78"/>
      <c r="Q458" s="78"/>
      <c r="R458" s="90"/>
      <c r="S458" s="90"/>
      <c r="T458" s="90"/>
      <c r="U458" s="90"/>
      <c r="V458" s="52"/>
      <c r="W458" s="52"/>
      <c r="X458" s="52"/>
      <c r="Y458" s="52"/>
      <c r="Z458" s="51"/>
      <c r="AA458" s="73"/>
      <c r="AB458" s="73"/>
      <c r="AC458" s="74"/>
      <c r="AD458" s="80" t="s">
        <v>4633</v>
      </c>
      <c r="AE458" s="86" t="s">
        <v>3946</v>
      </c>
      <c r="AF458" s="80">
        <v>1438</v>
      </c>
      <c r="AG458" s="80">
        <v>1570</v>
      </c>
      <c r="AH458" s="80">
        <v>20552</v>
      </c>
      <c r="AI458" s="80">
        <v>3653</v>
      </c>
      <c r="AJ458" s="80"/>
      <c r="AK458" s="80" t="s">
        <v>6304</v>
      </c>
      <c r="AL458" s="80" t="s">
        <v>6949</v>
      </c>
      <c r="AM458" s="84" t="str">
        <f>HYPERLINK("https://t.co/hsXq0MK0Ek")</f>
        <v>https://t.co/hsXq0MK0Ek</v>
      </c>
      <c r="AN458" s="80"/>
      <c r="AO458" s="82">
        <v>43529.204583333332</v>
      </c>
      <c r="AP458" s="84" t="str">
        <f>HYPERLINK("https://pbs.twimg.com/profile_banners/1102794516933763072/1632332379")</f>
        <v>https://pbs.twimg.com/profile_banners/1102794516933763072/1632332379</v>
      </c>
      <c r="AQ458" s="80" t="b">
        <v>1</v>
      </c>
      <c r="AR458" s="80" t="b">
        <v>0</v>
      </c>
      <c r="AS458" s="80" t="b">
        <v>0</v>
      </c>
      <c r="AT458" s="80"/>
      <c r="AU458" s="80">
        <v>0</v>
      </c>
      <c r="AV458" s="80"/>
      <c r="AW458" s="80" t="b">
        <v>0</v>
      </c>
      <c r="AX458" s="80" t="s">
        <v>7173</v>
      </c>
      <c r="AY458" s="84" t="str">
        <f>HYPERLINK("https://twitter.com/lunatical9")</f>
        <v>https://twitter.com/lunatical9</v>
      </c>
      <c r="AZ458" s="80" t="s">
        <v>66</v>
      </c>
      <c r="BA458" s="2"/>
      <c r="BB458" s="3"/>
      <c r="BC458" s="3"/>
      <c r="BD458" s="3"/>
      <c r="BE458" s="3"/>
    </row>
    <row r="459" spans="1:57" x14ac:dyDescent="0.35">
      <c r="A459" s="66" t="s">
        <v>589</v>
      </c>
      <c r="B459" s="67"/>
      <c r="C459" s="67"/>
      <c r="D459" s="68"/>
      <c r="E459" s="70"/>
      <c r="F459" s="106" t="str">
        <f>HYPERLINK("https://pbs.twimg.com/profile_images/1389087282456526848/nZrk14Ld_normal.jpg")</f>
        <v>https://pbs.twimg.com/profile_images/1389087282456526848/nZrk14Ld_normal.jpg</v>
      </c>
      <c r="G459" s="67"/>
      <c r="H459" s="71"/>
      <c r="I459" s="72"/>
      <c r="J459" s="72"/>
      <c r="K459" s="71" t="s">
        <v>7629</v>
      </c>
      <c r="L459" s="75"/>
      <c r="M459" s="76"/>
      <c r="N459" s="76"/>
      <c r="O459" s="77"/>
      <c r="P459" s="78"/>
      <c r="Q459" s="78"/>
      <c r="R459" s="90"/>
      <c r="S459" s="90"/>
      <c r="T459" s="90"/>
      <c r="U459" s="90"/>
      <c r="V459" s="52"/>
      <c r="W459" s="52"/>
      <c r="X459" s="52"/>
      <c r="Y459" s="52"/>
      <c r="Z459" s="51"/>
      <c r="AA459" s="73"/>
      <c r="AB459" s="73"/>
      <c r="AC459" s="74"/>
      <c r="AD459" s="80" t="s">
        <v>4634</v>
      </c>
      <c r="AE459" s="86" t="s">
        <v>5536</v>
      </c>
      <c r="AF459" s="80">
        <v>3355</v>
      </c>
      <c r="AG459" s="80">
        <v>3502</v>
      </c>
      <c r="AH459" s="80">
        <v>11307</v>
      </c>
      <c r="AI459" s="80">
        <v>17554</v>
      </c>
      <c r="AJ459" s="80"/>
      <c r="AK459" s="80" t="s">
        <v>6305</v>
      </c>
      <c r="AL459" s="80" t="s">
        <v>6950</v>
      </c>
      <c r="AM459" s="80"/>
      <c r="AN459" s="80"/>
      <c r="AO459" s="82">
        <v>43648.131469907406</v>
      </c>
      <c r="AP459" s="84" t="str">
        <f>HYPERLINK("https://pbs.twimg.com/profile_banners/1145892176133419008/1625186563")</f>
        <v>https://pbs.twimg.com/profile_banners/1145892176133419008/1625186563</v>
      </c>
      <c r="AQ459" s="80" t="b">
        <v>1</v>
      </c>
      <c r="AR459" s="80" t="b">
        <v>0</v>
      </c>
      <c r="AS459" s="80" t="b">
        <v>0</v>
      </c>
      <c r="AT459" s="80"/>
      <c r="AU459" s="80">
        <v>1</v>
      </c>
      <c r="AV459" s="80"/>
      <c r="AW459" s="80" t="b">
        <v>0</v>
      </c>
      <c r="AX459" s="80" t="s">
        <v>7173</v>
      </c>
      <c r="AY459" s="84" t="str">
        <f>HYPERLINK("https://twitter.com/omezh5")</f>
        <v>https://twitter.com/omezh5</v>
      </c>
      <c r="AZ459" s="80" t="s">
        <v>66</v>
      </c>
      <c r="BA459" s="2"/>
      <c r="BB459" s="3"/>
      <c r="BC459" s="3"/>
      <c r="BD459" s="3"/>
      <c r="BE459" s="3"/>
    </row>
    <row r="460" spans="1:57" x14ac:dyDescent="0.35">
      <c r="A460" s="66" t="s">
        <v>590</v>
      </c>
      <c r="B460" s="67"/>
      <c r="C460" s="67"/>
      <c r="D460" s="68"/>
      <c r="E460" s="70"/>
      <c r="F460" s="106" t="str">
        <f>HYPERLINK("https://pbs.twimg.com/profile_images/1435112067288109061/uelB1zjO_normal.jpg")</f>
        <v>https://pbs.twimg.com/profile_images/1435112067288109061/uelB1zjO_normal.jpg</v>
      </c>
      <c r="G460" s="67"/>
      <c r="H460" s="71"/>
      <c r="I460" s="72"/>
      <c r="J460" s="72"/>
      <c r="K460" s="71" t="s">
        <v>7630</v>
      </c>
      <c r="L460" s="75"/>
      <c r="M460" s="76"/>
      <c r="N460" s="76"/>
      <c r="O460" s="77"/>
      <c r="P460" s="78"/>
      <c r="Q460" s="78"/>
      <c r="R460" s="90"/>
      <c r="S460" s="90"/>
      <c r="T460" s="90"/>
      <c r="U460" s="90"/>
      <c r="V460" s="52"/>
      <c r="W460" s="52"/>
      <c r="X460" s="52"/>
      <c r="Y460" s="52"/>
      <c r="Z460" s="51"/>
      <c r="AA460" s="73"/>
      <c r="AB460" s="73"/>
      <c r="AC460" s="74"/>
      <c r="AD460" s="80" t="s">
        <v>4635</v>
      </c>
      <c r="AE460" s="86" t="s">
        <v>5537</v>
      </c>
      <c r="AF460" s="80">
        <v>8105</v>
      </c>
      <c r="AG460" s="80">
        <v>8879</v>
      </c>
      <c r="AH460" s="80">
        <v>70770</v>
      </c>
      <c r="AI460" s="80">
        <v>845</v>
      </c>
      <c r="AJ460" s="80"/>
      <c r="AK460" s="80" t="s">
        <v>6306</v>
      </c>
      <c r="AL460" s="80"/>
      <c r="AM460" s="80"/>
      <c r="AN460" s="80"/>
      <c r="AO460" s="82">
        <v>43682.293738425928</v>
      </c>
      <c r="AP460" s="84" t="str">
        <f>HYPERLINK("https://pbs.twimg.com/profile_banners/1158272167353581569/1631080751")</f>
        <v>https://pbs.twimg.com/profile_banners/1158272167353581569/1631080751</v>
      </c>
      <c r="AQ460" s="80" t="b">
        <v>1</v>
      </c>
      <c r="AR460" s="80" t="b">
        <v>0</v>
      </c>
      <c r="AS460" s="80" t="b">
        <v>0</v>
      </c>
      <c r="AT460" s="80"/>
      <c r="AU460" s="80">
        <v>17</v>
      </c>
      <c r="AV460" s="80"/>
      <c r="AW460" s="80" t="b">
        <v>0</v>
      </c>
      <c r="AX460" s="80" t="s">
        <v>7173</v>
      </c>
      <c r="AY460" s="84" t="str">
        <f>HYPERLINK("https://twitter.com/putr4sj")</f>
        <v>https://twitter.com/putr4sj</v>
      </c>
      <c r="AZ460" s="80" t="s">
        <v>66</v>
      </c>
      <c r="BA460" s="2"/>
      <c r="BB460" s="3"/>
      <c r="BC460" s="3"/>
      <c r="BD460" s="3"/>
      <c r="BE460" s="3"/>
    </row>
    <row r="461" spans="1:57" x14ac:dyDescent="0.35">
      <c r="A461" s="66" t="s">
        <v>1071</v>
      </c>
      <c r="B461" s="67"/>
      <c r="C461" s="67"/>
      <c r="D461" s="68"/>
      <c r="E461" s="70"/>
      <c r="F461" s="106" t="str">
        <f>HYPERLINK("https://pbs.twimg.com/profile_images/900198549270523904/qKHLmk9k_normal.jpg")</f>
        <v>https://pbs.twimg.com/profile_images/900198549270523904/qKHLmk9k_normal.jpg</v>
      </c>
      <c r="G461" s="67"/>
      <c r="H461" s="71"/>
      <c r="I461" s="72"/>
      <c r="J461" s="72"/>
      <c r="K461" s="71" t="s">
        <v>7631</v>
      </c>
      <c r="L461" s="75"/>
      <c r="M461" s="76"/>
      <c r="N461" s="76"/>
      <c r="O461" s="77"/>
      <c r="P461" s="78"/>
      <c r="Q461" s="78"/>
      <c r="R461" s="90"/>
      <c r="S461" s="90"/>
      <c r="T461" s="90"/>
      <c r="U461" s="90"/>
      <c r="V461" s="52"/>
      <c r="W461" s="52"/>
      <c r="X461" s="52"/>
      <c r="Y461" s="52"/>
      <c r="Z461" s="51"/>
      <c r="AA461" s="73"/>
      <c r="AB461" s="73"/>
      <c r="AC461" s="74"/>
      <c r="AD461" s="80" t="s">
        <v>4636</v>
      </c>
      <c r="AE461" s="86" t="s">
        <v>5538</v>
      </c>
      <c r="AF461" s="80">
        <v>161</v>
      </c>
      <c r="AG461" s="80">
        <v>309445</v>
      </c>
      <c r="AH461" s="80">
        <v>16020</v>
      </c>
      <c r="AI461" s="80">
        <v>2567</v>
      </c>
      <c r="AJ461" s="80"/>
      <c r="AK461" s="80" t="s">
        <v>6307</v>
      </c>
      <c r="AL461" s="80" t="s">
        <v>6825</v>
      </c>
      <c r="AM461" s="84" t="str">
        <f>HYPERLINK("https://t.co/ZyQEFWW574")</f>
        <v>https://t.co/ZyQEFWW574</v>
      </c>
      <c r="AN461" s="80"/>
      <c r="AO461" s="82">
        <v>41947.369363425925</v>
      </c>
      <c r="AP461" s="84" t="str">
        <f>HYPERLINK("https://pbs.twimg.com/profile_banners/2889531644/1629352401")</f>
        <v>https://pbs.twimg.com/profile_banners/2889531644/1629352401</v>
      </c>
      <c r="AQ461" s="80" t="b">
        <v>0</v>
      </c>
      <c r="AR461" s="80" t="b">
        <v>0</v>
      </c>
      <c r="AS461" s="80" t="b">
        <v>1</v>
      </c>
      <c r="AT461" s="80"/>
      <c r="AU461" s="80">
        <v>226</v>
      </c>
      <c r="AV461" s="84" t="str">
        <f>HYPERLINK("https://abs.twimg.com/images/themes/theme1/bg.png")</f>
        <v>https://abs.twimg.com/images/themes/theme1/bg.png</v>
      </c>
      <c r="AW461" s="80" t="b">
        <v>1</v>
      </c>
      <c r="AX461" s="80" t="s">
        <v>7173</v>
      </c>
      <c r="AY461" s="84" t="str">
        <f>HYPERLINK("https://twitter.com/kemensosri")</f>
        <v>https://twitter.com/kemensosri</v>
      </c>
      <c r="AZ461" s="80" t="s">
        <v>65</v>
      </c>
      <c r="BA461" s="2"/>
      <c r="BB461" s="3"/>
      <c r="BC461" s="3"/>
      <c r="BD461" s="3"/>
      <c r="BE461" s="3"/>
    </row>
    <row r="462" spans="1:57" x14ac:dyDescent="0.35">
      <c r="A462" s="66" t="s">
        <v>591</v>
      </c>
      <c r="B462" s="67"/>
      <c r="C462" s="67"/>
      <c r="D462" s="68"/>
      <c r="E462" s="70"/>
      <c r="F462" s="106" t="str">
        <f>HYPERLINK("https://pbs.twimg.com/profile_images/1402472201853435904/M8YBhxa4_normal.jpg")</f>
        <v>https://pbs.twimg.com/profile_images/1402472201853435904/M8YBhxa4_normal.jpg</v>
      </c>
      <c r="G462" s="67"/>
      <c r="H462" s="71"/>
      <c r="I462" s="72"/>
      <c r="J462" s="72"/>
      <c r="K462" s="71" t="s">
        <v>7632</v>
      </c>
      <c r="L462" s="75"/>
      <c r="M462" s="76"/>
      <c r="N462" s="76"/>
      <c r="O462" s="77"/>
      <c r="P462" s="78"/>
      <c r="Q462" s="78"/>
      <c r="R462" s="90"/>
      <c r="S462" s="90"/>
      <c r="T462" s="90"/>
      <c r="U462" s="90"/>
      <c r="V462" s="52"/>
      <c r="W462" s="52"/>
      <c r="X462" s="52"/>
      <c r="Y462" s="52"/>
      <c r="Z462" s="51"/>
      <c r="AA462" s="73"/>
      <c r="AB462" s="73"/>
      <c r="AC462" s="74"/>
      <c r="AD462" s="80" t="s">
        <v>4637</v>
      </c>
      <c r="AE462" s="86" t="s">
        <v>5539</v>
      </c>
      <c r="AF462" s="80">
        <v>192</v>
      </c>
      <c r="AG462" s="80">
        <v>54</v>
      </c>
      <c r="AH462" s="80">
        <v>2482</v>
      </c>
      <c r="AI462" s="80">
        <v>3603</v>
      </c>
      <c r="AJ462" s="80"/>
      <c r="AK462" s="80" t="s">
        <v>6308</v>
      </c>
      <c r="AL462" s="80" t="s">
        <v>6875</v>
      </c>
      <c r="AM462" s="80"/>
      <c r="AN462" s="80"/>
      <c r="AO462" s="82">
        <v>41710.700960648152</v>
      </c>
      <c r="AP462" s="84" t="str">
        <f>HYPERLINK("https://pbs.twimg.com/profile_banners/2385532567/1586424724")</f>
        <v>https://pbs.twimg.com/profile_banners/2385532567/1586424724</v>
      </c>
      <c r="AQ462" s="80" t="b">
        <v>1</v>
      </c>
      <c r="AR462" s="80" t="b">
        <v>0</v>
      </c>
      <c r="AS462" s="80" t="b">
        <v>1</v>
      </c>
      <c r="AT462" s="80"/>
      <c r="AU462" s="80">
        <v>0</v>
      </c>
      <c r="AV462" s="84" t="str">
        <f>HYPERLINK("https://abs.twimg.com/images/themes/theme1/bg.png")</f>
        <v>https://abs.twimg.com/images/themes/theme1/bg.png</v>
      </c>
      <c r="AW462" s="80" t="b">
        <v>0</v>
      </c>
      <c r="AX462" s="80" t="s">
        <v>7173</v>
      </c>
      <c r="AY462" s="84" t="str">
        <f>HYPERLINK("https://twitter.com/angkringanxyz")</f>
        <v>https://twitter.com/angkringanxyz</v>
      </c>
      <c r="AZ462" s="80" t="s">
        <v>66</v>
      </c>
      <c r="BA462" s="2"/>
      <c r="BB462" s="3"/>
      <c r="BC462" s="3"/>
      <c r="BD462" s="3"/>
      <c r="BE462" s="3"/>
    </row>
    <row r="463" spans="1:57" x14ac:dyDescent="0.35">
      <c r="A463" s="66" t="s">
        <v>592</v>
      </c>
      <c r="B463" s="67"/>
      <c r="C463" s="67"/>
      <c r="D463" s="68"/>
      <c r="E463" s="70"/>
      <c r="F463" s="106" t="str">
        <f>HYPERLINK("https://pbs.twimg.com/profile_images/1414934768525844483/SV5kqpSR_normal.jpg")</f>
        <v>https://pbs.twimg.com/profile_images/1414934768525844483/SV5kqpSR_normal.jpg</v>
      </c>
      <c r="G463" s="67"/>
      <c r="H463" s="71"/>
      <c r="I463" s="72"/>
      <c r="J463" s="72"/>
      <c r="K463" s="71" t="s">
        <v>7633</v>
      </c>
      <c r="L463" s="75"/>
      <c r="M463" s="76"/>
      <c r="N463" s="76"/>
      <c r="O463" s="77"/>
      <c r="P463" s="78"/>
      <c r="Q463" s="78"/>
      <c r="R463" s="90"/>
      <c r="S463" s="90"/>
      <c r="T463" s="90"/>
      <c r="U463" s="90"/>
      <c r="V463" s="52"/>
      <c r="W463" s="52"/>
      <c r="X463" s="52"/>
      <c r="Y463" s="52"/>
      <c r="Z463" s="51"/>
      <c r="AA463" s="73"/>
      <c r="AB463" s="73"/>
      <c r="AC463" s="74"/>
      <c r="AD463" s="80" t="s">
        <v>4638</v>
      </c>
      <c r="AE463" s="86" t="s">
        <v>5540</v>
      </c>
      <c r="AF463" s="80">
        <v>614</v>
      </c>
      <c r="AG463" s="80">
        <v>414</v>
      </c>
      <c r="AH463" s="80">
        <v>381</v>
      </c>
      <c r="AI463" s="80">
        <v>3009</v>
      </c>
      <c r="AJ463" s="80"/>
      <c r="AK463" s="80"/>
      <c r="AL463" s="80"/>
      <c r="AM463" s="80"/>
      <c r="AN463" s="80"/>
      <c r="AO463" s="82">
        <v>44304.430046296293</v>
      </c>
      <c r="AP463" s="80"/>
      <c r="AQ463" s="80" t="b">
        <v>1</v>
      </c>
      <c r="AR463" s="80" t="b">
        <v>0</v>
      </c>
      <c r="AS463" s="80" t="b">
        <v>0</v>
      </c>
      <c r="AT463" s="80"/>
      <c r="AU463" s="80">
        <v>0</v>
      </c>
      <c r="AV463" s="80"/>
      <c r="AW463" s="80" t="b">
        <v>0</v>
      </c>
      <c r="AX463" s="80" t="s">
        <v>7173</v>
      </c>
      <c r="AY463" s="84" t="str">
        <f>HYPERLINK("https://twitter.com/lusi79039701")</f>
        <v>https://twitter.com/lusi79039701</v>
      </c>
      <c r="AZ463" s="80" t="s">
        <v>66</v>
      </c>
      <c r="BA463" s="2"/>
      <c r="BB463" s="3"/>
      <c r="BC463" s="3"/>
      <c r="BD463" s="3"/>
      <c r="BE463" s="3"/>
    </row>
    <row r="464" spans="1:57" x14ac:dyDescent="0.35">
      <c r="A464" s="66" t="s">
        <v>593</v>
      </c>
      <c r="B464" s="67"/>
      <c r="C464" s="67"/>
      <c r="D464" s="68"/>
      <c r="E464" s="70"/>
      <c r="F464" s="106" t="str">
        <f>HYPERLINK("https://pbs.twimg.com/profile_images/1360179013801676803/XjKifMh7_normal.jpg")</f>
        <v>https://pbs.twimg.com/profile_images/1360179013801676803/XjKifMh7_normal.jpg</v>
      </c>
      <c r="G464" s="67"/>
      <c r="H464" s="71"/>
      <c r="I464" s="72"/>
      <c r="J464" s="72"/>
      <c r="K464" s="71" t="s">
        <v>7634</v>
      </c>
      <c r="L464" s="75"/>
      <c r="M464" s="76"/>
      <c r="N464" s="76"/>
      <c r="O464" s="77"/>
      <c r="P464" s="78"/>
      <c r="Q464" s="78"/>
      <c r="R464" s="90"/>
      <c r="S464" s="90"/>
      <c r="T464" s="90"/>
      <c r="U464" s="90"/>
      <c r="V464" s="52"/>
      <c r="W464" s="52"/>
      <c r="X464" s="52"/>
      <c r="Y464" s="52"/>
      <c r="Z464" s="51"/>
      <c r="AA464" s="73"/>
      <c r="AB464" s="73"/>
      <c r="AC464" s="74"/>
      <c r="AD464" s="80" t="s">
        <v>4639</v>
      </c>
      <c r="AE464" s="86" t="s">
        <v>5541</v>
      </c>
      <c r="AF464" s="80">
        <v>1261</v>
      </c>
      <c r="AG464" s="80">
        <v>1923</v>
      </c>
      <c r="AH464" s="80">
        <v>13040</v>
      </c>
      <c r="AI464" s="80">
        <v>339</v>
      </c>
      <c r="AJ464" s="80"/>
      <c r="AK464" s="80" t="s">
        <v>6309</v>
      </c>
      <c r="AL464" s="80"/>
      <c r="AM464" s="80"/>
      <c r="AN464" s="80"/>
      <c r="AO464" s="82">
        <v>43810.570277777777</v>
      </c>
      <c r="AP464" s="84" t="str">
        <f>HYPERLINK("https://pbs.twimg.com/profile_banners/1204757954727006208/1612537794")</f>
        <v>https://pbs.twimg.com/profile_banners/1204757954727006208/1612537794</v>
      </c>
      <c r="AQ464" s="80" t="b">
        <v>1</v>
      </c>
      <c r="AR464" s="80" t="b">
        <v>0</v>
      </c>
      <c r="AS464" s="80" t="b">
        <v>1</v>
      </c>
      <c r="AT464" s="80"/>
      <c r="AU464" s="80">
        <v>5</v>
      </c>
      <c r="AV464" s="80"/>
      <c r="AW464" s="80" t="b">
        <v>0</v>
      </c>
      <c r="AX464" s="80" t="s">
        <v>7173</v>
      </c>
      <c r="AY464" s="84" t="str">
        <f>HYPERLINK("https://twitter.com/menfesssambat")</f>
        <v>https://twitter.com/menfesssambat</v>
      </c>
      <c r="AZ464" s="80" t="s">
        <v>66</v>
      </c>
      <c r="BA464" s="2"/>
      <c r="BB464" s="3"/>
      <c r="BC464" s="3"/>
      <c r="BD464" s="3"/>
      <c r="BE464" s="3"/>
    </row>
    <row r="465" spans="1:57" x14ac:dyDescent="0.35">
      <c r="A465" s="66" t="s">
        <v>594</v>
      </c>
      <c r="B465" s="67"/>
      <c r="C465" s="67"/>
      <c r="D465" s="68"/>
      <c r="E465" s="70"/>
      <c r="F465" s="106" t="str">
        <f>HYPERLINK("https://pbs.twimg.com/profile_images/1213727846436196352/AxqlZCBp_normal.jpg")</f>
        <v>https://pbs.twimg.com/profile_images/1213727846436196352/AxqlZCBp_normal.jpg</v>
      </c>
      <c r="G465" s="67"/>
      <c r="H465" s="71"/>
      <c r="I465" s="72"/>
      <c r="J465" s="72"/>
      <c r="K465" s="71" t="s">
        <v>7635</v>
      </c>
      <c r="L465" s="75"/>
      <c r="M465" s="76"/>
      <c r="N465" s="76"/>
      <c r="O465" s="77"/>
      <c r="P465" s="78"/>
      <c r="Q465" s="78"/>
      <c r="R465" s="90"/>
      <c r="S465" s="90"/>
      <c r="T465" s="90"/>
      <c r="U465" s="90"/>
      <c r="V465" s="52"/>
      <c r="W465" s="52"/>
      <c r="X465" s="52"/>
      <c r="Y465" s="52"/>
      <c r="Z465" s="51"/>
      <c r="AA465" s="73"/>
      <c r="AB465" s="73"/>
      <c r="AC465" s="74"/>
      <c r="AD465" s="80" t="s">
        <v>4640</v>
      </c>
      <c r="AE465" s="86" t="s">
        <v>5542</v>
      </c>
      <c r="AF465" s="80">
        <v>194</v>
      </c>
      <c r="AG465" s="80">
        <v>165</v>
      </c>
      <c r="AH465" s="80">
        <v>14801</v>
      </c>
      <c r="AI465" s="80">
        <v>38315</v>
      </c>
      <c r="AJ465" s="80"/>
      <c r="AK465" s="80" t="s">
        <v>6310</v>
      </c>
      <c r="AL465" s="80"/>
      <c r="AM465" s="80"/>
      <c r="AN465" s="80"/>
      <c r="AO465" s="82">
        <v>43835.321030092593</v>
      </c>
      <c r="AP465" s="80"/>
      <c r="AQ465" s="80" t="b">
        <v>1</v>
      </c>
      <c r="AR465" s="80" t="b">
        <v>0</v>
      </c>
      <c r="AS465" s="80" t="b">
        <v>0</v>
      </c>
      <c r="AT465" s="80"/>
      <c r="AU465" s="80">
        <v>0</v>
      </c>
      <c r="AV465" s="80"/>
      <c r="AW465" s="80" t="b">
        <v>0</v>
      </c>
      <c r="AX465" s="80" t="s">
        <v>7173</v>
      </c>
      <c r="AY465" s="84" t="str">
        <f>HYPERLINK("https://twitter.com/senyumbahagia6")</f>
        <v>https://twitter.com/senyumbahagia6</v>
      </c>
      <c r="AZ465" s="80" t="s">
        <v>66</v>
      </c>
      <c r="BA465" s="2"/>
      <c r="BB465" s="3"/>
      <c r="BC465" s="3"/>
      <c r="BD465" s="3"/>
      <c r="BE465" s="3"/>
    </row>
    <row r="466" spans="1:57" x14ac:dyDescent="0.35">
      <c r="A466" s="66" t="s">
        <v>595</v>
      </c>
      <c r="B466" s="67"/>
      <c r="C466" s="67"/>
      <c r="D466" s="68"/>
      <c r="E466" s="70"/>
      <c r="F466" s="106" t="str">
        <f>HYPERLINK("https://pbs.twimg.com/profile_images/1441408678607814662/I8gxSRCC_normal.jpg")</f>
        <v>https://pbs.twimg.com/profile_images/1441408678607814662/I8gxSRCC_normal.jpg</v>
      </c>
      <c r="G466" s="67"/>
      <c r="H466" s="71"/>
      <c r="I466" s="72"/>
      <c r="J466" s="72"/>
      <c r="K466" s="71" t="s">
        <v>7636</v>
      </c>
      <c r="L466" s="75"/>
      <c r="M466" s="76"/>
      <c r="N466" s="76"/>
      <c r="O466" s="77"/>
      <c r="P466" s="78"/>
      <c r="Q466" s="78"/>
      <c r="R466" s="90"/>
      <c r="S466" s="90"/>
      <c r="T466" s="90"/>
      <c r="U466" s="90"/>
      <c r="V466" s="52"/>
      <c r="W466" s="52"/>
      <c r="X466" s="52"/>
      <c r="Y466" s="52"/>
      <c r="Z466" s="51"/>
      <c r="AA466" s="73"/>
      <c r="AB466" s="73"/>
      <c r="AC466" s="74"/>
      <c r="AD466" s="80" t="s">
        <v>4641</v>
      </c>
      <c r="AE466" s="86" t="s">
        <v>5543</v>
      </c>
      <c r="AF466" s="80">
        <v>842</v>
      </c>
      <c r="AG466" s="80">
        <v>832</v>
      </c>
      <c r="AH466" s="80">
        <v>20469</v>
      </c>
      <c r="AI466" s="80">
        <v>8722</v>
      </c>
      <c r="AJ466" s="80"/>
      <c r="AK466" s="80"/>
      <c r="AL466" s="80"/>
      <c r="AM466" s="80"/>
      <c r="AN466" s="80"/>
      <c r="AO466" s="82">
        <v>44020.735879629632</v>
      </c>
      <c r="AP466" s="84" t="str">
        <f>HYPERLINK("https://pbs.twimg.com/profile_banners/1280919290225364992/1631879075")</f>
        <v>https://pbs.twimg.com/profile_banners/1280919290225364992/1631879075</v>
      </c>
      <c r="AQ466" s="80" t="b">
        <v>1</v>
      </c>
      <c r="AR466" s="80" t="b">
        <v>0</v>
      </c>
      <c r="AS466" s="80" t="b">
        <v>0</v>
      </c>
      <c r="AT466" s="80"/>
      <c r="AU466" s="80">
        <v>1</v>
      </c>
      <c r="AV466" s="80"/>
      <c r="AW466" s="80" t="b">
        <v>0</v>
      </c>
      <c r="AX466" s="80" t="s">
        <v>7173</v>
      </c>
      <c r="AY466" s="84" t="str">
        <f>HYPERLINK("https://twitter.com/nmoewn")</f>
        <v>https://twitter.com/nmoewn</v>
      </c>
      <c r="AZ466" s="80" t="s">
        <v>66</v>
      </c>
      <c r="BA466" s="2"/>
      <c r="BB466" s="3"/>
      <c r="BC466" s="3"/>
      <c r="BD466" s="3"/>
      <c r="BE466" s="3"/>
    </row>
    <row r="467" spans="1:57" x14ac:dyDescent="0.35">
      <c r="A467" s="66" t="s">
        <v>596</v>
      </c>
      <c r="B467" s="67"/>
      <c r="C467" s="67"/>
      <c r="D467" s="68"/>
      <c r="E467" s="70"/>
      <c r="F467" s="106" t="str">
        <f>HYPERLINK("https://pbs.twimg.com/profile_images/1426089372974149636/p_kIjSv5_normal.jpg")</f>
        <v>https://pbs.twimg.com/profile_images/1426089372974149636/p_kIjSv5_normal.jpg</v>
      </c>
      <c r="G467" s="67"/>
      <c r="H467" s="71"/>
      <c r="I467" s="72"/>
      <c r="J467" s="72"/>
      <c r="K467" s="71" t="s">
        <v>7637</v>
      </c>
      <c r="L467" s="75"/>
      <c r="M467" s="76"/>
      <c r="N467" s="76"/>
      <c r="O467" s="77"/>
      <c r="P467" s="78"/>
      <c r="Q467" s="78"/>
      <c r="R467" s="90"/>
      <c r="S467" s="90"/>
      <c r="T467" s="90"/>
      <c r="U467" s="90"/>
      <c r="V467" s="52"/>
      <c r="W467" s="52"/>
      <c r="X467" s="52"/>
      <c r="Y467" s="52"/>
      <c r="Z467" s="51"/>
      <c r="AA467" s="73"/>
      <c r="AB467" s="73"/>
      <c r="AC467" s="74"/>
      <c r="AD467" s="80" t="s">
        <v>4642</v>
      </c>
      <c r="AE467" s="86" t="s">
        <v>5544</v>
      </c>
      <c r="AF467" s="80">
        <v>301</v>
      </c>
      <c r="AG467" s="80">
        <v>232</v>
      </c>
      <c r="AH467" s="80">
        <v>4185</v>
      </c>
      <c r="AI467" s="80">
        <v>17599</v>
      </c>
      <c r="AJ467" s="80"/>
      <c r="AK467" s="80" t="s">
        <v>6311</v>
      </c>
      <c r="AL467" s="80" t="s">
        <v>6951</v>
      </c>
      <c r="AM467" s="80"/>
      <c r="AN467" s="80"/>
      <c r="AO467" s="82">
        <v>43980.079930555556</v>
      </c>
      <c r="AP467" s="84" t="str">
        <f>HYPERLINK("https://pbs.twimg.com/profile_banners/1266186208444444672/1628840999")</f>
        <v>https://pbs.twimg.com/profile_banners/1266186208444444672/1628840999</v>
      </c>
      <c r="AQ467" s="80" t="b">
        <v>1</v>
      </c>
      <c r="AR467" s="80" t="b">
        <v>0</v>
      </c>
      <c r="AS467" s="80" t="b">
        <v>0</v>
      </c>
      <c r="AT467" s="80"/>
      <c r="AU467" s="80">
        <v>0</v>
      </c>
      <c r="AV467" s="80"/>
      <c r="AW467" s="80" t="b">
        <v>0</v>
      </c>
      <c r="AX467" s="80" t="s">
        <v>7173</v>
      </c>
      <c r="AY467" s="84" t="str">
        <f>HYPERLINK("https://twitter.com/teajuize")</f>
        <v>https://twitter.com/teajuize</v>
      </c>
      <c r="AZ467" s="80" t="s">
        <v>66</v>
      </c>
      <c r="BA467" s="2"/>
      <c r="BB467" s="3"/>
      <c r="BC467" s="3"/>
      <c r="BD467" s="3"/>
      <c r="BE467" s="3"/>
    </row>
    <row r="468" spans="1:57" x14ac:dyDescent="0.35">
      <c r="A468" s="66" t="s">
        <v>597</v>
      </c>
      <c r="B468" s="67"/>
      <c r="C468" s="67"/>
      <c r="D468" s="68"/>
      <c r="E468" s="70"/>
      <c r="F468" s="106" t="str">
        <f>HYPERLINK("https://pbs.twimg.com/profile_images/940045684014661632/HtMizSYf_normal.jpg")</f>
        <v>https://pbs.twimg.com/profile_images/940045684014661632/HtMizSYf_normal.jpg</v>
      </c>
      <c r="G468" s="67"/>
      <c r="H468" s="71"/>
      <c r="I468" s="72"/>
      <c r="J468" s="72"/>
      <c r="K468" s="71" t="s">
        <v>7638</v>
      </c>
      <c r="L468" s="75"/>
      <c r="M468" s="76"/>
      <c r="N468" s="76"/>
      <c r="O468" s="77"/>
      <c r="P468" s="78"/>
      <c r="Q468" s="78"/>
      <c r="R468" s="90"/>
      <c r="S468" s="90"/>
      <c r="T468" s="90"/>
      <c r="U468" s="90"/>
      <c r="V468" s="52"/>
      <c r="W468" s="52"/>
      <c r="X468" s="52"/>
      <c r="Y468" s="52"/>
      <c r="Z468" s="51"/>
      <c r="AA468" s="73"/>
      <c r="AB468" s="73"/>
      <c r="AC468" s="74"/>
      <c r="AD468" s="80" t="s">
        <v>4643</v>
      </c>
      <c r="AE468" s="86" t="s">
        <v>5545</v>
      </c>
      <c r="AF468" s="80">
        <v>233</v>
      </c>
      <c r="AG468" s="80">
        <v>176</v>
      </c>
      <c r="AH468" s="80">
        <v>1688</v>
      </c>
      <c r="AI468" s="80">
        <v>1136</v>
      </c>
      <c r="AJ468" s="80"/>
      <c r="AK468" s="80" t="s">
        <v>6312</v>
      </c>
      <c r="AL468" s="80" t="s">
        <v>6952</v>
      </c>
      <c r="AM468" s="80"/>
      <c r="AN468" s="80"/>
      <c r="AO468" s="82">
        <v>41639.296597222223</v>
      </c>
      <c r="AP468" s="84" t="str">
        <f>HYPERLINK("https://pbs.twimg.com/profile_banners/2270005266/1481941779")</f>
        <v>https://pbs.twimg.com/profile_banners/2270005266/1481941779</v>
      </c>
      <c r="AQ468" s="80" t="b">
        <v>0</v>
      </c>
      <c r="AR468" s="80" t="b">
        <v>0</v>
      </c>
      <c r="AS468" s="80" t="b">
        <v>0</v>
      </c>
      <c r="AT468" s="80"/>
      <c r="AU468" s="80">
        <v>0</v>
      </c>
      <c r="AV468" s="84" t="str">
        <f>HYPERLINK("https://abs.twimg.com/images/themes/theme10/bg.gif")</f>
        <v>https://abs.twimg.com/images/themes/theme10/bg.gif</v>
      </c>
      <c r="AW468" s="80" t="b">
        <v>0</v>
      </c>
      <c r="AX468" s="80" t="s">
        <v>7173</v>
      </c>
      <c r="AY468" s="84" t="str">
        <f>HYPERLINK("https://twitter.com/ika_varizki")</f>
        <v>https://twitter.com/ika_varizki</v>
      </c>
      <c r="AZ468" s="80" t="s">
        <v>66</v>
      </c>
      <c r="BA468" s="2"/>
      <c r="BB468" s="3"/>
      <c r="BC468" s="3"/>
      <c r="BD468" s="3"/>
      <c r="BE468" s="3"/>
    </row>
    <row r="469" spans="1:57" x14ac:dyDescent="0.35">
      <c r="A469" s="66" t="s">
        <v>598</v>
      </c>
      <c r="B469" s="67"/>
      <c r="C469" s="67"/>
      <c r="D469" s="68"/>
      <c r="E469" s="70"/>
      <c r="F469" s="106" t="str">
        <f>HYPERLINK("https://pbs.twimg.com/profile_images/1352486920165552141/xRNv65pn_normal.jpg")</f>
        <v>https://pbs.twimg.com/profile_images/1352486920165552141/xRNv65pn_normal.jpg</v>
      </c>
      <c r="G469" s="67"/>
      <c r="H469" s="71"/>
      <c r="I469" s="72"/>
      <c r="J469" s="72"/>
      <c r="K469" s="71" t="s">
        <v>7639</v>
      </c>
      <c r="L469" s="75"/>
      <c r="M469" s="76"/>
      <c r="N469" s="76"/>
      <c r="O469" s="77"/>
      <c r="P469" s="78"/>
      <c r="Q469" s="78"/>
      <c r="R469" s="90"/>
      <c r="S469" s="90"/>
      <c r="T469" s="90"/>
      <c r="U469" s="90"/>
      <c r="V469" s="52"/>
      <c r="W469" s="52"/>
      <c r="X469" s="52"/>
      <c r="Y469" s="52"/>
      <c r="Z469" s="51"/>
      <c r="AA469" s="73"/>
      <c r="AB469" s="73"/>
      <c r="AC469" s="74"/>
      <c r="AD469" s="80" t="s">
        <v>4644</v>
      </c>
      <c r="AE469" s="86" t="s">
        <v>3948</v>
      </c>
      <c r="AF469" s="80">
        <v>161</v>
      </c>
      <c r="AG469" s="80">
        <v>127</v>
      </c>
      <c r="AH469" s="80">
        <v>6277</v>
      </c>
      <c r="AI469" s="80">
        <v>23221</v>
      </c>
      <c r="AJ469" s="80"/>
      <c r="AK469" s="80" t="s">
        <v>6313</v>
      </c>
      <c r="AL469" s="80"/>
      <c r="AM469" s="80"/>
      <c r="AN469" s="80"/>
      <c r="AO469" s="82">
        <v>43720.581574074073</v>
      </c>
      <c r="AP469" s="84" t="str">
        <f>HYPERLINK("https://pbs.twimg.com/profile_banners/1172147166162214914/1600702487")</f>
        <v>https://pbs.twimg.com/profile_banners/1172147166162214914/1600702487</v>
      </c>
      <c r="AQ469" s="80" t="b">
        <v>1</v>
      </c>
      <c r="AR469" s="80" t="b">
        <v>0</v>
      </c>
      <c r="AS469" s="80" t="b">
        <v>1</v>
      </c>
      <c r="AT469" s="80"/>
      <c r="AU469" s="80">
        <v>0</v>
      </c>
      <c r="AV469" s="80"/>
      <c r="AW469" s="80" t="b">
        <v>0</v>
      </c>
      <c r="AX469" s="80" t="s">
        <v>7173</v>
      </c>
      <c r="AY469" s="84" t="str">
        <f>HYPERLINK("https://twitter.com/nahdaalfi")</f>
        <v>https://twitter.com/nahdaalfi</v>
      </c>
      <c r="AZ469" s="80" t="s">
        <v>66</v>
      </c>
      <c r="BA469" s="2"/>
      <c r="BB469" s="3"/>
      <c r="BC469" s="3"/>
      <c r="BD469" s="3"/>
      <c r="BE469" s="3"/>
    </row>
    <row r="470" spans="1:57" x14ac:dyDescent="0.35">
      <c r="A470" s="66" t="s">
        <v>599</v>
      </c>
      <c r="B470" s="67"/>
      <c r="C470" s="67"/>
      <c r="D470" s="68"/>
      <c r="E470" s="70"/>
      <c r="F470" s="106" t="str">
        <f>HYPERLINK("https://pbs.twimg.com/profile_images/1433752961000218624/-wRXMSAz_normal.jpg")</f>
        <v>https://pbs.twimg.com/profile_images/1433752961000218624/-wRXMSAz_normal.jpg</v>
      </c>
      <c r="G470" s="67"/>
      <c r="H470" s="71"/>
      <c r="I470" s="72"/>
      <c r="J470" s="72"/>
      <c r="K470" s="71" t="s">
        <v>7640</v>
      </c>
      <c r="L470" s="75"/>
      <c r="M470" s="76"/>
      <c r="N470" s="76"/>
      <c r="O470" s="77"/>
      <c r="P470" s="78"/>
      <c r="Q470" s="78"/>
      <c r="R470" s="90"/>
      <c r="S470" s="90"/>
      <c r="T470" s="90"/>
      <c r="U470" s="90"/>
      <c r="V470" s="52"/>
      <c r="W470" s="52"/>
      <c r="X470" s="52"/>
      <c r="Y470" s="52"/>
      <c r="Z470" s="51"/>
      <c r="AA470" s="73"/>
      <c r="AB470" s="73"/>
      <c r="AC470" s="74"/>
      <c r="AD470" s="80" t="s">
        <v>4645</v>
      </c>
      <c r="AE470" s="86" t="s">
        <v>5546</v>
      </c>
      <c r="AF470" s="80">
        <v>1717</v>
      </c>
      <c r="AG470" s="80">
        <v>330</v>
      </c>
      <c r="AH470" s="80">
        <v>9605</v>
      </c>
      <c r="AI470" s="80">
        <v>2464</v>
      </c>
      <c r="AJ470" s="80"/>
      <c r="AK470" s="80" t="s">
        <v>6314</v>
      </c>
      <c r="AL470" s="80" t="s">
        <v>6953</v>
      </c>
      <c r="AM470" s="80"/>
      <c r="AN470" s="80"/>
      <c r="AO470" s="82">
        <v>40417.750162037039</v>
      </c>
      <c r="AP470" s="80"/>
      <c r="AQ470" s="80" t="b">
        <v>0</v>
      </c>
      <c r="AR470" s="80" t="b">
        <v>0</v>
      </c>
      <c r="AS470" s="80" t="b">
        <v>0</v>
      </c>
      <c r="AT470" s="80"/>
      <c r="AU470" s="80">
        <v>2</v>
      </c>
      <c r="AV470" s="84" t="str">
        <f>HYPERLINK("https://abs.twimg.com/images/themes/theme5/bg.gif")</f>
        <v>https://abs.twimg.com/images/themes/theme5/bg.gif</v>
      </c>
      <c r="AW470" s="80" t="b">
        <v>0</v>
      </c>
      <c r="AX470" s="80" t="s">
        <v>7173</v>
      </c>
      <c r="AY470" s="84" t="str">
        <f>HYPERLINK("https://twitter.com/purwantisetia")</f>
        <v>https://twitter.com/purwantisetia</v>
      </c>
      <c r="AZ470" s="80" t="s">
        <v>66</v>
      </c>
      <c r="BA470" s="2"/>
      <c r="BB470" s="3"/>
      <c r="BC470" s="3"/>
      <c r="BD470" s="3"/>
      <c r="BE470" s="3"/>
    </row>
    <row r="471" spans="1:57" x14ac:dyDescent="0.35">
      <c r="A471" s="66" t="s">
        <v>600</v>
      </c>
      <c r="B471" s="67"/>
      <c r="C471" s="67"/>
      <c r="D471" s="68"/>
      <c r="E471" s="70"/>
      <c r="F471" s="106" t="str">
        <f>HYPERLINK("https://pbs.twimg.com/profile_images/1372945831322546176/BonYq1tN_normal.jpg")</f>
        <v>https://pbs.twimg.com/profile_images/1372945831322546176/BonYq1tN_normal.jpg</v>
      </c>
      <c r="G471" s="67"/>
      <c r="H471" s="71"/>
      <c r="I471" s="72"/>
      <c r="J471" s="72"/>
      <c r="K471" s="71" t="s">
        <v>7641</v>
      </c>
      <c r="L471" s="75"/>
      <c r="M471" s="76"/>
      <c r="N471" s="76"/>
      <c r="O471" s="77"/>
      <c r="P471" s="78"/>
      <c r="Q471" s="78"/>
      <c r="R471" s="90"/>
      <c r="S471" s="90"/>
      <c r="T471" s="90"/>
      <c r="U471" s="90"/>
      <c r="V471" s="52"/>
      <c r="W471" s="52"/>
      <c r="X471" s="52"/>
      <c r="Y471" s="52"/>
      <c r="Z471" s="51"/>
      <c r="AA471" s="73"/>
      <c r="AB471" s="73"/>
      <c r="AC471" s="74"/>
      <c r="AD471" s="80" t="s">
        <v>4646</v>
      </c>
      <c r="AE471" s="86" t="s">
        <v>5547</v>
      </c>
      <c r="AF471" s="80">
        <v>3434</v>
      </c>
      <c r="AG471" s="80">
        <v>3154</v>
      </c>
      <c r="AH471" s="80">
        <v>13061</v>
      </c>
      <c r="AI471" s="80">
        <v>38955</v>
      </c>
      <c r="AJ471" s="80"/>
      <c r="AK471" s="80" t="s">
        <v>6315</v>
      </c>
      <c r="AL471" s="80" t="s">
        <v>6954</v>
      </c>
      <c r="AM471" s="80"/>
      <c r="AN471" s="80"/>
      <c r="AO471" s="82">
        <v>41572.365613425929</v>
      </c>
      <c r="AP471" s="84" t="str">
        <f>HYPERLINK("https://pbs.twimg.com/profile_banners/2154476719/1452773392")</f>
        <v>https://pbs.twimg.com/profile_banners/2154476719/1452773392</v>
      </c>
      <c r="AQ471" s="80" t="b">
        <v>1</v>
      </c>
      <c r="AR471" s="80" t="b">
        <v>0</v>
      </c>
      <c r="AS471" s="80" t="b">
        <v>1</v>
      </c>
      <c r="AT471" s="80"/>
      <c r="AU471" s="80">
        <v>0</v>
      </c>
      <c r="AV471" s="84" t="str">
        <f>HYPERLINK("https://abs.twimg.com/images/themes/theme1/bg.png")</f>
        <v>https://abs.twimg.com/images/themes/theme1/bg.png</v>
      </c>
      <c r="AW471" s="80" t="b">
        <v>0</v>
      </c>
      <c r="AX471" s="80" t="s">
        <v>7173</v>
      </c>
      <c r="AY471" s="84" t="str">
        <f>HYPERLINK("https://twitter.com/aliam36")</f>
        <v>https://twitter.com/aliam36</v>
      </c>
      <c r="AZ471" s="80" t="s">
        <v>66</v>
      </c>
      <c r="BA471" s="2"/>
      <c r="BB471" s="3"/>
      <c r="BC471" s="3"/>
      <c r="BD471" s="3"/>
      <c r="BE471" s="3"/>
    </row>
    <row r="472" spans="1:57" x14ac:dyDescent="0.35">
      <c r="A472" s="66" t="s">
        <v>601</v>
      </c>
      <c r="B472" s="67"/>
      <c r="C472" s="67"/>
      <c r="D472" s="68"/>
      <c r="E472" s="70"/>
      <c r="F472" s="106" t="str">
        <f>HYPERLINK("https://pbs.twimg.com/profile_images/1416623564099182594/rhsF4EVy_normal.jpg")</f>
        <v>https://pbs.twimg.com/profile_images/1416623564099182594/rhsF4EVy_normal.jpg</v>
      </c>
      <c r="G472" s="67"/>
      <c r="H472" s="71"/>
      <c r="I472" s="72"/>
      <c r="J472" s="72"/>
      <c r="K472" s="71" t="s">
        <v>7642</v>
      </c>
      <c r="L472" s="75"/>
      <c r="M472" s="76"/>
      <c r="N472" s="76"/>
      <c r="O472" s="77"/>
      <c r="P472" s="78"/>
      <c r="Q472" s="78"/>
      <c r="R472" s="90"/>
      <c r="S472" s="90"/>
      <c r="T472" s="90"/>
      <c r="U472" s="90"/>
      <c r="V472" s="52"/>
      <c r="W472" s="52"/>
      <c r="X472" s="52"/>
      <c r="Y472" s="52"/>
      <c r="Z472" s="51"/>
      <c r="AA472" s="73"/>
      <c r="AB472" s="73"/>
      <c r="AC472" s="74"/>
      <c r="AD472" s="80" t="s">
        <v>4647</v>
      </c>
      <c r="AE472" s="86" t="s">
        <v>5548</v>
      </c>
      <c r="AF472" s="80">
        <v>1527</v>
      </c>
      <c r="AG472" s="80">
        <v>1533</v>
      </c>
      <c r="AH472" s="80">
        <v>6139</v>
      </c>
      <c r="AI472" s="80">
        <v>32281</v>
      </c>
      <c r="AJ472" s="80"/>
      <c r="AK472" s="80" t="s">
        <v>6316</v>
      </c>
      <c r="AL472" s="80" t="s">
        <v>6955</v>
      </c>
      <c r="AM472" s="80"/>
      <c r="AN472" s="80"/>
      <c r="AO472" s="82">
        <v>42475.268865740742</v>
      </c>
      <c r="AP472" s="84" t="str">
        <f>HYPERLINK("https://pbs.twimg.com/profile_banners/720861002036682753/1581237361")</f>
        <v>https://pbs.twimg.com/profile_banners/720861002036682753/1581237361</v>
      </c>
      <c r="AQ472" s="80" t="b">
        <v>1</v>
      </c>
      <c r="AR472" s="80" t="b">
        <v>0</v>
      </c>
      <c r="AS472" s="80" t="b">
        <v>1</v>
      </c>
      <c r="AT472" s="80"/>
      <c r="AU472" s="80">
        <v>0</v>
      </c>
      <c r="AV472" s="80"/>
      <c r="AW472" s="80" t="b">
        <v>0</v>
      </c>
      <c r="AX472" s="80" t="s">
        <v>7173</v>
      </c>
      <c r="AY472" s="84" t="str">
        <f>HYPERLINK("https://twitter.com/amadea312")</f>
        <v>https://twitter.com/amadea312</v>
      </c>
      <c r="AZ472" s="80" t="s">
        <v>66</v>
      </c>
      <c r="BA472" s="2"/>
      <c r="BB472" s="3"/>
      <c r="BC472" s="3"/>
      <c r="BD472" s="3"/>
      <c r="BE472" s="3"/>
    </row>
    <row r="473" spans="1:57" x14ac:dyDescent="0.35">
      <c r="A473" s="66" t="s">
        <v>602</v>
      </c>
      <c r="B473" s="67"/>
      <c r="C473" s="67"/>
      <c r="D473" s="68"/>
      <c r="E473" s="70"/>
      <c r="F473" s="106" t="str">
        <f>HYPERLINK("https://pbs.twimg.com/profile_images/1345298348090089472/bQCj6oti_normal.jpg")</f>
        <v>https://pbs.twimg.com/profile_images/1345298348090089472/bQCj6oti_normal.jpg</v>
      </c>
      <c r="G473" s="67"/>
      <c r="H473" s="71"/>
      <c r="I473" s="72"/>
      <c r="J473" s="72"/>
      <c r="K473" s="71" t="s">
        <v>7643</v>
      </c>
      <c r="L473" s="75"/>
      <c r="M473" s="76"/>
      <c r="N473" s="76"/>
      <c r="O473" s="77"/>
      <c r="P473" s="78"/>
      <c r="Q473" s="78"/>
      <c r="R473" s="90"/>
      <c r="S473" s="90"/>
      <c r="T473" s="90"/>
      <c r="U473" s="90"/>
      <c r="V473" s="52"/>
      <c r="W473" s="52"/>
      <c r="X473" s="52"/>
      <c r="Y473" s="52"/>
      <c r="Z473" s="51"/>
      <c r="AA473" s="73"/>
      <c r="AB473" s="73"/>
      <c r="AC473" s="74"/>
      <c r="AD473" s="80" t="s">
        <v>4648</v>
      </c>
      <c r="AE473" s="86" t="s">
        <v>5549</v>
      </c>
      <c r="AF473" s="80">
        <v>1660</v>
      </c>
      <c r="AG473" s="80">
        <v>245</v>
      </c>
      <c r="AH473" s="80">
        <v>22851</v>
      </c>
      <c r="AI473" s="80">
        <v>20816</v>
      </c>
      <c r="AJ473" s="80"/>
      <c r="AK473" s="80" t="s">
        <v>6317</v>
      </c>
      <c r="AL473" s="80" t="s">
        <v>6785</v>
      </c>
      <c r="AM473" s="80"/>
      <c r="AN473" s="80"/>
      <c r="AO473" s="82">
        <v>41011.651655092595</v>
      </c>
      <c r="AP473" s="84" t="str">
        <f>HYPERLINK("https://pbs.twimg.com/profile_banners/552034110/1618556653")</f>
        <v>https://pbs.twimg.com/profile_banners/552034110/1618556653</v>
      </c>
      <c r="AQ473" s="80" t="b">
        <v>0</v>
      </c>
      <c r="AR473" s="80" t="b">
        <v>0</v>
      </c>
      <c r="AS473" s="80" t="b">
        <v>1</v>
      </c>
      <c r="AT473" s="80"/>
      <c r="AU473" s="80">
        <v>1</v>
      </c>
      <c r="AV473" s="84" t="str">
        <f>HYPERLINK("https://abs.twimg.com/images/themes/theme1/bg.png")</f>
        <v>https://abs.twimg.com/images/themes/theme1/bg.png</v>
      </c>
      <c r="AW473" s="80" t="b">
        <v>0</v>
      </c>
      <c r="AX473" s="80" t="s">
        <v>7173</v>
      </c>
      <c r="AY473" s="84" t="str">
        <f>HYPERLINK("https://twitter.com/ahir9")</f>
        <v>https://twitter.com/ahir9</v>
      </c>
      <c r="AZ473" s="80" t="s">
        <v>66</v>
      </c>
      <c r="BA473" s="2"/>
      <c r="BB473" s="3"/>
      <c r="BC473" s="3"/>
      <c r="BD473" s="3"/>
      <c r="BE473" s="3"/>
    </row>
    <row r="474" spans="1:57" x14ac:dyDescent="0.35">
      <c r="A474" s="66" t="s">
        <v>603</v>
      </c>
      <c r="B474" s="67"/>
      <c r="C474" s="67"/>
      <c r="D474" s="68"/>
      <c r="E474" s="70"/>
      <c r="F474" s="106" t="str">
        <f>HYPERLINK("https://pbs.twimg.com/profile_images/1241712511595900928/WpD9HbkM_normal.jpg")</f>
        <v>https://pbs.twimg.com/profile_images/1241712511595900928/WpD9HbkM_normal.jpg</v>
      </c>
      <c r="G474" s="67"/>
      <c r="H474" s="71"/>
      <c r="I474" s="72"/>
      <c r="J474" s="72"/>
      <c r="K474" s="71" t="s">
        <v>7644</v>
      </c>
      <c r="L474" s="75"/>
      <c r="M474" s="76"/>
      <c r="N474" s="76"/>
      <c r="O474" s="77"/>
      <c r="P474" s="78"/>
      <c r="Q474" s="78"/>
      <c r="R474" s="90"/>
      <c r="S474" s="90"/>
      <c r="T474" s="90"/>
      <c r="U474" s="90"/>
      <c r="V474" s="52"/>
      <c r="W474" s="52"/>
      <c r="X474" s="52"/>
      <c r="Y474" s="52"/>
      <c r="Z474" s="51"/>
      <c r="AA474" s="73"/>
      <c r="AB474" s="73"/>
      <c r="AC474" s="74"/>
      <c r="AD474" s="80" t="s">
        <v>4649</v>
      </c>
      <c r="AE474" s="86" t="s">
        <v>5550</v>
      </c>
      <c r="AF474" s="80">
        <v>1321</v>
      </c>
      <c r="AG474" s="80">
        <v>331</v>
      </c>
      <c r="AH474" s="80">
        <v>15869</v>
      </c>
      <c r="AI474" s="80">
        <v>17701</v>
      </c>
      <c r="AJ474" s="80"/>
      <c r="AK474" s="80" t="s">
        <v>6318</v>
      </c>
      <c r="AL474" s="80"/>
      <c r="AM474" s="80"/>
      <c r="AN474" s="80"/>
      <c r="AO474" s="82">
        <v>41824.701481481483</v>
      </c>
      <c r="AP474" s="84" t="str">
        <f>HYPERLINK("https://pbs.twimg.com/profile_banners/2603769768/1404496914")</f>
        <v>https://pbs.twimg.com/profile_banners/2603769768/1404496914</v>
      </c>
      <c r="AQ474" s="80" t="b">
        <v>1</v>
      </c>
      <c r="AR474" s="80" t="b">
        <v>0</v>
      </c>
      <c r="AS474" s="80" t="b">
        <v>1</v>
      </c>
      <c r="AT474" s="80"/>
      <c r="AU474" s="80">
        <v>0</v>
      </c>
      <c r="AV474" s="84" t="str">
        <f>HYPERLINK("https://abs.twimg.com/images/themes/theme1/bg.png")</f>
        <v>https://abs.twimg.com/images/themes/theme1/bg.png</v>
      </c>
      <c r="AW474" s="80" t="b">
        <v>0</v>
      </c>
      <c r="AX474" s="80" t="s">
        <v>7173</v>
      </c>
      <c r="AY474" s="84" t="str">
        <f>HYPERLINK("https://twitter.com/lordkrasak")</f>
        <v>https://twitter.com/lordkrasak</v>
      </c>
      <c r="AZ474" s="80" t="s">
        <v>66</v>
      </c>
      <c r="BA474" s="2"/>
      <c r="BB474" s="3"/>
      <c r="BC474" s="3"/>
      <c r="BD474" s="3"/>
      <c r="BE474" s="3"/>
    </row>
    <row r="475" spans="1:57" x14ac:dyDescent="0.35">
      <c r="A475" s="66" t="s">
        <v>604</v>
      </c>
      <c r="B475" s="67"/>
      <c r="C475" s="67"/>
      <c r="D475" s="68"/>
      <c r="E475" s="70"/>
      <c r="F475" s="106" t="str">
        <f>HYPERLINK("https://pbs.twimg.com/profile_images/1439537368667594752/3SO3k9H3_normal.jpg")</f>
        <v>https://pbs.twimg.com/profile_images/1439537368667594752/3SO3k9H3_normal.jpg</v>
      </c>
      <c r="G475" s="67"/>
      <c r="H475" s="71"/>
      <c r="I475" s="72"/>
      <c r="J475" s="72"/>
      <c r="K475" s="71" t="s">
        <v>7645</v>
      </c>
      <c r="L475" s="75"/>
      <c r="M475" s="76"/>
      <c r="N475" s="76"/>
      <c r="O475" s="77"/>
      <c r="P475" s="78"/>
      <c r="Q475" s="78"/>
      <c r="R475" s="90"/>
      <c r="S475" s="90"/>
      <c r="T475" s="90"/>
      <c r="U475" s="90"/>
      <c r="V475" s="52"/>
      <c r="W475" s="52"/>
      <c r="X475" s="52"/>
      <c r="Y475" s="52"/>
      <c r="Z475" s="51"/>
      <c r="AA475" s="73"/>
      <c r="AB475" s="73"/>
      <c r="AC475" s="74"/>
      <c r="AD475" s="80" t="s">
        <v>4650</v>
      </c>
      <c r="AE475" s="86" t="s">
        <v>5551</v>
      </c>
      <c r="AF475" s="80">
        <v>374</v>
      </c>
      <c r="AG475" s="80">
        <v>436</v>
      </c>
      <c r="AH475" s="80">
        <v>2660</v>
      </c>
      <c r="AI475" s="80">
        <v>26699</v>
      </c>
      <c r="AJ475" s="80"/>
      <c r="AK475" s="80"/>
      <c r="AL475" s="80"/>
      <c r="AM475" s="80"/>
      <c r="AN475" s="80"/>
      <c r="AO475" s="82">
        <v>42288.717719907407</v>
      </c>
      <c r="AP475" s="80"/>
      <c r="AQ475" s="80" t="b">
        <v>1</v>
      </c>
      <c r="AR475" s="80" t="b">
        <v>0</v>
      </c>
      <c r="AS475" s="80" t="b">
        <v>0</v>
      </c>
      <c r="AT475" s="80"/>
      <c r="AU475" s="80">
        <v>0</v>
      </c>
      <c r="AV475" s="84" t="str">
        <f>HYPERLINK("https://abs.twimg.com/images/themes/theme1/bg.png")</f>
        <v>https://abs.twimg.com/images/themes/theme1/bg.png</v>
      </c>
      <c r="AW475" s="80" t="b">
        <v>0</v>
      </c>
      <c r="AX475" s="80" t="s">
        <v>7173</v>
      </c>
      <c r="AY475" s="84" t="str">
        <f>HYPERLINK("https://twitter.com/gdwi164")</f>
        <v>https://twitter.com/gdwi164</v>
      </c>
      <c r="AZ475" s="80" t="s">
        <v>66</v>
      </c>
      <c r="BA475" s="2"/>
      <c r="BB475" s="3"/>
      <c r="BC475" s="3"/>
      <c r="BD475" s="3"/>
      <c r="BE475" s="3"/>
    </row>
    <row r="476" spans="1:57" x14ac:dyDescent="0.35">
      <c r="A476" s="66" t="s">
        <v>605</v>
      </c>
      <c r="B476" s="67"/>
      <c r="C476" s="67"/>
      <c r="D476" s="68"/>
      <c r="E476" s="70"/>
      <c r="F476" s="106" t="str">
        <f>HYPERLINK("https://pbs.twimg.com/profile_images/1440323536187379714/C6Dqru8r_normal.jpg")</f>
        <v>https://pbs.twimg.com/profile_images/1440323536187379714/C6Dqru8r_normal.jpg</v>
      </c>
      <c r="G476" s="67"/>
      <c r="H476" s="71"/>
      <c r="I476" s="72"/>
      <c r="J476" s="72"/>
      <c r="K476" s="71" t="s">
        <v>7646</v>
      </c>
      <c r="L476" s="75"/>
      <c r="M476" s="76"/>
      <c r="N476" s="76"/>
      <c r="O476" s="77"/>
      <c r="P476" s="78"/>
      <c r="Q476" s="78"/>
      <c r="R476" s="90"/>
      <c r="S476" s="90"/>
      <c r="T476" s="90"/>
      <c r="U476" s="90"/>
      <c r="V476" s="52"/>
      <c r="W476" s="52"/>
      <c r="X476" s="52"/>
      <c r="Y476" s="52"/>
      <c r="Z476" s="51"/>
      <c r="AA476" s="73"/>
      <c r="AB476" s="73"/>
      <c r="AC476" s="74"/>
      <c r="AD476" s="80" t="s">
        <v>4651</v>
      </c>
      <c r="AE476" s="86" t="s">
        <v>5552</v>
      </c>
      <c r="AF476" s="80">
        <v>2280</v>
      </c>
      <c r="AG476" s="80">
        <v>1391</v>
      </c>
      <c r="AH476" s="80">
        <v>1085</v>
      </c>
      <c r="AI476" s="80">
        <v>4165</v>
      </c>
      <c r="AJ476" s="80"/>
      <c r="AK476" s="80" t="s">
        <v>6319</v>
      </c>
      <c r="AL476" s="80"/>
      <c r="AM476" s="80"/>
      <c r="AN476" s="80"/>
      <c r="AO476" s="82">
        <v>44133.768831018519</v>
      </c>
      <c r="AP476" s="84" t="str">
        <f>HYPERLINK("https://pbs.twimg.com/profile_banners/1321881156460007424/1627561954")</f>
        <v>https://pbs.twimg.com/profile_banners/1321881156460007424/1627561954</v>
      </c>
      <c r="AQ476" s="80" t="b">
        <v>1</v>
      </c>
      <c r="AR476" s="80" t="b">
        <v>0</v>
      </c>
      <c r="AS476" s="80" t="b">
        <v>0</v>
      </c>
      <c r="AT476" s="80"/>
      <c r="AU476" s="80">
        <v>0</v>
      </c>
      <c r="AV476" s="80"/>
      <c r="AW476" s="80" t="b">
        <v>0</v>
      </c>
      <c r="AX476" s="80" t="s">
        <v>7173</v>
      </c>
      <c r="AY476" s="84" t="str">
        <f>HYPERLINK("https://twitter.com/ichwananto1")</f>
        <v>https://twitter.com/ichwananto1</v>
      </c>
      <c r="AZ476" s="80" t="s">
        <v>66</v>
      </c>
      <c r="BA476" s="2"/>
      <c r="BB476" s="3"/>
      <c r="BC476" s="3"/>
      <c r="BD476" s="3"/>
      <c r="BE476" s="3"/>
    </row>
    <row r="477" spans="1:57" x14ac:dyDescent="0.35">
      <c r="A477" s="66" t="s">
        <v>606</v>
      </c>
      <c r="B477" s="67"/>
      <c r="C477" s="67"/>
      <c r="D477" s="68"/>
      <c r="E477" s="70"/>
      <c r="F477" s="106" t="str">
        <f>HYPERLINK("https://pbs.twimg.com/profile_images/1432047422599954432/zyZcWKGn_normal.jpg")</f>
        <v>https://pbs.twimg.com/profile_images/1432047422599954432/zyZcWKGn_normal.jpg</v>
      </c>
      <c r="G477" s="67"/>
      <c r="H477" s="71"/>
      <c r="I477" s="72"/>
      <c r="J477" s="72"/>
      <c r="K477" s="71" t="s">
        <v>7647</v>
      </c>
      <c r="L477" s="75"/>
      <c r="M477" s="76"/>
      <c r="N477" s="76"/>
      <c r="O477" s="77"/>
      <c r="P477" s="78"/>
      <c r="Q477" s="78"/>
      <c r="R477" s="90"/>
      <c r="S477" s="90"/>
      <c r="T477" s="90"/>
      <c r="U477" s="90"/>
      <c r="V477" s="52"/>
      <c r="W477" s="52"/>
      <c r="X477" s="52"/>
      <c r="Y477" s="52"/>
      <c r="Z477" s="51"/>
      <c r="AA477" s="73"/>
      <c r="AB477" s="73"/>
      <c r="AC477" s="74"/>
      <c r="AD477" s="80" t="s">
        <v>4652</v>
      </c>
      <c r="AE477" s="86" t="s">
        <v>5553</v>
      </c>
      <c r="AF477" s="80">
        <v>33</v>
      </c>
      <c r="AG477" s="80">
        <v>8</v>
      </c>
      <c r="AH477" s="80">
        <v>558</v>
      </c>
      <c r="AI477" s="80">
        <v>116</v>
      </c>
      <c r="AJ477" s="80"/>
      <c r="AK477" s="80" t="s">
        <v>6320</v>
      </c>
      <c r="AL477" s="80" t="s">
        <v>6956</v>
      </c>
      <c r="AM477" s="80"/>
      <c r="AN477" s="80"/>
      <c r="AO477" s="82">
        <v>43937.28324074074</v>
      </c>
      <c r="AP477" s="84" t="str">
        <f>HYPERLINK("https://pbs.twimg.com/profile_banners/1250677223134134273/1630262116")</f>
        <v>https://pbs.twimg.com/profile_banners/1250677223134134273/1630262116</v>
      </c>
      <c r="AQ477" s="80" t="b">
        <v>1</v>
      </c>
      <c r="AR477" s="80" t="b">
        <v>0</v>
      </c>
      <c r="AS477" s="80" t="b">
        <v>0</v>
      </c>
      <c r="AT477" s="80"/>
      <c r="AU477" s="80">
        <v>0</v>
      </c>
      <c r="AV477" s="80"/>
      <c r="AW477" s="80" t="b">
        <v>0</v>
      </c>
      <c r="AX477" s="80" t="s">
        <v>7173</v>
      </c>
      <c r="AY477" s="84" t="str">
        <f>HYPERLINK("https://twitter.com/mcflurryoreyou")</f>
        <v>https://twitter.com/mcflurryoreyou</v>
      </c>
      <c r="AZ477" s="80" t="s">
        <v>66</v>
      </c>
      <c r="BA477" s="2"/>
      <c r="BB477" s="3"/>
      <c r="BC477" s="3"/>
      <c r="BD477" s="3"/>
      <c r="BE477" s="3"/>
    </row>
    <row r="478" spans="1:57" x14ac:dyDescent="0.35">
      <c r="A478" s="66" t="s">
        <v>1072</v>
      </c>
      <c r="B478" s="67"/>
      <c r="C478" s="67"/>
      <c r="D478" s="68"/>
      <c r="E478" s="70"/>
      <c r="F478" s="106" t="str">
        <f>HYPERLINK("https://pbs.twimg.com/profile_images/1388540176792657924/afd_YlXn_normal.jpg")</f>
        <v>https://pbs.twimg.com/profile_images/1388540176792657924/afd_YlXn_normal.jpg</v>
      </c>
      <c r="G478" s="67"/>
      <c r="H478" s="71"/>
      <c r="I478" s="72"/>
      <c r="J478" s="72"/>
      <c r="K478" s="71" t="s">
        <v>7648</v>
      </c>
      <c r="L478" s="75"/>
      <c r="M478" s="76"/>
      <c r="N478" s="76"/>
      <c r="O478" s="77"/>
      <c r="P478" s="78"/>
      <c r="Q478" s="78"/>
      <c r="R478" s="90"/>
      <c r="S478" s="90"/>
      <c r="T478" s="90"/>
      <c r="U478" s="90"/>
      <c r="V478" s="52"/>
      <c r="W478" s="52"/>
      <c r="X478" s="52"/>
      <c r="Y478" s="52"/>
      <c r="Z478" s="51"/>
      <c r="AA478" s="73"/>
      <c r="AB478" s="73"/>
      <c r="AC478" s="74"/>
      <c r="AD478" s="80" t="s">
        <v>4653</v>
      </c>
      <c r="AE478" s="86" t="s">
        <v>5554</v>
      </c>
      <c r="AF478" s="80">
        <v>341</v>
      </c>
      <c r="AG478" s="80">
        <v>207</v>
      </c>
      <c r="AH478" s="80">
        <v>3671</v>
      </c>
      <c r="AI478" s="80">
        <v>5858</v>
      </c>
      <c r="AJ478" s="80"/>
      <c r="AK478" s="80" t="s">
        <v>6321</v>
      </c>
      <c r="AL478" s="80" t="s">
        <v>6817</v>
      </c>
      <c r="AM478" s="80"/>
      <c r="AN478" s="80"/>
      <c r="AO478" s="82">
        <v>41217.498668981483</v>
      </c>
      <c r="AP478" s="84" t="str">
        <f>HYPERLINK("https://pbs.twimg.com/profile_banners/925203720/1619890748")</f>
        <v>https://pbs.twimg.com/profile_banners/925203720/1619890748</v>
      </c>
      <c r="AQ478" s="80" t="b">
        <v>1</v>
      </c>
      <c r="AR478" s="80" t="b">
        <v>0</v>
      </c>
      <c r="AS478" s="80" t="b">
        <v>0</v>
      </c>
      <c r="AT478" s="80"/>
      <c r="AU478" s="80">
        <v>0</v>
      </c>
      <c r="AV478" s="84" t="str">
        <f>HYPERLINK("https://abs.twimg.com/images/themes/theme1/bg.png")</f>
        <v>https://abs.twimg.com/images/themes/theme1/bg.png</v>
      </c>
      <c r="AW478" s="80" t="b">
        <v>0</v>
      </c>
      <c r="AX478" s="80" t="s">
        <v>7173</v>
      </c>
      <c r="AY478" s="84" t="str">
        <f>HYPERLINK("https://twitter.com/sienervt")</f>
        <v>https://twitter.com/sienervt</v>
      </c>
      <c r="AZ478" s="80" t="s">
        <v>65</v>
      </c>
      <c r="BA478" s="2"/>
      <c r="BB478" s="3"/>
      <c r="BC478" s="3"/>
      <c r="BD478" s="3"/>
      <c r="BE478" s="3"/>
    </row>
    <row r="479" spans="1:57" x14ac:dyDescent="0.35">
      <c r="A479" s="66" t="s">
        <v>607</v>
      </c>
      <c r="B479" s="67"/>
      <c r="C479" s="67"/>
      <c r="D479" s="68"/>
      <c r="E479" s="70"/>
      <c r="F479" s="106" t="str">
        <f>HYPERLINK("https://pbs.twimg.com/profile_images/1373835180226486272/JuJm-VWf_normal.jpg")</f>
        <v>https://pbs.twimg.com/profile_images/1373835180226486272/JuJm-VWf_normal.jpg</v>
      </c>
      <c r="G479" s="67"/>
      <c r="H479" s="71"/>
      <c r="I479" s="72"/>
      <c r="J479" s="72"/>
      <c r="K479" s="71" t="s">
        <v>7649</v>
      </c>
      <c r="L479" s="75"/>
      <c r="M479" s="76"/>
      <c r="N479" s="76"/>
      <c r="O479" s="77"/>
      <c r="P479" s="78"/>
      <c r="Q479" s="78"/>
      <c r="R479" s="90"/>
      <c r="S479" s="90"/>
      <c r="T479" s="90"/>
      <c r="U479" s="90"/>
      <c r="V479" s="52"/>
      <c r="W479" s="52"/>
      <c r="X479" s="52"/>
      <c r="Y479" s="52"/>
      <c r="Z479" s="51"/>
      <c r="AA479" s="73"/>
      <c r="AB479" s="73"/>
      <c r="AC479" s="74"/>
      <c r="AD479" s="80" t="s">
        <v>4654</v>
      </c>
      <c r="AE479" s="86" t="s">
        <v>5555</v>
      </c>
      <c r="AF479" s="80">
        <v>2756</v>
      </c>
      <c r="AG479" s="80">
        <v>1658</v>
      </c>
      <c r="AH479" s="80">
        <v>8745</v>
      </c>
      <c r="AI479" s="80">
        <v>4989</v>
      </c>
      <c r="AJ479" s="80"/>
      <c r="AK479" s="80" t="s">
        <v>6322</v>
      </c>
      <c r="AL479" s="80"/>
      <c r="AM479" s="80"/>
      <c r="AN479" s="80"/>
      <c r="AO479" s="82">
        <v>41167.18072916667</v>
      </c>
      <c r="AP479" s="84" t="str">
        <f>HYPERLINK("https://pbs.twimg.com/profile_banners/824530718/1618507987")</f>
        <v>https://pbs.twimg.com/profile_banners/824530718/1618507987</v>
      </c>
      <c r="AQ479" s="80" t="b">
        <v>1</v>
      </c>
      <c r="AR479" s="80" t="b">
        <v>0</v>
      </c>
      <c r="AS479" s="80" t="b">
        <v>0</v>
      </c>
      <c r="AT479" s="80"/>
      <c r="AU479" s="80">
        <v>1</v>
      </c>
      <c r="AV479" s="84" t="str">
        <f>HYPERLINK("https://abs.twimg.com/images/themes/theme1/bg.png")</f>
        <v>https://abs.twimg.com/images/themes/theme1/bg.png</v>
      </c>
      <c r="AW479" s="80" t="b">
        <v>0</v>
      </c>
      <c r="AX479" s="80" t="s">
        <v>7173</v>
      </c>
      <c r="AY479" s="84" t="str">
        <f>HYPERLINK("https://twitter.com/bambangmoelyadi")</f>
        <v>https://twitter.com/bambangmoelyadi</v>
      </c>
      <c r="AZ479" s="80" t="s">
        <v>66</v>
      </c>
      <c r="BA479" s="2"/>
      <c r="BB479" s="3"/>
      <c r="BC479" s="3"/>
      <c r="BD479" s="3"/>
      <c r="BE479" s="3"/>
    </row>
    <row r="480" spans="1:57" x14ac:dyDescent="0.35">
      <c r="A480" s="66" t="s">
        <v>608</v>
      </c>
      <c r="B480" s="67"/>
      <c r="C480" s="67"/>
      <c r="D480" s="68"/>
      <c r="E480" s="70"/>
      <c r="F480" s="106" t="str">
        <f>HYPERLINK("https://pbs.twimg.com/profile_images/1425414487096520706/WwnpdA-Z_normal.jpg")</f>
        <v>https://pbs.twimg.com/profile_images/1425414487096520706/WwnpdA-Z_normal.jpg</v>
      </c>
      <c r="G480" s="67"/>
      <c r="H480" s="71"/>
      <c r="I480" s="72"/>
      <c r="J480" s="72"/>
      <c r="K480" s="71" t="s">
        <v>7650</v>
      </c>
      <c r="L480" s="75"/>
      <c r="M480" s="76"/>
      <c r="N480" s="76"/>
      <c r="O480" s="77"/>
      <c r="P480" s="78"/>
      <c r="Q480" s="78"/>
      <c r="R480" s="90"/>
      <c r="S480" s="90"/>
      <c r="T480" s="90"/>
      <c r="U480" s="90"/>
      <c r="V480" s="52"/>
      <c r="W480" s="52"/>
      <c r="X480" s="52"/>
      <c r="Y480" s="52"/>
      <c r="Z480" s="51"/>
      <c r="AA480" s="73"/>
      <c r="AB480" s="73"/>
      <c r="AC480" s="74"/>
      <c r="AD480" s="80" t="s">
        <v>4655</v>
      </c>
      <c r="AE480" s="86" t="s">
        <v>5556</v>
      </c>
      <c r="AF480" s="80">
        <v>3468</v>
      </c>
      <c r="AG480" s="80">
        <v>2988</v>
      </c>
      <c r="AH480" s="80">
        <v>7422</v>
      </c>
      <c r="AI480" s="80">
        <v>21672</v>
      </c>
      <c r="AJ480" s="80"/>
      <c r="AK480" s="80" t="s">
        <v>6323</v>
      </c>
      <c r="AL480" s="80" t="s">
        <v>6957</v>
      </c>
      <c r="AM480" s="80"/>
      <c r="AN480" s="80"/>
      <c r="AO480" s="82">
        <v>40059.156782407408</v>
      </c>
      <c r="AP480" s="84" t="str">
        <f>HYPERLINK("https://pbs.twimg.com/profile_banners/71163516/1619292132")</f>
        <v>https://pbs.twimg.com/profile_banners/71163516/1619292132</v>
      </c>
      <c r="AQ480" s="80" t="b">
        <v>0</v>
      </c>
      <c r="AR480" s="80" t="b">
        <v>0</v>
      </c>
      <c r="AS480" s="80" t="b">
        <v>1</v>
      </c>
      <c r="AT480" s="80"/>
      <c r="AU480" s="80">
        <v>0</v>
      </c>
      <c r="AV480" s="84" t="str">
        <f>HYPERLINK("https://abs.twimg.com/images/themes/theme15/bg.png")</f>
        <v>https://abs.twimg.com/images/themes/theme15/bg.png</v>
      </c>
      <c r="AW480" s="80" t="b">
        <v>0</v>
      </c>
      <c r="AX480" s="80" t="s">
        <v>7173</v>
      </c>
      <c r="AY480" s="84" t="str">
        <f>HYPERLINK("https://twitter.com/sibeseck")</f>
        <v>https://twitter.com/sibeseck</v>
      </c>
      <c r="AZ480" s="80" t="s">
        <v>66</v>
      </c>
      <c r="BA480" s="2"/>
      <c r="BB480" s="3"/>
      <c r="BC480" s="3"/>
      <c r="BD480" s="3"/>
      <c r="BE480" s="3"/>
    </row>
    <row r="481" spans="1:57" x14ac:dyDescent="0.35">
      <c r="A481" s="66" t="s">
        <v>609</v>
      </c>
      <c r="B481" s="67"/>
      <c r="C481" s="67"/>
      <c r="D481" s="68"/>
      <c r="E481" s="70"/>
      <c r="F481" s="106" t="str">
        <f>HYPERLINK("https://pbs.twimg.com/profile_images/1427178740061065219/2_gLFKrO_normal.jpg")</f>
        <v>https://pbs.twimg.com/profile_images/1427178740061065219/2_gLFKrO_normal.jpg</v>
      </c>
      <c r="G481" s="67"/>
      <c r="H481" s="71"/>
      <c r="I481" s="72"/>
      <c r="J481" s="72"/>
      <c r="K481" s="71" t="s">
        <v>7651</v>
      </c>
      <c r="L481" s="75"/>
      <c r="M481" s="76"/>
      <c r="N481" s="76"/>
      <c r="O481" s="77"/>
      <c r="P481" s="78"/>
      <c r="Q481" s="78"/>
      <c r="R481" s="90"/>
      <c r="S481" s="90"/>
      <c r="T481" s="90"/>
      <c r="U481" s="90"/>
      <c r="V481" s="52"/>
      <c r="W481" s="52"/>
      <c r="X481" s="52"/>
      <c r="Y481" s="52"/>
      <c r="Z481" s="51"/>
      <c r="AA481" s="73"/>
      <c r="AB481" s="73"/>
      <c r="AC481" s="74"/>
      <c r="AD481" s="80" t="s">
        <v>4656</v>
      </c>
      <c r="AE481" s="86" t="s">
        <v>5557</v>
      </c>
      <c r="AF481" s="80">
        <v>837</v>
      </c>
      <c r="AG481" s="80">
        <v>825</v>
      </c>
      <c r="AH481" s="80">
        <v>5230</v>
      </c>
      <c r="AI481" s="80">
        <v>1509</v>
      </c>
      <c r="AJ481" s="80"/>
      <c r="AK481" s="80" t="s">
        <v>6324</v>
      </c>
      <c r="AL481" s="80" t="s">
        <v>6958</v>
      </c>
      <c r="AM481" s="80"/>
      <c r="AN481" s="80"/>
      <c r="AO481" s="82">
        <v>42344.520856481482</v>
      </c>
      <c r="AP481" s="84" t="str">
        <f>HYPERLINK("https://pbs.twimg.com/profile_banners/4475017399/1626950987")</f>
        <v>https://pbs.twimg.com/profile_banners/4475017399/1626950987</v>
      </c>
      <c r="AQ481" s="80" t="b">
        <v>1</v>
      </c>
      <c r="AR481" s="80" t="b">
        <v>0</v>
      </c>
      <c r="AS481" s="80" t="b">
        <v>1</v>
      </c>
      <c r="AT481" s="80"/>
      <c r="AU481" s="80">
        <v>2</v>
      </c>
      <c r="AV481" s="84" t="str">
        <f>HYPERLINK("https://abs.twimg.com/images/themes/theme1/bg.png")</f>
        <v>https://abs.twimg.com/images/themes/theme1/bg.png</v>
      </c>
      <c r="AW481" s="80" t="b">
        <v>0</v>
      </c>
      <c r="AX481" s="80" t="s">
        <v>7173</v>
      </c>
      <c r="AY481" s="84" t="str">
        <f>HYPERLINK("https://twitter.com/laludatu")</f>
        <v>https://twitter.com/laludatu</v>
      </c>
      <c r="AZ481" s="80" t="s">
        <v>66</v>
      </c>
      <c r="BA481" s="2"/>
      <c r="BB481" s="3"/>
      <c r="BC481" s="3"/>
      <c r="BD481" s="3"/>
      <c r="BE481" s="3"/>
    </row>
    <row r="482" spans="1:57" x14ac:dyDescent="0.35">
      <c r="A482" s="66" t="s">
        <v>610</v>
      </c>
      <c r="B482" s="67"/>
      <c r="C482" s="67"/>
      <c r="D482" s="68"/>
      <c r="E482" s="70"/>
      <c r="F482" s="106" t="str">
        <f>HYPERLINK("https://pbs.twimg.com/profile_images/1408982049113862145/aPuNZHKq_normal.jpg")</f>
        <v>https://pbs.twimg.com/profile_images/1408982049113862145/aPuNZHKq_normal.jpg</v>
      </c>
      <c r="G482" s="67"/>
      <c r="H482" s="71"/>
      <c r="I482" s="72"/>
      <c r="J482" s="72"/>
      <c r="K482" s="71" t="s">
        <v>7652</v>
      </c>
      <c r="L482" s="75"/>
      <c r="M482" s="76"/>
      <c r="N482" s="76"/>
      <c r="O482" s="77"/>
      <c r="P482" s="78"/>
      <c r="Q482" s="78"/>
      <c r="R482" s="90"/>
      <c r="S482" s="90"/>
      <c r="T482" s="90"/>
      <c r="U482" s="90"/>
      <c r="V482" s="52"/>
      <c r="W482" s="52"/>
      <c r="X482" s="52"/>
      <c r="Y482" s="52"/>
      <c r="Z482" s="51"/>
      <c r="AA482" s="73"/>
      <c r="AB482" s="73"/>
      <c r="AC482" s="74"/>
      <c r="AD482" s="80" t="s">
        <v>4657</v>
      </c>
      <c r="AE482" s="86" t="s">
        <v>5558</v>
      </c>
      <c r="AF482" s="80">
        <v>399</v>
      </c>
      <c r="AG482" s="80">
        <v>148</v>
      </c>
      <c r="AH482" s="80">
        <v>2225</v>
      </c>
      <c r="AI482" s="80">
        <v>2118</v>
      </c>
      <c r="AJ482" s="80"/>
      <c r="AK482" s="80" t="s">
        <v>6325</v>
      </c>
      <c r="AL482" s="80"/>
      <c r="AM482" s="80"/>
      <c r="AN482" s="80"/>
      <c r="AO482" s="82">
        <v>44365.33625</v>
      </c>
      <c r="AP482" s="80"/>
      <c r="AQ482" s="80" t="b">
        <v>1</v>
      </c>
      <c r="AR482" s="80" t="b">
        <v>0</v>
      </c>
      <c r="AS482" s="80" t="b">
        <v>0</v>
      </c>
      <c r="AT482" s="80"/>
      <c r="AU482" s="80">
        <v>0</v>
      </c>
      <c r="AV482" s="80"/>
      <c r="AW482" s="80" t="b">
        <v>0</v>
      </c>
      <c r="AX482" s="80" t="s">
        <v>7173</v>
      </c>
      <c r="AY482" s="84" t="str">
        <f>HYPERLINK("https://twitter.com/telorayamjantan")</f>
        <v>https://twitter.com/telorayamjantan</v>
      </c>
      <c r="AZ482" s="80" t="s">
        <v>66</v>
      </c>
      <c r="BA482" s="2"/>
      <c r="BB482" s="3"/>
      <c r="BC482" s="3"/>
      <c r="BD482" s="3"/>
      <c r="BE482" s="3"/>
    </row>
    <row r="483" spans="1:57" x14ac:dyDescent="0.35">
      <c r="A483" s="66" t="s">
        <v>611</v>
      </c>
      <c r="B483" s="67"/>
      <c r="C483" s="67"/>
      <c r="D483" s="68"/>
      <c r="E483" s="70"/>
      <c r="F483" s="106" t="str">
        <f>HYPERLINK("https://pbs.twimg.com/profile_images/1097153170608779265/_RVcG1rM_normal.jpg")</f>
        <v>https://pbs.twimg.com/profile_images/1097153170608779265/_RVcG1rM_normal.jpg</v>
      </c>
      <c r="G483" s="67"/>
      <c r="H483" s="71"/>
      <c r="I483" s="72"/>
      <c r="J483" s="72"/>
      <c r="K483" s="71" t="s">
        <v>7653</v>
      </c>
      <c r="L483" s="75"/>
      <c r="M483" s="76"/>
      <c r="N483" s="76"/>
      <c r="O483" s="77"/>
      <c r="P483" s="78"/>
      <c r="Q483" s="78"/>
      <c r="R483" s="90"/>
      <c r="S483" s="90"/>
      <c r="T483" s="90"/>
      <c r="U483" s="90"/>
      <c r="V483" s="52"/>
      <c r="W483" s="52"/>
      <c r="X483" s="52"/>
      <c r="Y483" s="52"/>
      <c r="Z483" s="51"/>
      <c r="AA483" s="73"/>
      <c r="AB483" s="73"/>
      <c r="AC483" s="74"/>
      <c r="AD483" s="80" t="s">
        <v>4658</v>
      </c>
      <c r="AE483" s="86" t="s">
        <v>5559</v>
      </c>
      <c r="AF483" s="80">
        <v>512</v>
      </c>
      <c r="AG483" s="80">
        <v>297</v>
      </c>
      <c r="AH483" s="80">
        <v>10886</v>
      </c>
      <c r="AI483" s="80">
        <v>920</v>
      </c>
      <c r="AJ483" s="80"/>
      <c r="AK483" s="80" t="s">
        <v>6326</v>
      </c>
      <c r="AL483" s="80" t="s">
        <v>6959</v>
      </c>
      <c r="AM483" s="80"/>
      <c r="AN483" s="80"/>
      <c r="AO483" s="82">
        <v>40256.745069444441</v>
      </c>
      <c r="AP483" s="84" t="str">
        <f>HYPERLINK("https://pbs.twimg.com/profile_banners/124526660/1530243871")</f>
        <v>https://pbs.twimg.com/profile_banners/124526660/1530243871</v>
      </c>
      <c r="AQ483" s="80" t="b">
        <v>0</v>
      </c>
      <c r="AR483" s="80" t="b">
        <v>0</v>
      </c>
      <c r="AS483" s="80" t="b">
        <v>1</v>
      </c>
      <c r="AT483" s="80"/>
      <c r="AU483" s="80">
        <v>1</v>
      </c>
      <c r="AV483" s="84" t="str">
        <f>HYPERLINK("https://abs.twimg.com/images/themes/theme18/bg.gif")</f>
        <v>https://abs.twimg.com/images/themes/theme18/bg.gif</v>
      </c>
      <c r="AW483" s="80" t="b">
        <v>0</v>
      </c>
      <c r="AX483" s="80" t="s">
        <v>7173</v>
      </c>
      <c r="AY483" s="84" t="str">
        <f>HYPERLINK("https://twitter.com/godjila526")</f>
        <v>https://twitter.com/godjila526</v>
      </c>
      <c r="AZ483" s="80" t="s">
        <v>66</v>
      </c>
      <c r="BA483" s="2"/>
      <c r="BB483" s="3"/>
      <c r="BC483" s="3"/>
      <c r="BD483" s="3"/>
      <c r="BE483" s="3"/>
    </row>
    <row r="484" spans="1:57" x14ac:dyDescent="0.35">
      <c r="A484" s="66" t="s">
        <v>612</v>
      </c>
      <c r="B484" s="67"/>
      <c r="C484" s="67"/>
      <c r="D484" s="68"/>
      <c r="E484" s="70"/>
      <c r="F484" s="106" t="str">
        <f>HYPERLINK("https://pbs.twimg.com/profile_images/1394654431698841601/Fxys9Ovz_normal.jpg")</f>
        <v>https://pbs.twimg.com/profile_images/1394654431698841601/Fxys9Ovz_normal.jpg</v>
      </c>
      <c r="G484" s="67"/>
      <c r="H484" s="71"/>
      <c r="I484" s="72"/>
      <c r="J484" s="72"/>
      <c r="K484" s="71" t="s">
        <v>7654</v>
      </c>
      <c r="L484" s="75"/>
      <c r="M484" s="76"/>
      <c r="N484" s="76"/>
      <c r="O484" s="77"/>
      <c r="P484" s="78"/>
      <c r="Q484" s="78"/>
      <c r="R484" s="90"/>
      <c r="S484" s="90"/>
      <c r="T484" s="90"/>
      <c r="U484" s="90"/>
      <c r="V484" s="52"/>
      <c r="W484" s="52"/>
      <c r="X484" s="52"/>
      <c r="Y484" s="52"/>
      <c r="Z484" s="51"/>
      <c r="AA484" s="73"/>
      <c r="AB484" s="73"/>
      <c r="AC484" s="74"/>
      <c r="AD484" s="80" t="s">
        <v>4659</v>
      </c>
      <c r="AE484" s="86" t="s">
        <v>5560</v>
      </c>
      <c r="AF484" s="80">
        <v>1008</v>
      </c>
      <c r="AG484" s="80">
        <v>608</v>
      </c>
      <c r="AH484" s="80">
        <v>6057</v>
      </c>
      <c r="AI484" s="80">
        <v>6400</v>
      </c>
      <c r="AJ484" s="80"/>
      <c r="AK484" s="80" t="s">
        <v>6327</v>
      </c>
      <c r="AL484" s="80"/>
      <c r="AM484" s="80"/>
      <c r="AN484" s="80"/>
      <c r="AO484" s="82">
        <v>43743.478946759256</v>
      </c>
      <c r="AP484" s="84" t="str">
        <f>HYPERLINK("https://pbs.twimg.com/profile_banners/1180444704137105408/1607395062")</f>
        <v>https://pbs.twimg.com/profile_banners/1180444704137105408/1607395062</v>
      </c>
      <c r="AQ484" s="80" t="b">
        <v>1</v>
      </c>
      <c r="AR484" s="80" t="b">
        <v>0</v>
      </c>
      <c r="AS484" s="80" t="b">
        <v>0</v>
      </c>
      <c r="AT484" s="80"/>
      <c r="AU484" s="80">
        <v>0</v>
      </c>
      <c r="AV484" s="80"/>
      <c r="AW484" s="80" t="b">
        <v>0</v>
      </c>
      <c r="AX484" s="80" t="s">
        <v>7173</v>
      </c>
      <c r="AY484" s="84" t="str">
        <f>HYPERLINK("https://twitter.com/kranjilatif")</f>
        <v>https://twitter.com/kranjilatif</v>
      </c>
      <c r="AZ484" s="80" t="s">
        <v>66</v>
      </c>
      <c r="BA484" s="2"/>
      <c r="BB484" s="3"/>
      <c r="BC484" s="3"/>
      <c r="BD484" s="3"/>
      <c r="BE484" s="3"/>
    </row>
    <row r="485" spans="1:57" x14ac:dyDescent="0.35">
      <c r="A485" s="66" t="s">
        <v>613</v>
      </c>
      <c r="B485" s="67"/>
      <c r="C485" s="67"/>
      <c r="D485" s="68"/>
      <c r="E485" s="70"/>
      <c r="F485" s="106" t="str">
        <f>HYPERLINK("https://pbs.twimg.com/profile_images/453758948567314432/k8UfPEFl_normal.jpeg")</f>
        <v>https://pbs.twimg.com/profile_images/453758948567314432/k8UfPEFl_normal.jpeg</v>
      </c>
      <c r="G485" s="67"/>
      <c r="H485" s="71"/>
      <c r="I485" s="72"/>
      <c r="J485" s="72"/>
      <c r="K485" s="71" t="s">
        <v>7655</v>
      </c>
      <c r="L485" s="75"/>
      <c r="M485" s="76"/>
      <c r="N485" s="76"/>
      <c r="O485" s="77"/>
      <c r="P485" s="78"/>
      <c r="Q485" s="78"/>
      <c r="R485" s="90"/>
      <c r="S485" s="90"/>
      <c r="T485" s="90"/>
      <c r="U485" s="90"/>
      <c r="V485" s="52"/>
      <c r="W485" s="52"/>
      <c r="X485" s="52"/>
      <c r="Y485" s="52"/>
      <c r="Z485" s="51"/>
      <c r="AA485" s="73"/>
      <c r="AB485" s="73"/>
      <c r="AC485" s="74"/>
      <c r="AD485" s="80" t="s">
        <v>4660</v>
      </c>
      <c r="AE485" s="86" t="s">
        <v>5561</v>
      </c>
      <c r="AF485" s="80">
        <v>88</v>
      </c>
      <c r="AG485" s="80">
        <v>35</v>
      </c>
      <c r="AH485" s="80">
        <v>1558</v>
      </c>
      <c r="AI485" s="80">
        <v>8167</v>
      </c>
      <c r="AJ485" s="80"/>
      <c r="AK485" s="80"/>
      <c r="AL485" s="80"/>
      <c r="AM485" s="80"/>
      <c r="AN485" s="80"/>
      <c r="AO485" s="82">
        <v>41165.17827546296</v>
      </c>
      <c r="AP485" s="80"/>
      <c r="AQ485" s="80" t="b">
        <v>1</v>
      </c>
      <c r="AR485" s="80" t="b">
        <v>0</v>
      </c>
      <c r="AS485" s="80" t="b">
        <v>0</v>
      </c>
      <c r="AT485" s="80"/>
      <c r="AU485" s="80">
        <v>0</v>
      </c>
      <c r="AV485" s="84" t="str">
        <f>HYPERLINK("https://abs.twimg.com/images/themes/theme1/bg.png")</f>
        <v>https://abs.twimg.com/images/themes/theme1/bg.png</v>
      </c>
      <c r="AW485" s="80" t="b">
        <v>0</v>
      </c>
      <c r="AX485" s="80" t="s">
        <v>7173</v>
      </c>
      <c r="AY485" s="84" t="str">
        <f>HYPERLINK("https://twitter.com/shantymacika")</f>
        <v>https://twitter.com/shantymacika</v>
      </c>
      <c r="AZ485" s="80" t="s">
        <v>66</v>
      </c>
      <c r="BA485" s="2"/>
      <c r="BB485" s="3"/>
      <c r="BC485" s="3"/>
      <c r="BD485" s="3"/>
      <c r="BE485" s="3"/>
    </row>
    <row r="486" spans="1:57" x14ac:dyDescent="0.35">
      <c r="A486" s="66" t="s">
        <v>614</v>
      </c>
      <c r="B486" s="67"/>
      <c r="C486" s="67"/>
      <c r="D486" s="68"/>
      <c r="E486" s="70"/>
      <c r="F486" s="106" t="str">
        <f>HYPERLINK("https://pbs.twimg.com/profile_images/1423999497932140550/4yqzQCtF_normal.jpg")</f>
        <v>https://pbs.twimg.com/profile_images/1423999497932140550/4yqzQCtF_normal.jpg</v>
      </c>
      <c r="G486" s="67"/>
      <c r="H486" s="71"/>
      <c r="I486" s="72"/>
      <c r="J486" s="72"/>
      <c r="K486" s="71" t="s">
        <v>7656</v>
      </c>
      <c r="L486" s="75"/>
      <c r="M486" s="76"/>
      <c r="N486" s="76"/>
      <c r="O486" s="77"/>
      <c r="P486" s="78"/>
      <c r="Q486" s="78"/>
      <c r="R486" s="90"/>
      <c r="S486" s="90"/>
      <c r="T486" s="90"/>
      <c r="U486" s="90"/>
      <c r="V486" s="52"/>
      <c r="W486" s="52"/>
      <c r="X486" s="52"/>
      <c r="Y486" s="52"/>
      <c r="Z486" s="51"/>
      <c r="AA486" s="73"/>
      <c r="AB486" s="73"/>
      <c r="AC486" s="74"/>
      <c r="AD486" s="80" t="s">
        <v>4661</v>
      </c>
      <c r="AE486" s="86" t="s">
        <v>5562</v>
      </c>
      <c r="AF486" s="80">
        <v>5083</v>
      </c>
      <c r="AG486" s="80">
        <v>6139</v>
      </c>
      <c r="AH486" s="80">
        <v>160302</v>
      </c>
      <c r="AI486" s="80">
        <v>37965</v>
      </c>
      <c r="AJ486" s="80"/>
      <c r="AK486" s="80" t="s">
        <v>6328</v>
      </c>
      <c r="AL486" s="80" t="s">
        <v>4145</v>
      </c>
      <c r="AM486" s="80"/>
      <c r="AN486" s="80"/>
      <c r="AO486" s="82">
        <v>42972.350081018521</v>
      </c>
      <c r="AP486" s="84" t="str">
        <f>HYPERLINK("https://pbs.twimg.com/profile_banners/900997200888463364/1592995278")</f>
        <v>https://pbs.twimg.com/profile_banners/900997200888463364/1592995278</v>
      </c>
      <c r="AQ486" s="80" t="b">
        <v>1</v>
      </c>
      <c r="AR486" s="80" t="b">
        <v>0</v>
      </c>
      <c r="AS486" s="80" t="b">
        <v>1</v>
      </c>
      <c r="AT486" s="80"/>
      <c r="AU486" s="80">
        <v>0</v>
      </c>
      <c r="AV486" s="80"/>
      <c r="AW486" s="80" t="b">
        <v>0</v>
      </c>
      <c r="AX486" s="80" t="s">
        <v>7173</v>
      </c>
      <c r="AY486" s="84" t="str">
        <f>HYPERLINK("https://twitter.com/addarul1")</f>
        <v>https://twitter.com/addarul1</v>
      </c>
      <c r="AZ486" s="80" t="s">
        <v>66</v>
      </c>
      <c r="BA486" s="2"/>
      <c r="BB486" s="3"/>
      <c r="BC486" s="3"/>
      <c r="BD486" s="3"/>
      <c r="BE486" s="3"/>
    </row>
    <row r="487" spans="1:57" x14ac:dyDescent="0.35">
      <c r="A487" s="66" t="s">
        <v>615</v>
      </c>
      <c r="B487" s="67"/>
      <c r="C487" s="67"/>
      <c r="D487" s="68"/>
      <c r="E487" s="70"/>
      <c r="F487" s="106" t="str">
        <f>HYPERLINK("https://pbs.twimg.com/profile_images/1155684780664479744/2OxBly6x_normal.jpg")</f>
        <v>https://pbs.twimg.com/profile_images/1155684780664479744/2OxBly6x_normal.jpg</v>
      </c>
      <c r="G487" s="67"/>
      <c r="H487" s="71"/>
      <c r="I487" s="72"/>
      <c r="J487" s="72"/>
      <c r="K487" s="71" t="s">
        <v>7657</v>
      </c>
      <c r="L487" s="75"/>
      <c r="M487" s="76"/>
      <c r="N487" s="76"/>
      <c r="O487" s="77"/>
      <c r="P487" s="78"/>
      <c r="Q487" s="78"/>
      <c r="R487" s="90"/>
      <c r="S487" s="90"/>
      <c r="T487" s="90"/>
      <c r="U487" s="90"/>
      <c r="V487" s="52"/>
      <c r="W487" s="52"/>
      <c r="X487" s="52"/>
      <c r="Y487" s="52"/>
      <c r="Z487" s="51"/>
      <c r="AA487" s="73"/>
      <c r="AB487" s="73"/>
      <c r="AC487" s="74"/>
      <c r="AD487" s="80" t="s">
        <v>4662</v>
      </c>
      <c r="AE487" s="86" t="s">
        <v>5563</v>
      </c>
      <c r="AF487" s="80">
        <v>885</v>
      </c>
      <c r="AG487" s="80">
        <v>130</v>
      </c>
      <c r="AH487" s="80">
        <v>434</v>
      </c>
      <c r="AI487" s="80">
        <v>2751</v>
      </c>
      <c r="AJ487" s="80"/>
      <c r="AK487" s="80" t="s">
        <v>6329</v>
      </c>
      <c r="AL487" s="80" t="s">
        <v>6960</v>
      </c>
      <c r="AM487" s="80"/>
      <c r="AN487" s="80"/>
      <c r="AO487" s="82">
        <v>42822.639687499999</v>
      </c>
      <c r="AP487" s="80"/>
      <c r="AQ487" s="80" t="b">
        <v>1</v>
      </c>
      <c r="AR487" s="80" t="b">
        <v>0</v>
      </c>
      <c r="AS487" s="80" t="b">
        <v>1</v>
      </c>
      <c r="AT487" s="80"/>
      <c r="AU487" s="80">
        <v>0</v>
      </c>
      <c r="AV487" s="80"/>
      <c r="AW487" s="80" t="b">
        <v>0</v>
      </c>
      <c r="AX487" s="80" t="s">
        <v>7173</v>
      </c>
      <c r="AY487" s="84" t="str">
        <f>HYPERLINK("https://twitter.com/vian69633078")</f>
        <v>https://twitter.com/vian69633078</v>
      </c>
      <c r="AZ487" s="80" t="s">
        <v>66</v>
      </c>
      <c r="BA487" s="2"/>
      <c r="BB487" s="3"/>
      <c r="BC487" s="3"/>
      <c r="BD487" s="3"/>
      <c r="BE487" s="3"/>
    </row>
    <row r="488" spans="1:57" x14ac:dyDescent="0.35">
      <c r="A488" s="66" t="s">
        <v>616</v>
      </c>
      <c r="B488" s="67"/>
      <c r="C488" s="67"/>
      <c r="D488" s="68"/>
      <c r="E488" s="70"/>
      <c r="F488" s="106" t="str">
        <f>HYPERLINK("https://pbs.twimg.com/profile_images/1268459341859835907/Njepd5OK_normal.jpg")</f>
        <v>https://pbs.twimg.com/profile_images/1268459341859835907/Njepd5OK_normal.jpg</v>
      </c>
      <c r="G488" s="67"/>
      <c r="H488" s="71"/>
      <c r="I488" s="72"/>
      <c r="J488" s="72"/>
      <c r="K488" s="71" t="s">
        <v>7658</v>
      </c>
      <c r="L488" s="75"/>
      <c r="M488" s="76"/>
      <c r="N488" s="76"/>
      <c r="O488" s="77"/>
      <c r="P488" s="78"/>
      <c r="Q488" s="78"/>
      <c r="R488" s="90"/>
      <c r="S488" s="90"/>
      <c r="T488" s="90"/>
      <c r="U488" s="90"/>
      <c r="V488" s="52"/>
      <c r="W488" s="52"/>
      <c r="X488" s="52"/>
      <c r="Y488" s="52"/>
      <c r="Z488" s="51"/>
      <c r="AA488" s="73"/>
      <c r="AB488" s="73"/>
      <c r="AC488" s="74"/>
      <c r="AD488" s="80" t="s">
        <v>4663</v>
      </c>
      <c r="AE488" s="86" t="s">
        <v>5564</v>
      </c>
      <c r="AF488" s="80">
        <v>2232</v>
      </c>
      <c r="AG488" s="80">
        <v>1865</v>
      </c>
      <c r="AH488" s="80">
        <v>48371</v>
      </c>
      <c r="AI488" s="80">
        <v>52604</v>
      </c>
      <c r="AJ488" s="80"/>
      <c r="AK488" s="80" t="s">
        <v>6330</v>
      </c>
      <c r="AL488" s="80" t="s">
        <v>6961</v>
      </c>
      <c r="AM488" s="80"/>
      <c r="AN488" s="80"/>
      <c r="AO488" s="82">
        <v>41658.518553240741</v>
      </c>
      <c r="AP488" s="80"/>
      <c r="AQ488" s="80" t="b">
        <v>1</v>
      </c>
      <c r="AR488" s="80" t="b">
        <v>0</v>
      </c>
      <c r="AS488" s="80" t="b">
        <v>1</v>
      </c>
      <c r="AT488" s="80"/>
      <c r="AU488" s="80">
        <v>0</v>
      </c>
      <c r="AV488" s="84" t="str">
        <f>HYPERLINK("https://abs.twimg.com/images/themes/theme1/bg.png")</f>
        <v>https://abs.twimg.com/images/themes/theme1/bg.png</v>
      </c>
      <c r="AW488" s="80" t="b">
        <v>0</v>
      </c>
      <c r="AX488" s="80" t="s">
        <v>7173</v>
      </c>
      <c r="AY488" s="84" t="str">
        <f>HYPERLINK("https://twitter.com/zefry1974")</f>
        <v>https://twitter.com/zefry1974</v>
      </c>
      <c r="AZ488" s="80" t="s">
        <v>66</v>
      </c>
      <c r="BA488" s="2"/>
      <c r="BB488" s="3"/>
      <c r="BC488" s="3"/>
      <c r="BD488" s="3"/>
      <c r="BE488" s="3"/>
    </row>
    <row r="489" spans="1:57" x14ac:dyDescent="0.35">
      <c r="A489" s="66" t="s">
        <v>617</v>
      </c>
      <c r="B489" s="67"/>
      <c r="C489" s="67"/>
      <c r="D489" s="68"/>
      <c r="E489" s="70"/>
      <c r="F489" s="106" t="str">
        <f>HYPERLINK("https://pbs.twimg.com/profile_images/848226292101140480/FDJcF7pe_normal.jpg")</f>
        <v>https://pbs.twimg.com/profile_images/848226292101140480/FDJcF7pe_normal.jpg</v>
      </c>
      <c r="G489" s="67"/>
      <c r="H489" s="71"/>
      <c r="I489" s="72"/>
      <c r="J489" s="72"/>
      <c r="K489" s="71" t="s">
        <v>7659</v>
      </c>
      <c r="L489" s="75"/>
      <c r="M489" s="76"/>
      <c r="N489" s="76"/>
      <c r="O489" s="77"/>
      <c r="P489" s="78"/>
      <c r="Q489" s="78"/>
      <c r="R489" s="90"/>
      <c r="S489" s="90"/>
      <c r="T489" s="90"/>
      <c r="U489" s="90"/>
      <c r="V489" s="52"/>
      <c r="W489" s="52"/>
      <c r="X489" s="52"/>
      <c r="Y489" s="52"/>
      <c r="Z489" s="51"/>
      <c r="AA489" s="73"/>
      <c r="AB489" s="73"/>
      <c r="AC489" s="74"/>
      <c r="AD489" s="80" t="s">
        <v>4664</v>
      </c>
      <c r="AE489" s="86" t="s">
        <v>5565</v>
      </c>
      <c r="AF489" s="80">
        <v>4097</v>
      </c>
      <c r="AG489" s="80">
        <v>3682</v>
      </c>
      <c r="AH489" s="80">
        <v>5528</v>
      </c>
      <c r="AI489" s="80">
        <v>4491</v>
      </c>
      <c r="AJ489" s="80"/>
      <c r="AK489" s="80"/>
      <c r="AL489" s="80"/>
      <c r="AM489" s="80"/>
      <c r="AN489" s="80"/>
      <c r="AO489" s="82">
        <v>40862.47865740741</v>
      </c>
      <c r="AP489" s="84" t="str">
        <f>HYPERLINK("https://pbs.twimg.com/profile_banners/413007959/1409449665")</f>
        <v>https://pbs.twimg.com/profile_banners/413007959/1409449665</v>
      </c>
      <c r="AQ489" s="80" t="b">
        <v>1</v>
      </c>
      <c r="AR489" s="80" t="b">
        <v>0</v>
      </c>
      <c r="AS489" s="80" t="b">
        <v>1</v>
      </c>
      <c r="AT489" s="80"/>
      <c r="AU489" s="80">
        <v>1</v>
      </c>
      <c r="AV489" s="84" t="str">
        <f>HYPERLINK("https://abs.twimg.com/images/themes/theme1/bg.png")</f>
        <v>https://abs.twimg.com/images/themes/theme1/bg.png</v>
      </c>
      <c r="AW489" s="80" t="b">
        <v>0</v>
      </c>
      <c r="AX489" s="80" t="s">
        <v>7173</v>
      </c>
      <c r="AY489" s="84" t="str">
        <f>HYPERLINK("https://twitter.com/andianwar75")</f>
        <v>https://twitter.com/andianwar75</v>
      </c>
      <c r="AZ489" s="80" t="s">
        <v>66</v>
      </c>
      <c r="BA489" s="2"/>
      <c r="BB489" s="3"/>
      <c r="BC489" s="3"/>
      <c r="BD489" s="3"/>
      <c r="BE489" s="3"/>
    </row>
    <row r="490" spans="1:57" x14ac:dyDescent="0.35">
      <c r="A490" s="66" t="s">
        <v>618</v>
      </c>
      <c r="B490" s="67"/>
      <c r="C490" s="67"/>
      <c r="D490" s="68"/>
      <c r="E490" s="70"/>
      <c r="F490" s="106" t="str">
        <f>HYPERLINK("https://pbs.twimg.com/profile_images/1424743319523917829/faMVD4by_normal.jpg")</f>
        <v>https://pbs.twimg.com/profile_images/1424743319523917829/faMVD4by_normal.jpg</v>
      </c>
      <c r="G490" s="67"/>
      <c r="H490" s="71"/>
      <c r="I490" s="72"/>
      <c r="J490" s="72"/>
      <c r="K490" s="71" t="s">
        <v>7660</v>
      </c>
      <c r="L490" s="75"/>
      <c r="M490" s="76"/>
      <c r="N490" s="76"/>
      <c r="O490" s="77"/>
      <c r="P490" s="78"/>
      <c r="Q490" s="78"/>
      <c r="R490" s="90"/>
      <c r="S490" s="90"/>
      <c r="T490" s="90"/>
      <c r="U490" s="90"/>
      <c r="V490" s="52"/>
      <c r="W490" s="52"/>
      <c r="X490" s="52"/>
      <c r="Y490" s="52"/>
      <c r="Z490" s="51"/>
      <c r="AA490" s="73"/>
      <c r="AB490" s="73"/>
      <c r="AC490" s="74"/>
      <c r="AD490" s="80" t="s">
        <v>4665</v>
      </c>
      <c r="AE490" s="86" t="s">
        <v>5566</v>
      </c>
      <c r="AF490" s="80">
        <v>53</v>
      </c>
      <c r="AG490" s="80">
        <v>41</v>
      </c>
      <c r="AH490" s="80">
        <v>3668</v>
      </c>
      <c r="AI490" s="80">
        <v>1318</v>
      </c>
      <c r="AJ490" s="80"/>
      <c r="AK490" s="80" t="s">
        <v>6331</v>
      </c>
      <c r="AL490" s="80"/>
      <c r="AM490" s="80"/>
      <c r="AN490" s="80"/>
      <c r="AO490" s="82">
        <v>43929.166747685187</v>
      </c>
      <c r="AP490" s="84" t="str">
        <f>HYPERLINK("https://pbs.twimg.com/profile_banners/1247735888756404226/1586327228")</f>
        <v>https://pbs.twimg.com/profile_banners/1247735888756404226/1586327228</v>
      </c>
      <c r="AQ490" s="80" t="b">
        <v>1</v>
      </c>
      <c r="AR490" s="80" t="b">
        <v>0</v>
      </c>
      <c r="AS490" s="80" t="b">
        <v>0</v>
      </c>
      <c r="AT490" s="80"/>
      <c r="AU490" s="80">
        <v>0</v>
      </c>
      <c r="AV490" s="80"/>
      <c r="AW490" s="80" t="b">
        <v>0</v>
      </c>
      <c r="AX490" s="80" t="s">
        <v>7173</v>
      </c>
      <c r="AY490" s="84" t="str">
        <f>HYPERLINK("https://twitter.com/katrnaaa14")</f>
        <v>https://twitter.com/katrnaaa14</v>
      </c>
      <c r="AZ490" s="80" t="s">
        <v>66</v>
      </c>
      <c r="BA490" s="2"/>
      <c r="BB490" s="3"/>
      <c r="BC490" s="3"/>
      <c r="BD490" s="3"/>
      <c r="BE490" s="3"/>
    </row>
    <row r="491" spans="1:57" x14ac:dyDescent="0.35">
      <c r="A491" s="66" t="s">
        <v>619</v>
      </c>
      <c r="B491" s="67"/>
      <c r="C491" s="67"/>
      <c r="D491" s="68"/>
      <c r="E491" s="70"/>
      <c r="F491" s="106" t="str">
        <f>HYPERLINK("https://pbs.twimg.com/profile_images/1441271008590123013/NV0kflQc_normal.jpg")</f>
        <v>https://pbs.twimg.com/profile_images/1441271008590123013/NV0kflQc_normal.jpg</v>
      </c>
      <c r="G491" s="67"/>
      <c r="H491" s="71"/>
      <c r="I491" s="72"/>
      <c r="J491" s="72"/>
      <c r="K491" s="71" t="s">
        <v>7661</v>
      </c>
      <c r="L491" s="75"/>
      <c r="M491" s="76"/>
      <c r="N491" s="76"/>
      <c r="O491" s="77"/>
      <c r="P491" s="78"/>
      <c r="Q491" s="78"/>
      <c r="R491" s="90"/>
      <c r="S491" s="90"/>
      <c r="T491" s="90"/>
      <c r="U491" s="90"/>
      <c r="V491" s="52"/>
      <c r="W491" s="52"/>
      <c r="X491" s="52"/>
      <c r="Y491" s="52"/>
      <c r="Z491" s="51"/>
      <c r="AA491" s="73"/>
      <c r="AB491" s="73"/>
      <c r="AC491" s="74"/>
      <c r="AD491" s="80" t="s">
        <v>4666</v>
      </c>
      <c r="AE491" s="86" t="s">
        <v>5567</v>
      </c>
      <c r="AF491" s="80">
        <v>913</v>
      </c>
      <c r="AG491" s="80">
        <v>537</v>
      </c>
      <c r="AH491" s="80">
        <v>41712</v>
      </c>
      <c r="AI491" s="80">
        <v>35764</v>
      </c>
      <c r="AJ491" s="80"/>
      <c r="AK491" s="80" t="s">
        <v>6332</v>
      </c>
      <c r="AL491" s="80" t="s">
        <v>6932</v>
      </c>
      <c r="AM491" s="80"/>
      <c r="AN491" s="80"/>
      <c r="AO491" s="82">
        <v>40423.482812499999</v>
      </c>
      <c r="AP491" s="84" t="str">
        <f>HYPERLINK("https://pbs.twimg.com/profile_banners/186015342/1573976648")</f>
        <v>https://pbs.twimg.com/profile_banners/186015342/1573976648</v>
      </c>
      <c r="AQ491" s="80" t="b">
        <v>1</v>
      </c>
      <c r="AR491" s="80" t="b">
        <v>0</v>
      </c>
      <c r="AS491" s="80" t="b">
        <v>1</v>
      </c>
      <c r="AT491" s="80"/>
      <c r="AU491" s="80">
        <v>0</v>
      </c>
      <c r="AV491" s="84" t="str">
        <f>HYPERLINK("https://abs.twimg.com/images/themes/theme1/bg.png")</f>
        <v>https://abs.twimg.com/images/themes/theme1/bg.png</v>
      </c>
      <c r="AW491" s="80" t="b">
        <v>0</v>
      </c>
      <c r="AX491" s="80" t="s">
        <v>7173</v>
      </c>
      <c r="AY491" s="84" t="str">
        <f>HYPERLINK("https://twitter.com/yswandi")</f>
        <v>https://twitter.com/yswandi</v>
      </c>
      <c r="AZ491" s="80" t="s">
        <v>66</v>
      </c>
      <c r="BA491" s="2"/>
      <c r="BB491" s="3"/>
      <c r="BC491" s="3"/>
      <c r="BD491" s="3"/>
      <c r="BE491" s="3"/>
    </row>
    <row r="492" spans="1:57" x14ac:dyDescent="0.35">
      <c r="A492" s="66" t="s">
        <v>620</v>
      </c>
      <c r="B492" s="67"/>
      <c r="C492" s="67"/>
      <c r="D492" s="68"/>
      <c r="E492" s="70"/>
      <c r="F492" s="106" t="str">
        <f>HYPERLINK("https://pbs.twimg.com/profile_images/1441009226021736448/7DYyfPh-_normal.jpg")</f>
        <v>https://pbs.twimg.com/profile_images/1441009226021736448/7DYyfPh-_normal.jpg</v>
      </c>
      <c r="G492" s="67"/>
      <c r="H492" s="71"/>
      <c r="I492" s="72"/>
      <c r="J492" s="72"/>
      <c r="K492" s="71" t="s">
        <v>7662</v>
      </c>
      <c r="L492" s="75"/>
      <c r="M492" s="76"/>
      <c r="N492" s="76"/>
      <c r="O492" s="77"/>
      <c r="P492" s="78"/>
      <c r="Q492" s="78"/>
      <c r="R492" s="90"/>
      <c r="S492" s="90"/>
      <c r="T492" s="90"/>
      <c r="U492" s="90"/>
      <c r="V492" s="52"/>
      <c r="W492" s="52"/>
      <c r="X492" s="52"/>
      <c r="Y492" s="52"/>
      <c r="Z492" s="51"/>
      <c r="AA492" s="73"/>
      <c r="AB492" s="73"/>
      <c r="AC492" s="74"/>
      <c r="AD492" s="80" t="s">
        <v>4667</v>
      </c>
      <c r="AE492" s="86" t="s">
        <v>5568</v>
      </c>
      <c r="AF492" s="80">
        <v>597</v>
      </c>
      <c r="AG492" s="80">
        <v>2258</v>
      </c>
      <c r="AH492" s="80">
        <v>50025</v>
      </c>
      <c r="AI492" s="80">
        <v>33898</v>
      </c>
      <c r="AJ492" s="80"/>
      <c r="AK492" s="80" t="s">
        <v>6333</v>
      </c>
      <c r="AL492" s="80"/>
      <c r="AM492" s="80"/>
      <c r="AN492" s="80"/>
      <c r="AO492" s="82">
        <v>40074.23170138889</v>
      </c>
      <c r="AP492" s="84" t="str">
        <f>HYPERLINK("https://pbs.twimg.com/profile_banners/75209118/1632678088")</f>
        <v>https://pbs.twimg.com/profile_banners/75209118/1632678088</v>
      </c>
      <c r="AQ492" s="80" t="b">
        <v>0</v>
      </c>
      <c r="AR492" s="80" t="b">
        <v>0</v>
      </c>
      <c r="AS492" s="80" t="b">
        <v>1</v>
      </c>
      <c r="AT492" s="80"/>
      <c r="AU492" s="80">
        <v>7</v>
      </c>
      <c r="AV492" s="84" t="str">
        <f>HYPERLINK("https://abs.twimg.com/images/themes/theme18/bg.gif")</f>
        <v>https://abs.twimg.com/images/themes/theme18/bg.gif</v>
      </c>
      <c r="AW492" s="80" t="b">
        <v>0</v>
      </c>
      <c r="AX492" s="80" t="s">
        <v>7173</v>
      </c>
      <c r="AY492" s="84" t="str">
        <f>HYPERLINK("https://twitter.com/karyndwiyanita")</f>
        <v>https://twitter.com/karyndwiyanita</v>
      </c>
      <c r="AZ492" s="80" t="s">
        <v>66</v>
      </c>
      <c r="BA492" s="2"/>
      <c r="BB492" s="3"/>
      <c r="BC492" s="3"/>
      <c r="BD492" s="3"/>
      <c r="BE492" s="3"/>
    </row>
    <row r="493" spans="1:57" x14ac:dyDescent="0.35">
      <c r="A493" s="66" t="s">
        <v>621</v>
      </c>
      <c r="B493" s="67"/>
      <c r="C493" s="67"/>
      <c r="D493" s="68"/>
      <c r="E493" s="70"/>
      <c r="F493" s="106" t="str">
        <f>HYPERLINK("https://pbs.twimg.com/profile_images/1308075657419661312/uj2qPwDC_normal.jpg")</f>
        <v>https://pbs.twimg.com/profile_images/1308075657419661312/uj2qPwDC_normal.jpg</v>
      </c>
      <c r="G493" s="67"/>
      <c r="H493" s="71"/>
      <c r="I493" s="72"/>
      <c r="J493" s="72"/>
      <c r="K493" s="71" t="s">
        <v>7663</v>
      </c>
      <c r="L493" s="75"/>
      <c r="M493" s="76"/>
      <c r="N493" s="76"/>
      <c r="O493" s="77"/>
      <c r="P493" s="78"/>
      <c r="Q493" s="78"/>
      <c r="R493" s="90"/>
      <c r="S493" s="90"/>
      <c r="T493" s="90"/>
      <c r="U493" s="90"/>
      <c r="V493" s="52"/>
      <c r="W493" s="52"/>
      <c r="X493" s="52"/>
      <c r="Y493" s="52"/>
      <c r="Z493" s="51"/>
      <c r="AA493" s="73"/>
      <c r="AB493" s="73"/>
      <c r="AC493" s="74"/>
      <c r="AD493" s="80" t="s">
        <v>4668</v>
      </c>
      <c r="AE493" s="86" t="s">
        <v>5569</v>
      </c>
      <c r="AF493" s="80">
        <v>3602</v>
      </c>
      <c r="AG493" s="80">
        <v>3450</v>
      </c>
      <c r="AH493" s="80">
        <v>20815</v>
      </c>
      <c r="AI493" s="80">
        <v>72143</v>
      </c>
      <c r="AJ493" s="80"/>
      <c r="AK493" s="80"/>
      <c r="AL493" s="80" t="s">
        <v>6962</v>
      </c>
      <c r="AM493" s="80"/>
      <c r="AN493" s="80"/>
      <c r="AO493" s="82">
        <v>40278.064131944448</v>
      </c>
      <c r="AP493" s="84" t="str">
        <f>HYPERLINK("https://pbs.twimg.com/profile_banners/131356606/1575863838")</f>
        <v>https://pbs.twimg.com/profile_banners/131356606/1575863838</v>
      </c>
      <c r="AQ493" s="80" t="b">
        <v>1</v>
      </c>
      <c r="AR493" s="80" t="b">
        <v>0</v>
      </c>
      <c r="AS493" s="80" t="b">
        <v>0</v>
      </c>
      <c r="AT493" s="80"/>
      <c r="AU493" s="80">
        <v>0</v>
      </c>
      <c r="AV493" s="84" t="str">
        <f>HYPERLINK("https://abs.twimg.com/images/themes/theme1/bg.png")</f>
        <v>https://abs.twimg.com/images/themes/theme1/bg.png</v>
      </c>
      <c r="AW493" s="80" t="b">
        <v>0</v>
      </c>
      <c r="AX493" s="80" t="s">
        <v>7173</v>
      </c>
      <c r="AY493" s="84" t="str">
        <f>HYPERLINK("https://twitter.com/heru_pu2111")</f>
        <v>https://twitter.com/heru_pu2111</v>
      </c>
      <c r="AZ493" s="80" t="s">
        <v>66</v>
      </c>
      <c r="BA493" s="2"/>
      <c r="BB493" s="3"/>
      <c r="BC493" s="3"/>
      <c r="BD493" s="3"/>
      <c r="BE493" s="3"/>
    </row>
    <row r="494" spans="1:57" x14ac:dyDescent="0.35">
      <c r="A494" s="66" t="s">
        <v>622</v>
      </c>
      <c r="B494" s="67"/>
      <c r="C494" s="67"/>
      <c r="D494" s="68"/>
      <c r="E494" s="70"/>
      <c r="F494" s="106" t="str">
        <f>HYPERLINK("https://pbs.twimg.com/profile_images/975287582362759168/nKjdGWCK_normal.jpg")</f>
        <v>https://pbs.twimg.com/profile_images/975287582362759168/nKjdGWCK_normal.jpg</v>
      </c>
      <c r="G494" s="67"/>
      <c r="H494" s="71"/>
      <c r="I494" s="72"/>
      <c r="J494" s="72"/>
      <c r="K494" s="71" t="s">
        <v>7664</v>
      </c>
      <c r="L494" s="75"/>
      <c r="M494" s="76"/>
      <c r="N494" s="76"/>
      <c r="O494" s="77"/>
      <c r="P494" s="78"/>
      <c r="Q494" s="78"/>
      <c r="R494" s="90"/>
      <c r="S494" s="90"/>
      <c r="T494" s="90"/>
      <c r="U494" s="90"/>
      <c r="V494" s="52"/>
      <c r="W494" s="52"/>
      <c r="X494" s="52"/>
      <c r="Y494" s="52"/>
      <c r="Z494" s="51"/>
      <c r="AA494" s="73"/>
      <c r="AB494" s="73"/>
      <c r="AC494" s="74"/>
      <c r="AD494" s="80" t="s">
        <v>4669</v>
      </c>
      <c r="AE494" s="86" t="s">
        <v>5570</v>
      </c>
      <c r="AF494" s="80">
        <v>513</v>
      </c>
      <c r="AG494" s="80">
        <v>67</v>
      </c>
      <c r="AH494" s="80">
        <v>11906</v>
      </c>
      <c r="AI494" s="80">
        <v>8744</v>
      </c>
      <c r="AJ494" s="80"/>
      <c r="AK494" s="80"/>
      <c r="AL494" s="80"/>
      <c r="AM494" s="80"/>
      <c r="AN494" s="80"/>
      <c r="AO494" s="82">
        <v>41017.592962962961</v>
      </c>
      <c r="AP494" s="84" t="str">
        <f>HYPERLINK("https://pbs.twimg.com/profile_banners/556897823/1434050008")</f>
        <v>https://pbs.twimg.com/profile_banners/556897823/1434050008</v>
      </c>
      <c r="AQ494" s="80" t="b">
        <v>1</v>
      </c>
      <c r="AR494" s="80" t="b">
        <v>0</v>
      </c>
      <c r="AS494" s="80" t="b">
        <v>1</v>
      </c>
      <c r="AT494" s="80"/>
      <c r="AU494" s="80">
        <v>0</v>
      </c>
      <c r="AV494" s="84" t="str">
        <f>HYPERLINK("https://abs.twimg.com/images/themes/theme1/bg.png")</f>
        <v>https://abs.twimg.com/images/themes/theme1/bg.png</v>
      </c>
      <c r="AW494" s="80" t="b">
        <v>0</v>
      </c>
      <c r="AX494" s="80" t="s">
        <v>7173</v>
      </c>
      <c r="AY494" s="84" t="str">
        <f>HYPERLINK("https://twitter.com/soim_maskur")</f>
        <v>https://twitter.com/soim_maskur</v>
      </c>
      <c r="AZ494" s="80" t="s">
        <v>66</v>
      </c>
      <c r="BA494" s="2"/>
      <c r="BB494" s="3"/>
      <c r="BC494" s="3"/>
      <c r="BD494" s="3"/>
      <c r="BE494" s="3"/>
    </row>
    <row r="495" spans="1:57" x14ac:dyDescent="0.35">
      <c r="A495" s="66" t="s">
        <v>623</v>
      </c>
      <c r="B495" s="67"/>
      <c r="C495" s="67"/>
      <c r="D495" s="68"/>
      <c r="E495" s="70"/>
      <c r="F495" s="106" t="str">
        <f>HYPERLINK("https://pbs.twimg.com/profile_images/1314076366535450625/PCM4lqiF_normal.jpg")</f>
        <v>https://pbs.twimg.com/profile_images/1314076366535450625/PCM4lqiF_normal.jpg</v>
      </c>
      <c r="G495" s="67"/>
      <c r="H495" s="71"/>
      <c r="I495" s="72"/>
      <c r="J495" s="72"/>
      <c r="K495" s="71" t="s">
        <v>7665</v>
      </c>
      <c r="L495" s="75"/>
      <c r="M495" s="76"/>
      <c r="N495" s="76"/>
      <c r="O495" s="77"/>
      <c r="P495" s="78"/>
      <c r="Q495" s="78"/>
      <c r="R495" s="90"/>
      <c r="S495" s="90"/>
      <c r="T495" s="90"/>
      <c r="U495" s="90"/>
      <c r="V495" s="52"/>
      <c r="W495" s="52"/>
      <c r="X495" s="52"/>
      <c r="Y495" s="52"/>
      <c r="Z495" s="51"/>
      <c r="AA495" s="73"/>
      <c r="AB495" s="73"/>
      <c r="AC495" s="74"/>
      <c r="AD495" s="80" t="s">
        <v>4670</v>
      </c>
      <c r="AE495" s="86" t="s">
        <v>5571</v>
      </c>
      <c r="AF495" s="80">
        <v>976</v>
      </c>
      <c r="AG495" s="80">
        <v>564</v>
      </c>
      <c r="AH495" s="80">
        <v>6794</v>
      </c>
      <c r="AI495" s="80">
        <v>11953</v>
      </c>
      <c r="AJ495" s="80"/>
      <c r="AK495" s="80"/>
      <c r="AL495" s="80" t="s">
        <v>4145</v>
      </c>
      <c r="AM495" s="80"/>
      <c r="AN495" s="80"/>
      <c r="AO495" s="82">
        <v>41919.443819444445</v>
      </c>
      <c r="AP495" s="84" t="str">
        <f>HYPERLINK("https://pbs.twimg.com/profile_banners/2843374512/1461729579")</f>
        <v>https://pbs.twimg.com/profile_banners/2843374512/1461729579</v>
      </c>
      <c r="AQ495" s="80" t="b">
        <v>1</v>
      </c>
      <c r="AR495" s="80" t="b">
        <v>0</v>
      </c>
      <c r="AS495" s="80" t="b">
        <v>0</v>
      </c>
      <c r="AT495" s="80"/>
      <c r="AU495" s="80">
        <v>1</v>
      </c>
      <c r="AV495" s="84" t="str">
        <f>HYPERLINK("https://abs.twimg.com/images/themes/theme1/bg.png")</f>
        <v>https://abs.twimg.com/images/themes/theme1/bg.png</v>
      </c>
      <c r="AW495" s="80" t="b">
        <v>0</v>
      </c>
      <c r="AX495" s="80" t="s">
        <v>7173</v>
      </c>
      <c r="AY495" s="84" t="str">
        <f>HYPERLINK("https://twitter.com/damendra78")</f>
        <v>https://twitter.com/damendra78</v>
      </c>
      <c r="AZ495" s="80" t="s">
        <v>66</v>
      </c>
      <c r="BA495" s="2"/>
      <c r="BB495" s="3"/>
      <c r="BC495" s="3"/>
      <c r="BD495" s="3"/>
      <c r="BE495" s="3"/>
    </row>
    <row r="496" spans="1:57" x14ac:dyDescent="0.35">
      <c r="A496" s="66" t="s">
        <v>624</v>
      </c>
      <c r="B496" s="67"/>
      <c r="C496" s="67"/>
      <c r="D496" s="68"/>
      <c r="E496" s="70"/>
      <c r="F496" s="106" t="str">
        <f>HYPERLINK("https://pbs.twimg.com/profile_images/1055123125287960576/PNRSWBZx_normal.jpg")</f>
        <v>https://pbs.twimg.com/profile_images/1055123125287960576/PNRSWBZx_normal.jpg</v>
      </c>
      <c r="G496" s="67"/>
      <c r="H496" s="71"/>
      <c r="I496" s="72"/>
      <c r="J496" s="72"/>
      <c r="K496" s="71" t="s">
        <v>7666</v>
      </c>
      <c r="L496" s="75"/>
      <c r="M496" s="76"/>
      <c r="N496" s="76"/>
      <c r="O496" s="77"/>
      <c r="P496" s="78"/>
      <c r="Q496" s="78"/>
      <c r="R496" s="90"/>
      <c r="S496" s="90"/>
      <c r="T496" s="90"/>
      <c r="U496" s="90"/>
      <c r="V496" s="52"/>
      <c r="W496" s="52"/>
      <c r="X496" s="52"/>
      <c r="Y496" s="52"/>
      <c r="Z496" s="51"/>
      <c r="AA496" s="73"/>
      <c r="AB496" s="73"/>
      <c r="AC496" s="74"/>
      <c r="AD496" s="80" t="s">
        <v>4671</v>
      </c>
      <c r="AE496" s="86" t="s">
        <v>5572</v>
      </c>
      <c r="AF496" s="80">
        <v>404</v>
      </c>
      <c r="AG496" s="80">
        <v>44</v>
      </c>
      <c r="AH496" s="80">
        <v>2934</v>
      </c>
      <c r="AI496" s="80">
        <v>7660</v>
      </c>
      <c r="AJ496" s="80"/>
      <c r="AK496" s="80" t="s">
        <v>6334</v>
      </c>
      <c r="AL496" s="80"/>
      <c r="AM496" s="80"/>
      <c r="AN496" s="80"/>
      <c r="AO496" s="82">
        <v>40024.684270833335</v>
      </c>
      <c r="AP496" s="84" t="str">
        <f>HYPERLINK("https://pbs.twimg.com/profile_banners/61529191/1540395935")</f>
        <v>https://pbs.twimg.com/profile_banners/61529191/1540395935</v>
      </c>
      <c r="AQ496" s="80" t="b">
        <v>0</v>
      </c>
      <c r="AR496" s="80" t="b">
        <v>0</v>
      </c>
      <c r="AS496" s="80" t="b">
        <v>0</v>
      </c>
      <c r="AT496" s="80"/>
      <c r="AU496" s="80">
        <v>0</v>
      </c>
      <c r="AV496" s="84" t="str">
        <f>HYPERLINK("https://abs.twimg.com/images/themes/theme9/bg.gif")</f>
        <v>https://abs.twimg.com/images/themes/theme9/bg.gif</v>
      </c>
      <c r="AW496" s="80" t="b">
        <v>0</v>
      </c>
      <c r="AX496" s="80" t="s">
        <v>7173</v>
      </c>
      <c r="AY496" s="84" t="str">
        <f>HYPERLINK("https://twitter.com/its_jakobus")</f>
        <v>https://twitter.com/its_jakobus</v>
      </c>
      <c r="AZ496" s="80" t="s">
        <v>66</v>
      </c>
      <c r="BA496" s="2"/>
      <c r="BB496" s="3"/>
      <c r="BC496" s="3"/>
      <c r="BD496" s="3"/>
      <c r="BE496" s="3"/>
    </row>
    <row r="497" spans="1:57" x14ac:dyDescent="0.35">
      <c r="A497" s="66" t="s">
        <v>625</v>
      </c>
      <c r="B497" s="67"/>
      <c r="C497" s="67"/>
      <c r="D497" s="68"/>
      <c r="E497" s="70"/>
      <c r="F497" s="106" t="str">
        <f>HYPERLINK("https://pbs.twimg.com/profile_images/1058022949456756737/2VIvY9v4_normal.jpg")</f>
        <v>https://pbs.twimg.com/profile_images/1058022949456756737/2VIvY9v4_normal.jpg</v>
      </c>
      <c r="G497" s="67"/>
      <c r="H497" s="71"/>
      <c r="I497" s="72"/>
      <c r="J497" s="72"/>
      <c r="K497" s="71" t="s">
        <v>7667</v>
      </c>
      <c r="L497" s="75"/>
      <c r="M497" s="76"/>
      <c r="N497" s="76"/>
      <c r="O497" s="77"/>
      <c r="P497" s="78"/>
      <c r="Q497" s="78"/>
      <c r="R497" s="90"/>
      <c r="S497" s="90"/>
      <c r="T497" s="90"/>
      <c r="U497" s="90"/>
      <c r="V497" s="52"/>
      <c r="W497" s="52"/>
      <c r="X497" s="52"/>
      <c r="Y497" s="52"/>
      <c r="Z497" s="51"/>
      <c r="AA497" s="73"/>
      <c r="AB497" s="73"/>
      <c r="AC497" s="74"/>
      <c r="AD497" s="80" t="s">
        <v>4672</v>
      </c>
      <c r="AE497" s="86" t="s">
        <v>5573</v>
      </c>
      <c r="AF497" s="80">
        <v>242</v>
      </c>
      <c r="AG497" s="80">
        <v>246</v>
      </c>
      <c r="AH497" s="80">
        <v>18242</v>
      </c>
      <c r="AI497" s="80">
        <v>54677</v>
      </c>
      <c r="AJ497" s="80"/>
      <c r="AK497" s="80"/>
      <c r="AL497" s="80" t="s">
        <v>6963</v>
      </c>
      <c r="AM497" s="84" t="str">
        <f>HYPERLINK("https://t.co/VSqwaMZCGj")</f>
        <v>https://t.co/VSqwaMZCGj</v>
      </c>
      <c r="AN497" s="80"/>
      <c r="AO497" s="82">
        <v>43405.479050925926</v>
      </c>
      <c r="AP497" s="84" t="str">
        <f>HYPERLINK("https://pbs.twimg.com/profile_banners/1057957886859468800/1541087304")</f>
        <v>https://pbs.twimg.com/profile_banners/1057957886859468800/1541087304</v>
      </c>
      <c r="AQ497" s="80" t="b">
        <v>1</v>
      </c>
      <c r="AR497" s="80" t="b">
        <v>0</v>
      </c>
      <c r="AS497" s="80" t="b">
        <v>0</v>
      </c>
      <c r="AT497" s="80"/>
      <c r="AU497" s="80">
        <v>0</v>
      </c>
      <c r="AV497" s="80"/>
      <c r="AW497" s="80" t="b">
        <v>0</v>
      </c>
      <c r="AX497" s="80" t="s">
        <v>7173</v>
      </c>
      <c r="AY497" s="84" t="str">
        <f>HYPERLINK("https://twitter.com/effhariadi")</f>
        <v>https://twitter.com/effhariadi</v>
      </c>
      <c r="AZ497" s="80" t="s">
        <v>66</v>
      </c>
      <c r="BA497" s="2"/>
      <c r="BB497" s="3"/>
      <c r="BC497" s="3"/>
      <c r="BD497" s="3"/>
      <c r="BE497" s="3"/>
    </row>
    <row r="498" spans="1:57" x14ac:dyDescent="0.35">
      <c r="A498" s="66" t="s">
        <v>626</v>
      </c>
      <c r="B498" s="67"/>
      <c r="C498" s="67"/>
      <c r="D498" s="68"/>
      <c r="E498" s="70"/>
      <c r="F498" s="106" t="str">
        <f>HYPERLINK("https://pbs.twimg.com/profile_images/1431930510331179015/ZCb4f4hb_normal.jpg")</f>
        <v>https://pbs.twimg.com/profile_images/1431930510331179015/ZCb4f4hb_normal.jpg</v>
      </c>
      <c r="G498" s="67"/>
      <c r="H498" s="71"/>
      <c r="I498" s="72"/>
      <c r="J498" s="72"/>
      <c r="K498" s="71" t="s">
        <v>7668</v>
      </c>
      <c r="L498" s="75"/>
      <c r="M498" s="76"/>
      <c r="N498" s="76"/>
      <c r="O498" s="77"/>
      <c r="P498" s="78"/>
      <c r="Q498" s="78"/>
      <c r="R498" s="90"/>
      <c r="S498" s="90"/>
      <c r="T498" s="90"/>
      <c r="U498" s="90"/>
      <c r="V498" s="52"/>
      <c r="W498" s="52"/>
      <c r="X498" s="52"/>
      <c r="Y498" s="52"/>
      <c r="Z498" s="51"/>
      <c r="AA498" s="73"/>
      <c r="AB498" s="73"/>
      <c r="AC498" s="74"/>
      <c r="AD498" s="80" t="s">
        <v>4673</v>
      </c>
      <c r="AE498" s="86" t="s">
        <v>5574</v>
      </c>
      <c r="AF498" s="80">
        <v>106</v>
      </c>
      <c r="AG498" s="80">
        <v>86</v>
      </c>
      <c r="AH498" s="80">
        <v>13777</v>
      </c>
      <c r="AI498" s="80">
        <v>16035</v>
      </c>
      <c r="AJ498" s="80"/>
      <c r="AK498" s="80" t="s">
        <v>6335</v>
      </c>
      <c r="AL498" s="80"/>
      <c r="AM498" s="80"/>
      <c r="AN498" s="80"/>
      <c r="AO498" s="82">
        <v>43294.41946759259</v>
      </c>
      <c r="AP498" s="84" t="str">
        <f>HYPERLINK("https://pbs.twimg.com/profile_banners/1017711237893795841/1632781187")</f>
        <v>https://pbs.twimg.com/profile_banners/1017711237893795841/1632781187</v>
      </c>
      <c r="AQ498" s="80" t="b">
        <v>1</v>
      </c>
      <c r="AR498" s="80" t="b">
        <v>0</v>
      </c>
      <c r="AS498" s="80" t="b">
        <v>1</v>
      </c>
      <c r="AT498" s="80"/>
      <c r="AU498" s="80">
        <v>0</v>
      </c>
      <c r="AV498" s="80"/>
      <c r="AW498" s="80" t="b">
        <v>0</v>
      </c>
      <c r="AX498" s="80" t="s">
        <v>7173</v>
      </c>
      <c r="AY498" s="84" t="str">
        <f>HYPERLINK("https://twitter.com/julyas43")</f>
        <v>https://twitter.com/julyas43</v>
      </c>
      <c r="AZ498" s="80" t="s">
        <v>66</v>
      </c>
      <c r="BA498" s="2"/>
      <c r="BB498" s="3"/>
      <c r="BC498" s="3"/>
      <c r="BD498" s="3"/>
      <c r="BE498" s="3"/>
    </row>
    <row r="499" spans="1:57" x14ac:dyDescent="0.35">
      <c r="A499" s="66" t="s">
        <v>1073</v>
      </c>
      <c r="B499" s="67"/>
      <c r="C499" s="67"/>
      <c r="D499" s="68"/>
      <c r="E499" s="70"/>
      <c r="F499" s="106" t="str">
        <f>HYPERLINK("https://pbs.twimg.com/profile_images/1411123316450942978/B3dvkFsr_normal.jpg")</f>
        <v>https://pbs.twimg.com/profile_images/1411123316450942978/B3dvkFsr_normal.jpg</v>
      </c>
      <c r="G499" s="67"/>
      <c r="H499" s="71"/>
      <c r="I499" s="72"/>
      <c r="J499" s="72"/>
      <c r="K499" s="71" t="s">
        <v>7669</v>
      </c>
      <c r="L499" s="75"/>
      <c r="M499" s="76"/>
      <c r="N499" s="76"/>
      <c r="O499" s="77"/>
      <c r="P499" s="78"/>
      <c r="Q499" s="78"/>
      <c r="R499" s="90"/>
      <c r="S499" s="90"/>
      <c r="T499" s="90"/>
      <c r="U499" s="90"/>
      <c r="V499" s="52"/>
      <c r="W499" s="52"/>
      <c r="X499" s="52"/>
      <c r="Y499" s="52"/>
      <c r="Z499" s="51"/>
      <c r="AA499" s="73"/>
      <c r="AB499" s="73"/>
      <c r="AC499" s="74"/>
      <c r="AD499" s="80" t="s">
        <v>1073</v>
      </c>
      <c r="AE499" s="86" t="s">
        <v>3949</v>
      </c>
      <c r="AF499" s="80">
        <v>3316</v>
      </c>
      <c r="AG499" s="80">
        <v>21917</v>
      </c>
      <c r="AH499" s="80">
        <v>130779</v>
      </c>
      <c r="AI499" s="80">
        <v>5</v>
      </c>
      <c r="AJ499" s="80"/>
      <c r="AK499" s="80" t="s">
        <v>6336</v>
      </c>
      <c r="AL499" s="80" t="s">
        <v>6964</v>
      </c>
      <c r="AM499" s="84" t="str">
        <f>HYPERLINK("https://t.co/UiKuIejR1n")</f>
        <v>https://t.co/UiKuIejR1n</v>
      </c>
      <c r="AN499" s="80"/>
      <c r="AO499" s="82">
        <v>43688.529965277776</v>
      </c>
      <c r="AP499" s="84" t="str">
        <f>HYPERLINK("https://pbs.twimg.com/profile_banners/1160532100111466496/1625206091")</f>
        <v>https://pbs.twimg.com/profile_banners/1160532100111466496/1625206091</v>
      </c>
      <c r="AQ499" s="80" t="b">
        <v>1</v>
      </c>
      <c r="AR499" s="80" t="b">
        <v>0</v>
      </c>
      <c r="AS499" s="80" t="b">
        <v>0</v>
      </c>
      <c r="AT499" s="80"/>
      <c r="AU499" s="80">
        <v>72</v>
      </c>
      <c r="AV499" s="80"/>
      <c r="AW499" s="80" t="b">
        <v>0</v>
      </c>
      <c r="AX499" s="80" t="s">
        <v>7173</v>
      </c>
      <c r="AY499" s="84" t="str">
        <f>HYPERLINK("https://twitter.com/stanmenfess")</f>
        <v>https://twitter.com/stanmenfess</v>
      </c>
      <c r="AZ499" s="80" t="s">
        <v>65</v>
      </c>
      <c r="BA499" s="2"/>
      <c r="BB499" s="3"/>
      <c r="BC499" s="3"/>
      <c r="BD499" s="3"/>
      <c r="BE499" s="3"/>
    </row>
    <row r="500" spans="1:57" x14ac:dyDescent="0.35">
      <c r="A500" s="66" t="s">
        <v>628</v>
      </c>
      <c r="B500" s="67"/>
      <c r="C500" s="67"/>
      <c r="D500" s="68"/>
      <c r="E500" s="70"/>
      <c r="F500" s="106" t="str">
        <f>HYPERLINK("https://pbs.twimg.com/profile_images/1429368182066728964/TAJ-KIGK_normal.jpg")</f>
        <v>https://pbs.twimg.com/profile_images/1429368182066728964/TAJ-KIGK_normal.jpg</v>
      </c>
      <c r="G500" s="67"/>
      <c r="H500" s="71"/>
      <c r="I500" s="72"/>
      <c r="J500" s="72"/>
      <c r="K500" s="71" t="s">
        <v>7670</v>
      </c>
      <c r="L500" s="75"/>
      <c r="M500" s="76"/>
      <c r="N500" s="76"/>
      <c r="O500" s="77"/>
      <c r="P500" s="78"/>
      <c r="Q500" s="78"/>
      <c r="R500" s="90"/>
      <c r="S500" s="90"/>
      <c r="T500" s="90"/>
      <c r="U500" s="90"/>
      <c r="V500" s="52"/>
      <c r="W500" s="52"/>
      <c r="X500" s="52"/>
      <c r="Y500" s="52"/>
      <c r="Z500" s="51"/>
      <c r="AA500" s="73"/>
      <c r="AB500" s="73"/>
      <c r="AC500" s="74"/>
      <c r="AD500" s="80" t="s">
        <v>4674</v>
      </c>
      <c r="AE500" s="86" t="s">
        <v>5575</v>
      </c>
      <c r="AF500" s="80">
        <v>2921</v>
      </c>
      <c r="AG500" s="80">
        <v>1032</v>
      </c>
      <c r="AH500" s="80">
        <v>3940</v>
      </c>
      <c r="AI500" s="80">
        <v>28</v>
      </c>
      <c r="AJ500" s="80"/>
      <c r="AK500" s="80" t="s">
        <v>6337</v>
      </c>
      <c r="AL500" s="80"/>
      <c r="AM500" s="80"/>
      <c r="AN500" s="80"/>
      <c r="AO500" s="82">
        <v>44272.707928240743</v>
      </c>
      <c r="AP500" s="84" t="str">
        <f>HYPERLINK("https://pbs.twimg.com/profile_banners/1372230992132403201/1629623070")</f>
        <v>https://pbs.twimg.com/profile_banners/1372230992132403201/1629623070</v>
      </c>
      <c r="AQ500" s="80" t="b">
        <v>1</v>
      </c>
      <c r="AR500" s="80" t="b">
        <v>0</v>
      </c>
      <c r="AS500" s="80" t="b">
        <v>0</v>
      </c>
      <c r="AT500" s="80"/>
      <c r="AU500" s="80">
        <v>0</v>
      </c>
      <c r="AV500" s="80"/>
      <c r="AW500" s="80" t="b">
        <v>0</v>
      </c>
      <c r="AX500" s="80" t="s">
        <v>7173</v>
      </c>
      <c r="AY500" s="84" t="str">
        <f>HYPERLINK("https://twitter.com/dewa13127757")</f>
        <v>https://twitter.com/dewa13127757</v>
      </c>
      <c r="AZ500" s="80" t="s">
        <v>66</v>
      </c>
      <c r="BA500" s="2"/>
      <c r="BB500" s="3"/>
      <c r="BC500" s="3"/>
      <c r="BD500" s="3"/>
      <c r="BE500" s="3"/>
    </row>
    <row r="501" spans="1:57" x14ac:dyDescent="0.35">
      <c r="A501" s="66" t="s">
        <v>629</v>
      </c>
      <c r="B501" s="67"/>
      <c r="C501" s="67"/>
      <c r="D501" s="68"/>
      <c r="E501" s="70"/>
      <c r="F501" s="106" t="str">
        <f>HYPERLINK("https://pbs.twimg.com/profile_images/1154213517987213312/00AwcvOl_normal.jpg")</f>
        <v>https://pbs.twimg.com/profile_images/1154213517987213312/00AwcvOl_normal.jpg</v>
      </c>
      <c r="G501" s="67"/>
      <c r="H501" s="71"/>
      <c r="I501" s="72"/>
      <c r="J501" s="72"/>
      <c r="K501" s="71" t="s">
        <v>7671</v>
      </c>
      <c r="L501" s="75"/>
      <c r="M501" s="76"/>
      <c r="N501" s="76"/>
      <c r="O501" s="77"/>
      <c r="P501" s="78"/>
      <c r="Q501" s="78"/>
      <c r="R501" s="90"/>
      <c r="S501" s="90"/>
      <c r="T501" s="90"/>
      <c r="U501" s="90"/>
      <c r="V501" s="52"/>
      <c r="W501" s="52"/>
      <c r="X501" s="52"/>
      <c r="Y501" s="52"/>
      <c r="Z501" s="51"/>
      <c r="AA501" s="73"/>
      <c r="AB501" s="73"/>
      <c r="AC501" s="74"/>
      <c r="AD501" s="80" t="s">
        <v>4675</v>
      </c>
      <c r="AE501" s="86" t="s">
        <v>5576</v>
      </c>
      <c r="AF501" s="80">
        <v>603</v>
      </c>
      <c r="AG501" s="80">
        <v>424</v>
      </c>
      <c r="AH501" s="80">
        <v>3437</v>
      </c>
      <c r="AI501" s="80">
        <v>47539</v>
      </c>
      <c r="AJ501" s="80"/>
      <c r="AK501" s="80"/>
      <c r="AL501" s="80" t="s">
        <v>6965</v>
      </c>
      <c r="AM501" s="80"/>
      <c r="AN501" s="80"/>
      <c r="AO501" s="82">
        <v>43409.875752314816</v>
      </c>
      <c r="AP501" s="80"/>
      <c r="AQ501" s="80" t="b">
        <v>1</v>
      </c>
      <c r="AR501" s="80" t="b">
        <v>0</v>
      </c>
      <c r="AS501" s="80" t="b">
        <v>1</v>
      </c>
      <c r="AT501" s="80"/>
      <c r="AU501" s="80">
        <v>0</v>
      </c>
      <c r="AV501" s="80"/>
      <c r="AW501" s="80" t="b">
        <v>0</v>
      </c>
      <c r="AX501" s="80" t="s">
        <v>7173</v>
      </c>
      <c r="AY501" s="84" t="str">
        <f>HYPERLINK("https://twitter.com/bambam30424539")</f>
        <v>https://twitter.com/bambam30424539</v>
      </c>
      <c r="AZ501" s="80" t="s">
        <v>66</v>
      </c>
      <c r="BA501" s="2"/>
      <c r="BB501" s="3"/>
      <c r="BC501" s="3"/>
      <c r="BD501" s="3"/>
      <c r="BE501" s="3"/>
    </row>
    <row r="502" spans="1:57" x14ac:dyDescent="0.35">
      <c r="A502" s="66" t="s">
        <v>630</v>
      </c>
      <c r="B502" s="67"/>
      <c r="C502" s="67"/>
      <c r="D502" s="68"/>
      <c r="E502" s="70"/>
      <c r="F502" s="106" t="str">
        <f>HYPERLINK("https://pbs.twimg.com/profile_images/1393272038203158528/2ZRUb82J_normal.jpg")</f>
        <v>https://pbs.twimg.com/profile_images/1393272038203158528/2ZRUb82J_normal.jpg</v>
      </c>
      <c r="G502" s="67"/>
      <c r="H502" s="71"/>
      <c r="I502" s="72"/>
      <c r="J502" s="72"/>
      <c r="K502" s="71" t="s">
        <v>7672</v>
      </c>
      <c r="L502" s="75"/>
      <c r="M502" s="76"/>
      <c r="N502" s="76"/>
      <c r="O502" s="77"/>
      <c r="P502" s="78"/>
      <c r="Q502" s="78"/>
      <c r="R502" s="90"/>
      <c r="S502" s="90"/>
      <c r="T502" s="90"/>
      <c r="U502" s="90"/>
      <c r="V502" s="52"/>
      <c r="W502" s="52"/>
      <c r="X502" s="52"/>
      <c r="Y502" s="52"/>
      <c r="Z502" s="51"/>
      <c r="AA502" s="73"/>
      <c r="AB502" s="73"/>
      <c r="AC502" s="74"/>
      <c r="AD502" s="80" t="s">
        <v>4676</v>
      </c>
      <c r="AE502" s="86" t="s">
        <v>5577</v>
      </c>
      <c r="AF502" s="80">
        <v>6523</v>
      </c>
      <c r="AG502" s="80">
        <v>6042</v>
      </c>
      <c r="AH502" s="80">
        <v>146460</v>
      </c>
      <c r="AI502" s="80">
        <v>10162</v>
      </c>
      <c r="AJ502" s="80"/>
      <c r="AK502" s="80" t="s">
        <v>6338</v>
      </c>
      <c r="AL502" s="80" t="s">
        <v>6966</v>
      </c>
      <c r="AM502" s="80"/>
      <c r="AN502" s="80"/>
      <c r="AO502" s="82">
        <v>39931.477349537039</v>
      </c>
      <c r="AP502" s="84" t="str">
        <f>HYPERLINK("https://pbs.twimg.com/profile_banners/36042037/1582152841")</f>
        <v>https://pbs.twimg.com/profile_banners/36042037/1582152841</v>
      </c>
      <c r="AQ502" s="80" t="b">
        <v>0</v>
      </c>
      <c r="AR502" s="80" t="b">
        <v>0</v>
      </c>
      <c r="AS502" s="80" t="b">
        <v>1</v>
      </c>
      <c r="AT502" s="80"/>
      <c r="AU502" s="80">
        <v>10</v>
      </c>
      <c r="AV502" s="84" t="str">
        <f>HYPERLINK("https://abs.twimg.com/images/themes/theme1/bg.png")</f>
        <v>https://abs.twimg.com/images/themes/theme1/bg.png</v>
      </c>
      <c r="AW502" s="80" t="b">
        <v>0</v>
      </c>
      <c r="AX502" s="80" t="s">
        <v>7173</v>
      </c>
      <c r="AY502" s="84" t="str">
        <f>HYPERLINK("https://twitter.com/jakartastar")</f>
        <v>https://twitter.com/jakartastar</v>
      </c>
      <c r="AZ502" s="80" t="s">
        <v>66</v>
      </c>
      <c r="BA502" s="2"/>
      <c r="BB502" s="3"/>
      <c r="BC502" s="3"/>
      <c r="BD502" s="3"/>
      <c r="BE502" s="3"/>
    </row>
    <row r="503" spans="1:57" x14ac:dyDescent="0.35">
      <c r="A503" s="66" t="s">
        <v>631</v>
      </c>
      <c r="B503" s="67"/>
      <c r="C503" s="67"/>
      <c r="D503" s="68"/>
      <c r="E503" s="70"/>
      <c r="F503" s="106" t="str">
        <f>HYPERLINK("https://pbs.twimg.com/profile_images/1069768909107036160/7jGx1nGH_normal.jpg")</f>
        <v>https://pbs.twimg.com/profile_images/1069768909107036160/7jGx1nGH_normal.jpg</v>
      </c>
      <c r="G503" s="67"/>
      <c r="H503" s="71"/>
      <c r="I503" s="72"/>
      <c r="J503" s="72"/>
      <c r="K503" s="71" t="s">
        <v>7673</v>
      </c>
      <c r="L503" s="75"/>
      <c r="M503" s="76"/>
      <c r="N503" s="76"/>
      <c r="O503" s="77"/>
      <c r="P503" s="78"/>
      <c r="Q503" s="78"/>
      <c r="R503" s="90"/>
      <c r="S503" s="90"/>
      <c r="T503" s="90"/>
      <c r="U503" s="90"/>
      <c r="V503" s="52"/>
      <c r="W503" s="52"/>
      <c r="X503" s="52"/>
      <c r="Y503" s="52"/>
      <c r="Z503" s="51"/>
      <c r="AA503" s="73"/>
      <c r="AB503" s="73"/>
      <c r="AC503" s="74"/>
      <c r="AD503" s="80" t="s">
        <v>4677</v>
      </c>
      <c r="AE503" s="86" t="s">
        <v>5578</v>
      </c>
      <c r="AF503" s="80">
        <v>106</v>
      </c>
      <c r="AG503" s="80">
        <v>118</v>
      </c>
      <c r="AH503" s="80">
        <v>1436</v>
      </c>
      <c r="AI503" s="80">
        <v>1886</v>
      </c>
      <c r="AJ503" s="80"/>
      <c r="AK503" s="80" t="s">
        <v>6339</v>
      </c>
      <c r="AL503" s="80" t="s">
        <v>6967</v>
      </c>
      <c r="AM503" s="80"/>
      <c r="AN503" s="80"/>
      <c r="AO503" s="82">
        <v>43030.399837962963</v>
      </c>
      <c r="AP503" s="84" t="str">
        <f>HYPERLINK("https://pbs.twimg.com/profile_banners/922033730230689792/1508665825")</f>
        <v>https://pbs.twimg.com/profile_banners/922033730230689792/1508665825</v>
      </c>
      <c r="AQ503" s="80" t="b">
        <v>1</v>
      </c>
      <c r="AR503" s="80" t="b">
        <v>0</v>
      </c>
      <c r="AS503" s="80" t="b">
        <v>0</v>
      </c>
      <c r="AT503" s="80"/>
      <c r="AU503" s="80">
        <v>0</v>
      </c>
      <c r="AV503" s="80"/>
      <c r="AW503" s="80" t="b">
        <v>0</v>
      </c>
      <c r="AX503" s="80" t="s">
        <v>7173</v>
      </c>
      <c r="AY503" s="84" t="str">
        <f>HYPERLINK("https://twitter.com/sujono_prawiro")</f>
        <v>https://twitter.com/sujono_prawiro</v>
      </c>
      <c r="AZ503" s="80" t="s">
        <v>66</v>
      </c>
      <c r="BA503" s="2"/>
      <c r="BB503" s="3"/>
      <c r="BC503" s="3"/>
      <c r="BD503" s="3"/>
      <c r="BE503" s="3"/>
    </row>
    <row r="504" spans="1:57" x14ac:dyDescent="0.35">
      <c r="A504" s="66" t="s">
        <v>1074</v>
      </c>
      <c r="B504" s="67"/>
      <c r="C504" s="67"/>
      <c r="D504" s="68"/>
      <c r="E504" s="70"/>
      <c r="F504" s="106" t="str">
        <f>HYPERLINK("https://pbs.twimg.com/profile_images/882726832172171264/whCMGTdH_normal.jpg")</f>
        <v>https://pbs.twimg.com/profile_images/882726832172171264/whCMGTdH_normal.jpg</v>
      </c>
      <c r="G504" s="67"/>
      <c r="H504" s="71"/>
      <c r="I504" s="72"/>
      <c r="J504" s="72"/>
      <c r="K504" s="71" t="s">
        <v>7674</v>
      </c>
      <c r="L504" s="75"/>
      <c r="M504" s="76"/>
      <c r="N504" s="76"/>
      <c r="O504" s="77"/>
      <c r="P504" s="78"/>
      <c r="Q504" s="78"/>
      <c r="R504" s="90"/>
      <c r="S504" s="90"/>
      <c r="T504" s="90"/>
      <c r="U504" s="90"/>
      <c r="V504" s="52"/>
      <c r="W504" s="52"/>
      <c r="X504" s="52"/>
      <c r="Y504" s="52"/>
      <c r="Z504" s="51"/>
      <c r="AA504" s="73"/>
      <c r="AB504" s="73"/>
      <c r="AC504" s="74"/>
      <c r="AD504" s="80" t="s">
        <v>4678</v>
      </c>
      <c r="AE504" s="86" t="s">
        <v>3951</v>
      </c>
      <c r="AF504" s="80">
        <v>421</v>
      </c>
      <c r="AG504" s="80">
        <v>66161</v>
      </c>
      <c r="AH504" s="80">
        <v>2806</v>
      </c>
      <c r="AI504" s="80">
        <v>5051</v>
      </c>
      <c r="AJ504" s="80"/>
      <c r="AK504" s="80" t="s">
        <v>6340</v>
      </c>
      <c r="AL504" s="80" t="s">
        <v>6785</v>
      </c>
      <c r="AM504" s="80"/>
      <c r="AN504" s="80"/>
      <c r="AO504" s="82">
        <v>42210.52207175926</v>
      </c>
      <c r="AP504" s="84" t="str">
        <f>HYPERLINK("https://pbs.twimg.com/profile_banners/3292664263/1579005154")</f>
        <v>https://pbs.twimg.com/profile_banners/3292664263/1579005154</v>
      </c>
      <c r="AQ504" s="80" t="b">
        <v>1</v>
      </c>
      <c r="AR504" s="80" t="b">
        <v>0</v>
      </c>
      <c r="AS504" s="80" t="b">
        <v>1</v>
      </c>
      <c r="AT504" s="80"/>
      <c r="AU504" s="80">
        <v>19</v>
      </c>
      <c r="AV504" s="84" t="str">
        <f>HYPERLINK("https://abs.twimg.com/images/themes/theme1/bg.png")</f>
        <v>https://abs.twimg.com/images/themes/theme1/bg.png</v>
      </c>
      <c r="AW504" s="80" t="b">
        <v>1</v>
      </c>
      <c r="AX504" s="80" t="s">
        <v>7173</v>
      </c>
      <c r="AY504" s="84" t="str">
        <f>HYPERLINK("https://twitter.com/halimiskandarnu")</f>
        <v>https://twitter.com/halimiskandarnu</v>
      </c>
      <c r="AZ504" s="80" t="s">
        <v>65</v>
      </c>
      <c r="BA504" s="2"/>
      <c r="BB504" s="3"/>
      <c r="BC504" s="3"/>
      <c r="BD504" s="3"/>
      <c r="BE504" s="3"/>
    </row>
    <row r="505" spans="1:57" x14ac:dyDescent="0.35">
      <c r="A505" s="66" t="s">
        <v>632</v>
      </c>
      <c r="B505" s="67"/>
      <c r="C505" s="67"/>
      <c r="D505" s="68"/>
      <c r="E505" s="70"/>
      <c r="F505" s="106" t="str">
        <f>HYPERLINK("https://pbs.twimg.com/profile_images/1402529641793933317/t-wVdACh_normal.jpg")</f>
        <v>https://pbs.twimg.com/profile_images/1402529641793933317/t-wVdACh_normal.jpg</v>
      </c>
      <c r="G505" s="67"/>
      <c r="H505" s="71"/>
      <c r="I505" s="72"/>
      <c r="J505" s="72"/>
      <c r="K505" s="71" t="s">
        <v>7675</v>
      </c>
      <c r="L505" s="75"/>
      <c r="M505" s="76"/>
      <c r="N505" s="76"/>
      <c r="O505" s="77"/>
      <c r="P505" s="78"/>
      <c r="Q505" s="78"/>
      <c r="R505" s="90"/>
      <c r="S505" s="90"/>
      <c r="T505" s="90"/>
      <c r="U505" s="90"/>
      <c r="V505" s="52"/>
      <c r="W505" s="52"/>
      <c r="X505" s="52"/>
      <c r="Y505" s="52"/>
      <c r="Z505" s="51"/>
      <c r="AA505" s="73"/>
      <c r="AB505" s="73"/>
      <c r="AC505" s="74"/>
      <c r="AD505" s="80" t="s">
        <v>4679</v>
      </c>
      <c r="AE505" s="86" t="s">
        <v>5579</v>
      </c>
      <c r="AF505" s="80">
        <v>1409</v>
      </c>
      <c r="AG505" s="80">
        <v>1313</v>
      </c>
      <c r="AH505" s="80">
        <v>10375</v>
      </c>
      <c r="AI505" s="80">
        <v>19104</v>
      </c>
      <c r="AJ505" s="80"/>
      <c r="AK505" s="80" t="s">
        <v>6341</v>
      </c>
      <c r="AL505" s="80"/>
      <c r="AM505" s="80"/>
      <c r="AN505" s="80"/>
      <c r="AO505" s="82">
        <v>43853.058969907404</v>
      </c>
      <c r="AP505" s="80"/>
      <c r="AQ505" s="80" t="b">
        <v>1</v>
      </c>
      <c r="AR505" s="80" t="b">
        <v>0</v>
      </c>
      <c r="AS505" s="80" t="b">
        <v>0</v>
      </c>
      <c r="AT505" s="80"/>
      <c r="AU505" s="80">
        <v>0</v>
      </c>
      <c r="AV505" s="80"/>
      <c r="AW505" s="80" t="b">
        <v>0</v>
      </c>
      <c r="AX505" s="80" t="s">
        <v>7173</v>
      </c>
      <c r="AY505" s="84" t="str">
        <f>HYPERLINK("https://twitter.com/luluk1683")</f>
        <v>https://twitter.com/luluk1683</v>
      </c>
      <c r="AZ505" s="80" t="s">
        <v>66</v>
      </c>
      <c r="BA505" s="2"/>
      <c r="BB505" s="3"/>
      <c r="BC505" s="3"/>
      <c r="BD505" s="3"/>
      <c r="BE505" s="3"/>
    </row>
    <row r="506" spans="1:57" x14ac:dyDescent="0.35">
      <c r="A506" s="66" t="s">
        <v>633</v>
      </c>
      <c r="B506" s="67"/>
      <c r="C506" s="67"/>
      <c r="D506" s="68"/>
      <c r="E506" s="70"/>
      <c r="F506" s="106" t="str">
        <f>HYPERLINK("https://pbs.twimg.com/profile_images/968145938848952321/nQfR-cXd_normal.jpg")</f>
        <v>https://pbs.twimg.com/profile_images/968145938848952321/nQfR-cXd_normal.jpg</v>
      </c>
      <c r="G506" s="67"/>
      <c r="H506" s="71"/>
      <c r="I506" s="72"/>
      <c r="J506" s="72"/>
      <c r="K506" s="71" t="s">
        <v>7676</v>
      </c>
      <c r="L506" s="75"/>
      <c r="M506" s="76"/>
      <c r="N506" s="76"/>
      <c r="O506" s="77"/>
      <c r="P506" s="78"/>
      <c r="Q506" s="78"/>
      <c r="R506" s="90"/>
      <c r="S506" s="90"/>
      <c r="T506" s="90"/>
      <c r="U506" s="90"/>
      <c r="V506" s="52"/>
      <c r="W506" s="52"/>
      <c r="X506" s="52"/>
      <c r="Y506" s="52"/>
      <c r="Z506" s="51"/>
      <c r="AA506" s="73"/>
      <c r="AB506" s="73"/>
      <c r="AC506" s="74"/>
      <c r="AD506" s="80" t="s">
        <v>4680</v>
      </c>
      <c r="AE506" s="86" t="s">
        <v>5580</v>
      </c>
      <c r="AF506" s="80">
        <v>760</v>
      </c>
      <c r="AG506" s="80">
        <v>509</v>
      </c>
      <c r="AH506" s="80">
        <v>5981</v>
      </c>
      <c r="AI506" s="80">
        <v>5564</v>
      </c>
      <c r="AJ506" s="80"/>
      <c r="AK506" s="80"/>
      <c r="AL506" s="80" t="s">
        <v>6785</v>
      </c>
      <c r="AM506" s="80"/>
      <c r="AN506" s="80"/>
      <c r="AO506" s="82">
        <v>43077.456886574073</v>
      </c>
      <c r="AP506" s="80"/>
      <c r="AQ506" s="80" t="b">
        <v>1</v>
      </c>
      <c r="AR506" s="80" t="b">
        <v>0</v>
      </c>
      <c r="AS506" s="80" t="b">
        <v>0</v>
      </c>
      <c r="AT506" s="80"/>
      <c r="AU506" s="80">
        <v>0</v>
      </c>
      <c r="AV506" s="80"/>
      <c r="AW506" s="80" t="b">
        <v>0</v>
      </c>
      <c r="AX506" s="80" t="s">
        <v>7173</v>
      </c>
      <c r="AY506" s="84" t="str">
        <f>HYPERLINK("https://twitter.com/hutamarizky20")</f>
        <v>https://twitter.com/hutamarizky20</v>
      </c>
      <c r="AZ506" s="80" t="s">
        <v>66</v>
      </c>
      <c r="BA506" s="2"/>
      <c r="BB506" s="3"/>
      <c r="BC506" s="3"/>
      <c r="BD506" s="3"/>
      <c r="BE506" s="3"/>
    </row>
    <row r="507" spans="1:57" x14ac:dyDescent="0.35">
      <c r="A507" s="66" t="s">
        <v>634</v>
      </c>
      <c r="B507" s="67"/>
      <c r="C507" s="67"/>
      <c r="D507" s="68"/>
      <c r="E507" s="70"/>
      <c r="F507" s="106" t="str">
        <f>HYPERLINK("https://pbs.twimg.com/profile_images/1077062735144218624/OLHkXwFh_normal.jpg")</f>
        <v>https://pbs.twimg.com/profile_images/1077062735144218624/OLHkXwFh_normal.jpg</v>
      </c>
      <c r="G507" s="67"/>
      <c r="H507" s="71"/>
      <c r="I507" s="72"/>
      <c r="J507" s="72"/>
      <c r="K507" s="71" t="s">
        <v>7677</v>
      </c>
      <c r="L507" s="75"/>
      <c r="M507" s="76"/>
      <c r="N507" s="76"/>
      <c r="O507" s="77"/>
      <c r="P507" s="78"/>
      <c r="Q507" s="78"/>
      <c r="R507" s="90"/>
      <c r="S507" s="90"/>
      <c r="T507" s="90"/>
      <c r="U507" s="90"/>
      <c r="V507" s="52"/>
      <c r="W507" s="52"/>
      <c r="X507" s="52"/>
      <c r="Y507" s="52"/>
      <c r="Z507" s="51"/>
      <c r="AA507" s="73"/>
      <c r="AB507" s="73"/>
      <c r="AC507" s="74"/>
      <c r="AD507" s="80" t="s">
        <v>4681</v>
      </c>
      <c r="AE507" s="86" t="s">
        <v>5581</v>
      </c>
      <c r="AF507" s="80">
        <v>767</v>
      </c>
      <c r="AG507" s="80">
        <v>752</v>
      </c>
      <c r="AH507" s="80">
        <v>94628</v>
      </c>
      <c r="AI507" s="80">
        <v>107084</v>
      </c>
      <c r="AJ507" s="80"/>
      <c r="AK507" s="80" t="s">
        <v>6342</v>
      </c>
      <c r="AL507" s="80" t="s">
        <v>6968</v>
      </c>
      <c r="AM507" s="80"/>
      <c r="AN507" s="80"/>
      <c r="AO507" s="82">
        <v>41249.737650462965</v>
      </c>
      <c r="AP507" s="84" t="str">
        <f>HYPERLINK("https://pbs.twimg.com/profile_banners/993505542/1367378727")</f>
        <v>https://pbs.twimg.com/profile_banners/993505542/1367378727</v>
      </c>
      <c r="AQ507" s="80" t="b">
        <v>1</v>
      </c>
      <c r="AR507" s="80" t="b">
        <v>0</v>
      </c>
      <c r="AS507" s="80" t="b">
        <v>0</v>
      </c>
      <c r="AT507" s="80"/>
      <c r="AU507" s="80">
        <v>0</v>
      </c>
      <c r="AV507" s="84" t="str">
        <f>HYPERLINK("https://abs.twimg.com/images/themes/theme1/bg.png")</f>
        <v>https://abs.twimg.com/images/themes/theme1/bg.png</v>
      </c>
      <c r="AW507" s="80" t="b">
        <v>0</v>
      </c>
      <c r="AX507" s="80" t="s">
        <v>7173</v>
      </c>
      <c r="AY507" s="84" t="str">
        <f>HYPERLINK("https://twitter.com/omkodoq")</f>
        <v>https://twitter.com/omkodoq</v>
      </c>
      <c r="AZ507" s="80" t="s">
        <v>66</v>
      </c>
      <c r="BA507" s="2"/>
      <c r="BB507" s="3"/>
      <c r="BC507" s="3"/>
      <c r="BD507" s="3"/>
      <c r="BE507" s="3"/>
    </row>
    <row r="508" spans="1:57" x14ac:dyDescent="0.35">
      <c r="A508" s="66" t="s">
        <v>635</v>
      </c>
      <c r="B508" s="67"/>
      <c r="C508" s="67"/>
      <c r="D508" s="68"/>
      <c r="E508" s="70"/>
      <c r="F508" s="106" t="str">
        <f>HYPERLINK("https://pbs.twimg.com/profile_images/1267224026037907458/OZxnfI_Q_normal.jpg")</f>
        <v>https://pbs.twimg.com/profile_images/1267224026037907458/OZxnfI_Q_normal.jpg</v>
      </c>
      <c r="G508" s="67"/>
      <c r="H508" s="71"/>
      <c r="I508" s="72"/>
      <c r="J508" s="72"/>
      <c r="K508" s="71" t="s">
        <v>7678</v>
      </c>
      <c r="L508" s="75"/>
      <c r="M508" s="76"/>
      <c r="N508" s="76"/>
      <c r="O508" s="77"/>
      <c r="P508" s="78"/>
      <c r="Q508" s="78"/>
      <c r="R508" s="90"/>
      <c r="S508" s="90"/>
      <c r="T508" s="90"/>
      <c r="U508" s="90"/>
      <c r="V508" s="52"/>
      <c r="W508" s="52"/>
      <c r="X508" s="52"/>
      <c r="Y508" s="52"/>
      <c r="Z508" s="51"/>
      <c r="AA508" s="73"/>
      <c r="AB508" s="73"/>
      <c r="AC508" s="74"/>
      <c r="AD508" s="80" t="s">
        <v>4682</v>
      </c>
      <c r="AE508" s="86" t="s">
        <v>5582</v>
      </c>
      <c r="AF508" s="80">
        <v>560</v>
      </c>
      <c r="AG508" s="80">
        <v>164</v>
      </c>
      <c r="AH508" s="80">
        <v>4734</v>
      </c>
      <c r="AI508" s="80">
        <v>13881</v>
      </c>
      <c r="AJ508" s="80"/>
      <c r="AK508" s="80" t="s">
        <v>6343</v>
      </c>
      <c r="AL508" s="80"/>
      <c r="AM508" s="80"/>
      <c r="AN508" s="80"/>
      <c r="AO508" s="82">
        <v>43982.621874999997</v>
      </c>
      <c r="AP508" s="80"/>
      <c r="AQ508" s="80" t="b">
        <v>1</v>
      </c>
      <c r="AR508" s="80" t="b">
        <v>0</v>
      </c>
      <c r="AS508" s="80" t="b">
        <v>0</v>
      </c>
      <c r="AT508" s="80"/>
      <c r="AU508" s="80">
        <v>0</v>
      </c>
      <c r="AV508" s="80"/>
      <c r="AW508" s="80" t="b">
        <v>0</v>
      </c>
      <c r="AX508" s="80" t="s">
        <v>7173</v>
      </c>
      <c r="AY508" s="84" t="str">
        <f>HYPERLINK("https://twitter.com/eoh_axela")</f>
        <v>https://twitter.com/eoh_axela</v>
      </c>
      <c r="AZ508" s="80" t="s">
        <v>66</v>
      </c>
      <c r="BA508" s="2"/>
      <c r="BB508" s="3"/>
      <c r="BC508" s="3"/>
      <c r="BD508" s="3"/>
      <c r="BE508" s="3"/>
    </row>
    <row r="509" spans="1:57" x14ac:dyDescent="0.35">
      <c r="A509" s="66" t="s">
        <v>636</v>
      </c>
      <c r="B509" s="67"/>
      <c r="C509" s="67"/>
      <c r="D509" s="68"/>
      <c r="E509" s="70"/>
      <c r="F509" s="106" t="str">
        <f>HYPERLINK("https://pbs.twimg.com/profile_images/1435557425508073473/hHSjREF6_normal.jpg")</f>
        <v>https://pbs.twimg.com/profile_images/1435557425508073473/hHSjREF6_normal.jpg</v>
      </c>
      <c r="G509" s="67"/>
      <c r="H509" s="71"/>
      <c r="I509" s="72"/>
      <c r="J509" s="72"/>
      <c r="K509" s="71" t="s">
        <v>7679</v>
      </c>
      <c r="L509" s="75"/>
      <c r="M509" s="76"/>
      <c r="N509" s="76"/>
      <c r="O509" s="77"/>
      <c r="P509" s="78"/>
      <c r="Q509" s="78"/>
      <c r="R509" s="90"/>
      <c r="S509" s="90"/>
      <c r="T509" s="90"/>
      <c r="U509" s="90"/>
      <c r="V509" s="52"/>
      <c r="W509" s="52"/>
      <c r="X509" s="52"/>
      <c r="Y509" s="52"/>
      <c r="Z509" s="51"/>
      <c r="AA509" s="73"/>
      <c r="AB509" s="73"/>
      <c r="AC509" s="74"/>
      <c r="AD509" s="80" t="s">
        <v>4683</v>
      </c>
      <c r="AE509" s="86" t="s">
        <v>5583</v>
      </c>
      <c r="AF509" s="80">
        <v>1186</v>
      </c>
      <c r="AG509" s="80">
        <v>1033</v>
      </c>
      <c r="AH509" s="80">
        <v>5229</v>
      </c>
      <c r="AI509" s="80">
        <v>6580</v>
      </c>
      <c r="AJ509" s="80"/>
      <c r="AK509" s="80" t="s">
        <v>6344</v>
      </c>
      <c r="AL509" s="80"/>
      <c r="AM509" s="80"/>
      <c r="AN509" s="80"/>
      <c r="AO509" s="82">
        <v>44447.454907407409</v>
      </c>
      <c r="AP509" s="84" t="str">
        <f>HYPERLINK("https://pbs.twimg.com/profile_banners/1435557159761170435/1631099812")</f>
        <v>https://pbs.twimg.com/profile_banners/1435557159761170435/1631099812</v>
      </c>
      <c r="AQ509" s="80" t="b">
        <v>1</v>
      </c>
      <c r="AR509" s="80" t="b">
        <v>0</v>
      </c>
      <c r="AS509" s="80" t="b">
        <v>0</v>
      </c>
      <c r="AT509" s="80"/>
      <c r="AU509" s="80">
        <v>0</v>
      </c>
      <c r="AV509" s="80"/>
      <c r="AW509" s="80" t="b">
        <v>0</v>
      </c>
      <c r="AX509" s="80" t="s">
        <v>7173</v>
      </c>
      <c r="AY509" s="84" t="str">
        <f>HYPERLINK("https://twitter.com/hanjenifd")</f>
        <v>https://twitter.com/hanjenifd</v>
      </c>
      <c r="AZ509" s="80" t="s">
        <v>66</v>
      </c>
      <c r="BA509" s="2"/>
      <c r="BB509" s="3"/>
      <c r="BC509" s="3"/>
      <c r="BD509" s="3"/>
      <c r="BE509" s="3"/>
    </row>
    <row r="510" spans="1:57" x14ac:dyDescent="0.35">
      <c r="A510" s="66" t="s">
        <v>637</v>
      </c>
      <c r="B510" s="67"/>
      <c r="C510" s="67"/>
      <c r="D510" s="68"/>
      <c r="E510" s="70"/>
      <c r="F510" s="106" t="str">
        <f>HYPERLINK("https://pbs.twimg.com/profile_images/1190904440217374720/IYC9xiKf_normal.jpg")</f>
        <v>https://pbs.twimg.com/profile_images/1190904440217374720/IYC9xiKf_normal.jpg</v>
      </c>
      <c r="G510" s="67"/>
      <c r="H510" s="71"/>
      <c r="I510" s="72"/>
      <c r="J510" s="72"/>
      <c r="K510" s="71" t="s">
        <v>7680</v>
      </c>
      <c r="L510" s="75"/>
      <c r="M510" s="76"/>
      <c r="N510" s="76"/>
      <c r="O510" s="77"/>
      <c r="P510" s="78"/>
      <c r="Q510" s="78"/>
      <c r="R510" s="90"/>
      <c r="S510" s="90"/>
      <c r="T510" s="90"/>
      <c r="U510" s="90"/>
      <c r="V510" s="52"/>
      <c r="W510" s="52"/>
      <c r="X510" s="52"/>
      <c r="Y510" s="52"/>
      <c r="Z510" s="51"/>
      <c r="AA510" s="73"/>
      <c r="AB510" s="73"/>
      <c r="AC510" s="74"/>
      <c r="AD510" s="80" t="s">
        <v>4684</v>
      </c>
      <c r="AE510" s="86" t="s">
        <v>5584</v>
      </c>
      <c r="AF510" s="80">
        <v>1189</v>
      </c>
      <c r="AG510" s="80">
        <v>663</v>
      </c>
      <c r="AH510" s="80">
        <v>58445</v>
      </c>
      <c r="AI510" s="80">
        <v>76099</v>
      </c>
      <c r="AJ510" s="80"/>
      <c r="AK510" s="80" t="s">
        <v>6345</v>
      </c>
      <c r="AL510" s="80"/>
      <c r="AM510" s="80"/>
      <c r="AN510" s="80"/>
      <c r="AO510" s="82">
        <v>42910.717534722222</v>
      </c>
      <c r="AP510" s="84" t="str">
        <f>HYPERLINK("https://pbs.twimg.com/profile_banners/878662313925935104/1513835136")</f>
        <v>https://pbs.twimg.com/profile_banners/878662313925935104/1513835136</v>
      </c>
      <c r="AQ510" s="80" t="b">
        <v>1</v>
      </c>
      <c r="AR510" s="80" t="b">
        <v>0</v>
      </c>
      <c r="AS510" s="80" t="b">
        <v>0</v>
      </c>
      <c r="AT510" s="80"/>
      <c r="AU510" s="80">
        <v>1</v>
      </c>
      <c r="AV510" s="80"/>
      <c r="AW510" s="80" t="b">
        <v>0</v>
      </c>
      <c r="AX510" s="80" t="s">
        <v>7173</v>
      </c>
      <c r="AY510" s="84" t="str">
        <f>HYPERLINK("https://twitter.com/mohsyfri")</f>
        <v>https://twitter.com/mohsyfri</v>
      </c>
      <c r="AZ510" s="80" t="s">
        <v>66</v>
      </c>
      <c r="BA510" s="2"/>
      <c r="BB510" s="3"/>
      <c r="BC510" s="3"/>
      <c r="BD510" s="3"/>
      <c r="BE510" s="3"/>
    </row>
    <row r="511" spans="1:57" x14ac:dyDescent="0.35">
      <c r="A511" s="66" t="s">
        <v>638</v>
      </c>
      <c r="B511" s="67"/>
      <c r="C511" s="67"/>
      <c r="D511" s="68"/>
      <c r="E511" s="70"/>
      <c r="F511" s="106" t="str">
        <f>HYPERLINK("https://pbs.twimg.com/profile_images/1378495349111857160/HnMC0Exv_normal.jpg")</f>
        <v>https://pbs.twimg.com/profile_images/1378495349111857160/HnMC0Exv_normal.jpg</v>
      </c>
      <c r="G511" s="67"/>
      <c r="H511" s="71"/>
      <c r="I511" s="72"/>
      <c r="J511" s="72"/>
      <c r="K511" s="71" t="s">
        <v>7681</v>
      </c>
      <c r="L511" s="75"/>
      <c r="M511" s="76"/>
      <c r="N511" s="76"/>
      <c r="O511" s="77"/>
      <c r="P511" s="78"/>
      <c r="Q511" s="78"/>
      <c r="R511" s="90"/>
      <c r="S511" s="90"/>
      <c r="T511" s="90"/>
      <c r="U511" s="90"/>
      <c r="V511" s="52"/>
      <c r="W511" s="52"/>
      <c r="X511" s="52"/>
      <c r="Y511" s="52"/>
      <c r="Z511" s="51"/>
      <c r="AA511" s="73"/>
      <c r="AB511" s="73"/>
      <c r="AC511" s="74"/>
      <c r="AD511" s="80" t="s">
        <v>4685</v>
      </c>
      <c r="AE511" s="86" t="s">
        <v>5585</v>
      </c>
      <c r="AF511" s="80">
        <v>470</v>
      </c>
      <c r="AG511" s="80">
        <v>249</v>
      </c>
      <c r="AH511" s="80">
        <v>1510</v>
      </c>
      <c r="AI511" s="80">
        <v>6212</v>
      </c>
      <c r="AJ511" s="80"/>
      <c r="AK511" s="80" t="s">
        <v>6346</v>
      </c>
      <c r="AL511" s="80"/>
      <c r="AM511" s="80"/>
      <c r="AN511" s="80"/>
      <c r="AO511" s="82">
        <v>44150.055925925924</v>
      </c>
      <c r="AP511" s="80"/>
      <c r="AQ511" s="80" t="b">
        <v>1</v>
      </c>
      <c r="AR511" s="80" t="b">
        <v>0</v>
      </c>
      <c r="AS511" s="80" t="b">
        <v>0</v>
      </c>
      <c r="AT511" s="80"/>
      <c r="AU511" s="80">
        <v>0</v>
      </c>
      <c r="AV511" s="80"/>
      <c r="AW511" s="80" t="b">
        <v>0</v>
      </c>
      <c r="AX511" s="80" t="s">
        <v>7173</v>
      </c>
      <c r="AY511" s="84" t="str">
        <f>HYPERLINK("https://twitter.com/jayun72997066")</f>
        <v>https://twitter.com/jayun72997066</v>
      </c>
      <c r="AZ511" s="80" t="s">
        <v>66</v>
      </c>
      <c r="BA511" s="2"/>
      <c r="BB511" s="3"/>
      <c r="BC511" s="3"/>
      <c r="BD511" s="3"/>
      <c r="BE511" s="3"/>
    </row>
    <row r="512" spans="1:57" x14ac:dyDescent="0.35">
      <c r="A512" s="66" t="s">
        <v>639</v>
      </c>
      <c r="B512" s="67"/>
      <c r="C512" s="67"/>
      <c r="D512" s="68"/>
      <c r="E512" s="70"/>
      <c r="F512" s="106" t="str">
        <f>HYPERLINK("https://pbs.twimg.com/profile_images/1373842453761912841/rSjAk8og_normal.jpg")</f>
        <v>https://pbs.twimg.com/profile_images/1373842453761912841/rSjAk8og_normal.jpg</v>
      </c>
      <c r="G512" s="67"/>
      <c r="H512" s="71"/>
      <c r="I512" s="72"/>
      <c r="J512" s="72"/>
      <c r="K512" s="71" t="s">
        <v>7682</v>
      </c>
      <c r="L512" s="75"/>
      <c r="M512" s="76"/>
      <c r="N512" s="76"/>
      <c r="O512" s="77"/>
      <c r="P512" s="78"/>
      <c r="Q512" s="78"/>
      <c r="R512" s="90"/>
      <c r="S512" s="90"/>
      <c r="T512" s="90"/>
      <c r="U512" s="90"/>
      <c r="V512" s="52"/>
      <c r="W512" s="52"/>
      <c r="X512" s="52"/>
      <c r="Y512" s="52"/>
      <c r="Z512" s="51"/>
      <c r="AA512" s="73"/>
      <c r="AB512" s="73"/>
      <c r="AC512" s="74"/>
      <c r="AD512" s="80" t="s">
        <v>4686</v>
      </c>
      <c r="AE512" s="86" t="s">
        <v>5586</v>
      </c>
      <c r="AF512" s="80">
        <v>4847</v>
      </c>
      <c r="AG512" s="80">
        <v>3704</v>
      </c>
      <c r="AH512" s="80">
        <v>22927</v>
      </c>
      <c r="AI512" s="80">
        <v>5537</v>
      </c>
      <c r="AJ512" s="80"/>
      <c r="AK512" s="80" t="s">
        <v>6347</v>
      </c>
      <c r="AL512" s="80"/>
      <c r="AM512" s="80"/>
      <c r="AN512" s="80"/>
      <c r="AO512" s="82">
        <v>40760.445370370369</v>
      </c>
      <c r="AP512" s="84" t="str">
        <f>HYPERLINK("https://pbs.twimg.com/profile_banners/348993885/1578219353")</f>
        <v>https://pbs.twimg.com/profile_banners/348993885/1578219353</v>
      </c>
      <c r="AQ512" s="80" t="b">
        <v>1</v>
      </c>
      <c r="AR512" s="80" t="b">
        <v>0</v>
      </c>
      <c r="AS512" s="80" t="b">
        <v>1</v>
      </c>
      <c r="AT512" s="80"/>
      <c r="AU512" s="80">
        <v>3</v>
      </c>
      <c r="AV512" s="84" t="str">
        <f>HYPERLINK("https://abs.twimg.com/images/themes/theme1/bg.png")</f>
        <v>https://abs.twimg.com/images/themes/theme1/bg.png</v>
      </c>
      <c r="AW512" s="80" t="b">
        <v>0</v>
      </c>
      <c r="AX512" s="80" t="s">
        <v>7173</v>
      </c>
      <c r="AY512" s="84" t="str">
        <f>HYPERLINK("https://twitter.com/herwatoe")</f>
        <v>https://twitter.com/herwatoe</v>
      </c>
      <c r="AZ512" s="80" t="s">
        <v>66</v>
      </c>
      <c r="BA512" s="2"/>
      <c r="BB512" s="3"/>
      <c r="BC512" s="3"/>
      <c r="BD512" s="3"/>
      <c r="BE512" s="3"/>
    </row>
    <row r="513" spans="1:57" x14ac:dyDescent="0.35">
      <c r="A513" s="66" t="s">
        <v>640</v>
      </c>
      <c r="B513" s="67"/>
      <c r="C513" s="67"/>
      <c r="D513" s="68"/>
      <c r="E513" s="70"/>
      <c r="F513" s="106" t="str">
        <f>HYPERLINK("https://pbs.twimg.com/profile_images/1439394461830635523/jS3Q_LRr_normal.jpg")</f>
        <v>https://pbs.twimg.com/profile_images/1439394461830635523/jS3Q_LRr_normal.jpg</v>
      </c>
      <c r="G513" s="67"/>
      <c r="H513" s="71"/>
      <c r="I513" s="72"/>
      <c r="J513" s="72"/>
      <c r="K513" s="71" t="s">
        <v>7683</v>
      </c>
      <c r="L513" s="75"/>
      <c r="M513" s="76"/>
      <c r="N513" s="76"/>
      <c r="O513" s="77"/>
      <c r="P513" s="78"/>
      <c r="Q513" s="78"/>
      <c r="R513" s="90"/>
      <c r="S513" s="90"/>
      <c r="T513" s="90"/>
      <c r="U513" s="90"/>
      <c r="V513" s="52"/>
      <c r="W513" s="52"/>
      <c r="X513" s="52"/>
      <c r="Y513" s="52"/>
      <c r="Z513" s="51"/>
      <c r="AA513" s="73"/>
      <c r="AB513" s="73"/>
      <c r="AC513" s="74"/>
      <c r="AD513" s="80" t="s">
        <v>4687</v>
      </c>
      <c r="AE513" s="86" t="s">
        <v>5587</v>
      </c>
      <c r="AF513" s="80">
        <v>127</v>
      </c>
      <c r="AG513" s="80">
        <v>24</v>
      </c>
      <c r="AH513" s="80">
        <v>931</v>
      </c>
      <c r="AI513" s="80">
        <v>1857</v>
      </c>
      <c r="AJ513" s="80"/>
      <c r="AK513" s="80" t="s">
        <v>6348</v>
      </c>
      <c r="AL513" s="80" t="s">
        <v>4145</v>
      </c>
      <c r="AM513" s="80"/>
      <c r="AN513" s="80"/>
      <c r="AO513" s="82">
        <v>43819.987615740742</v>
      </c>
      <c r="AP513" s="84" t="str">
        <f>HYPERLINK("https://pbs.twimg.com/profile_banners/1208170671261372416/1576888566")</f>
        <v>https://pbs.twimg.com/profile_banners/1208170671261372416/1576888566</v>
      </c>
      <c r="AQ513" s="80" t="b">
        <v>1</v>
      </c>
      <c r="AR513" s="80" t="b">
        <v>0</v>
      </c>
      <c r="AS513" s="80" t="b">
        <v>1</v>
      </c>
      <c r="AT513" s="80"/>
      <c r="AU513" s="80">
        <v>2</v>
      </c>
      <c r="AV513" s="80"/>
      <c r="AW513" s="80" t="b">
        <v>0</v>
      </c>
      <c r="AX513" s="80" t="s">
        <v>7173</v>
      </c>
      <c r="AY513" s="84" t="str">
        <f>HYPERLINK("https://twitter.com/juvestalker")</f>
        <v>https://twitter.com/juvestalker</v>
      </c>
      <c r="AZ513" s="80" t="s">
        <v>66</v>
      </c>
      <c r="BA513" s="2"/>
      <c r="BB513" s="3"/>
      <c r="BC513" s="3"/>
      <c r="BD513" s="3"/>
      <c r="BE513" s="3"/>
    </row>
    <row r="514" spans="1:57" x14ac:dyDescent="0.35">
      <c r="A514" s="66" t="s">
        <v>641</v>
      </c>
      <c r="B514" s="67"/>
      <c r="C514" s="67"/>
      <c r="D514" s="68"/>
      <c r="E514" s="70"/>
      <c r="F514" s="106" t="str">
        <f>HYPERLINK("https://pbs.twimg.com/profile_images/1414044073489436681/dc6pkEdy_normal.jpg")</f>
        <v>https://pbs.twimg.com/profile_images/1414044073489436681/dc6pkEdy_normal.jpg</v>
      </c>
      <c r="G514" s="67"/>
      <c r="H514" s="71"/>
      <c r="I514" s="72"/>
      <c r="J514" s="72"/>
      <c r="K514" s="71" t="s">
        <v>7684</v>
      </c>
      <c r="L514" s="75"/>
      <c r="M514" s="76"/>
      <c r="N514" s="76"/>
      <c r="O514" s="77"/>
      <c r="P514" s="78"/>
      <c r="Q514" s="78"/>
      <c r="R514" s="90"/>
      <c r="S514" s="90"/>
      <c r="T514" s="90"/>
      <c r="U514" s="90"/>
      <c r="V514" s="52"/>
      <c r="W514" s="52"/>
      <c r="X514" s="52"/>
      <c r="Y514" s="52"/>
      <c r="Z514" s="51"/>
      <c r="AA514" s="73"/>
      <c r="AB514" s="73"/>
      <c r="AC514" s="74"/>
      <c r="AD514" s="80" t="s">
        <v>4688</v>
      </c>
      <c r="AE514" s="86" t="s">
        <v>5588</v>
      </c>
      <c r="AF514" s="80">
        <v>265</v>
      </c>
      <c r="AG514" s="80">
        <v>229</v>
      </c>
      <c r="AH514" s="80">
        <v>13744</v>
      </c>
      <c r="AI514" s="80">
        <v>373</v>
      </c>
      <c r="AJ514" s="80"/>
      <c r="AK514" s="80" t="s">
        <v>6349</v>
      </c>
      <c r="AL514" s="80">
        <v>0</v>
      </c>
      <c r="AM514" s="80"/>
      <c r="AN514" s="80"/>
      <c r="AO514" s="82">
        <v>44161.704664351855</v>
      </c>
      <c r="AP514" s="84" t="str">
        <f>HYPERLINK("https://pbs.twimg.com/profile_banners/1332004839493025793/1616569228")</f>
        <v>https://pbs.twimg.com/profile_banners/1332004839493025793/1616569228</v>
      </c>
      <c r="AQ514" s="80" t="b">
        <v>1</v>
      </c>
      <c r="AR514" s="80" t="b">
        <v>0</v>
      </c>
      <c r="AS514" s="80" t="b">
        <v>0</v>
      </c>
      <c r="AT514" s="80"/>
      <c r="AU514" s="80">
        <v>0</v>
      </c>
      <c r="AV514" s="80"/>
      <c r="AW514" s="80" t="b">
        <v>0</v>
      </c>
      <c r="AX514" s="80" t="s">
        <v>7173</v>
      </c>
      <c r="AY514" s="84" t="str">
        <f>HYPERLINK("https://twitter.com/renjunsbun")</f>
        <v>https://twitter.com/renjunsbun</v>
      </c>
      <c r="AZ514" s="80" t="s">
        <v>66</v>
      </c>
      <c r="BA514" s="2"/>
      <c r="BB514" s="3"/>
      <c r="BC514" s="3"/>
      <c r="BD514" s="3"/>
      <c r="BE514" s="3"/>
    </row>
    <row r="515" spans="1:57" x14ac:dyDescent="0.35">
      <c r="A515" s="66" t="s">
        <v>1075</v>
      </c>
      <c r="B515" s="67"/>
      <c r="C515" s="67"/>
      <c r="D515" s="68"/>
      <c r="E515" s="70"/>
      <c r="F515" s="106" t="str">
        <f>HYPERLINK("https://pbs.twimg.com/profile_images/1430156205905760259/sPWKaq4q_normal.jpg")</f>
        <v>https://pbs.twimg.com/profile_images/1430156205905760259/sPWKaq4q_normal.jpg</v>
      </c>
      <c r="G515" s="67"/>
      <c r="H515" s="71"/>
      <c r="I515" s="72"/>
      <c r="J515" s="72"/>
      <c r="K515" s="71" t="s">
        <v>7685</v>
      </c>
      <c r="L515" s="75"/>
      <c r="M515" s="76"/>
      <c r="N515" s="76"/>
      <c r="O515" s="77"/>
      <c r="P515" s="78"/>
      <c r="Q515" s="78"/>
      <c r="R515" s="90"/>
      <c r="S515" s="90"/>
      <c r="T515" s="90"/>
      <c r="U515" s="90"/>
      <c r="V515" s="52"/>
      <c r="W515" s="52"/>
      <c r="X515" s="52"/>
      <c r="Y515" s="52"/>
      <c r="Z515" s="51"/>
      <c r="AA515" s="73"/>
      <c r="AB515" s="73"/>
      <c r="AC515" s="74"/>
      <c r="AD515" s="80" t="s">
        <v>4689</v>
      </c>
      <c r="AE515" s="86" t="s">
        <v>3952</v>
      </c>
      <c r="AF515" s="80">
        <v>4179</v>
      </c>
      <c r="AG515" s="80">
        <v>57020</v>
      </c>
      <c r="AH515" s="80">
        <v>663786</v>
      </c>
      <c r="AI515" s="80">
        <v>327</v>
      </c>
      <c r="AJ515" s="80"/>
      <c r="AK515" s="80" t="s">
        <v>6350</v>
      </c>
      <c r="AL515" s="80" t="s">
        <v>6969</v>
      </c>
      <c r="AM515" s="84" t="str">
        <f>HYPERLINK("https://t.co/IcU38VCL9c")</f>
        <v>https://t.co/IcU38VCL9c</v>
      </c>
      <c r="AN515" s="80"/>
      <c r="AO515" s="82">
        <v>41101.599699074075</v>
      </c>
      <c r="AP515" s="84" t="str">
        <f>HYPERLINK("https://pbs.twimg.com/profile_banners/633016230/1604105464")</f>
        <v>https://pbs.twimg.com/profile_banners/633016230/1604105464</v>
      </c>
      <c r="AQ515" s="80" t="b">
        <v>0</v>
      </c>
      <c r="AR515" s="80" t="b">
        <v>0</v>
      </c>
      <c r="AS515" s="80" t="b">
        <v>0</v>
      </c>
      <c r="AT515" s="80"/>
      <c r="AU515" s="80">
        <v>917</v>
      </c>
      <c r="AV515" s="84" t="str">
        <f>HYPERLINK("https://abs.twimg.com/images/themes/theme1/bg.png")</f>
        <v>https://abs.twimg.com/images/themes/theme1/bg.png</v>
      </c>
      <c r="AW515" s="80" t="b">
        <v>0</v>
      </c>
      <c r="AX515" s="80" t="s">
        <v>7173</v>
      </c>
      <c r="AY515" s="84" t="str">
        <f>HYPERLINK("https://twitter.com/sellkpopfess")</f>
        <v>https://twitter.com/sellkpopfess</v>
      </c>
      <c r="AZ515" s="80" t="s">
        <v>65</v>
      </c>
      <c r="BA515" s="2"/>
      <c r="BB515" s="3"/>
      <c r="BC515" s="3"/>
      <c r="BD515" s="3"/>
      <c r="BE515" s="3"/>
    </row>
    <row r="516" spans="1:57" x14ac:dyDescent="0.35">
      <c r="A516" s="66" t="s">
        <v>642</v>
      </c>
      <c r="B516" s="67"/>
      <c r="C516" s="67"/>
      <c r="D516" s="68"/>
      <c r="E516" s="70"/>
      <c r="F516" s="106" t="str">
        <f>HYPERLINK("https://pbs.twimg.com/profile_images/1259365218116726784/AQm1sZq4_normal.jpg")</f>
        <v>https://pbs.twimg.com/profile_images/1259365218116726784/AQm1sZq4_normal.jpg</v>
      </c>
      <c r="G516" s="67"/>
      <c r="H516" s="71"/>
      <c r="I516" s="72"/>
      <c r="J516" s="72"/>
      <c r="K516" s="71" t="s">
        <v>7686</v>
      </c>
      <c r="L516" s="75"/>
      <c r="M516" s="76"/>
      <c r="N516" s="76"/>
      <c r="O516" s="77"/>
      <c r="P516" s="78"/>
      <c r="Q516" s="78"/>
      <c r="R516" s="90"/>
      <c r="S516" s="90"/>
      <c r="T516" s="90"/>
      <c r="U516" s="90"/>
      <c r="V516" s="52"/>
      <c r="W516" s="52"/>
      <c r="X516" s="52"/>
      <c r="Y516" s="52"/>
      <c r="Z516" s="51"/>
      <c r="AA516" s="73"/>
      <c r="AB516" s="73"/>
      <c r="AC516" s="74"/>
      <c r="AD516" s="80" t="s">
        <v>4690</v>
      </c>
      <c r="AE516" s="86" t="s">
        <v>5589</v>
      </c>
      <c r="AF516" s="80">
        <v>96</v>
      </c>
      <c r="AG516" s="80">
        <v>62</v>
      </c>
      <c r="AH516" s="80">
        <v>1732</v>
      </c>
      <c r="AI516" s="80">
        <v>3975</v>
      </c>
      <c r="AJ516" s="80"/>
      <c r="AK516" s="80"/>
      <c r="AL516" s="80" t="s">
        <v>6970</v>
      </c>
      <c r="AM516" s="80"/>
      <c r="AN516" s="80"/>
      <c r="AO516" s="82">
        <v>43961.242673611108</v>
      </c>
      <c r="AP516" s="80"/>
      <c r="AQ516" s="80" t="b">
        <v>1</v>
      </c>
      <c r="AR516" s="80" t="b">
        <v>0</v>
      </c>
      <c r="AS516" s="80" t="b">
        <v>0</v>
      </c>
      <c r="AT516" s="80"/>
      <c r="AU516" s="80">
        <v>0</v>
      </c>
      <c r="AV516" s="80"/>
      <c r="AW516" s="80" t="b">
        <v>0</v>
      </c>
      <c r="AX516" s="80" t="s">
        <v>7173</v>
      </c>
      <c r="AY516" s="84" t="str">
        <f>HYPERLINK("https://twitter.com/prihandono72")</f>
        <v>https://twitter.com/prihandono72</v>
      </c>
      <c r="AZ516" s="80" t="s">
        <v>66</v>
      </c>
      <c r="BA516" s="2"/>
      <c r="BB516" s="3"/>
      <c r="BC516" s="3"/>
      <c r="BD516" s="3"/>
      <c r="BE516" s="3"/>
    </row>
    <row r="517" spans="1:57" x14ac:dyDescent="0.35">
      <c r="A517" s="66" t="s">
        <v>643</v>
      </c>
      <c r="B517" s="67"/>
      <c r="C517" s="67"/>
      <c r="D517" s="68"/>
      <c r="E517" s="70"/>
      <c r="F517" s="106" t="str">
        <f>HYPERLINK("https://pbs.twimg.com/profile_images/1423084937926778881/2p84dws9_normal.jpg")</f>
        <v>https://pbs.twimg.com/profile_images/1423084937926778881/2p84dws9_normal.jpg</v>
      </c>
      <c r="G517" s="67"/>
      <c r="H517" s="71"/>
      <c r="I517" s="72"/>
      <c r="J517" s="72"/>
      <c r="K517" s="71" t="s">
        <v>7687</v>
      </c>
      <c r="L517" s="75"/>
      <c r="M517" s="76"/>
      <c r="N517" s="76"/>
      <c r="O517" s="77"/>
      <c r="P517" s="78"/>
      <c r="Q517" s="78"/>
      <c r="R517" s="90"/>
      <c r="S517" s="90"/>
      <c r="T517" s="90"/>
      <c r="U517" s="90"/>
      <c r="V517" s="52"/>
      <c r="W517" s="52"/>
      <c r="X517" s="52"/>
      <c r="Y517" s="52"/>
      <c r="Z517" s="51"/>
      <c r="AA517" s="73"/>
      <c r="AB517" s="73"/>
      <c r="AC517" s="74"/>
      <c r="AD517" s="80" t="s">
        <v>4691</v>
      </c>
      <c r="AE517" s="86" t="s">
        <v>5590</v>
      </c>
      <c r="AF517" s="80">
        <v>2195</v>
      </c>
      <c r="AG517" s="80">
        <v>1615</v>
      </c>
      <c r="AH517" s="80">
        <v>4580</v>
      </c>
      <c r="AI517" s="80">
        <v>15569</v>
      </c>
      <c r="AJ517" s="80"/>
      <c r="AK517" s="80" t="s">
        <v>6351</v>
      </c>
      <c r="AL517" s="80"/>
      <c r="AM517" s="80"/>
      <c r="AN517" s="80"/>
      <c r="AO517" s="82">
        <v>43619.106585648151</v>
      </c>
      <c r="AP517" s="84" t="str">
        <f>HYPERLINK("https://pbs.twimg.com/profile_banners/1135373910126391297/1628602848")</f>
        <v>https://pbs.twimg.com/profile_banners/1135373910126391297/1628602848</v>
      </c>
      <c r="AQ517" s="80" t="b">
        <v>1</v>
      </c>
      <c r="AR517" s="80" t="b">
        <v>0</v>
      </c>
      <c r="AS517" s="80" t="b">
        <v>0</v>
      </c>
      <c r="AT517" s="80"/>
      <c r="AU517" s="80">
        <v>0</v>
      </c>
      <c r="AV517" s="80"/>
      <c r="AW517" s="80" t="b">
        <v>0</v>
      </c>
      <c r="AX517" s="80" t="s">
        <v>7173</v>
      </c>
      <c r="AY517" s="84" t="str">
        <f>HYPERLINK("https://twitter.com/anjaypisan")</f>
        <v>https://twitter.com/anjaypisan</v>
      </c>
      <c r="AZ517" s="80" t="s">
        <v>66</v>
      </c>
      <c r="BA517" s="2"/>
      <c r="BB517" s="3"/>
      <c r="BC517" s="3"/>
      <c r="BD517" s="3"/>
      <c r="BE517" s="3"/>
    </row>
    <row r="518" spans="1:57" x14ac:dyDescent="0.35">
      <c r="A518" s="66" t="s">
        <v>644</v>
      </c>
      <c r="B518" s="67"/>
      <c r="C518" s="67"/>
      <c r="D518" s="68"/>
      <c r="E518" s="70"/>
      <c r="F518" s="106" t="str">
        <f>HYPERLINK("https://pbs.twimg.com/profile_images/1318924418622525452/Cxn7vzMI_normal.jpg")</f>
        <v>https://pbs.twimg.com/profile_images/1318924418622525452/Cxn7vzMI_normal.jpg</v>
      </c>
      <c r="G518" s="67"/>
      <c r="H518" s="71"/>
      <c r="I518" s="72"/>
      <c r="J518" s="72"/>
      <c r="K518" s="71" t="s">
        <v>7688</v>
      </c>
      <c r="L518" s="75"/>
      <c r="M518" s="76"/>
      <c r="N518" s="76"/>
      <c r="O518" s="77"/>
      <c r="P518" s="78"/>
      <c r="Q518" s="78"/>
      <c r="R518" s="90"/>
      <c r="S518" s="90"/>
      <c r="T518" s="90"/>
      <c r="U518" s="90"/>
      <c r="V518" s="52"/>
      <c r="W518" s="52"/>
      <c r="X518" s="52"/>
      <c r="Y518" s="52"/>
      <c r="Z518" s="51"/>
      <c r="AA518" s="73"/>
      <c r="AB518" s="73"/>
      <c r="AC518" s="74"/>
      <c r="AD518" s="80" t="s">
        <v>4692</v>
      </c>
      <c r="AE518" s="86" t="s">
        <v>5591</v>
      </c>
      <c r="AF518" s="80">
        <v>1565</v>
      </c>
      <c r="AG518" s="80">
        <v>1454</v>
      </c>
      <c r="AH518" s="80">
        <v>12248</v>
      </c>
      <c r="AI518" s="80">
        <v>8539</v>
      </c>
      <c r="AJ518" s="80"/>
      <c r="AK518" s="80" t="s">
        <v>6352</v>
      </c>
      <c r="AL518" s="80" t="s">
        <v>6773</v>
      </c>
      <c r="AM518" s="80"/>
      <c r="AN518" s="80"/>
      <c r="AO518" s="82">
        <v>40413.404224537036</v>
      </c>
      <c r="AP518" s="80"/>
      <c r="AQ518" s="80" t="b">
        <v>1</v>
      </c>
      <c r="AR518" s="80" t="b">
        <v>0</v>
      </c>
      <c r="AS518" s="80" t="b">
        <v>1</v>
      </c>
      <c r="AT518" s="80"/>
      <c r="AU518" s="80">
        <v>0</v>
      </c>
      <c r="AV518" s="84" t="str">
        <f>HYPERLINK("https://abs.twimg.com/images/themes/theme1/bg.png")</f>
        <v>https://abs.twimg.com/images/themes/theme1/bg.png</v>
      </c>
      <c r="AW518" s="80" t="b">
        <v>0</v>
      </c>
      <c r="AX518" s="80" t="s">
        <v>7173</v>
      </c>
      <c r="AY518" s="84" t="str">
        <f>HYPERLINK("https://twitter.com/hank_jkt")</f>
        <v>https://twitter.com/hank_jkt</v>
      </c>
      <c r="AZ518" s="80" t="s">
        <v>66</v>
      </c>
      <c r="BA518" s="2"/>
      <c r="BB518" s="3"/>
      <c r="BC518" s="3"/>
      <c r="BD518" s="3"/>
      <c r="BE518" s="3"/>
    </row>
    <row r="519" spans="1:57" x14ac:dyDescent="0.35">
      <c r="A519" s="66" t="s">
        <v>645</v>
      </c>
      <c r="B519" s="67"/>
      <c r="C519" s="67"/>
      <c r="D519" s="68"/>
      <c r="E519" s="70"/>
      <c r="F519" s="106" t="str">
        <f>HYPERLINK("https://pbs.twimg.com/profile_images/1360416685308534785/McXM4eG3_normal.jpg")</f>
        <v>https://pbs.twimg.com/profile_images/1360416685308534785/McXM4eG3_normal.jpg</v>
      </c>
      <c r="G519" s="67"/>
      <c r="H519" s="71"/>
      <c r="I519" s="72"/>
      <c r="J519" s="72"/>
      <c r="K519" s="71" t="s">
        <v>7689</v>
      </c>
      <c r="L519" s="75"/>
      <c r="M519" s="76"/>
      <c r="N519" s="76"/>
      <c r="O519" s="77"/>
      <c r="P519" s="78"/>
      <c r="Q519" s="78"/>
      <c r="R519" s="90"/>
      <c r="S519" s="90"/>
      <c r="T519" s="90"/>
      <c r="U519" s="90"/>
      <c r="V519" s="52"/>
      <c r="W519" s="52"/>
      <c r="X519" s="52"/>
      <c r="Y519" s="52"/>
      <c r="Z519" s="51"/>
      <c r="AA519" s="73"/>
      <c r="AB519" s="73"/>
      <c r="AC519" s="74"/>
      <c r="AD519" s="80" t="s">
        <v>4693</v>
      </c>
      <c r="AE519" s="86" t="s">
        <v>5592</v>
      </c>
      <c r="AF519" s="80">
        <v>144</v>
      </c>
      <c r="AG519" s="80">
        <v>195</v>
      </c>
      <c r="AH519" s="80">
        <v>7290</v>
      </c>
      <c r="AI519" s="80">
        <v>360</v>
      </c>
      <c r="AJ519" s="80"/>
      <c r="AK519" s="80" t="s">
        <v>6353</v>
      </c>
      <c r="AL519" s="80" t="s">
        <v>6971</v>
      </c>
      <c r="AM519" s="80"/>
      <c r="AN519" s="80"/>
      <c r="AO519" s="82">
        <v>41366.578703703701</v>
      </c>
      <c r="AP519" s="84" t="str">
        <f>HYPERLINK("https://pbs.twimg.com/profile_banners/1322520246/1620746462")</f>
        <v>https://pbs.twimg.com/profile_banners/1322520246/1620746462</v>
      </c>
      <c r="AQ519" s="80" t="b">
        <v>0</v>
      </c>
      <c r="AR519" s="80" t="b">
        <v>0</v>
      </c>
      <c r="AS519" s="80" t="b">
        <v>1</v>
      </c>
      <c r="AT519" s="80"/>
      <c r="AU519" s="80">
        <v>1</v>
      </c>
      <c r="AV519" s="84" t="str">
        <f>HYPERLINK("https://abs.twimg.com/images/themes/theme1/bg.png")</f>
        <v>https://abs.twimg.com/images/themes/theme1/bg.png</v>
      </c>
      <c r="AW519" s="80" t="b">
        <v>0</v>
      </c>
      <c r="AX519" s="80" t="s">
        <v>7173</v>
      </c>
      <c r="AY519" s="84" t="str">
        <f>HYPERLINK("https://twitter.com/aswa_13")</f>
        <v>https://twitter.com/aswa_13</v>
      </c>
      <c r="AZ519" s="80" t="s">
        <v>66</v>
      </c>
      <c r="BA519" s="2"/>
      <c r="BB519" s="3"/>
      <c r="BC519" s="3"/>
      <c r="BD519" s="3"/>
      <c r="BE519" s="3"/>
    </row>
    <row r="520" spans="1:57" x14ac:dyDescent="0.35">
      <c r="A520" s="66" t="s">
        <v>646</v>
      </c>
      <c r="B520" s="67"/>
      <c r="C520" s="67"/>
      <c r="D520" s="68"/>
      <c r="E520" s="70"/>
      <c r="F520" s="106" t="str">
        <f>HYPERLINK("https://pbs.twimg.com/profile_images/1125635309104852993/X5KzBVDU_normal.jpg")</f>
        <v>https://pbs.twimg.com/profile_images/1125635309104852993/X5KzBVDU_normal.jpg</v>
      </c>
      <c r="G520" s="67"/>
      <c r="H520" s="71"/>
      <c r="I520" s="72"/>
      <c r="J520" s="72"/>
      <c r="K520" s="71" t="s">
        <v>7690</v>
      </c>
      <c r="L520" s="75"/>
      <c r="M520" s="76"/>
      <c r="N520" s="76"/>
      <c r="O520" s="77"/>
      <c r="P520" s="78"/>
      <c r="Q520" s="78"/>
      <c r="R520" s="90"/>
      <c r="S520" s="90"/>
      <c r="T520" s="90"/>
      <c r="U520" s="90"/>
      <c r="V520" s="52"/>
      <c r="W520" s="52"/>
      <c r="X520" s="52"/>
      <c r="Y520" s="52"/>
      <c r="Z520" s="51"/>
      <c r="AA520" s="73"/>
      <c r="AB520" s="73"/>
      <c r="AC520" s="74"/>
      <c r="AD520" s="80" t="s">
        <v>4694</v>
      </c>
      <c r="AE520" s="86" t="s">
        <v>5593</v>
      </c>
      <c r="AF520" s="80">
        <v>484</v>
      </c>
      <c r="AG520" s="80">
        <v>80</v>
      </c>
      <c r="AH520" s="80">
        <v>6446</v>
      </c>
      <c r="AI520" s="80">
        <v>5748</v>
      </c>
      <c r="AJ520" s="80"/>
      <c r="AK520" s="80"/>
      <c r="AL520" s="80"/>
      <c r="AM520" s="80"/>
      <c r="AN520" s="80"/>
      <c r="AO520" s="82">
        <v>42149.28633101852</v>
      </c>
      <c r="AP520" s="84" t="str">
        <f>HYPERLINK("https://pbs.twimg.com/profile_banners/3225876000/1450413758")</f>
        <v>https://pbs.twimg.com/profile_banners/3225876000/1450413758</v>
      </c>
      <c r="AQ520" s="80" t="b">
        <v>1</v>
      </c>
      <c r="AR520" s="80" t="b">
        <v>0</v>
      </c>
      <c r="AS520" s="80" t="b">
        <v>1</v>
      </c>
      <c r="AT520" s="80"/>
      <c r="AU520" s="80">
        <v>1</v>
      </c>
      <c r="AV520" s="84" t="str">
        <f>HYPERLINK("https://abs.twimg.com/images/themes/theme1/bg.png")</f>
        <v>https://abs.twimg.com/images/themes/theme1/bg.png</v>
      </c>
      <c r="AW520" s="80" t="b">
        <v>0</v>
      </c>
      <c r="AX520" s="80" t="s">
        <v>7173</v>
      </c>
      <c r="AY520" s="84" t="str">
        <f>HYPERLINK("https://twitter.com/anthony888889")</f>
        <v>https://twitter.com/anthony888889</v>
      </c>
      <c r="AZ520" s="80" t="s">
        <v>66</v>
      </c>
      <c r="BA520" s="2"/>
      <c r="BB520" s="3"/>
      <c r="BC520" s="3"/>
      <c r="BD520" s="3"/>
      <c r="BE520" s="3"/>
    </row>
    <row r="521" spans="1:57" x14ac:dyDescent="0.35">
      <c r="A521" s="66" t="s">
        <v>647</v>
      </c>
      <c r="B521" s="67"/>
      <c r="C521" s="67"/>
      <c r="D521" s="68"/>
      <c r="E521" s="70"/>
      <c r="F521" s="106" t="str">
        <f>HYPERLINK("https://pbs.twimg.com/profile_images/1421774948754890757/gVxmBEVV_normal.jpg")</f>
        <v>https://pbs.twimg.com/profile_images/1421774948754890757/gVxmBEVV_normal.jpg</v>
      </c>
      <c r="G521" s="67"/>
      <c r="H521" s="71"/>
      <c r="I521" s="72"/>
      <c r="J521" s="72"/>
      <c r="K521" s="71" t="s">
        <v>7691</v>
      </c>
      <c r="L521" s="75"/>
      <c r="M521" s="76"/>
      <c r="N521" s="76"/>
      <c r="O521" s="77"/>
      <c r="P521" s="78"/>
      <c r="Q521" s="78"/>
      <c r="R521" s="90"/>
      <c r="S521" s="90"/>
      <c r="T521" s="90"/>
      <c r="U521" s="90"/>
      <c r="V521" s="52"/>
      <c r="W521" s="52"/>
      <c r="X521" s="52"/>
      <c r="Y521" s="52"/>
      <c r="Z521" s="51"/>
      <c r="AA521" s="73"/>
      <c r="AB521" s="73"/>
      <c r="AC521" s="74"/>
      <c r="AD521" s="80" t="s">
        <v>4695</v>
      </c>
      <c r="AE521" s="86" t="s">
        <v>5594</v>
      </c>
      <c r="AF521" s="80">
        <v>1821</v>
      </c>
      <c r="AG521" s="80">
        <v>1711</v>
      </c>
      <c r="AH521" s="80">
        <v>1900</v>
      </c>
      <c r="AI521" s="80">
        <v>5902</v>
      </c>
      <c r="AJ521" s="80"/>
      <c r="AK521" s="80" t="s">
        <v>6354</v>
      </c>
      <c r="AL521" s="80"/>
      <c r="AM521" s="80"/>
      <c r="AN521" s="80"/>
      <c r="AO521" s="82">
        <v>44354.343217592592</v>
      </c>
      <c r="AP521" s="84" t="str">
        <f>HYPERLINK("https://pbs.twimg.com/profile_banners/1401814503172362252/1623062392")</f>
        <v>https://pbs.twimg.com/profile_banners/1401814503172362252/1623062392</v>
      </c>
      <c r="AQ521" s="80" t="b">
        <v>1</v>
      </c>
      <c r="AR521" s="80" t="b">
        <v>0</v>
      </c>
      <c r="AS521" s="80" t="b">
        <v>0</v>
      </c>
      <c r="AT521" s="80"/>
      <c r="AU521" s="80">
        <v>0</v>
      </c>
      <c r="AV521" s="80"/>
      <c r="AW521" s="80" t="b">
        <v>0</v>
      </c>
      <c r="AX521" s="80" t="s">
        <v>7173</v>
      </c>
      <c r="AY521" s="84" t="str">
        <f>HYPERLINK("https://twitter.com/naibahopahotan")</f>
        <v>https://twitter.com/naibahopahotan</v>
      </c>
      <c r="AZ521" s="80" t="s">
        <v>66</v>
      </c>
      <c r="BA521" s="2"/>
      <c r="BB521" s="3"/>
      <c r="BC521" s="3"/>
      <c r="BD521" s="3"/>
      <c r="BE521" s="3"/>
    </row>
    <row r="522" spans="1:57" x14ac:dyDescent="0.35">
      <c r="A522" s="66" t="s">
        <v>648</v>
      </c>
      <c r="B522" s="67"/>
      <c r="C522" s="67"/>
      <c r="D522" s="68"/>
      <c r="E522" s="70"/>
      <c r="F522" s="106" t="str">
        <f>HYPERLINK("https://pbs.twimg.com/profile_images/1430309617276395521/ik5SkT9v_normal.jpg")</f>
        <v>https://pbs.twimg.com/profile_images/1430309617276395521/ik5SkT9v_normal.jpg</v>
      </c>
      <c r="G522" s="67"/>
      <c r="H522" s="71"/>
      <c r="I522" s="72"/>
      <c r="J522" s="72"/>
      <c r="K522" s="71" t="s">
        <v>7692</v>
      </c>
      <c r="L522" s="75"/>
      <c r="M522" s="76"/>
      <c r="N522" s="76"/>
      <c r="O522" s="77"/>
      <c r="P522" s="78"/>
      <c r="Q522" s="78"/>
      <c r="R522" s="90"/>
      <c r="S522" s="90"/>
      <c r="T522" s="90"/>
      <c r="U522" s="90"/>
      <c r="V522" s="52"/>
      <c r="W522" s="52"/>
      <c r="X522" s="52"/>
      <c r="Y522" s="52"/>
      <c r="Z522" s="51"/>
      <c r="AA522" s="73"/>
      <c r="AB522" s="73"/>
      <c r="AC522" s="74"/>
      <c r="AD522" s="80" t="s">
        <v>4696</v>
      </c>
      <c r="AE522" s="86" t="s">
        <v>5595</v>
      </c>
      <c r="AF522" s="80">
        <v>145</v>
      </c>
      <c r="AG522" s="80">
        <v>499</v>
      </c>
      <c r="AH522" s="80">
        <v>19762</v>
      </c>
      <c r="AI522" s="80">
        <v>35629</v>
      </c>
      <c r="AJ522" s="80"/>
      <c r="AK522" s="80" t="s">
        <v>6355</v>
      </c>
      <c r="AL522" s="80" t="s">
        <v>4145</v>
      </c>
      <c r="AM522" s="80"/>
      <c r="AN522" s="80"/>
      <c r="AO522" s="82">
        <v>41275.176342592589</v>
      </c>
      <c r="AP522" s="84" t="str">
        <f>HYPERLINK("https://pbs.twimg.com/profile_banners/1051794871/1631572522")</f>
        <v>https://pbs.twimg.com/profile_banners/1051794871/1631572522</v>
      </c>
      <c r="AQ522" s="80" t="b">
        <v>0</v>
      </c>
      <c r="AR522" s="80" t="b">
        <v>0</v>
      </c>
      <c r="AS522" s="80" t="b">
        <v>1</v>
      </c>
      <c r="AT522" s="80"/>
      <c r="AU522" s="80">
        <v>0</v>
      </c>
      <c r="AV522" s="84" t="str">
        <f>HYPERLINK("https://abs.twimg.com/images/themes/theme1/bg.png")</f>
        <v>https://abs.twimg.com/images/themes/theme1/bg.png</v>
      </c>
      <c r="AW522" s="80" t="b">
        <v>0</v>
      </c>
      <c r="AX522" s="80" t="s">
        <v>7173</v>
      </c>
      <c r="AY522" s="84" t="str">
        <f>HYPERLINK("https://twitter.com/lia_yash")</f>
        <v>https://twitter.com/lia_yash</v>
      </c>
      <c r="AZ522" s="80" t="s">
        <v>66</v>
      </c>
      <c r="BA522" s="2"/>
      <c r="BB522" s="3"/>
      <c r="BC522" s="3"/>
      <c r="BD522" s="3"/>
      <c r="BE522" s="3"/>
    </row>
    <row r="523" spans="1:57" x14ac:dyDescent="0.35">
      <c r="A523" s="66" t="s">
        <v>649</v>
      </c>
      <c r="B523" s="67"/>
      <c r="C523" s="67"/>
      <c r="D523" s="68"/>
      <c r="E523" s="70"/>
      <c r="F523" s="106" t="str">
        <f>HYPERLINK("https://pbs.twimg.com/profile_images/1436496261255872515/g0JrQQF9_normal.jpg")</f>
        <v>https://pbs.twimg.com/profile_images/1436496261255872515/g0JrQQF9_normal.jpg</v>
      </c>
      <c r="G523" s="67"/>
      <c r="H523" s="71"/>
      <c r="I523" s="72"/>
      <c r="J523" s="72"/>
      <c r="K523" s="71" t="s">
        <v>7693</v>
      </c>
      <c r="L523" s="75"/>
      <c r="M523" s="76"/>
      <c r="N523" s="76"/>
      <c r="O523" s="77"/>
      <c r="P523" s="78"/>
      <c r="Q523" s="78"/>
      <c r="R523" s="90"/>
      <c r="S523" s="90"/>
      <c r="T523" s="90"/>
      <c r="U523" s="90"/>
      <c r="V523" s="52"/>
      <c r="W523" s="52"/>
      <c r="X523" s="52"/>
      <c r="Y523" s="52"/>
      <c r="Z523" s="51"/>
      <c r="AA523" s="73"/>
      <c r="AB523" s="73"/>
      <c r="AC523" s="74"/>
      <c r="AD523" s="80" t="s">
        <v>4697</v>
      </c>
      <c r="AE523" s="86" t="s">
        <v>5596</v>
      </c>
      <c r="AF523" s="80">
        <v>461</v>
      </c>
      <c r="AG523" s="80">
        <v>37</v>
      </c>
      <c r="AH523" s="80">
        <v>208</v>
      </c>
      <c r="AI523" s="80">
        <v>1678</v>
      </c>
      <c r="AJ523" s="80"/>
      <c r="AK523" s="80"/>
      <c r="AL523" s="80"/>
      <c r="AM523" s="80"/>
      <c r="AN523" s="80"/>
      <c r="AO523" s="82">
        <v>44124.337500000001</v>
      </c>
      <c r="AP523" s="80"/>
      <c r="AQ523" s="80" t="b">
        <v>1</v>
      </c>
      <c r="AR523" s="80" t="b">
        <v>0</v>
      </c>
      <c r="AS523" s="80" t="b">
        <v>0</v>
      </c>
      <c r="AT523" s="80"/>
      <c r="AU523" s="80">
        <v>0</v>
      </c>
      <c r="AV523" s="80"/>
      <c r="AW523" s="80" t="b">
        <v>0</v>
      </c>
      <c r="AX523" s="80" t="s">
        <v>7173</v>
      </c>
      <c r="AY523" s="84" t="str">
        <f>HYPERLINK("https://twitter.com/jamescastello8")</f>
        <v>https://twitter.com/jamescastello8</v>
      </c>
      <c r="AZ523" s="80" t="s">
        <v>66</v>
      </c>
      <c r="BA523" s="2"/>
      <c r="BB523" s="3"/>
      <c r="BC523" s="3"/>
      <c r="BD523" s="3"/>
      <c r="BE523" s="3"/>
    </row>
    <row r="524" spans="1:57" x14ac:dyDescent="0.35">
      <c r="A524" s="66" t="s">
        <v>650</v>
      </c>
      <c r="B524" s="67"/>
      <c r="C524" s="67"/>
      <c r="D524" s="68"/>
      <c r="E524" s="70"/>
      <c r="F524" s="106" t="str">
        <f>HYPERLINK("https://pbs.twimg.com/profile_images/1079490668760784896/f5egO348_normal.jpg")</f>
        <v>https://pbs.twimg.com/profile_images/1079490668760784896/f5egO348_normal.jpg</v>
      </c>
      <c r="G524" s="67"/>
      <c r="H524" s="71"/>
      <c r="I524" s="72"/>
      <c r="J524" s="72"/>
      <c r="K524" s="71" t="s">
        <v>7694</v>
      </c>
      <c r="L524" s="75"/>
      <c r="M524" s="76"/>
      <c r="N524" s="76"/>
      <c r="O524" s="77"/>
      <c r="P524" s="78"/>
      <c r="Q524" s="78"/>
      <c r="R524" s="90"/>
      <c r="S524" s="90"/>
      <c r="T524" s="90"/>
      <c r="U524" s="90"/>
      <c r="V524" s="52"/>
      <c r="W524" s="52"/>
      <c r="X524" s="52"/>
      <c r="Y524" s="52"/>
      <c r="Z524" s="51"/>
      <c r="AA524" s="73"/>
      <c r="AB524" s="73"/>
      <c r="AC524" s="74"/>
      <c r="AD524" s="80" t="s">
        <v>4698</v>
      </c>
      <c r="AE524" s="86" t="s">
        <v>5597</v>
      </c>
      <c r="AF524" s="80">
        <v>415</v>
      </c>
      <c r="AG524" s="80">
        <v>274</v>
      </c>
      <c r="AH524" s="80">
        <v>8547</v>
      </c>
      <c r="AI524" s="80">
        <v>16938</v>
      </c>
      <c r="AJ524" s="80"/>
      <c r="AK524" s="80" t="s">
        <v>6356</v>
      </c>
      <c r="AL524" s="80"/>
      <c r="AM524" s="80"/>
      <c r="AN524" s="80"/>
      <c r="AO524" s="82">
        <v>41113.63925925926</v>
      </c>
      <c r="AP524" s="80"/>
      <c r="AQ524" s="80" t="b">
        <v>0</v>
      </c>
      <c r="AR524" s="80" t="b">
        <v>0</v>
      </c>
      <c r="AS524" s="80" t="b">
        <v>0</v>
      </c>
      <c r="AT524" s="80"/>
      <c r="AU524" s="80">
        <v>0</v>
      </c>
      <c r="AV524" s="84" t="str">
        <f>HYPERLINK("https://abs.twimg.com/images/themes/theme1/bg.png")</f>
        <v>https://abs.twimg.com/images/themes/theme1/bg.png</v>
      </c>
      <c r="AW524" s="80" t="b">
        <v>0</v>
      </c>
      <c r="AX524" s="80" t="s">
        <v>7173</v>
      </c>
      <c r="AY524" s="84" t="str">
        <f>HYPERLINK("https://twitter.com/kenarok10193945")</f>
        <v>https://twitter.com/kenarok10193945</v>
      </c>
      <c r="AZ524" s="80" t="s">
        <v>66</v>
      </c>
      <c r="BA524" s="2"/>
      <c r="BB524" s="3"/>
      <c r="BC524" s="3"/>
      <c r="BD524" s="3"/>
      <c r="BE524" s="3"/>
    </row>
    <row r="525" spans="1:57" x14ac:dyDescent="0.35">
      <c r="A525" s="66" t="s">
        <v>651</v>
      </c>
      <c r="B525" s="67"/>
      <c r="C525" s="67"/>
      <c r="D525" s="68"/>
      <c r="E525" s="70"/>
      <c r="F525" s="106" t="str">
        <f>HYPERLINK("https://pbs.twimg.com/profile_images/1053269104214175744/Q93Nrqcj_normal.jpg")</f>
        <v>https://pbs.twimg.com/profile_images/1053269104214175744/Q93Nrqcj_normal.jpg</v>
      </c>
      <c r="G525" s="67"/>
      <c r="H525" s="71"/>
      <c r="I525" s="72"/>
      <c r="J525" s="72"/>
      <c r="K525" s="71" t="s">
        <v>7695</v>
      </c>
      <c r="L525" s="75"/>
      <c r="M525" s="76"/>
      <c r="N525" s="76"/>
      <c r="O525" s="77"/>
      <c r="P525" s="78"/>
      <c r="Q525" s="78"/>
      <c r="R525" s="90"/>
      <c r="S525" s="90"/>
      <c r="T525" s="90"/>
      <c r="U525" s="90"/>
      <c r="V525" s="52"/>
      <c r="W525" s="52"/>
      <c r="X525" s="52"/>
      <c r="Y525" s="52"/>
      <c r="Z525" s="51"/>
      <c r="AA525" s="73"/>
      <c r="AB525" s="73"/>
      <c r="AC525" s="74"/>
      <c r="AD525" s="80" t="s">
        <v>4699</v>
      </c>
      <c r="AE525" s="86" t="s">
        <v>5598</v>
      </c>
      <c r="AF525" s="80">
        <v>102</v>
      </c>
      <c r="AG525" s="80">
        <v>75</v>
      </c>
      <c r="AH525" s="80">
        <v>4369</v>
      </c>
      <c r="AI525" s="80">
        <v>151</v>
      </c>
      <c r="AJ525" s="80"/>
      <c r="AK525" s="80" t="s">
        <v>6357</v>
      </c>
      <c r="AL525" s="80"/>
      <c r="AM525" s="80"/>
      <c r="AN525" s="80"/>
      <c r="AO525" s="82">
        <v>42964.42528935185</v>
      </c>
      <c r="AP525" s="80"/>
      <c r="AQ525" s="80" t="b">
        <v>1</v>
      </c>
      <c r="AR525" s="80" t="b">
        <v>0</v>
      </c>
      <c r="AS525" s="80" t="b">
        <v>0</v>
      </c>
      <c r="AT525" s="80"/>
      <c r="AU525" s="80">
        <v>0</v>
      </c>
      <c r="AV525" s="80"/>
      <c r="AW525" s="80" t="b">
        <v>0</v>
      </c>
      <c r="AX525" s="80" t="s">
        <v>7173</v>
      </c>
      <c r="AY525" s="84" t="str">
        <f>HYPERLINK("https://twitter.com/herui18740920")</f>
        <v>https://twitter.com/herui18740920</v>
      </c>
      <c r="AZ525" s="80" t="s">
        <v>66</v>
      </c>
      <c r="BA525" s="2"/>
      <c r="BB525" s="3"/>
      <c r="BC525" s="3"/>
      <c r="BD525" s="3"/>
      <c r="BE525" s="3"/>
    </row>
    <row r="526" spans="1:57" x14ac:dyDescent="0.35">
      <c r="A526" s="66" t="s">
        <v>652</v>
      </c>
      <c r="B526" s="67"/>
      <c r="C526" s="67"/>
      <c r="D526" s="68"/>
      <c r="E526" s="70"/>
      <c r="F526" s="106" t="str">
        <f>HYPERLINK("https://pbs.twimg.com/profile_images/2252691167/340452460_normal.jpg")</f>
        <v>https://pbs.twimg.com/profile_images/2252691167/340452460_normal.jpg</v>
      </c>
      <c r="G526" s="67"/>
      <c r="H526" s="71"/>
      <c r="I526" s="72"/>
      <c r="J526" s="72"/>
      <c r="K526" s="71" t="s">
        <v>7696</v>
      </c>
      <c r="L526" s="75"/>
      <c r="M526" s="76"/>
      <c r="N526" s="76"/>
      <c r="O526" s="77"/>
      <c r="P526" s="78"/>
      <c r="Q526" s="78"/>
      <c r="R526" s="90"/>
      <c r="S526" s="90"/>
      <c r="T526" s="90"/>
      <c r="U526" s="90"/>
      <c r="V526" s="52"/>
      <c r="W526" s="52"/>
      <c r="X526" s="52"/>
      <c r="Y526" s="52"/>
      <c r="Z526" s="51"/>
      <c r="AA526" s="73"/>
      <c r="AB526" s="73"/>
      <c r="AC526" s="74"/>
      <c r="AD526" s="80" t="s">
        <v>4700</v>
      </c>
      <c r="AE526" s="86" t="s">
        <v>5599</v>
      </c>
      <c r="AF526" s="80">
        <v>4219</v>
      </c>
      <c r="AG526" s="80">
        <v>3150</v>
      </c>
      <c r="AH526" s="80">
        <v>35847</v>
      </c>
      <c r="AI526" s="80">
        <v>4399</v>
      </c>
      <c r="AJ526" s="80"/>
      <c r="AK526" s="80" t="s">
        <v>6358</v>
      </c>
      <c r="AL526" s="80" t="s">
        <v>6972</v>
      </c>
      <c r="AM526" s="80"/>
      <c r="AN526" s="80"/>
      <c r="AO526" s="82">
        <v>40403.662106481483</v>
      </c>
      <c r="AP526" s="80"/>
      <c r="AQ526" s="80" t="b">
        <v>1</v>
      </c>
      <c r="AR526" s="80" t="b">
        <v>0</v>
      </c>
      <c r="AS526" s="80" t="b">
        <v>1</v>
      </c>
      <c r="AT526" s="80"/>
      <c r="AU526" s="80">
        <v>1</v>
      </c>
      <c r="AV526" s="84" t="str">
        <f>HYPERLINK("https://abs.twimg.com/images/themes/theme1/bg.png")</f>
        <v>https://abs.twimg.com/images/themes/theme1/bg.png</v>
      </c>
      <c r="AW526" s="80" t="b">
        <v>0</v>
      </c>
      <c r="AX526" s="80" t="s">
        <v>7173</v>
      </c>
      <c r="AY526" s="84" t="str">
        <f>HYPERLINK("https://twitter.com/dietzno")</f>
        <v>https://twitter.com/dietzno</v>
      </c>
      <c r="AZ526" s="80" t="s">
        <v>66</v>
      </c>
      <c r="BA526" s="2"/>
      <c r="BB526" s="3"/>
      <c r="BC526" s="3"/>
      <c r="BD526" s="3"/>
      <c r="BE526" s="3"/>
    </row>
    <row r="527" spans="1:57" x14ac:dyDescent="0.35">
      <c r="A527" s="66" t="s">
        <v>653</v>
      </c>
      <c r="B527" s="67"/>
      <c r="C527" s="67"/>
      <c r="D527" s="68"/>
      <c r="E527" s="70"/>
      <c r="F527" s="106" t="str">
        <f>HYPERLINK("https://pbs.twimg.com/profile_images/1399668715377942529/e7-3HWIO_normal.jpg")</f>
        <v>https://pbs.twimg.com/profile_images/1399668715377942529/e7-3HWIO_normal.jpg</v>
      </c>
      <c r="G527" s="67"/>
      <c r="H527" s="71"/>
      <c r="I527" s="72"/>
      <c r="J527" s="72"/>
      <c r="K527" s="71" t="s">
        <v>7697</v>
      </c>
      <c r="L527" s="75"/>
      <c r="M527" s="76"/>
      <c r="N527" s="76"/>
      <c r="O527" s="77"/>
      <c r="P527" s="78"/>
      <c r="Q527" s="78"/>
      <c r="R527" s="90"/>
      <c r="S527" s="90"/>
      <c r="T527" s="90"/>
      <c r="U527" s="90"/>
      <c r="V527" s="52"/>
      <c r="W527" s="52"/>
      <c r="X527" s="52"/>
      <c r="Y527" s="52"/>
      <c r="Z527" s="51"/>
      <c r="AA527" s="73"/>
      <c r="AB527" s="73"/>
      <c r="AC527" s="74"/>
      <c r="AD527" s="80" t="s">
        <v>4701</v>
      </c>
      <c r="AE527" s="86" t="s">
        <v>5600</v>
      </c>
      <c r="AF527" s="80">
        <v>1465</v>
      </c>
      <c r="AG527" s="80">
        <v>445</v>
      </c>
      <c r="AH527" s="80">
        <v>21108</v>
      </c>
      <c r="AI527" s="80">
        <v>16710</v>
      </c>
      <c r="AJ527" s="80"/>
      <c r="AK527" s="80" t="s">
        <v>6359</v>
      </c>
      <c r="AL527" s="80" t="s">
        <v>6884</v>
      </c>
      <c r="AM527" s="80"/>
      <c r="AN527" s="80"/>
      <c r="AO527" s="82">
        <v>41656.432291666664</v>
      </c>
      <c r="AP527" s="80"/>
      <c r="AQ527" s="80" t="b">
        <v>1</v>
      </c>
      <c r="AR527" s="80" t="b">
        <v>0</v>
      </c>
      <c r="AS527" s="80" t="b">
        <v>0</v>
      </c>
      <c r="AT527" s="80"/>
      <c r="AU527" s="80">
        <v>0</v>
      </c>
      <c r="AV527" s="84" t="str">
        <f>HYPERLINK("https://abs.twimg.com/images/themes/theme1/bg.png")</f>
        <v>https://abs.twimg.com/images/themes/theme1/bg.png</v>
      </c>
      <c r="AW527" s="80" t="b">
        <v>0</v>
      </c>
      <c r="AX527" s="80" t="s">
        <v>7173</v>
      </c>
      <c r="AY527" s="84" t="str">
        <f>HYPERLINK("https://twitter.com/iyat_jabbari")</f>
        <v>https://twitter.com/iyat_jabbari</v>
      </c>
      <c r="AZ527" s="80" t="s">
        <v>66</v>
      </c>
      <c r="BA527" s="2"/>
      <c r="BB527" s="3"/>
      <c r="BC527" s="3"/>
      <c r="BD527" s="3"/>
      <c r="BE527" s="3"/>
    </row>
    <row r="528" spans="1:57" x14ac:dyDescent="0.35">
      <c r="A528" s="66" t="s">
        <v>654</v>
      </c>
      <c r="B528" s="67"/>
      <c r="C528" s="67"/>
      <c r="D528" s="68"/>
      <c r="E528" s="70"/>
      <c r="F528" s="106" t="str">
        <f>HYPERLINK("https://pbs.twimg.com/profile_images/1415591146592432132/qsyhxuW6_normal.jpg")</f>
        <v>https://pbs.twimg.com/profile_images/1415591146592432132/qsyhxuW6_normal.jpg</v>
      </c>
      <c r="G528" s="67"/>
      <c r="H528" s="71"/>
      <c r="I528" s="72"/>
      <c r="J528" s="72"/>
      <c r="K528" s="71" t="s">
        <v>7698</v>
      </c>
      <c r="L528" s="75"/>
      <c r="M528" s="76"/>
      <c r="N528" s="76"/>
      <c r="O528" s="77"/>
      <c r="P528" s="78"/>
      <c r="Q528" s="78"/>
      <c r="R528" s="90"/>
      <c r="S528" s="90"/>
      <c r="T528" s="90"/>
      <c r="U528" s="90"/>
      <c r="V528" s="52"/>
      <c r="W528" s="52"/>
      <c r="X528" s="52"/>
      <c r="Y528" s="52"/>
      <c r="Z528" s="51"/>
      <c r="AA528" s="73"/>
      <c r="AB528" s="73"/>
      <c r="AC528" s="74"/>
      <c r="AD528" s="80" t="s">
        <v>4702</v>
      </c>
      <c r="AE528" s="86" t="s">
        <v>5601</v>
      </c>
      <c r="AF528" s="80">
        <v>543</v>
      </c>
      <c r="AG528" s="80">
        <v>346</v>
      </c>
      <c r="AH528" s="80">
        <v>14087</v>
      </c>
      <c r="AI528" s="80">
        <v>75</v>
      </c>
      <c r="AJ528" s="80"/>
      <c r="AK528" s="80" t="s">
        <v>6360</v>
      </c>
      <c r="AL528" s="80" t="s">
        <v>6867</v>
      </c>
      <c r="AM528" s="80"/>
      <c r="AN528" s="80"/>
      <c r="AO528" s="82">
        <v>40575.360277777778</v>
      </c>
      <c r="AP528" s="84" t="str">
        <f>HYPERLINK("https://pbs.twimg.com/profile_banners/245703647/1626338165")</f>
        <v>https://pbs.twimg.com/profile_banners/245703647/1626338165</v>
      </c>
      <c r="AQ528" s="80" t="b">
        <v>0</v>
      </c>
      <c r="AR528" s="80" t="b">
        <v>0</v>
      </c>
      <c r="AS528" s="80" t="b">
        <v>1</v>
      </c>
      <c r="AT528" s="80"/>
      <c r="AU528" s="80">
        <v>1</v>
      </c>
      <c r="AV528" s="84" t="str">
        <f>HYPERLINK("https://abs.twimg.com/images/themes/theme5/bg.gif")</f>
        <v>https://abs.twimg.com/images/themes/theme5/bg.gif</v>
      </c>
      <c r="AW528" s="80" t="b">
        <v>0</v>
      </c>
      <c r="AX528" s="80" t="s">
        <v>7173</v>
      </c>
      <c r="AY528" s="84" t="str">
        <f>HYPERLINK("https://twitter.com/ikhanovitsari")</f>
        <v>https://twitter.com/ikhanovitsari</v>
      </c>
      <c r="AZ528" s="80" t="s">
        <v>66</v>
      </c>
      <c r="BA528" s="2"/>
      <c r="BB528" s="3"/>
      <c r="BC528" s="3"/>
      <c r="BD528" s="3"/>
      <c r="BE528" s="3"/>
    </row>
    <row r="529" spans="1:57" x14ac:dyDescent="0.35">
      <c r="A529" s="66" t="s">
        <v>655</v>
      </c>
      <c r="B529" s="67"/>
      <c r="C529" s="67"/>
      <c r="D529" s="68"/>
      <c r="E529" s="70"/>
      <c r="F529" s="106" t="str">
        <f>HYPERLINK("https://pbs.twimg.com/profile_images/1429609123880919046/RiHzWvXw_normal.jpg")</f>
        <v>https://pbs.twimg.com/profile_images/1429609123880919046/RiHzWvXw_normal.jpg</v>
      </c>
      <c r="G529" s="67"/>
      <c r="H529" s="71"/>
      <c r="I529" s="72"/>
      <c r="J529" s="72"/>
      <c r="K529" s="71" t="s">
        <v>7699</v>
      </c>
      <c r="L529" s="75"/>
      <c r="M529" s="76"/>
      <c r="N529" s="76"/>
      <c r="O529" s="77"/>
      <c r="P529" s="78"/>
      <c r="Q529" s="78"/>
      <c r="R529" s="90"/>
      <c r="S529" s="90"/>
      <c r="T529" s="90"/>
      <c r="U529" s="90"/>
      <c r="V529" s="52"/>
      <c r="W529" s="52"/>
      <c r="X529" s="52"/>
      <c r="Y529" s="52"/>
      <c r="Z529" s="51"/>
      <c r="AA529" s="73"/>
      <c r="AB529" s="73"/>
      <c r="AC529" s="74"/>
      <c r="AD529" s="80" t="s">
        <v>4703</v>
      </c>
      <c r="AE529" s="86" t="s">
        <v>5602</v>
      </c>
      <c r="AF529" s="80">
        <v>731</v>
      </c>
      <c r="AG529" s="80">
        <v>447</v>
      </c>
      <c r="AH529" s="80">
        <v>2191</v>
      </c>
      <c r="AI529" s="80">
        <v>75206</v>
      </c>
      <c r="AJ529" s="80"/>
      <c r="AK529" s="80"/>
      <c r="AL529" s="80"/>
      <c r="AM529" s="80"/>
      <c r="AN529" s="80"/>
      <c r="AO529" s="82">
        <v>43378.084722222222</v>
      </c>
      <c r="AP529" s="80"/>
      <c r="AQ529" s="80" t="b">
        <v>1</v>
      </c>
      <c r="AR529" s="80" t="b">
        <v>0</v>
      </c>
      <c r="AS529" s="80" t="b">
        <v>1</v>
      </c>
      <c r="AT529" s="80"/>
      <c r="AU529" s="80">
        <v>0</v>
      </c>
      <c r="AV529" s="80"/>
      <c r="AW529" s="80" t="b">
        <v>0</v>
      </c>
      <c r="AX529" s="80" t="s">
        <v>7173</v>
      </c>
      <c r="AY529" s="84" t="str">
        <f>HYPERLINK("https://twitter.com/lans2610")</f>
        <v>https://twitter.com/lans2610</v>
      </c>
      <c r="AZ529" s="80" t="s">
        <v>66</v>
      </c>
      <c r="BA529" s="2"/>
      <c r="BB529" s="3"/>
      <c r="BC529" s="3"/>
      <c r="BD529" s="3"/>
      <c r="BE529" s="3"/>
    </row>
    <row r="530" spans="1:57" x14ac:dyDescent="0.35">
      <c r="A530" s="66" t="s">
        <v>656</v>
      </c>
      <c r="B530" s="67"/>
      <c r="C530" s="67"/>
      <c r="D530" s="68"/>
      <c r="E530" s="70"/>
      <c r="F530" s="106" t="str">
        <f>HYPERLINK("https://pbs.twimg.com/profile_images/1394308049477595139/UVAfsFw8_normal.jpg")</f>
        <v>https://pbs.twimg.com/profile_images/1394308049477595139/UVAfsFw8_normal.jpg</v>
      </c>
      <c r="G530" s="67"/>
      <c r="H530" s="71"/>
      <c r="I530" s="72"/>
      <c r="J530" s="72"/>
      <c r="K530" s="71" t="s">
        <v>7700</v>
      </c>
      <c r="L530" s="75"/>
      <c r="M530" s="76"/>
      <c r="N530" s="76"/>
      <c r="O530" s="77"/>
      <c r="P530" s="78"/>
      <c r="Q530" s="78"/>
      <c r="R530" s="90"/>
      <c r="S530" s="90"/>
      <c r="T530" s="90"/>
      <c r="U530" s="90"/>
      <c r="V530" s="52"/>
      <c r="W530" s="52"/>
      <c r="X530" s="52"/>
      <c r="Y530" s="52"/>
      <c r="Z530" s="51"/>
      <c r="AA530" s="73"/>
      <c r="AB530" s="73"/>
      <c r="AC530" s="74"/>
      <c r="AD530" s="80" t="s">
        <v>4704</v>
      </c>
      <c r="AE530" s="86" t="s">
        <v>5603</v>
      </c>
      <c r="AF530" s="80">
        <v>141</v>
      </c>
      <c r="AG530" s="80">
        <v>17</v>
      </c>
      <c r="AH530" s="80">
        <v>585</v>
      </c>
      <c r="AI530" s="80">
        <v>1784</v>
      </c>
      <c r="AJ530" s="80"/>
      <c r="AK530" s="80"/>
      <c r="AL530" s="80" t="s">
        <v>6928</v>
      </c>
      <c r="AM530" s="80"/>
      <c r="AN530" s="80"/>
      <c r="AO530" s="82">
        <v>43716.174467592595</v>
      </c>
      <c r="AP530" s="80"/>
      <c r="AQ530" s="80" t="b">
        <v>1</v>
      </c>
      <c r="AR530" s="80" t="b">
        <v>0</v>
      </c>
      <c r="AS530" s="80" t="b">
        <v>0</v>
      </c>
      <c r="AT530" s="80"/>
      <c r="AU530" s="80">
        <v>0</v>
      </c>
      <c r="AV530" s="80"/>
      <c r="AW530" s="80" t="b">
        <v>0</v>
      </c>
      <c r="AX530" s="80" t="s">
        <v>7173</v>
      </c>
      <c r="AY530" s="84" t="str">
        <f>HYPERLINK("https://twitter.com/galang01587086")</f>
        <v>https://twitter.com/galang01587086</v>
      </c>
      <c r="AZ530" s="80" t="s">
        <v>66</v>
      </c>
      <c r="BA530" s="2"/>
      <c r="BB530" s="3"/>
      <c r="BC530" s="3"/>
      <c r="BD530" s="3"/>
      <c r="BE530" s="3"/>
    </row>
    <row r="531" spans="1:57" x14ac:dyDescent="0.35">
      <c r="A531" s="66" t="s">
        <v>657</v>
      </c>
      <c r="B531" s="67"/>
      <c r="C531" s="67"/>
      <c r="D531" s="68"/>
      <c r="E531" s="70"/>
      <c r="F531" s="106" t="str">
        <f>HYPERLINK("https://pbs.twimg.com/profile_images/988633641944104961/wQepfcZY_normal.jpg")</f>
        <v>https://pbs.twimg.com/profile_images/988633641944104961/wQepfcZY_normal.jpg</v>
      </c>
      <c r="G531" s="67"/>
      <c r="H531" s="71"/>
      <c r="I531" s="72"/>
      <c r="J531" s="72"/>
      <c r="K531" s="71" t="s">
        <v>7701</v>
      </c>
      <c r="L531" s="75"/>
      <c r="M531" s="76"/>
      <c r="N531" s="76"/>
      <c r="O531" s="77"/>
      <c r="P531" s="78"/>
      <c r="Q531" s="78"/>
      <c r="R531" s="90"/>
      <c r="S531" s="90"/>
      <c r="T531" s="90"/>
      <c r="U531" s="90"/>
      <c r="V531" s="52"/>
      <c r="W531" s="52"/>
      <c r="X531" s="52"/>
      <c r="Y531" s="52"/>
      <c r="Z531" s="51"/>
      <c r="AA531" s="73"/>
      <c r="AB531" s="73"/>
      <c r="AC531" s="74"/>
      <c r="AD531" s="80" t="s">
        <v>4705</v>
      </c>
      <c r="AE531" s="86" t="s">
        <v>5604</v>
      </c>
      <c r="AF531" s="80">
        <v>3020</v>
      </c>
      <c r="AG531" s="80">
        <v>2010</v>
      </c>
      <c r="AH531" s="80">
        <v>289664</v>
      </c>
      <c r="AI531" s="80">
        <v>4250</v>
      </c>
      <c r="AJ531" s="80"/>
      <c r="AK531" s="80" t="s">
        <v>6361</v>
      </c>
      <c r="AL531" s="80" t="s">
        <v>4145</v>
      </c>
      <c r="AM531" s="80"/>
      <c r="AN531" s="80"/>
      <c r="AO531" s="82">
        <v>40842.640081018515</v>
      </c>
      <c r="AP531" s="84" t="str">
        <f>HYPERLINK("https://pbs.twimg.com/profile_banners/398798880/1494321900")</f>
        <v>https://pbs.twimg.com/profile_banners/398798880/1494321900</v>
      </c>
      <c r="AQ531" s="80" t="b">
        <v>1</v>
      </c>
      <c r="AR531" s="80" t="b">
        <v>0</v>
      </c>
      <c r="AS531" s="80" t="b">
        <v>1</v>
      </c>
      <c r="AT531" s="80"/>
      <c r="AU531" s="80">
        <v>5</v>
      </c>
      <c r="AV531" s="84" t="str">
        <f>HYPERLINK("https://abs.twimg.com/images/themes/theme1/bg.png")</f>
        <v>https://abs.twimg.com/images/themes/theme1/bg.png</v>
      </c>
      <c r="AW531" s="80" t="b">
        <v>0</v>
      </c>
      <c r="AX531" s="80" t="s">
        <v>7173</v>
      </c>
      <c r="AY531" s="84" t="str">
        <f>HYPERLINK("https://twitter.com/zonevenomwar")</f>
        <v>https://twitter.com/zonevenomwar</v>
      </c>
      <c r="AZ531" s="80" t="s">
        <v>66</v>
      </c>
      <c r="BA531" s="2"/>
      <c r="BB531" s="3"/>
      <c r="BC531" s="3"/>
      <c r="BD531" s="3"/>
      <c r="BE531" s="3"/>
    </row>
    <row r="532" spans="1:57" x14ac:dyDescent="0.35">
      <c r="A532" s="66" t="s">
        <v>658</v>
      </c>
      <c r="B532" s="67"/>
      <c r="C532" s="67"/>
      <c r="D532" s="68"/>
      <c r="E532" s="70"/>
      <c r="F532" s="106" t="str">
        <f>HYPERLINK("https://pbs.twimg.com/profile_images/1414408997973594112/gqooTrnB_normal.jpg")</f>
        <v>https://pbs.twimg.com/profile_images/1414408997973594112/gqooTrnB_normal.jpg</v>
      </c>
      <c r="G532" s="67"/>
      <c r="H532" s="71"/>
      <c r="I532" s="72"/>
      <c r="J532" s="72"/>
      <c r="K532" s="71" t="s">
        <v>7702</v>
      </c>
      <c r="L532" s="75"/>
      <c r="M532" s="76"/>
      <c r="N532" s="76"/>
      <c r="O532" s="77"/>
      <c r="P532" s="78"/>
      <c r="Q532" s="78"/>
      <c r="R532" s="90"/>
      <c r="S532" s="90"/>
      <c r="T532" s="90"/>
      <c r="U532" s="90"/>
      <c r="V532" s="52"/>
      <c r="W532" s="52"/>
      <c r="X532" s="52"/>
      <c r="Y532" s="52"/>
      <c r="Z532" s="51"/>
      <c r="AA532" s="73"/>
      <c r="AB532" s="73"/>
      <c r="AC532" s="74"/>
      <c r="AD532" s="80" t="s">
        <v>4706</v>
      </c>
      <c r="AE532" s="86" t="s">
        <v>5605</v>
      </c>
      <c r="AF532" s="80">
        <v>38</v>
      </c>
      <c r="AG532" s="80">
        <v>26</v>
      </c>
      <c r="AH532" s="80">
        <v>582</v>
      </c>
      <c r="AI532" s="80">
        <v>3668</v>
      </c>
      <c r="AJ532" s="80"/>
      <c r="AK532" s="80"/>
      <c r="AL532" s="80"/>
      <c r="AM532" s="80"/>
      <c r="AN532" s="80"/>
      <c r="AO532" s="82">
        <v>44020.389803240738</v>
      </c>
      <c r="AP532" s="84" t="str">
        <f>HYPERLINK("https://pbs.twimg.com/profile_banners/1280793932436103168/1622621374")</f>
        <v>https://pbs.twimg.com/profile_banners/1280793932436103168/1622621374</v>
      </c>
      <c r="AQ532" s="80" t="b">
        <v>1</v>
      </c>
      <c r="AR532" s="80" t="b">
        <v>0</v>
      </c>
      <c r="AS532" s="80" t="b">
        <v>0</v>
      </c>
      <c r="AT532" s="80"/>
      <c r="AU532" s="80">
        <v>2</v>
      </c>
      <c r="AV532" s="80"/>
      <c r="AW532" s="80" t="b">
        <v>0</v>
      </c>
      <c r="AX532" s="80" t="s">
        <v>7173</v>
      </c>
      <c r="AY532" s="84" t="str">
        <f>HYPERLINK("https://twitter.com/mibalbuceo")</f>
        <v>https://twitter.com/mibalbuceo</v>
      </c>
      <c r="AZ532" s="80" t="s">
        <v>66</v>
      </c>
      <c r="BA532" s="2"/>
      <c r="BB532" s="3"/>
      <c r="BC532" s="3"/>
      <c r="BD532" s="3"/>
      <c r="BE532" s="3"/>
    </row>
    <row r="533" spans="1:57" x14ac:dyDescent="0.35">
      <c r="A533" s="66" t="s">
        <v>1076</v>
      </c>
      <c r="B533" s="67"/>
      <c r="C533" s="67"/>
      <c r="D533" s="68"/>
      <c r="E533" s="70"/>
      <c r="F533" s="106" t="str">
        <f>HYPERLINK("https://pbs.twimg.com/profile_images/1439367616397602816/cBIpaaDo_normal.jpg")</f>
        <v>https://pbs.twimg.com/profile_images/1439367616397602816/cBIpaaDo_normal.jpg</v>
      </c>
      <c r="G533" s="67"/>
      <c r="H533" s="71"/>
      <c r="I533" s="72"/>
      <c r="J533" s="72"/>
      <c r="K533" s="71" t="s">
        <v>7703</v>
      </c>
      <c r="L533" s="75"/>
      <c r="M533" s="76"/>
      <c r="N533" s="76"/>
      <c r="O533" s="77"/>
      <c r="P533" s="78"/>
      <c r="Q533" s="78"/>
      <c r="R533" s="90"/>
      <c r="S533" s="90"/>
      <c r="T533" s="90"/>
      <c r="U533" s="90"/>
      <c r="V533" s="52"/>
      <c r="W533" s="52"/>
      <c r="X533" s="52"/>
      <c r="Y533" s="52"/>
      <c r="Z533" s="51"/>
      <c r="AA533" s="73"/>
      <c r="AB533" s="73"/>
      <c r="AC533" s="74"/>
      <c r="AD533" s="80" t="s">
        <v>4707</v>
      </c>
      <c r="AE533" s="86" t="s">
        <v>3953</v>
      </c>
      <c r="AF533" s="80">
        <v>307</v>
      </c>
      <c r="AG533" s="80">
        <v>1005</v>
      </c>
      <c r="AH533" s="80">
        <v>14003</v>
      </c>
      <c r="AI533" s="80">
        <v>16938</v>
      </c>
      <c r="AJ533" s="80"/>
      <c r="AK533" s="80" t="s">
        <v>6362</v>
      </c>
      <c r="AL533" s="80"/>
      <c r="AM533" s="80"/>
      <c r="AN533" s="80"/>
      <c r="AO533" s="82">
        <v>44105.41642361111</v>
      </c>
      <c r="AP533" s="84" t="str">
        <f>HYPERLINK("https://pbs.twimg.com/profile_banners/1311606670267621378/1622300827")</f>
        <v>https://pbs.twimg.com/profile_banners/1311606670267621378/1622300827</v>
      </c>
      <c r="AQ533" s="80" t="b">
        <v>1</v>
      </c>
      <c r="AR533" s="80" t="b">
        <v>0</v>
      </c>
      <c r="AS533" s="80" t="b">
        <v>1</v>
      </c>
      <c r="AT533" s="80"/>
      <c r="AU533" s="80">
        <v>1</v>
      </c>
      <c r="AV533" s="80"/>
      <c r="AW533" s="80" t="b">
        <v>0</v>
      </c>
      <c r="AX533" s="80" t="s">
        <v>7173</v>
      </c>
      <c r="AY533" s="84" t="str">
        <f>HYPERLINK("https://twitter.com/bubblygram")</f>
        <v>https://twitter.com/bubblygram</v>
      </c>
      <c r="AZ533" s="80" t="s">
        <v>65</v>
      </c>
      <c r="BA533" s="2"/>
      <c r="BB533" s="3"/>
      <c r="BC533" s="3"/>
      <c r="BD533" s="3"/>
      <c r="BE533" s="3"/>
    </row>
    <row r="534" spans="1:57" x14ac:dyDescent="0.35">
      <c r="A534" s="66" t="s">
        <v>659</v>
      </c>
      <c r="B534" s="67"/>
      <c r="C534" s="67"/>
      <c r="D534" s="68"/>
      <c r="E534" s="70"/>
      <c r="F534" s="106" t="str">
        <f>HYPERLINK("https://pbs.twimg.com/profile_images/869552591507660800/TVIr5M1u_normal.jpg")</f>
        <v>https://pbs.twimg.com/profile_images/869552591507660800/TVIr5M1u_normal.jpg</v>
      </c>
      <c r="G534" s="67"/>
      <c r="H534" s="71"/>
      <c r="I534" s="72"/>
      <c r="J534" s="72"/>
      <c r="K534" s="71" t="s">
        <v>7704</v>
      </c>
      <c r="L534" s="75"/>
      <c r="M534" s="76"/>
      <c r="N534" s="76"/>
      <c r="O534" s="77"/>
      <c r="P534" s="78"/>
      <c r="Q534" s="78"/>
      <c r="R534" s="90"/>
      <c r="S534" s="90"/>
      <c r="T534" s="90"/>
      <c r="U534" s="90"/>
      <c r="V534" s="52"/>
      <c r="W534" s="52"/>
      <c r="X534" s="52"/>
      <c r="Y534" s="52"/>
      <c r="Z534" s="51"/>
      <c r="AA534" s="73"/>
      <c r="AB534" s="73"/>
      <c r="AC534" s="74"/>
      <c r="AD534" s="80" t="s">
        <v>4708</v>
      </c>
      <c r="AE534" s="86" t="s">
        <v>5606</v>
      </c>
      <c r="AF534" s="80">
        <v>810</v>
      </c>
      <c r="AG534" s="80">
        <v>1798</v>
      </c>
      <c r="AH534" s="80">
        <v>368281</v>
      </c>
      <c r="AI534" s="80">
        <v>207836</v>
      </c>
      <c r="AJ534" s="80"/>
      <c r="AK534" s="80" t="s">
        <v>6363</v>
      </c>
      <c r="AL534" s="80"/>
      <c r="AM534" s="80"/>
      <c r="AN534" s="80"/>
      <c r="AO534" s="82">
        <v>40248.44736111111</v>
      </c>
      <c r="AP534" s="84" t="str">
        <f>HYPERLINK("https://pbs.twimg.com/profile_banners/122028263/1479212895")</f>
        <v>https://pbs.twimg.com/profile_banners/122028263/1479212895</v>
      </c>
      <c r="AQ534" s="80" t="b">
        <v>1</v>
      </c>
      <c r="AR534" s="80" t="b">
        <v>0</v>
      </c>
      <c r="AS534" s="80" t="b">
        <v>0</v>
      </c>
      <c r="AT534" s="80"/>
      <c r="AU534" s="80">
        <v>38</v>
      </c>
      <c r="AV534" s="84" t="str">
        <f>HYPERLINK("https://abs.twimg.com/images/themes/theme1/bg.png")</f>
        <v>https://abs.twimg.com/images/themes/theme1/bg.png</v>
      </c>
      <c r="AW534" s="80" t="b">
        <v>0</v>
      </c>
      <c r="AX534" s="80" t="s">
        <v>7173</v>
      </c>
      <c r="AY534" s="84" t="str">
        <f>HYPERLINK("https://twitter.com/hgberry")</f>
        <v>https://twitter.com/hgberry</v>
      </c>
      <c r="AZ534" s="80" t="s">
        <v>66</v>
      </c>
      <c r="BA534" s="2"/>
      <c r="BB534" s="3"/>
      <c r="BC534" s="3"/>
      <c r="BD534" s="3"/>
      <c r="BE534" s="3"/>
    </row>
    <row r="535" spans="1:57" x14ac:dyDescent="0.35">
      <c r="A535" s="66" t="s">
        <v>660</v>
      </c>
      <c r="B535" s="67"/>
      <c r="C535" s="67"/>
      <c r="D535" s="68"/>
      <c r="E535" s="70"/>
      <c r="F535" s="106" t="str">
        <f>HYPERLINK("https://pbs.twimg.com/profile_images/1353698165237575681/vbmFAeA6_normal.jpg")</f>
        <v>https://pbs.twimg.com/profile_images/1353698165237575681/vbmFAeA6_normal.jpg</v>
      </c>
      <c r="G535" s="67"/>
      <c r="H535" s="71"/>
      <c r="I535" s="72"/>
      <c r="J535" s="72"/>
      <c r="K535" s="71" t="s">
        <v>7705</v>
      </c>
      <c r="L535" s="75"/>
      <c r="M535" s="76"/>
      <c r="N535" s="76"/>
      <c r="O535" s="77"/>
      <c r="P535" s="78"/>
      <c r="Q535" s="78"/>
      <c r="R535" s="90"/>
      <c r="S535" s="90"/>
      <c r="T535" s="90"/>
      <c r="U535" s="90"/>
      <c r="V535" s="52"/>
      <c r="W535" s="52"/>
      <c r="X535" s="52"/>
      <c r="Y535" s="52"/>
      <c r="Z535" s="51"/>
      <c r="AA535" s="73"/>
      <c r="AB535" s="73"/>
      <c r="AC535" s="74"/>
      <c r="AD535" s="80" t="s">
        <v>4709</v>
      </c>
      <c r="AE535" s="86" t="s">
        <v>5607</v>
      </c>
      <c r="AF535" s="80">
        <v>375</v>
      </c>
      <c r="AG535" s="80">
        <v>78</v>
      </c>
      <c r="AH535" s="80">
        <v>1387</v>
      </c>
      <c r="AI535" s="80">
        <v>5626</v>
      </c>
      <c r="AJ535" s="80"/>
      <c r="AK535" s="80"/>
      <c r="AL535" s="80"/>
      <c r="AM535" s="80"/>
      <c r="AN535" s="80"/>
      <c r="AO535" s="82">
        <v>41881.411203703705</v>
      </c>
      <c r="AP535" s="84" t="str">
        <f>HYPERLINK("https://pbs.twimg.com/profile_banners/2780349457/1459078362")</f>
        <v>https://pbs.twimg.com/profile_banners/2780349457/1459078362</v>
      </c>
      <c r="AQ535" s="80" t="b">
        <v>1</v>
      </c>
      <c r="AR535" s="80" t="b">
        <v>0</v>
      </c>
      <c r="AS535" s="80" t="b">
        <v>1</v>
      </c>
      <c r="AT535" s="80"/>
      <c r="AU535" s="80">
        <v>0</v>
      </c>
      <c r="AV535" s="84" t="str">
        <f>HYPERLINK("https://abs.twimg.com/images/themes/theme1/bg.png")</f>
        <v>https://abs.twimg.com/images/themes/theme1/bg.png</v>
      </c>
      <c r="AW535" s="80" t="b">
        <v>0</v>
      </c>
      <c r="AX535" s="80" t="s">
        <v>7173</v>
      </c>
      <c r="AY535" s="84" t="str">
        <f>HYPERLINK("https://twitter.com/sigitwaluyo02")</f>
        <v>https://twitter.com/sigitwaluyo02</v>
      </c>
      <c r="AZ535" s="80" t="s">
        <v>66</v>
      </c>
      <c r="BA535" s="2"/>
      <c r="BB535" s="3"/>
      <c r="BC535" s="3"/>
      <c r="BD535" s="3"/>
      <c r="BE535" s="3"/>
    </row>
    <row r="536" spans="1:57" x14ac:dyDescent="0.35">
      <c r="A536" s="66" t="s">
        <v>661</v>
      </c>
      <c r="B536" s="67"/>
      <c r="C536" s="67"/>
      <c r="D536" s="68"/>
      <c r="E536" s="70"/>
      <c r="F536" s="106" t="str">
        <f>HYPERLINK("https://pbs.twimg.com/profile_images/1401470296989716484/qiFTWj-P_normal.jpg")</f>
        <v>https://pbs.twimg.com/profile_images/1401470296989716484/qiFTWj-P_normal.jpg</v>
      </c>
      <c r="G536" s="67"/>
      <c r="H536" s="71"/>
      <c r="I536" s="72"/>
      <c r="J536" s="72"/>
      <c r="K536" s="71" t="s">
        <v>7706</v>
      </c>
      <c r="L536" s="75"/>
      <c r="M536" s="76"/>
      <c r="N536" s="76"/>
      <c r="O536" s="77"/>
      <c r="P536" s="78"/>
      <c r="Q536" s="78"/>
      <c r="R536" s="90"/>
      <c r="S536" s="90"/>
      <c r="T536" s="90"/>
      <c r="U536" s="90"/>
      <c r="V536" s="52"/>
      <c r="W536" s="52"/>
      <c r="X536" s="52"/>
      <c r="Y536" s="52"/>
      <c r="Z536" s="51"/>
      <c r="AA536" s="73"/>
      <c r="AB536" s="73"/>
      <c r="AC536" s="74"/>
      <c r="AD536" s="80" t="s">
        <v>4710</v>
      </c>
      <c r="AE536" s="86" t="s">
        <v>5608</v>
      </c>
      <c r="AF536" s="80">
        <v>5000</v>
      </c>
      <c r="AG536" s="80">
        <v>2213</v>
      </c>
      <c r="AH536" s="80">
        <v>109787</v>
      </c>
      <c r="AI536" s="80">
        <v>146603</v>
      </c>
      <c r="AJ536" s="80"/>
      <c r="AK536" s="80" t="s">
        <v>6364</v>
      </c>
      <c r="AL536" s="80" t="s">
        <v>6779</v>
      </c>
      <c r="AM536" s="80"/>
      <c r="AN536" s="80"/>
      <c r="AO536" s="82">
        <v>42580.672152777777</v>
      </c>
      <c r="AP536" s="84" t="str">
        <f>HYPERLINK("https://pbs.twimg.com/profile_banners/759057872982384640/1622972035")</f>
        <v>https://pbs.twimg.com/profile_banners/759057872982384640/1622972035</v>
      </c>
      <c r="AQ536" s="80" t="b">
        <v>1</v>
      </c>
      <c r="AR536" s="80" t="b">
        <v>0</v>
      </c>
      <c r="AS536" s="80" t="b">
        <v>0</v>
      </c>
      <c r="AT536" s="80"/>
      <c r="AU536" s="80">
        <v>0</v>
      </c>
      <c r="AV536" s="80"/>
      <c r="AW536" s="80" t="b">
        <v>0</v>
      </c>
      <c r="AX536" s="80" t="s">
        <v>7173</v>
      </c>
      <c r="AY536" s="84" t="str">
        <f>HYPERLINK("https://twitter.com/darmalik3")</f>
        <v>https://twitter.com/darmalik3</v>
      </c>
      <c r="AZ536" s="80" t="s">
        <v>66</v>
      </c>
      <c r="BA536" s="2"/>
      <c r="BB536" s="3"/>
      <c r="BC536" s="3"/>
      <c r="BD536" s="3"/>
      <c r="BE536" s="3"/>
    </row>
    <row r="537" spans="1:57" x14ac:dyDescent="0.35">
      <c r="A537" s="66" t="s">
        <v>662</v>
      </c>
      <c r="B537" s="67"/>
      <c r="C537" s="67"/>
      <c r="D537" s="68"/>
      <c r="E537" s="70"/>
      <c r="F537" s="106" t="str">
        <f>HYPERLINK("https://pbs.twimg.com/profile_images/1396441366121517059/gHT0PtnF_normal.jpg")</f>
        <v>https://pbs.twimg.com/profile_images/1396441366121517059/gHT0PtnF_normal.jpg</v>
      </c>
      <c r="G537" s="67"/>
      <c r="H537" s="71"/>
      <c r="I537" s="72"/>
      <c r="J537" s="72"/>
      <c r="K537" s="71" t="s">
        <v>7707</v>
      </c>
      <c r="L537" s="75"/>
      <c r="M537" s="76"/>
      <c r="N537" s="76"/>
      <c r="O537" s="77"/>
      <c r="P537" s="78"/>
      <c r="Q537" s="78"/>
      <c r="R537" s="90"/>
      <c r="S537" s="90"/>
      <c r="T537" s="90"/>
      <c r="U537" s="90"/>
      <c r="V537" s="52"/>
      <c r="W537" s="52"/>
      <c r="X537" s="52"/>
      <c r="Y537" s="52"/>
      <c r="Z537" s="51"/>
      <c r="AA537" s="73"/>
      <c r="AB537" s="73"/>
      <c r="AC537" s="74"/>
      <c r="AD537" s="80" t="s">
        <v>4711</v>
      </c>
      <c r="AE537" s="86" t="s">
        <v>5609</v>
      </c>
      <c r="AF537" s="80">
        <v>2269</v>
      </c>
      <c r="AG537" s="80">
        <v>2386</v>
      </c>
      <c r="AH537" s="80">
        <v>29041</v>
      </c>
      <c r="AI537" s="80">
        <v>49436</v>
      </c>
      <c r="AJ537" s="80"/>
      <c r="AK537" s="80" t="s">
        <v>6365</v>
      </c>
      <c r="AL537" s="80" t="s">
        <v>6973</v>
      </c>
      <c r="AM537" s="80"/>
      <c r="AN537" s="80"/>
      <c r="AO537" s="82">
        <v>41691.48537037037</v>
      </c>
      <c r="AP537" s="80"/>
      <c r="AQ537" s="80" t="b">
        <v>0</v>
      </c>
      <c r="AR537" s="80" t="b">
        <v>0</v>
      </c>
      <c r="AS537" s="80" t="b">
        <v>1</v>
      </c>
      <c r="AT537" s="80"/>
      <c r="AU537" s="80">
        <v>0</v>
      </c>
      <c r="AV537" s="84" t="str">
        <f>HYPERLINK("https://abs.twimg.com/images/themes/theme1/bg.png")</f>
        <v>https://abs.twimg.com/images/themes/theme1/bg.png</v>
      </c>
      <c r="AW537" s="80" t="b">
        <v>0</v>
      </c>
      <c r="AX537" s="80" t="s">
        <v>7173</v>
      </c>
      <c r="AY537" s="84" t="str">
        <f>HYPERLINK("https://twitter.com/kangawi1")</f>
        <v>https://twitter.com/kangawi1</v>
      </c>
      <c r="AZ537" s="80" t="s">
        <v>66</v>
      </c>
      <c r="BA537" s="2"/>
      <c r="BB537" s="3"/>
      <c r="BC537" s="3"/>
      <c r="BD537" s="3"/>
      <c r="BE537" s="3"/>
    </row>
    <row r="538" spans="1:57" x14ac:dyDescent="0.35">
      <c r="A538" s="66" t="s">
        <v>663</v>
      </c>
      <c r="B538" s="67"/>
      <c r="C538" s="67"/>
      <c r="D538" s="68"/>
      <c r="E538" s="70"/>
      <c r="F538" s="106" t="str">
        <f>HYPERLINK("https://pbs.twimg.com/profile_images/1138309120719634432/vAhfyOGC_normal.jpg")</f>
        <v>https://pbs.twimg.com/profile_images/1138309120719634432/vAhfyOGC_normal.jpg</v>
      </c>
      <c r="G538" s="67"/>
      <c r="H538" s="71"/>
      <c r="I538" s="72"/>
      <c r="J538" s="72"/>
      <c r="K538" s="71" t="s">
        <v>7708</v>
      </c>
      <c r="L538" s="75"/>
      <c r="M538" s="76"/>
      <c r="N538" s="76"/>
      <c r="O538" s="77"/>
      <c r="P538" s="78"/>
      <c r="Q538" s="78"/>
      <c r="R538" s="90"/>
      <c r="S538" s="90"/>
      <c r="T538" s="90"/>
      <c r="U538" s="90"/>
      <c r="V538" s="52"/>
      <c r="W538" s="52"/>
      <c r="X538" s="52"/>
      <c r="Y538" s="52"/>
      <c r="Z538" s="51"/>
      <c r="AA538" s="73"/>
      <c r="AB538" s="73"/>
      <c r="AC538" s="74"/>
      <c r="AD538" s="80" t="s">
        <v>4712</v>
      </c>
      <c r="AE538" s="86" t="s">
        <v>5610</v>
      </c>
      <c r="AF538" s="80">
        <v>406</v>
      </c>
      <c r="AG538" s="80">
        <v>39</v>
      </c>
      <c r="AH538" s="80">
        <v>253</v>
      </c>
      <c r="AI538" s="80">
        <v>1973</v>
      </c>
      <c r="AJ538" s="80"/>
      <c r="AK538" s="80"/>
      <c r="AL538" s="80"/>
      <c r="AM538" s="80"/>
      <c r="AN538" s="80"/>
      <c r="AO538" s="82">
        <v>40190.388194444444</v>
      </c>
      <c r="AP538" s="80"/>
      <c r="AQ538" s="80" t="b">
        <v>1</v>
      </c>
      <c r="AR538" s="80" t="b">
        <v>0</v>
      </c>
      <c r="AS538" s="80" t="b">
        <v>0</v>
      </c>
      <c r="AT538" s="80"/>
      <c r="AU538" s="80">
        <v>0</v>
      </c>
      <c r="AV538" s="84" t="str">
        <f>HYPERLINK("https://abs.twimg.com/images/themes/theme1/bg.png")</f>
        <v>https://abs.twimg.com/images/themes/theme1/bg.png</v>
      </c>
      <c r="AW538" s="80" t="b">
        <v>0</v>
      </c>
      <c r="AX538" s="80" t="s">
        <v>7173</v>
      </c>
      <c r="AY538" s="84" t="str">
        <f>HYPERLINK("https://twitter.com/rudy_setyo")</f>
        <v>https://twitter.com/rudy_setyo</v>
      </c>
      <c r="AZ538" s="80" t="s">
        <v>66</v>
      </c>
      <c r="BA538" s="2"/>
      <c r="BB538" s="3"/>
      <c r="BC538" s="3"/>
      <c r="BD538" s="3"/>
      <c r="BE538" s="3"/>
    </row>
    <row r="539" spans="1:57" x14ac:dyDescent="0.35">
      <c r="A539" s="66" t="s">
        <v>664</v>
      </c>
      <c r="B539" s="67"/>
      <c r="C539" s="67"/>
      <c r="D539" s="68"/>
      <c r="E539" s="70"/>
      <c r="F539" s="106" t="str">
        <f>HYPERLINK("https://pbs.twimg.com/profile_images/1426869025867399169/WFY0XvMG_normal.jpg")</f>
        <v>https://pbs.twimg.com/profile_images/1426869025867399169/WFY0XvMG_normal.jpg</v>
      </c>
      <c r="G539" s="67"/>
      <c r="H539" s="71"/>
      <c r="I539" s="72"/>
      <c r="J539" s="72"/>
      <c r="K539" s="71" t="s">
        <v>7709</v>
      </c>
      <c r="L539" s="75"/>
      <c r="M539" s="76"/>
      <c r="N539" s="76"/>
      <c r="O539" s="77"/>
      <c r="P539" s="78"/>
      <c r="Q539" s="78"/>
      <c r="R539" s="90"/>
      <c r="S539" s="90"/>
      <c r="T539" s="90"/>
      <c r="U539" s="90"/>
      <c r="V539" s="52"/>
      <c r="W539" s="52"/>
      <c r="X539" s="52"/>
      <c r="Y539" s="52"/>
      <c r="Z539" s="51"/>
      <c r="AA539" s="73"/>
      <c r="AB539" s="73"/>
      <c r="AC539" s="74"/>
      <c r="AD539" s="80" t="s">
        <v>4713</v>
      </c>
      <c r="AE539" s="86" t="s">
        <v>5611</v>
      </c>
      <c r="AF539" s="80">
        <v>657</v>
      </c>
      <c r="AG539" s="80">
        <v>622</v>
      </c>
      <c r="AH539" s="80">
        <v>42</v>
      </c>
      <c r="AI539" s="80">
        <v>83</v>
      </c>
      <c r="AJ539" s="80"/>
      <c r="AK539" s="80" t="s">
        <v>6366</v>
      </c>
      <c r="AL539" s="80"/>
      <c r="AM539" s="80"/>
      <c r="AN539" s="80"/>
      <c r="AO539" s="82">
        <v>44423.469537037039</v>
      </c>
      <c r="AP539" s="80"/>
      <c r="AQ539" s="80" t="b">
        <v>1</v>
      </c>
      <c r="AR539" s="80" t="b">
        <v>0</v>
      </c>
      <c r="AS539" s="80" t="b">
        <v>0</v>
      </c>
      <c r="AT539" s="80"/>
      <c r="AU539" s="80">
        <v>0</v>
      </c>
      <c r="AV539" s="80"/>
      <c r="AW539" s="80" t="b">
        <v>0</v>
      </c>
      <c r="AX539" s="80" t="s">
        <v>7173</v>
      </c>
      <c r="AY539" s="84" t="str">
        <f>HYPERLINK("https://twitter.com/cambah_dele")</f>
        <v>https://twitter.com/cambah_dele</v>
      </c>
      <c r="AZ539" s="80" t="s">
        <v>66</v>
      </c>
      <c r="BA539" s="2"/>
      <c r="BB539" s="3"/>
      <c r="BC539" s="3"/>
      <c r="BD539" s="3"/>
      <c r="BE539" s="3"/>
    </row>
    <row r="540" spans="1:57" x14ac:dyDescent="0.35">
      <c r="A540" s="66" t="s">
        <v>665</v>
      </c>
      <c r="B540" s="67"/>
      <c r="C540" s="67"/>
      <c r="D540" s="68"/>
      <c r="E540" s="70"/>
      <c r="F540" s="106" t="str">
        <f>HYPERLINK("https://pbs.twimg.com/profile_images/1356402267331596288/ckxlm8oN_normal.jpg")</f>
        <v>https://pbs.twimg.com/profile_images/1356402267331596288/ckxlm8oN_normal.jpg</v>
      </c>
      <c r="G540" s="67"/>
      <c r="H540" s="71"/>
      <c r="I540" s="72"/>
      <c r="J540" s="72"/>
      <c r="K540" s="71" t="s">
        <v>7710</v>
      </c>
      <c r="L540" s="75"/>
      <c r="M540" s="76"/>
      <c r="N540" s="76"/>
      <c r="O540" s="77"/>
      <c r="P540" s="78"/>
      <c r="Q540" s="78"/>
      <c r="R540" s="90"/>
      <c r="S540" s="90"/>
      <c r="T540" s="90"/>
      <c r="U540" s="90"/>
      <c r="V540" s="52"/>
      <c r="W540" s="52"/>
      <c r="X540" s="52"/>
      <c r="Y540" s="52"/>
      <c r="Z540" s="51"/>
      <c r="AA540" s="73"/>
      <c r="AB540" s="73"/>
      <c r="AC540" s="74"/>
      <c r="AD540" s="80" t="s">
        <v>4714</v>
      </c>
      <c r="AE540" s="86" t="s">
        <v>5612</v>
      </c>
      <c r="AF540" s="80">
        <v>1128</v>
      </c>
      <c r="AG540" s="80">
        <v>584</v>
      </c>
      <c r="AH540" s="80">
        <v>2463</v>
      </c>
      <c r="AI540" s="80">
        <v>3199</v>
      </c>
      <c r="AJ540" s="80"/>
      <c r="AK540" s="80" t="s">
        <v>6367</v>
      </c>
      <c r="AL540" s="80" t="s">
        <v>4145</v>
      </c>
      <c r="AM540" s="80"/>
      <c r="AN540" s="80"/>
      <c r="AO540" s="82">
        <v>41163.445856481485</v>
      </c>
      <c r="AP540" s="84" t="str">
        <f>HYPERLINK("https://pbs.twimg.com/profile_banners/817160478/1612226546")</f>
        <v>https://pbs.twimg.com/profile_banners/817160478/1612226546</v>
      </c>
      <c r="AQ540" s="80" t="b">
        <v>0</v>
      </c>
      <c r="AR540" s="80" t="b">
        <v>0</v>
      </c>
      <c r="AS540" s="80" t="b">
        <v>0</v>
      </c>
      <c r="AT540" s="80"/>
      <c r="AU540" s="80">
        <v>1</v>
      </c>
      <c r="AV540" s="84" t="str">
        <f>HYPERLINK("https://abs.twimg.com/images/themes/theme1/bg.png")</f>
        <v>https://abs.twimg.com/images/themes/theme1/bg.png</v>
      </c>
      <c r="AW540" s="80" t="b">
        <v>0</v>
      </c>
      <c r="AX540" s="80" t="s">
        <v>7173</v>
      </c>
      <c r="AY540" s="84" t="str">
        <f>HYPERLINK("https://twitter.com/bahronialmansur")</f>
        <v>https://twitter.com/bahronialmansur</v>
      </c>
      <c r="AZ540" s="80" t="s">
        <v>66</v>
      </c>
      <c r="BA540" s="2"/>
      <c r="BB540" s="3"/>
      <c r="BC540" s="3"/>
      <c r="BD540" s="3"/>
      <c r="BE540" s="3"/>
    </row>
    <row r="541" spans="1:57" x14ac:dyDescent="0.35">
      <c r="A541" s="66" t="s">
        <v>699</v>
      </c>
      <c r="B541" s="67"/>
      <c r="C541" s="67"/>
      <c r="D541" s="68"/>
      <c r="E541" s="70"/>
      <c r="F541" s="106" t="str">
        <f>HYPERLINK("https://pbs.twimg.com/profile_images/1276329192200650752/fOKQ7xUj_normal.jpg")</f>
        <v>https://pbs.twimg.com/profile_images/1276329192200650752/fOKQ7xUj_normal.jpg</v>
      </c>
      <c r="G541" s="67"/>
      <c r="H541" s="71"/>
      <c r="I541" s="72"/>
      <c r="J541" s="72"/>
      <c r="K541" s="71" t="s">
        <v>7711</v>
      </c>
      <c r="L541" s="75"/>
      <c r="M541" s="76"/>
      <c r="N541" s="76"/>
      <c r="O541" s="77"/>
      <c r="P541" s="78"/>
      <c r="Q541" s="78"/>
      <c r="R541" s="90"/>
      <c r="S541" s="90"/>
      <c r="T541" s="90"/>
      <c r="U541" s="90"/>
      <c r="V541" s="52"/>
      <c r="W541" s="52"/>
      <c r="X541" s="52"/>
      <c r="Y541" s="52"/>
      <c r="Z541" s="51"/>
      <c r="AA541" s="73"/>
      <c r="AB541" s="73"/>
      <c r="AC541" s="74"/>
      <c r="AD541" s="80" t="s">
        <v>4715</v>
      </c>
      <c r="AE541" s="86" t="s">
        <v>5613</v>
      </c>
      <c r="AF541" s="80">
        <v>294</v>
      </c>
      <c r="AG541" s="80">
        <v>1516</v>
      </c>
      <c r="AH541" s="80">
        <v>3586</v>
      </c>
      <c r="AI541" s="80">
        <v>5308</v>
      </c>
      <c r="AJ541" s="80"/>
      <c r="AK541" s="80" t="s">
        <v>6368</v>
      </c>
      <c r="AL541" s="80" t="s">
        <v>6814</v>
      </c>
      <c r="AM541" s="84" t="str">
        <f>HYPERLINK("https://t.co/qGN3S4hHAi")</f>
        <v>https://t.co/qGN3S4hHAi</v>
      </c>
      <c r="AN541" s="80"/>
      <c r="AO541" s="82">
        <v>42501.411805555559</v>
      </c>
      <c r="AP541" s="84" t="str">
        <f>HYPERLINK("https://pbs.twimg.com/profile_banners/730334887358566400/1561512206")</f>
        <v>https://pbs.twimg.com/profile_banners/730334887358566400/1561512206</v>
      </c>
      <c r="AQ541" s="80" t="b">
        <v>1</v>
      </c>
      <c r="AR541" s="80" t="b">
        <v>0</v>
      </c>
      <c r="AS541" s="80" t="b">
        <v>1</v>
      </c>
      <c r="AT541" s="80"/>
      <c r="AU541" s="80">
        <v>2</v>
      </c>
      <c r="AV541" s="80"/>
      <c r="AW541" s="80" t="b">
        <v>0</v>
      </c>
      <c r="AX541" s="80" t="s">
        <v>7173</v>
      </c>
      <c r="AY541" s="84" t="str">
        <f>HYPERLINK("https://twitter.com/karantinapriok")</f>
        <v>https://twitter.com/karantinapriok</v>
      </c>
      <c r="AZ541" s="80" t="s">
        <v>66</v>
      </c>
      <c r="BA541" s="2"/>
      <c r="BB541" s="3"/>
      <c r="BC541" s="3"/>
      <c r="BD541" s="3"/>
      <c r="BE541" s="3"/>
    </row>
    <row r="542" spans="1:57" x14ac:dyDescent="0.35">
      <c r="A542" s="66" t="s">
        <v>666</v>
      </c>
      <c r="B542" s="67"/>
      <c r="C542" s="67"/>
      <c r="D542" s="68"/>
      <c r="E542" s="70"/>
      <c r="F542" s="106" t="str">
        <f>HYPERLINK("https://pbs.twimg.com/profile_images/1141998351358894080/azS52HW5_normal.jpg")</f>
        <v>https://pbs.twimg.com/profile_images/1141998351358894080/azS52HW5_normal.jpg</v>
      </c>
      <c r="G542" s="67"/>
      <c r="H542" s="71"/>
      <c r="I542" s="72"/>
      <c r="J542" s="72"/>
      <c r="K542" s="71" t="s">
        <v>7712</v>
      </c>
      <c r="L542" s="75"/>
      <c r="M542" s="76"/>
      <c r="N542" s="76"/>
      <c r="O542" s="77"/>
      <c r="P542" s="78"/>
      <c r="Q542" s="78"/>
      <c r="R542" s="90"/>
      <c r="S542" s="90"/>
      <c r="T542" s="90"/>
      <c r="U542" s="90"/>
      <c r="V542" s="52"/>
      <c r="W542" s="52"/>
      <c r="X542" s="52"/>
      <c r="Y542" s="52"/>
      <c r="Z542" s="51"/>
      <c r="AA542" s="73"/>
      <c r="AB542" s="73"/>
      <c r="AC542" s="74"/>
      <c r="AD542" s="80" t="s">
        <v>4716</v>
      </c>
      <c r="AE542" s="86" t="s">
        <v>5614</v>
      </c>
      <c r="AF542" s="80">
        <v>16</v>
      </c>
      <c r="AG542" s="80">
        <v>251</v>
      </c>
      <c r="AH542" s="80">
        <v>814</v>
      </c>
      <c r="AI542" s="80">
        <v>3</v>
      </c>
      <c r="AJ542" s="80"/>
      <c r="AK542" s="80" t="s">
        <v>6369</v>
      </c>
      <c r="AL542" s="80" t="s">
        <v>6974</v>
      </c>
      <c r="AM542" s="84" t="str">
        <f>HYPERLINK("https://t.co/2hL4qqMJcK")</f>
        <v>https://t.co/2hL4qqMJcK</v>
      </c>
      <c r="AN542" s="80"/>
      <c r="AO542" s="82">
        <v>42123.059710648151</v>
      </c>
      <c r="AP542" s="84" t="str">
        <f>HYPERLINK("https://pbs.twimg.com/profile_banners/3178765945/1632215714")</f>
        <v>https://pbs.twimg.com/profile_banners/3178765945/1632215714</v>
      </c>
      <c r="AQ542" s="80" t="b">
        <v>0</v>
      </c>
      <c r="AR542" s="80" t="b">
        <v>0</v>
      </c>
      <c r="AS542" s="80" t="b">
        <v>1</v>
      </c>
      <c r="AT542" s="80"/>
      <c r="AU542" s="80">
        <v>0</v>
      </c>
      <c r="AV542" s="84" t="str">
        <f>HYPERLINK("https://abs.twimg.com/images/themes/theme1/bg.png")</f>
        <v>https://abs.twimg.com/images/themes/theme1/bg.png</v>
      </c>
      <c r="AW542" s="80" t="b">
        <v>0</v>
      </c>
      <c r="AX542" s="80" t="s">
        <v>7173</v>
      </c>
      <c r="AY542" s="84" t="str">
        <f>HYPERLINK("https://twitter.com/pajakblampung1")</f>
        <v>https://twitter.com/pajakblampung1</v>
      </c>
      <c r="AZ542" s="80" t="s">
        <v>66</v>
      </c>
      <c r="BA542" s="2"/>
      <c r="BB542" s="3"/>
      <c r="BC542" s="3"/>
      <c r="BD542" s="3"/>
      <c r="BE542" s="3"/>
    </row>
    <row r="543" spans="1:57" x14ac:dyDescent="0.35">
      <c r="A543" s="66" t="s">
        <v>1077</v>
      </c>
      <c r="B543" s="67"/>
      <c r="C543" s="67"/>
      <c r="D543" s="68"/>
      <c r="E543" s="70"/>
      <c r="F543" s="106" t="str">
        <f>HYPERLINK("https://pbs.twimg.com/profile_images/331628642/iu_1097_ERER_normal.jpg")</f>
        <v>https://pbs.twimg.com/profile_images/331628642/iu_1097_ERER_normal.jpg</v>
      </c>
      <c r="G543" s="67"/>
      <c r="H543" s="71"/>
      <c r="I543" s="72"/>
      <c r="J543" s="72"/>
      <c r="K543" s="71" t="s">
        <v>7713</v>
      </c>
      <c r="L543" s="75"/>
      <c r="M543" s="76"/>
      <c r="N543" s="76"/>
      <c r="O543" s="77"/>
      <c r="P543" s="78"/>
      <c r="Q543" s="78"/>
      <c r="R543" s="90"/>
      <c r="S543" s="90"/>
      <c r="T543" s="90"/>
      <c r="U543" s="90"/>
      <c r="V543" s="52"/>
      <c r="W543" s="52"/>
      <c r="X543" s="52"/>
      <c r="Y543" s="52"/>
      <c r="Z543" s="51"/>
      <c r="AA543" s="73"/>
      <c r="AB543" s="73"/>
      <c r="AC543" s="74"/>
      <c r="AD543" s="80" t="s">
        <v>4717</v>
      </c>
      <c r="AE543" s="86" t="s">
        <v>5615</v>
      </c>
      <c r="AF543" s="80">
        <v>32</v>
      </c>
      <c r="AG543" s="80">
        <v>7</v>
      </c>
      <c r="AH543" s="80">
        <v>22</v>
      </c>
      <c r="AI543" s="80">
        <v>0</v>
      </c>
      <c r="AJ543" s="80"/>
      <c r="AK543" s="80" t="s">
        <v>6370</v>
      </c>
      <c r="AL543" s="80" t="s">
        <v>6775</v>
      </c>
      <c r="AM543" s="80"/>
      <c r="AN543" s="80"/>
      <c r="AO543" s="82">
        <v>40018.562731481485</v>
      </c>
      <c r="AP543" s="80"/>
      <c r="AQ543" s="80" t="b">
        <v>0</v>
      </c>
      <c r="AR543" s="80" t="b">
        <v>0</v>
      </c>
      <c r="AS543" s="80" t="b">
        <v>0</v>
      </c>
      <c r="AT543" s="80"/>
      <c r="AU543" s="80">
        <v>0</v>
      </c>
      <c r="AV543" s="84" t="str">
        <f>HYPERLINK("https://abs.twimg.com/images/themes/theme2/bg.gif")</f>
        <v>https://abs.twimg.com/images/themes/theme2/bg.gif</v>
      </c>
      <c r="AW543" s="80" t="b">
        <v>0</v>
      </c>
      <c r="AX543" s="80" t="s">
        <v>7173</v>
      </c>
      <c r="AY543" s="84" t="str">
        <f>HYPERLINK("https://twitter.com/peniti")</f>
        <v>https://twitter.com/peniti</v>
      </c>
      <c r="AZ543" s="80" t="s">
        <v>65</v>
      </c>
      <c r="BA543" s="2"/>
      <c r="BB543" s="3"/>
      <c r="BC543" s="3"/>
      <c r="BD543" s="3"/>
      <c r="BE543" s="3"/>
    </row>
    <row r="544" spans="1:57" x14ac:dyDescent="0.35">
      <c r="A544" s="66" t="s">
        <v>667</v>
      </c>
      <c r="B544" s="67"/>
      <c r="C544" s="67"/>
      <c r="D544" s="68"/>
      <c r="E544" s="70"/>
      <c r="F544" s="106" t="str">
        <f>HYPERLINK("https://pbs.twimg.com/profile_images/1374294998141661190/pA4iDAL1_normal.jpg")</f>
        <v>https://pbs.twimg.com/profile_images/1374294998141661190/pA4iDAL1_normal.jpg</v>
      </c>
      <c r="G544" s="67"/>
      <c r="H544" s="71"/>
      <c r="I544" s="72"/>
      <c r="J544" s="72"/>
      <c r="K544" s="71" t="s">
        <v>7714</v>
      </c>
      <c r="L544" s="75"/>
      <c r="M544" s="76"/>
      <c r="N544" s="76"/>
      <c r="O544" s="77"/>
      <c r="P544" s="78"/>
      <c r="Q544" s="78"/>
      <c r="R544" s="90"/>
      <c r="S544" s="90"/>
      <c r="T544" s="90"/>
      <c r="U544" s="90"/>
      <c r="V544" s="52"/>
      <c r="W544" s="52"/>
      <c r="X544" s="52"/>
      <c r="Y544" s="52"/>
      <c r="Z544" s="51"/>
      <c r="AA544" s="73"/>
      <c r="AB544" s="73"/>
      <c r="AC544" s="74"/>
      <c r="AD544" s="80" t="s">
        <v>4718</v>
      </c>
      <c r="AE544" s="86" t="s">
        <v>5616</v>
      </c>
      <c r="AF544" s="80">
        <v>168</v>
      </c>
      <c r="AG544" s="80">
        <v>382</v>
      </c>
      <c r="AH544" s="80">
        <v>654</v>
      </c>
      <c r="AI544" s="80">
        <v>412</v>
      </c>
      <c r="AJ544" s="80"/>
      <c r="AK544" s="80"/>
      <c r="AL544" s="80"/>
      <c r="AM544" s="80"/>
      <c r="AN544" s="80"/>
      <c r="AO544" s="82">
        <v>41442.189062500001</v>
      </c>
      <c r="AP544" s="84" t="str">
        <f>HYPERLINK("https://pbs.twimg.com/profile_banners/1523935057/1609752918")</f>
        <v>https://pbs.twimg.com/profile_banners/1523935057/1609752918</v>
      </c>
      <c r="AQ544" s="80" t="b">
        <v>1</v>
      </c>
      <c r="AR544" s="80" t="b">
        <v>0</v>
      </c>
      <c r="AS544" s="80" t="b">
        <v>0</v>
      </c>
      <c r="AT544" s="80"/>
      <c r="AU544" s="80">
        <v>0</v>
      </c>
      <c r="AV544" s="84" t="str">
        <f>HYPERLINK("https://abs.twimg.com/images/themes/theme1/bg.png")</f>
        <v>https://abs.twimg.com/images/themes/theme1/bg.png</v>
      </c>
      <c r="AW544" s="80" t="b">
        <v>0</v>
      </c>
      <c r="AX544" s="80" t="s">
        <v>7173</v>
      </c>
      <c r="AY544" s="84" t="str">
        <f>HYPERLINK("https://twitter.com/dzeko_dimas")</f>
        <v>https://twitter.com/dzeko_dimas</v>
      </c>
      <c r="AZ544" s="80" t="s">
        <v>66</v>
      </c>
      <c r="BA544" s="2"/>
      <c r="BB544" s="3"/>
      <c r="BC544" s="3"/>
      <c r="BD544" s="3"/>
      <c r="BE544" s="3"/>
    </row>
    <row r="545" spans="1:57" x14ac:dyDescent="0.35">
      <c r="A545" s="66" t="s">
        <v>668</v>
      </c>
      <c r="B545" s="67"/>
      <c r="C545" s="67"/>
      <c r="D545" s="68"/>
      <c r="E545" s="70"/>
      <c r="F545" s="106" t="str">
        <f>HYPERLINK("https://pbs.twimg.com/profile_images/1019063571206922243/0n9EquRK_normal.jpg")</f>
        <v>https://pbs.twimg.com/profile_images/1019063571206922243/0n9EquRK_normal.jpg</v>
      </c>
      <c r="G545" s="67"/>
      <c r="H545" s="71"/>
      <c r="I545" s="72"/>
      <c r="J545" s="72"/>
      <c r="K545" s="71" t="s">
        <v>7715</v>
      </c>
      <c r="L545" s="75"/>
      <c r="M545" s="76"/>
      <c r="N545" s="76"/>
      <c r="O545" s="77"/>
      <c r="P545" s="78"/>
      <c r="Q545" s="78"/>
      <c r="R545" s="90"/>
      <c r="S545" s="90"/>
      <c r="T545" s="90"/>
      <c r="U545" s="90"/>
      <c r="V545" s="52"/>
      <c r="W545" s="52"/>
      <c r="X545" s="52"/>
      <c r="Y545" s="52"/>
      <c r="Z545" s="51"/>
      <c r="AA545" s="73"/>
      <c r="AB545" s="73"/>
      <c r="AC545" s="74"/>
      <c r="AD545" s="80" t="s">
        <v>4719</v>
      </c>
      <c r="AE545" s="86" t="s">
        <v>3954</v>
      </c>
      <c r="AF545" s="80">
        <v>170</v>
      </c>
      <c r="AG545" s="80">
        <v>420</v>
      </c>
      <c r="AH545" s="80">
        <v>371</v>
      </c>
      <c r="AI545" s="80">
        <v>16</v>
      </c>
      <c r="AJ545" s="80"/>
      <c r="AK545" s="80" t="s">
        <v>6371</v>
      </c>
      <c r="AL545" s="80" t="s">
        <v>6975</v>
      </c>
      <c r="AM545" s="84" t="str">
        <f>HYPERLINK("https://t.co/BquMmVxW6D")</f>
        <v>https://t.co/BquMmVxW6D</v>
      </c>
      <c r="AN545" s="80"/>
      <c r="AO545" s="82">
        <v>42577.292002314818</v>
      </c>
      <c r="AP545" s="84" t="str">
        <f>HYPERLINK("https://pbs.twimg.com/profile_banners/757832946363400192/1611031561")</f>
        <v>https://pbs.twimg.com/profile_banners/757832946363400192/1611031561</v>
      </c>
      <c r="AQ545" s="80" t="b">
        <v>1</v>
      </c>
      <c r="AR545" s="80" t="b">
        <v>0</v>
      </c>
      <c r="AS545" s="80" t="b">
        <v>0</v>
      </c>
      <c r="AT545" s="80"/>
      <c r="AU545" s="80">
        <v>0</v>
      </c>
      <c r="AV545" s="80"/>
      <c r="AW545" s="80" t="b">
        <v>0</v>
      </c>
      <c r="AX545" s="80" t="s">
        <v>7173</v>
      </c>
      <c r="AY545" s="84" t="str">
        <f>HYPERLINK("https://twitter.com/bcbanjarmasin_")</f>
        <v>https://twitter.com/bcbanjarmasin_</v>
      </c>
      <c r="AZ545" s="80" t="s">
        <v>66</v>
      </c>
      <c r="BA545" s="2"/>
      <c r="BB545" s="3"/>
      <c r="BC545" s="3"/>
      <c r="BD545" s="3"/>
      <c r="BE545" s="3"/>
    </row>
    <row r="546" spans="1:57" x14ac:dyDescent="0.35">
      <c r="A546" s="66" t="s">
        <v>669</v>
      </c>
      <c r="B546" s="67"/>
      <c r="C546" s="67"/>
      <c r="D546" s="68"/>
      <c r="E546" s="70"/>
      <c r="F546" s="106" t="str">
        <f>HYPERLINK("https://pbs.twimg.com/profile_images/753580621885165568/jBxObNDH_normal.jpg")</f>
        <v>https://pbs.twimg.com/profile_images/753580621885165568/jBxObNDH_normal.jpg</v>
      </c>
      <c r="G546" s="67"/>
      <c r="H546" s="71"/>
      <c r="I546" s="72"/>
      <c r="J546" s="72"/>
      <c r="K546" s="71" t="s">
        <v>7716</v>
      </c>
      <c r="L546" s="75"/>
      <c r="M546" s="76"/>
      <c r="N546" s="76"/>
      <c r="O546" s="77"/>
      <c r="P546" s="78"/>
      <c r="Q546" s="78"/>
      <c r="R546" s="90"/>
      <c r="S546" s="90"/>
      <c r="T546" s="90"/>
      <c r="U546" s="90"/>
      <c r="V546" s="52"/>
      <c r="W546" s="52"/>
      <c r="X546" s="52"/>
      <c r="Y546" s="52"/>
      <c r="Z546" s="51"/>
      <c r="AA546" s="73"/>
      <c r="AB546" s="73"/>
      <c r="AC546" s="74"/>
      <c r="AD546" s="80" t="s">
        <v>4720</v>
      </c>
      <c r="AE546" s="86" t="s">
        <v>5617</v>
      </c>
      <c r="AF546" s="80">
        <v>318</v>
      </c>
      <c r="AG546" s="80">
        <v>16</v>
      </c>
      <c r="AH546" s="80">
        <v>35</v>
      </c>
      <c r="AI546" s="80">
        <v>5</v>
      </c>
      <c r="AJ546" s="80"/>
      <c r="AK546" s="80" t="s">
        <v>6372</v>
      </c>
      <c r="AL546" s="80" t="s">
        <v>4145</v>
      </c>
      <c r="AM546" s="84" t="str">
        <f>HYPERLINK("https://t.co/yIAkVCDVSK")</f>
        <v>https://t.co/yIAkVCDVSK</v>
      </c>
      <c r="AN546" s="80"/>
      <c r="AO546" s="82">
        <v>42523.634652777779</v>
      </c>
      <c r="AP546" s="84" t="str">
        <f>HYPERLINK("https://pbs.twimg.com/profile_banners/738388175987441665/1468502689")</f>
        <v>https://pbs.twimg.com/profile_banners/738388175987441665/1468502689</v>
      </c>
      <c r="AQ546" s="80" t="b">
        <v>0</v>
      </c>
      <c r="AR546" s="80" t="b">
        <v>0</v>
      </c>
      <c r="AS546" s="80" t="b">
        <v>0</v>
      </c>
      <c r="AT546" s="80"/>
      <c r="AU546" s="80">
        <v>0</v>
      </c>
      <c r="AV546" s="84" t="str">
        <f>HYPERLINK("https://abs.twimg.com/images/themes/theme1/bg.png")</f>
        <v>https://abs.twimg.com/images/themes/theme1/bg.png</v>
      </c>
      <c r="AW546" s="80" t="b">
        <v>0</v>
      </c>
      <c r="AX546" s="80" t="s">
        <v>7173</v>
      </c>
      <c r="AY546" s="84" t="str">
        <f>HYPERLINK("https://twitter.com/wwahyudi_")</f>
        <v>https://twitter.com/wwahyudi_</v>
      </c>
      <c r="AZ546" s="80" t="s">
        <v>66</v>
      </c>
      <c r="BA546" s="2"/>
      <c r="BB546" s="3"/>
      <c r="BC546" s="3"/>
      <c r="BD546" s="3"/>
      <c r="BE546" s="3"/>
    </row>
    <row r="547" spans="1:57" x14ac:dyDescent="0.35">
      <c r="A547" s="66" t="s">
        <v>670</v>
      </c>
      <c r="B547" s="67"/>
      <c r="C547" s="67"/>
      <c r="D547" s="68"/>
      <c r="E547" s="70"/>
      <c r="F547" s="106" t="str">
        <f>HYPERLINK("https://pbs.twimg.com/profile_images/1037989858801635329/F9damNcg_normal.jpg")</f>
        <v>https://pbs.twimg.com/profile_images/1037989858801635329/F9damNcg_normal.jpg</v>
      </c>
      <c r="G547" s="67"/>
      <c r="H547" s="71"/>
      <c r="I547" s="72"/>
      <c r="J547" s="72"/>
      <c r="K547" s="71" t="s">
        <v>7717</v>
      </c>
      <c r="L547" s="75"/>
      <c r="M547" s="76"/>
      <c r="N547" s="76"/>
      <c r="O547" s="77"/>
      <c r="P547" s="78"/>
      <c r="Q547" s="78"/>
      <c r="R547" s="90"/>
      <c r="S547" s="90"/>
      <c r="T547" s="90"/>
      <c r="U547" s="90"/>
      <c r="V547" s="52"/>
      <c r="W547" s="52"/>
      <c r="X547" s="52"/>
      <c r="Y547" s="52"/>
      <c r="Z547" s="51"/>
      <c r="AA547" s="73"/>
      <c r="AB547" s="73"/>
      <c r="AC547" s="74"/>
      <c r="AD547" s="80" t="s">
        <v>4721</v>
      </c>
      <c r="AE547" s="86" t="s">
        <v>5618</v>
      </c>
      <c r="AF547" s="80">
        <v>1180</v>
      </c>
      <c r="AG547" s="80">
        <v>945</v>
      </c>
      <c r="AH547" s="80">
        <v>38093</v>
      </c>
      <c r="AI547" s="80">
        <v>72917</v>
      </c>
      <c r="AJ547" s="80"/>
      <c r="AK547" s="80" t="s">
        <v>6373</v>
      </c>
      <c r="AL547" s="80" t="s">
        <v>6892</v>
      </c>
      <c r="AM547" s="80"/>
      <c r="AN547" s="80"/>
      <c r="AO547" s="82">
        <v>40107.527418981481</v>
      </c>
      <c r="AP547" s="84" t="str">
        <f>HYPERLINK("https://pbs.twimg.com/profile_banners/84071290/1536135956")</f>
        <v>https://pbs.twimg.com/profile_banners/84071290/1536135956</v>
      </c>
      <c r="AQ547" s="80" t="b">
        <v>0</v>
      </c>
      <c r="AR547" s="80" t="b">
        <v>0</v>
      </c>
      <c r="AS547" s="80" t="b">
        <v>1</v>
      </c>
      <c r="AT547" s="80"/>
      <c r="AU547" s="80">
        <v>0</v>
      </c>
      <c r="AV547" s="84" t="str">
        <f>HYPERLINK("https://abs.twimg.com/images/themes/theme1/bg.png")</f>
        <v>https://abs.twimg.com/images/themes/theme1/bg.png</v>
      </c>
      <c r="AW547" s="80" t="b">
        <v>0</v>
      </c>
      <c r="AX547" s="80" t="s">
        <v>7173</v>
      </c>
      <c r="AY547" s="84" t="str">
        <f>HYPERLINK("https://twitter.com/kangazzev")</f>
        <v>https://twitter.com/kangazzev</v>
      </c>
      <c r="AZ547" s="80" t="s">
        <v>66</v>
      </c>
      <c r="BA547" s="2"/>
      <c r="BB547" s="3"/>
      <c r="BC547" s="3"/>
      <c r="BD547" s="3"/>
      <c r="BE547" s="3"/>
    </row>
    <row r="548" spans="1:57" x14ac:dyDescent="0.35">
      <c r="A548" s="66" t="s">
        <v>671</v>
      </c>
      <c r="B548" s="67"/>
      <c r="C548" s="67"/>
      <c r="D548" s="68"/>
      <c r="E548" s="70"/>
      <c r="F548" s="106" t="str">
        <f>HYPERLINK("https://pbs.twimg.com/profile_images/1059077134067490816/pGo5he-x_normal.jpg")</f>
        <v>https://pbs.twimg.com/profile_images/1059077134067490816/pGo5he-x_normal.jpg</v>
      </c>
      <c r="G548" s="67"/>
      <c r="H548" s="71"/>
      <c r="I548" s="72"/>
      <c r="J548" s="72"/>
      <c r="K548" s="71" t="s">
        <v>7718</v>
      </c>
      <c r="L548" s="75"/>
      <c r="M548" s="76"/>
      <c r="N548" s="76"/>
      <c r="O548" s="77"/>
      <c r="P548" s="78"/>
      <c r="Q548" s="78"/>
      <c r="R548" s="90"/>
      <c r="S548" s="90"/>
      <c r="T548" s="90"/>
      <c r="U548" s="90"/>
      <c r="V548" s="52"/>
      <c r="W548" s="52"/>
      <c r="X548" s="52"/>
      <c r="Y548" s="52"/>
      <c r="Z548" s="51"/>
      <c r="AA548" s="73"/>
      <c r="AB548" s="73"/>
      <c r="AC548" s="74"/>
      <c r="AD548" s="80" t="s">
        <v>4337</v>
      </c>
      <c r="AE548" s="86" t="s">
        <v>3955</v>
      </c>
      <c r="AF548" s="80">
        <v>3</v>
      </c>
      <c r="AG548" s="80">
        <v>184346</v>
      </c>
      <c r="AH548" s="80">
        <v>569220</v>
      </c>
      <c r="AI548" s="80">
        <v>817</v>
      </c>
      <c r="AJ548" s="80"/>
      <c r="AK548" s="80" t="s">
        <v>6374</v>
      </c>
      <c r="AL548" s="80">
        <v>1500200</v>
      </c>
      <c r="AM548" s="84" t="str">
        <f>HYPERLINK("https://t.co/VWB4Sy7VyN")</f>
        <v>https://t.co/VWB4Sy7VyN</v>
      </c>
      <c r="AN548" s="80"/>
      <c r="AO548" s="82">
        <v>42353.399259259262</v>
      </c>
      <c r="AP548" s="84" t="str">
        <f>HYPERLINK("https://pbs.twimg.com/profile_banners/4564565058/1619426806")</f>
        <v>https://pbs.twimg.com/profile_banners/4564565058/1619426806</v>
      </c>
      <c r="AQ548" s="80" t="b">
        <v>1</v>
      </c>
      <c r="AR548" s="80" t="b">
        <v>0</v>
      </c>
      <c r="AS548" s="80" t="b">
        <v>0</v>
      </c>
      <c r="AT548" s="80"/>
      <c r="AU548" s="80">
        <v>101</v>
      </c>
      <c r="AV548" s="80"/>
      <c r="AW548" s="80" t="b">
        <v>1</v>
      </c>
      <c r="AX548" s="80" t="s">
        <v>7173</v>
      </c>
      <c r="AY548" s="84" t="str">
        <f>HYPERLINK("https://twitter.com/kring_pajak")</f>
        <v>https://twitter.com/kring_pajak</v>
      </c>
      <c r="AZ548" s="80" t="s">
        <v>66</v>
      </c>
      <c r="BA548" s="2"/>
      <c r="BB548" s="3"/>
      <c r="BC548" s="3"/>
      <c r="BD548" s="3"/>
      <c r="BE548" s="3"/>
    </row>
    <row r="549" spans="1:57" x14ac:dyDescent="0.35">
      <c r="A549" s="66" t="s">
        <v>1078</v>
      </c>
      <c r="B549" s="67"/>
      <c r="C549" s="67"/>
      <c r="D549" s="68"/>
      <c r="E549" s="70"/>
      <c r="F549" s="106" t="str">
        <f>HYPERLINK("https://pbs.twimg.com/profile_images/880698774175318017/2mci1Fd__normal.jpg")</f>
        <v>https://pbs.twimg.com/profile_images/880698774175318017/2mci1Fd__normal.jpg</v>
      </c>
      <c r="G549" s="67"/>
      <c r="H549" s="71"/>
      <c r="I549" s="72"/>
      <c r="J549" s="72"/>
      <c r="K549" s="71" t="s">
        <v>7719</v>
      </c>
      <c r="L549" s="75"/>
      <c r="M549" s="76"/>
      <c r="N549" s="76"/>
      <c r="O549" s="77"/>
      <c r="P549" s="78"/>
      <c r="Q549" s="78"/>
      <c r="R549" s="90"/>
      <c r="S549" s="90"/>
      <c r="T549" s="90"/>
      <c r="U549" s="90"/>
      <c r="V549" s="52"/>
      <c r="W549" s="52"/>
      <c r="X549" s="52"/>
      <c r="Y549" s="52"/>
      <c r="Z549" s="51"/>
      <c r="AA549" s="73"/>
      <c r="AB549" s="73"/>
      <c r="AC549" s="74"/>
      <c r="AD549" s="80" t="s">
        <v>4722</v>
      </c>
      <c r="AE549" s="86" t="s">
        <v>5619</v>
      </c>
      <c r="AF549" s="80">
        <v>150</v>
      </c>
      <c r="AG549" s="80">
        <v>315</v>
      </c>
      <c r="AH549" s="80">
        <v>10679</v>
      </c>
      <c r="AI549" s="80">
        <v>39</v>
      </c>
      <c r="AJ549" s="80"/>
      <c r="AK549" s="80" t="s">
        <v>6375</v>
      </c>
      <c r="AL549" s="80" t="s">
        <v>6862</v>
      </c>
      <c r="AM549" s="80"/>
      <c r="AN549" s="80"/>
      <c r="AO549" s="82">
        <v>40745.117071759261</v>
      </c>
      <c r="AP549" s="84" t="str">
        <f>HYPERLINK("https://pbs.twimg.com/profile_banners/339427267/1484407071")</f>
        <v>https://pbs.twimg.com/profile_banners/339427267/1484407071</v>
      </c>
      <c r="AQ549" s="80" t="b">
        <v>0</v>
      </c>
      <c r="AR549" s="80" t="b">
        <v>0</v>
      </c>
      <c r="AS549" s="80" t="b">
        <v>1</v>
      </c>
      <c r="AT549" s="80"/>
      <c r="AU549" s="80">
        <v>2</v>
      </c>
      <c r="AV549" s="84" t="str">
        <f>HYPERLINK("https://abs.twimg.com/images/themes/theme11/bg.gif")</f>
        <v>https://abs.twimg.com/images/themes/theme11/bg.gif</v>
      </c>
      <c r="AW549" s="80" t="b">
        <v>0</v>
      </c>
      <c r="AX549" s="80" t="s">
        <v>7173</v>
      </c>
      <c r="AY549" s="84" t="str">
        <f>HYPERLINK("https://twitter.com/ucieadinda")</f>
        <v>https://twitter.com/ucieadinda</v>
      </c>
      <c r="AZ549" s="80" t="s">
        <v>65</v>
      </c>
      <c r="BA549" s="2"/>
      <c r="BB549" s="3"/>
      <c r="BC549" s="3"/>
      <c r="BD549" s="3"/>
      <c r="BE549" s="3"/>
    </row>
    <row r="550" spans="1:57" x14ac:dyDescent="0.35">
      <c r="A550" s="66" t="s">
        <v>1079</v>
      </c>
      <c r="B550" s="67"/>
      <c r="C550" s="67"/>
      <c r="D550" s="68"/>
      <c r="E550" s="70"/>
      <c r="F550" s="106" t="str">
        <f>HYPERLINK("https://pbs.twimg.com/profile_images/1436986886208122881/j1t6pEW6_normal.jpg")</f>
        <v>https://pbs.twimg.com/profile_images/1436986886208122881/j1t6pEW6_normal.jpg</v>
      </c>
      <c r="G550" s="67"/>
      <c r="H550" s="71"/>
      <c r="I550" s="72"/>
      <c r="J550" s="72"/>
      <c r="K550" s="71" t="s">
        <v>7720</v>
      </c>
      <c r="L550" s="75"/>
      <c r="M550" s="76"/>
      <c r="N550" s="76"/>
      <c r="O550" s="77"/>
      <c r="P550" s="78"/>
      <c r="Q550" s="78"/>
      <c r="R550" s="90"/>
      <c r="S550" s="90"/>
      <c r="T550" s="90"/>
      <c r="U550" s="90"/>
      <c r="V550" s="52"/>
      <c r="W550" s="52"/>
      <c r="X550" s="52"/>
      <c r="Y550" s="52"/>
      <c r="Z550" s="51"/>
      <c r="AA550" s="73"/>
      <c r="AB550" s="73"/>
      <c r="AC550" s="74"/>
      <c r="AD550" s="80" t="s">
        <v>4723</v>
      </c>
      <c r="AE550" s="86" t="s">
        <v>5620</v>
      </c>
      <c r="AF550" s="80">
        <v>845</v>
      </c>
      <c r="AG550" s="80">
        <v>312</v>
      </c>
      <c r="AH550" s="80">
        <v>712</v>
      </c>
      <c r="AI550" s="80">
        <v>1593</v>
      </c>
      <c r="AJ550" s="80"/>
      <c r="AK550" s="80" t="s">
        <v>6376</v>
      </c>
      <c r="AL550" s="80"/>
      <c r="AM550" s="80"/>
      <c r="AN550" s="80"/>
      <c r="AO550" s="82">
        <v>44451.399259259262</v>
      </c>
      <c r="AP550" s="80"/>
      <c r="AQ550" s="80" t="b">
        <v>1</v>
      </c>
      <c r="AR550" s="80" t="b">
        <v>0</v>
      </c>
      <c r="AS550" s="80" t="b">
        <v>0</v>
      </c>
      <c r="AT550" s="80"/>
      <c r="AU550" s="80">
        <v>0</v>
      </c>
      <c r="AV550" s="80"/>
      <c r="AW550" s="80" t="b">
        <v>0</v>
      </c>
      <c r="AX550" s="80" t="s">
        <v>7173</v>
      </c>
      <c r="AY550" s="84" t="str">
        <f>HYPERLINK("https://twitter.com/caktainkomari")</f>
        <v>https://twitter.com/caktainkomari</v>
      </c>
      <c r="AZ550" s="80" t="s">
        <v>65</v>
      </c>
      <c r="BA550" s="2"/>
      <c r="BB550" s="3"/>
      <c r="BC550" s="3"/>
      <c r="BD550" s="3"/>
      <c r="BE550" s="3"/>
    </row>
    <row r="551" spans="1:57" x14ac:dyDescent="0.35">
      <c r="A551" s="66" t="s">
        <v>1080</v>
      </c>
      <c r="B551" s="67"/>
      <c r="C551" s="67"/>
      <c r="D551" s="68"/>
      <c r="E551" s="70"/>
      <c r="F551" s="106" t="str">
        <f>HYPERLINK("https://pbs.twimg.com/profile_images/1293447700327743494/Nk4uS_gj_normal.jpg")</f>
        <v>https://pbs.twimg.com/profile_images/1293447700327743494/Nk4uS_gj_normal.jpg</v>
      </c>
      <c r="G551" s="67"/>
      <c r="H551" s="71"/>
      <c r="I551" s="72"/>
      <c r="J551" s="72"/>
      <c r="K551" s="71" t="s">
        <v>7721</v>
      </c>
      <c r="L551" s="75"/>
      <c r="M551" s="76"/>
      <c r="N551" s="76"/>
      <c r="O551" s="77"/>
      <c r="P551" s="78"/>
      <c r="Q551" s="78"/>
      <c r="R551" s="90"/>
      <c r="S551" s="90"/>
      <c r="T551" s="90"/>
      <c r="U551" s="90"/>
      <c r="V551" s="52"/>
      <c r="W551" s="52"/>
      <c r="X551" s="52"/>
      <c r="Y551" s="52"/>
      <c r="Z551" s="51"/>
      <c r="AA551" s="73"/>
      <c r="AB551" s="73"/>
      <c r="AC551" s="74"/>
      <c r="AD551" s="80" t="s">
        <v>4724</v>
      </c>
      <c r="AE551" s="86" t="s">
        <v>5621</v>
      </c>
      <c r="AF551" s="80">
        <v>451</v>
      </c>
      <c r="AG551" s="80">
        <v>1969</v>
      </c>
      <c r="AH551" s="80">
        <v>141928</v>
      </c>
      <c r="AI551" s="80">
        <v>171</v>
      </c>
      <c r="AJ551" s="80"/>
      <c r="AK551" s="80" t="s">
        <v>6377</v>
      </c>
      <c r="AL551" s="80" t="s">
        <v>6976</v>
      </c>
      <c r="AM551" s="80"/>
      <c r="AN551" s="80"/>
      <c r="AO551" s="82">
        <v>40151.610798611109</v>
      </c>
      <c r="AP551" s="84" t="str">
        <f>HYPERLINK("https://pbs.twimg.com/profile_banners/94570461/1414263337")</f>
        <v>https://pbs.twimg.com/profile_banners/94570461/1414263337</v>
      </c>
      <c r="AQ551" s="80" t="b">
        <v>0</v>
      </c>
      <c r="AR551" s="80" t="b">
        <v>0</v>
      </c>
      <c r="AS551" s="80" t="b">
        <v>1</v>
      </c>
      <c r="AT551" s="80"/>
      <c r="AU551" s="80">
        <v>5</v>
      </c>
      <c r="AV551" s="84" t="str">
        <f>HYPERLINK("https://abs.twimg.com/images/themes/theme14/bg.gif")</f>
        <v>https://abs.twimg.com/images/themes/theme14/bg.gif</v>
      </c>
      <c r="AW551" s="80" t="b">
        <v>0</v>
      </c>
      <c r="AX551" s="80" t="s">
        <v>7173</v>
      </c>
      <c r="AY551" s="84" t="str">
        <f>HYPERLINK("https://twitter.com/nadyadaniar")</f>
        <v>https://twitter.com/nadyadaniar</v>
      </c>
      <c r="AZ551" s="80" t="s">
        <v>65</v>
      </c>
      <c r="BA551" s="2"/>
      <c r="BB551" s="3"/>
      <c r="BC551" s="3"/>
      <c r="BD551" s="3"/>
      <c r="BE551" s="3"/>
    </row>
    <row r="552" spans="1:57" x14ac:dyDescent="0.35">
      <c r="A552" s="66" t="s">
        <v>1081</v>
      </c>
      <c r="B552" s="67"/>
      <c r="C552" s="67"/>
      <c r="D552" s="68"/>
      <c r="E552" s="70"/>
      <c r="F552" s="106" t="str">
        <f>HYPERLINK("https://pbs.twimg.com/profile_images/1198891633699241984/g92hWPdx_normal.jpg")</f>
        <v>https://pbs.twimg.com/profile_images/1198891633699241984/g92hWPdx_normal.jpg</v>
      </c>
      <c r="G552" s="67"/>
      <c r="H552" s="71"/>
      <c r="I552" s="72"/>
      <c r="J552" s="72"/>
      <c r="K552" s="71" t="s">
        <v>7722</v>
      </c>
      <c r="L552" s="75"/>
      <c r="M552" s="76"/>
      <c r="N552" s="76"/>
      <c r="O552" s="77"/>
      <c r="P552" s="78"/>
      <c r="Q552" s="78"/>
      <c r="R552" s="90"/>
      <c r="S552" s="90"/>
      <c r="T552" s="90"/>
      <c r="U552" s="90"/>
      <c r="V552" s="52"/>
      <c r="W552" s="52"/>
      <c r="X552" s="52"/>
      <c r="Y552" s="52"/>
      <c r="Z552" s="51"/>
      <c r="AA552" s="73"/>
      <c r="AB552" s="73"/>
      <c r="AC552" s="74"/>
      <c r="AD552" s="80" t="s">
        <v>4725</v>
      </c>
      <c r="AE552" s="86" t="s">
        <v>5622</v>
      </c>
      <c r="AF552" s="80">
        <v>16</v>
      </c>
      <c r="AG552" s="80">
        <v>0</v>
      </c>
      <c r="AH552" s="80">
        <v>228</v>
      </c>
      <c r="AI552" s="80">
        <v>5</v>
      </c>
      <c r="AJ552" s="80"/>
      <c r="AK552" s="80" t="s">
        <v>6378</v>
      </c>
      <c r="AL552" s="80"/>
      <c r="AM552" s="80"/>
      <c r="AN552" s="80"/>
      <c r="AO552" s="82">
        <v>43794.380324074074</v>
      </c>
      <c r="AP552" s="80"/>
      <c r="AQ552" s="80" t="b">
        <v>1</v>
      </c>
      <c r="AR552" s="80" t="b">
        <v>0</v>
      </c>
      <c r="AS552" s="80" t="b">
        <v>0</v>
      </c>
      <c r="AT552" s="80"/>
      <c r="AU552" s="80">
        <v>0</v>
      </c>
      <c r="AV552" s="80"/>
      <c r="AW552" s="80" t="b">
        <v>0</v>
      </c>
      <c r="AX552" s="80" t="s">
        <v>7173</v>
      </c>
      <c r="AY552" s="84" t="str">
        <f>HYPERLINK("https://twitter.com/enabling11")</f>
        <v>https://twitter.com/enabling11</v>
      </c>
      <c r="AZ552" s="80" t="s">
        <v>65</v>
      </c>
      <c r="BA552" s="2"/>
      <c r="BB552" s="3"/>
      <c r="BC552" s="3"/>
      <c r="BD552" s="3"/>
      <c r="BE552" s="3"/>
    </row>
    <row r="553" spans="1:57" x14ac:dyDescent="0.35">
      <c r="A553" s="66" t="s">
        <v>1082</v>
      </c>
      <c r="B553" s="67"/>
      <c r="C553" s="67"/>
      <c r="D553" s="68"/>
      <c r="E553" s="70"/>
      <c r="F553" s="106" t="str">
        <f>HYPERLINK("https://pbs.twimg.com/profile_images/1108246370417139713/9_V8Bb8r_normal.jpg")</f>
        <v>https://pbs.twimg.com/profile_images/1108246370417139713/9_V8Bb8r_normal.jpg</v>
      </c>
      <c r="G553" s="67"/>
      <c r="H553" s="71"/>
      <c r="I553" s="72"/>
      <c r="J553" s="72"/>
      <c r="K553" s="71" t="s">
        <v>7723</v>
      </c>
      <c r="L553" s="75"/>
      <c r="M553" s="76"/>
      <c r="N553" s="76"/>
      <c r="O553" s="77"/>
      <c r="P553" s="78"/>
      <c r="Q553" s="78"/>
      <c r="R553" s="90"/>
      <c r="S553" s="90"/>
      <c r="T553" s="90"/>
      <c r="U553" s="90"/>
      <c r="V553" s="52"/>
      <c r="W553" s="52"/>
      <c r="X553" s="52"/>
      <c r="Y553" s="52"/>
      <c r="Z553" s="51"/>
      <c r="AA553" s="73"/>
      <c r="AB553" s="73"/>
      <c r="AC553" s="74"/>
      <c r="AD553" s="80" t="s">
        <v>4726</v>
      </c>
      <c r="AE553" s="86" t="s">
        <v>5623</v>
      </c>
      <c r="AF553" s="80">
        <v>97</v>
      </c>
      <c r="AG553" s="80">
        <v>3</v>
      </c>
      <c r="AH553" s="80">
        <v>1038</v>
      </c>
      <c r="AI553" s="80">
        <v>66</v>
      </c>
      <c r="AJ553" s="80"/>
      <c r="AK553" s="80" t="s">
        <v>6379</v>
      </c>
      <c r="AL553" s="80"/>
      <c r="AM553" s="80"/>
      <c r="AN553" s="80"/>
      <c r="AO553" s="82">
        <v>43543.07545138889</v>
      </c>
      <c r="AP553" s="80"/>
      <c r="AQ553" s="80" t="b">
        <v>1</v>
      </c>
      <c r="AR553" s="80" t="b">
        <v>0</v>
      </c>
      <c r="AS553" s="80" t="b">
        <v>1</v>
      </c>
      <c r="AT553" s="80"/>
      <c r="AU553" s="80">
        <v>0</v>
      </c>
      <c r="AV553" s="80"/>
      <c r="AW553" s="80" t="b">
        <v>0</v>
      </c>
      <c r="AX553" s="80" t="s">
        <v>7173</v>
      </c>
      <c r="AY553" s="84" t="str">
        <f>HYPERLINK("https://twitter.com/aelzaheera")</f>
        <v>https://twitter.com/aelzaheera</v>
      </c>
      <c r="AZ553" s="80" t="s">
        <v>65</v>
      </c>
      <c r="BA553" s="2"/>
      <c r="BB553" s="3"/>
      <c r="BC553" s="3"/>
      <c r="BD553" s="3"/>
      <c r="BE553" s="3"/>
    </row>
    <row r="554" spans="1:57" x14ac:dyDescent="0.35">
      <c r="A554" s="66" t="s">
        <v>1083</v>
      </c>
      <c r="B554" s="67"/>
      <c r="C554" s="67"/>
      <c r="D554" s="68"/>
      <c r="E554" s="70"/>
      <c r="F554" s="106" t="str">
        <f>HYPERLINK("https://pbs.twimg.com/profile_images/1409427361561411587/iV0FdsFn_normal.jpg")</f>
        <v>https://pbs.twimg.com/profile_images/1409427361561411587/iV0FdsFn_normal.jpg</v>
      </c>
      <c r="G554" s="67"/>
      <c r="H554" s="71"/>
      <c r="I554" s="72"/>
      <c r="J554" s="72"/>
      <c r="K554" s="71" t="s">
        <v>7724</v>
      </c>
      <c r="L554" s="75"/>
      <c r="M554" s="76"/>
      <c r="N554" s="76"/>
      <c r="O554" s="77"/>
      <c r="P554" s="78"/>
      <c r="Q554" s="78"/>
      <c r="R554" s="90"/>
      <c r="S554" s="90"/>
      <c r="T554" s="90"/>
      <c r="U554" s="90"/>
      <c r="V554" s="52"/>
      <c r="W554" s="52"/>
      <c r="X554" s="52"/>
      <c r="Y554" s="52"/>
      <c r="Z554" s="51"/>
      <c r="AA554" s="73"/>
      <c r="AB554" s="73"/>
      <c r="AC554" s="74"/>
      <c r="AD554" s="80" t="s">
        <v>4727</v>
      </c>
      <c r="AE554" s="86" t="s">
        <v>5624</v>
      </c>
      <c r="AF554" s="80">
        <v>55</v>
      </c>
      <c r="AG554" s="80">
        <v>6</v>
      </c>
      <c r="AH554" s="80">
        <v>77</v>
      </c>
      <c r="AI554" s="80">
        <v>21</v>
      </c>
      <c r="AJ554" s="80"/>
      <c r="AK554" s="80" t="s">
        <v>6380</v>
      </c>
      <c r="AL554" s="80" t="s">
        <v>6977</v>
      </c>
      <c r="AM554" s="80"/>
      <c r="AN554" s="80"/>
      <c r="AO554" s="82">
        <v>43003.179097222222</v>
      </c>
      <c r="AP554" s="84" t="str">
        <f>HYPERLINK("https://pbs.twimg.com/profile_banners/912169262097219584/1624873844")</f>
        <v>https://pbs.twimg.com/profile_banners/912169262097219584/1624873844</v>
      </c>
      <c r="AQ554" s="80" t="b">
        <v>1</v>
      </c>
      <c r="AR554" s="80" t="b">
        <v>0</v>
      </c>
      <c r="AS554" s="80" t="b">
        <v>0</v>
      </c>
      <c r="AT554" s="80"/>
      <c r="AU554" s="80">
        <v>0</v>
      </c>
      <c r="AV554" s="80"/>
      <c r="AW554" s="80" t="b">
        <v>0</v>
      </c>
      <c r="AX554" s="80" t="s">
        <v>7173</v>
      </c>
      <c r="AY554" s="84" t="str">
        <f>HYPERLINK("https://twitter.com/secop_io")</f>
        <v>https://twitter.com/secop_io</v>
      </c>
      <c r="AZ554" s="80" t="s">
        <v>65</v>
      </c>
      <c r="BA554" s="2"/>
      <c r="BB554" s="3"/>
      <c r="BC554" s="3"/>
      <c r="BD554" s="3"/>
      <c r="BE554" s="3"/>
    </row>
    <row r="555" spans="1:57" x14ac:dyDescent="0.35">
      <c r="A555" s="66" t="s">
        <v>1084</v>
      </c>
      <c r="B555" s="67"/>
      <c r="C555" s="67"/>
      <c r="D555" s="68"/>
      <c r="E555" s="70"/>
      <c r="F555" s="106" t="str">
        <f>HYPERLINK("https://pbs.twimg.com/profile_images/1437153732433563651/gr7eP-9c_normal.jpg")</f>
        <v>https://pbs.twimg.com/profile_images/1437153732433563651/gr7eP-9c_normal.jpg</v>
      </c>
      <c r="G555" s="67"/>
      <c r="H555" s="71"/>
      <c r="I555" s="72"/>
      <c r="J555" s="72"/>
      <c r="K555" s="71" t="s">
        <v>7725</v>
      </c>
      <c r="L555" s="75"/>
      <c r="M555" s="76"/>
      <c r="N555" s="76"/>
      <c r="O555" s="77"/>
      <c r="P555" s="78"/>
      <c r="Q555" s="78"/>
      <c r="R555" s="90"/>
      <c r="S555" s="90"/>
      <c r="T555" s="90"/>
      <c r="U555" s="90"/>
      <c r="V555" s="52"/>
      <c r="W555" s="52"/>
      <c r="X555" s="52"/>
      <c r="Y555" s="52"/>
      <c r="Z555" s="51"/>
      <c r="AA555" s="73"/>
      <c r="AB555" s="73"/>
      <c r="AC555" s="74"/>
      <c r="AD555" s="80" t="s">
        <v>4728</v>
      </c>
      <c r="AE555" s="86" t="s">
        <v>3956</v>
      </c>
      <c r="AF555" s="80">
        <v>10</v>
      </c>
      <c r="AG555" s="80">
        <v>1</v>
      </c>
      <c r="AH555" s="80">
        <v>1</v>
      </c>
      <c r="AI555" s="80">
        <v>1</v>
      </c>
      <c r="AJ555" s="80"/>
      <c r="AK555" s="80" t="s">
        <v>6381</v>
      </c>
      <c r="AL555" s="80"/>
      <c r="AM555" s="80"/>
      <c r="AN555" s="80"/>
      <c r="AO555" s="82">
        <v>44451.859513888892</v>
      </c>
      <c r="AP555" s="80"/>
      <c r="AQ555" s="80" t="b">
        <v>1</v>
      </c>
      <c r="AR555" s="80" t="b">
        <v>0</v>
      </c>
      <c r="AS555" s="80" t="b">
        <v>0</v>
      </c>
      <c r="AT555" s="80"/>
      <c r="AU555" s="80">
        <v>0</v>
      </c>
      <c r="AV555" s="80"/>
      <c r="AW555" s="80" t="b">
        <v>0</v>
      </c>
      <c r="AX555" s="80" t="s">
        <v>7173</v>
      </c>
      <c r="AY555" s="84" t="str">
        <f>HYPERLINK("https://twitter.com/sy74388394")</f>
        <v>https://twitter.com/sy74388394</v>
      </c>
      <c r="AZ555" s="80" t="s">
        <v>65</v>
      </c>
      <c r="BA555" s="2"/>
      <c r="BB555" s="3"/>
      <c r="BC555" s="3"/>
      <c r="BD555" s="3"/>
      <c r="BE555" s="3"/>
    </row>
    <row r="556" spans="1:57" x14ac:dyDescent="0.35">
      <c r="A556" s="66" t="s">
        <v>672</v>
      </c>
      <c r="B556" s="67"/>
      <c r="C556" s="67"/>
      <c r="D556" s="68"/>
      <c r="E556" s="70"/>
      <c r="F556" s="106" t="str">
        <f>HYPERLINK("https://pbs.twimg.com/profile_images/1427981474402160640/ThjrZ_D1_normal.jpg")</f>
        <v>https://pbs.twimg.com/profile_images/1427981474402160640/ThjrZ_D1_normal.jpg</v>
      </c>
      <c r="G556" s="67"/>
      <c r="H556" s="71"/>
      <c r="I556" s="72"/>
      <c r="J556" s="72"/>
      <c r="K556" s="71" t="s">
        <v>7726</v>
      </c>
      <c r="L556" s="75"/>
      <c r="M556" s="76"/>
      <c r="N556" s="76"/>
      <c r="O556" s="77"/>
      <c r="P556" s="78"/>
      <c r="Q556" s="78"/>
      <c r="R556" s="90"/>
      <c r="S556" s="90"/>
      <c r="T556" s="90"/>
      <c r="U556" s="90"/>
      <c r="V556" s="52"/>
      <c r="W556" s="52"/>
      <c r="X556" s="52"/>
      <c r="Y556" s="52"/>
      <c r="Z556" s="51"/>
      <c r="AA556" s="73"/>
      <c r="AB556" s="73"/>
      <c r="AC556" s="74"/>
      <c r="AD556" s="80" t="s">
        <v>4729</v>
      </c>
      <c r="AE556" s="86" t="s">
        <v>5625</v>
      </c>
      <c r="AF556" s="80">
        <v>1662</v>
      </c>
      <c r="AG556" s="80">
        <v>28016</v>
      </c>
      <c r="AH556" s="80">
        <v>47809</v>
      </c>
      <c r="AI556" s="80">
        <v>20</v>
      </c>
      <c r="AJ556" s="80"/>
      <c r="AK556" s="80" t="s">
        <v>6382</v>
      </c>
      <c r="AL556" s="80" t="s">
        <v>6978</v>
      </c>
      <c r="AM556" s="84" t="str">
        <f>HYPERLINK("https://t.co/Q0Kh64DAPQ")</f>
        <v>https://t.co/Q0Kh64DAPQ</v>
      </c>
      <c r="AN556" s="80"/>
      <c r="AO556" s="82">
        <v>44161.501597222225</v>
      </c>
      <c r="AP556" s="84" t="str">
        <f>HYPERLINK("https://pbs.twimg.com/profile_banners/1331931236428783617/1626495582")</f>
        <v>https://pbs.twimg.com/profile_banners/1331931236428783617/1626495582</v>
      </c>
      <c r="AQ556" s="80" t="b">
        <v>1</v>
      </c>
      <c r="AR556" s="80" t="b">
        <v>0</v>
      </c>
      <c r="AS556" s="80" t="b">
        <v>1</v>
      </c>
      <c r="AT556" s="80"/>
      <c r="AU556" s="80">
        <v>95</v>
      </c>
      <c r="AV556" s="80"/>
      <c r="AW556" s="80" t="b">
        <v>0</v>
      </c>
      <c r="AX556" s="80" t="s">
        <v>7173</v>
      </c>
      <c r="AY556" s="84" t="str">
        <f>HYPERLINK("https://twitter.com/sundafess_")</f>
        <v>https://twitter.com/sundafess_</v>
      </c>
      <c r="AZ556" s="80" t="s">
        <v>66</v>
      </c>
      <c r="BA556" s="2"/>
      <c r="BB556" s="3"/>
      <c r="BC556" s="3"/>
      <c r="BD556" s="3"/>
      <c r="BE556" s="3"/>
    </row>
    <row r="557" spans="1:57" x14ac:dyDescent="0.35">
      <c r="A557" s="66" t="s">
        <v>673</v>
      </c>
      <c r="B557" s="67"/>
      <c r="C557" s="67"/>
      <c r="D557" s="68"/>
      <c r="E557" s="70"/>
      <c r="F557" s="106" t="str">
        <f>HYPERLINK("https://pbs.twimg.com/profile_images/1424437032500142080/iTTBSIZ8_normal.jpg")</f>
        <v>https://pbs.twimg.com/profile_images/1424437032500142080/iTTBSIZ8_normal.jpg</v>
      </c>
      <c r="G557" s="67"/>
      <c r="H557" s="71"/>
      <c r="I557" s="72"/>
      <c r="J557" s="72"/>
      <c r="K557" s="71" t="s">
        <v>7727</v>
      </c>
      <c r="L557" s="75"/>
      <c r="M557" s="76"/>
      <c r="N557" s="76"/>
      <c r="O557" s="77"/>
      <c r="P557" s="78"/>
      <c r="Q557" s="78"/>
      <c r="R557" s="90"/>
      <c r="S557" s="90"/>
      <c r="T557" s="90"/>
      <c r="U557" s="90"/>
      <c r="V557" s="52"/>
      <c r="W557" s="52"/>
      <c r="X557" s="52"/>
      <c r="Y557" s="52"/>
      <c r="Z557" s="51"/>
      <c r="AA557" s="73"/>
      <c r="AB557" s="73"/>
      <c r="AC557" s="74"/>
      <c r="AD557" s="80" t="s">
        <v>4730</v>
      </c>
      <c r="AE557" s="86" t="s">
        <v>5626</v>
      </c>
      <c r="AF557" s="80">
        <v>1039</v>
      </c>
      <c r="AG557" s="80">
        <v>870</v>
      </c>
      <c r="AH557" s="80">
        <v>81331</v>
      </c>
      <c r="AI557" s="80">
        <v>36887</v>
      </c>
      <c r="AJ557" s="80"/>
      <c r="AK557" s="80" t="s">
        <v>6383</v>
      </c>
      <c r="AL557" s="80" t="s">
        <v>4145</v>
      </c>
      <c r="AM557" s="80"/>
      <c r="AN557" s="80"/>
      <c r="AO557" s="82">
        <v>40795.284016203703</v>
      </c>
      <c r="AP557" s="84" t="str">
        <f>HYPERLINK("https://pbs.twimg.com/profile_banners/370552673/1539683006")</f>
        <v>https://pbs.twimg.com/profile_banners/370552673/1539683006</v>
      </c>
      <c r="AQ557" s="80" t="b">
        <v>0</v>
      </c>
      <c r="AR557" s="80" t="b">
        <v>0</v>
      </c>
      <c r="AS557" s="80" t="b">
        <v>1</v>
      </c>
      <c r="AT557" s="80"/>
      <c r="AU557" s="80">
        <v>1</v>
      </c>
      <c r="AV557" s="84" t="str">
        <f>HYPERLINK("https://abs.twimg.com/images/themes/theme10/bg.gif")</f>
        <v>https://abs.twimg.com/images/themes/theme10/bg.gif</v>
      </c>
      <c r="AW557" s="80" t="b">
        <v>0</v>
      </c>
      <c r="AX557" s="80" t="s">
        <v>7173</v>
      </c>
      <c r="AY557" s="84" t="str">
        <f>HYPERLINK("https://twitter.com/ryanzoey_")</f>
        <v>https://twitter.com/ryanzoey_</v>
      </c>
      <c r="AZ557" s="80" t="s">
        <v>66</v>
      </c>
      <c r="BA557" s="2"/>
      <c r="BB557" s="3"/>
      <c r="BC557" s="3"/>
      <c r="BD557" s="3"/>
      <c r="BE557" s="3"/>
    </row>
    <row r="558" spans="1:57" x14ac:dyDescent="0.35">
      <c r="A558" s="66" t="s">
        <v>674</v>
      </c>
      <c r="B558" s="67"/>
      <c r="C558" s="67"/>
      <c r="D558" s="68"/>
      <c r="E558" s="70"/>
      <c r="F558" s="106" t="str">
        <f>HYPERLINK("https://pbs.twimg.com/profile_images/699968807624798210/e61p2OuF_normal.png")</f>
        <v>https://pbs.twimg.com/profile_images/699968807624798210/e61p2OuF_normal.png</v>
      </c>
      <c r="G558" s="67"/>
      <c r="H558" s="71"/>
      <c r="I558" s="72"/>
      <c r="J558" s="72"/>
      <c r="K558" s="71" t="s">
        <v>7728</v>
      </c>
      <c r="L558" s="75"/>
      <c r="M558" s="76"/>
      <c r="N558" s="76"/>
      <c r="O558" s="77"/>
      <c r="P558" s="78"/>
      <c r="Q558" s="78"/>
      <c r="R558" s="90"/>
      <c r="S558" s="90"/>
      <c r="T558" s="90"/>
      <c r="U558" s="90"/>
      <c r="V558" s="52"/>
      <c r="W558" s="52"/>
      <c r="X558" s="52"/>
      <c r="Y558" s="52"/>
      <c r="Z558" s="51"/>
      <c r="AA558" s="73"/>
      <c r="AB558" s="73"/>
      <c r="AC558" s="74"/>
      <c r="AD558" s="80" t="s">
        <v>4731</v>
      </c>
      <c r="AE558" s="86" t="s">
        <v>5627</v>
      </c>
      <c r="AF558" s="80">
        <v>8</v>
      </c>
      <c r="AG558" s="80">
        <v>1614</v>
      </c>
      <c r="AH558" s="80">
        <v>40243</v>
      </c>
      <c r="AI558" s="80">
        <v>0</v>
      </c>
      <c r="AJ558" s="80"/>
      <c r="AK558" s="80" t="s">
        <v>6384</v>
      </c>
      <c r="AL558" s="80" t="s">
        <v>6979</v>
      </c>
      <c r="AM558" s="84" t="str">
        <f>HYPERLINK("https://t.co/1MbxefPVbS")</f>
        <v>https://t.co/1MbxefPVbS</v>
      </c>
      <c r="AN558" s="80"/>
      <c r="AO558" s="82">
        <v>41968.484629629631</v>
      </c>
      <c r="AP558" s="84" t="str">
        <f>HYPERLINK("https://pbs.twimg.com/profile_banners/2909948138/1455721255")</f>
        <v>https://pbs.twimg.com/profile_banners/2909948138/1455721255</v>
      </c>
      <c r="AQ558" s="80" t="b">
        <v>0</v>
      </c>
      <c r="AR558" s="80" t="b">
        <v>0</v>
      </c>
      <c r="AS558" s="80" t="b">
        <v>0</v>
      </c>
      <c r="AT558" s="80"/>
      <c r="AU558" s="80">
        <v>1</v>
      </c>
      <c r="AV558" s="84" t="str">
        <f>HYPERLINK("https://abs.twimg.com/images/themes/theme4/bg.gif")</f>
        <v>https://abs.twimg.com/images/themes/theme4/bg.gif</v>
      </c>
      <c r="AW558" s="80" t="b">
        <v>0</v>
      </c>
      <c r="AX558" s="80" t="s">
        <v>7173</v>
      </c>
      <c r="AY558" s="84" t="str">
        <f>HYPERLINK("https://twitter.com/kendari_pos")</f>
        <v>https://twitter.com/kendari_pos</v>
      </c>
      <c r="AZ558" s="80" t="s">
        <v>66</v>
      </c>
      <c r="BA558" s="2"/>
      <c r="BB558" s="3"/>
      <c r="BC558" s="3"/>
      <c r="BD558" s="3"/>
      <c r="BE558" s="3"/>
    </row>
    <row r="559" spans="1:57" x14ac:dyDescent="0.35">
      <c r="A559" s="66" t="s">
        <v>675</v>
      </c>
      <c r="B559" s="67"/>
      <c r="C559" s="67"/>
      <c r="D559" s="68"/>
      <c r="E559" s="70"/>
      <c r="F559" s="106" t="str">
        <f>HYPERLINK("https://pbs.twimg.com/profile_images/1166904517926871040/xXHwut0k_normal.jpg")</f>
        <v>https://pbs.twimg.com/profile_images/1166904517926871040/xXHwut0k_normal.jpg</v>
      </c>
      <c r="G559" s="67"/>
      <c r="H559" s="71"/>
      <c r="I559" s="72"/>
      <c r="J559" s="72"/>
      <c r="K559" s="71" t="s">
        <v>7729</v>
      </c>
      <c r="L559" s="75"/>
      <c r="M559" s="76"/>
      <c r="N559" s="76"/>
      <c r="O559" s="77"/>
      <c r="P559" s="78"/>
      <c r="Q559" s="78"/>
      <c r="R559" s="90"/>
      <c r="S559" s="90"/>
      <c r="T559" s="90"/>
      <c r="U559" s="90"/>
      <c r="V559" s="52"/>
      <c r="W559" s="52"/>
      <c r="X559" s="52"/>
      <c r="Y559" s="52"/>
      <c r="Z559" s="51"/>
      <c r="AA559" s="73"/>
      <c r="AB559" s="73"/>
      <c r="AC559" s="74"/>
      <c r="AD559" s="80" t="s">
        <v>4732</v>
      </c>
      <c r="AE559" s="86" t="s">
        <v>5628</v>
      </c>
      <c r="AF559" s="80">
        <v>3622</v>
      </c>
      <c r="AG559" s="80">
        <v>2782</v>
      </c>
      <c r="AH559" s="80">
        <v>18885</v>
      </c>
      <c r="AI559" s="80">
        <v>39162</v>
      </c>
      <c r="AJ559" s="80"/>
      <c r="AK559" s="80" t="s">
        <v>6385</v>
      </c>
      <c r="AL559" s="80"/>
      <c r="AM559" s="80"/>
      <c r="AN559" s="80"/>
      <c r="AO559" s="82">
        <v>40073.728217592594</v>
      </c>
      <c r="AP559" s="84" t="str">
        <f>HYPERLINK("https://pbs.twimg.com/profile_banners/75065497/1567046740")</f>
        <v>https://pbs.twimg.com/profile_banners/75065497/1567046740</v>
      </c>
      <c r="AQ559" s="80" t="b">
        <v>0</v>
      </c>
      <c r="AR559" s="80" t="b">
        <v>0</v>
      </c>
      <c r="AS559" s="80" t="b">
        <v>1</v>
      </c>
      <c r="AT559" s="80"/>
      <c r="AU559" s="80">
        <v>0</v>
      </c>
      <c r="AV559" s="84" t="str">
        <f>HYPERLINK("https://abs.twimg.com/images/themes/theme10/bg.gif")</f>
        <v>https://abs.twimg.com/images/themes/theme10/bg.gif</v>
      </c>
      <c r="AW559" s="80" t="b">
        <v>0</v>
      </c>
      <c r="AX559" s="80" t="s">
        <v>7173</v>
      </c>
      <c r="AY559" s="84" t="str">
        <f>HYPERLINK("https://twitter.com/mbrputra_art")</f>
        <v>https://twitter.com/mbrputra_art</v>
      </c>
      <c r="AZ559" s="80" t="s">
        <v>66</v>
      </c>
      <c r="BA559" s="2"/>
      <c r="BB559" s="3"/>
      <c r="BC559" s="3"/>
      <c r="BD559" s="3"/>
      <c r="BE559" s="3"/>
    </row>
    <row r="560" spans="1:57" x14ac:dyDescent="0.35">
      <c r="A560" s="66" t="s">
        <v>676</v>
      </c>
      <c r="B560" s="67"/>
      <c r="C560" s="67"/>
      <c r="D560" s="68"/>
      <c r="E560" s="70"/>
      <c r="F560" s="106" t="str">
        <f>HYPERLINK("https://pbs.twimg.com/profile_images/1314951443250511872/gJRCjnm7_normal.jpg")</f>
        <v>https://pbs.twimg.com/profile_images/1314951443250511872/gJRCjnm7_normal.jpg</v>
      </c>
      <c r="G560" s="67"/>
      <c r="H560" s="71"/>
      <c r="I560" s="72"/>
      <c r="J560" s="72"/>
      <c r="K560" s="71" t="s">
        <v>7730</v>
      </c>
      <c r="L560" s="75"/>
      <c r="M560" s="76"/>
      <c r="N560" s="76"/>
      <c r="O560" s="77"/>
      <c r="P560" s="78"/>
      <c r="Q560" s="78"/>
      <c r="R560" s="90"/>
      <c r="S560" s="90"/>
      <c r="T560" s="90"/>
      <c r="U560" s="90"/>
      <c r="V560" s="52"/>
      <c r="W560" s="52"/>
      <c r="X560" s="52"/>
      <c r="Y560" s="52"/>
      <c r="Z560" s="51"/>
      <c r="AA560" s="73"/>
      <c r="AB560" s="73"/>
      <c r="AC560" s="74"/>
      <c r="AD560" s="80" t="s">
        <v>4733</v>
      </c>
      <c r="AE560" s="86" t="s">
        <v>5629</v>
      </c>
      <c r="AF560" s="80">
        <v>501</v>
      </c>
      <c r="AG560" s="80">
        <v>269</v>
      </c>
      <c r="AH560" s="80">
        <v>42136</v>
      </c>
      <c r="AI560" s="80">
        <v>14206</v>
      </c>
      <c r="AJ560" s="80"/>
      <c r="AK560" s="80" t="s">
        <v>6386</v>
      </c>
      <c r="AL560" s="80"/>
      <c r="AM560" s="80"/>
      <c r="AN560" s="80"/>
      <c r="AO560" s="82">
        <v>40177.699699074074</v>
      </c>
      <c r="AP560" s="84" t="str">
        <f>HYPERLINK("https://pbs.twimg.com/profile_banners/100541385/1535335295")</f>
        <v>https://pbs.twimg.com/profile_banners/100541385/1535335295</v>
      </c>
      <c r="AQ560" s="80" t="b">
        <v>0</v>
      </c>
      <c r="AR560" s="80" t="b">
        <v>0</v>
      </c>
      <c r="AS560" s="80" t="b">
        <v>0</v>
      </c>
      <c r="AT560" s="80"/>
      <c r="AU560" s="80">
        <v>1</v>
      </c>
      <c r="AV560" s="84" t="str">
        <f>HYPERLINK("https://abs.twimg.com/images/themes/theme15/bg.png")</f>
        <v>https://abs.twimg.com/images/themes/theme15/bg.png</v>
      </c>
      <c r="AW560" s="80" t="b">
        <v>0</v>
      </c>
      <c r="AX560" s="80" t="s">
        <v>7173</v>
      </c>
      <c r="AY560" s="84" t="str">
        <f>HYPERLINK("https://twitter.com/fukusimax")</f>
        <v>https://twitter.com/fukusimax</v>
      </c>
      <c r="AZ560" s="80" t="s">
        <v>66</v>
      </c>
      <c r="BA560" s="2"/>
      <c r="BB560" s="3"/>
      <c r="BC560" s="3"/>
      <c r="BD560" s="3"/>
      <c r="BE560" s="3"/>
    </row>
    <row r="561" spans="1:57" x14ac:dyDescent="0.35">
      <c r="A561" s="66" t="s">
        <v>677</v>
      </c>
      <c r="B561" s="67"/>
      <c r="C561" s="67"/>
      <c r="D561" s="68"/>
      <c r="E561" s="70"/>
      <c r="F561" s="106" t="str">
        <f>HYPERLINK("https://pbs.twimg.com/profile_images/1384161080369311748/UTQimU_T_normal.jpg")</f>
        <v>https://pbs.twimg.com/profile_images/1384161080369311748/UTQimU_T_normal.jpg</v>
      </c>
      <c r="G561" s="67"/>
      <c r="H561" s="71"/>
      <c r="I561" s="72"/>
      <c r="J561" s="72"/>
      <c r="K561" s="71" t="s">
        <v>7731</v>
      </c>
      <c r="L561" s="75"/>
      <c r="M561" s="76"/>
      <c r="N561" s="76"/>
      <c r="O561" s="77"/>
      <c r="P561" s="78"/>
      <c r="Q561" s="78"/>
      <c r="R561" s="90"/>
      <c r="S561" s="90"/>
      <c r="T561" s="90"/>
      <c r="U561" s="90"/>
      <c r="V561" s="52"/>
      <c r="W561" s="52"/>
      <c r="X561" s="52"/>
      <c r="Y561" s="52"/>
      <c r="Z561" s="51"/>
      <c r="AA561" s="73"/>
      <c r="AB561" s="73"/>
      <c r="AC561" s="74"/>
      <c r="AD561" s="80" t="s">
        <v>4734</v>
      </c>
      <c r="AE561" s="86" t="s">
        <v>5630</v>
      </c>
      <c r="AF561" s="80">
        <v>284</v>
      </c>
      <c r="AG561" s="80">
        <v>324</v>
      </c>
      <c r="AH561" s="80">
        <v>29617</v>
      </c>
      <c r="AI561" s="80">
        <v>1219</v>
      </c>
      <c r="AJ561" s="80"/>
      <c r="AK561" s="80" t="s">
        <v>6387</v>
      </c>
      <c r="AL561" s="80"/>
      <c r="AM561" s="84" t="str">
        <f>HYPERLINK("https://t.co/rAaCFnQSLS")</f>
        <v>https://t.co/rAaCFnQSLS</v>
      </c>
      <c r="AN561" s="80"/>
      <c r="AO561" s="82">
        <v>43195.291527777779</v>
      </c>
      <c r="AP561" s="84" t="str">
        <f>HYPERLINK("https://pbs.twimg.com/profile_banners/981788475744665600/1574591987")</f>
        <v>https://pbs.twimg.com/profile_banners/981788475744665600/1574591987</v>
      </c>
      <c r="AQ561" s="80" t="b">
        <v>1</v>
      </c>
      <c r="AR561" s="80" t="b">
        <v>0</v>
      </c>
      <c r="AS561" s="80" t="b">
        <v>1</v>
      </c>
      <c r="AT561" s="80"/>
      <c r="AU561" s="80">
        <v>1</v>
      </c>
      <c r="AV561" s="80"/>
      <c r="AW561" s="80" t="b">
        <v>0</v>
      </c>
      <c r="AX561" s="80" t="s">
        <v>7173</v>
      </c>
      <c r="AY561" s="84" t="str">
        <f>HYPERLINK("https://twitter.com/viraieo")</f>
        <v>https://twitter.com/viraieo</v>
      </c>
      <c r="AZ561" s="80" t="s">
        <v>66</v>
      </c>
      <c r="BA561" s="2"/>
      <c r="BB561" s="3"/>
      <c r="BC561" s="3"/>
      <c r="BD561" s="3"/>
      <c r="BE561" s="3"/>
    </row>
    <row r="562" spans="1:57" x14ac:dyDescent="0.35">
      <c r="A562" s="66" t="s">
        <v>678</v>
      </c>
      <c r="B562" s="67"/>
      <c r="C562" s="67"/>
      <c r="D562" s="68"/>
      <c r="E562" s="70"/>
      <c r="F562" s="106" t="str">
        <f>HYPERLINK("https://pbs.twimg.com/profile_images/1415734427368312832/25r26PDL_normal.jpg")</f>
        <v>https://pbs.twimg.com/profile_images/1415734427368312832/25r26PDL_normal.jpg</v>
      </c>
      <c r="G562" s="67"/>
      <c r="H562" s="71"/>
      <c r="I562" s="72"/>
      <c r="J562" s="72"/>
      <c r="K562" s="71" t="s">
        <v>7732</v>
      </c>
      <c r="L562" s="75"/>
      <c r="M562" s="76"/>
      <c r="N562" s="76"/>
      <c r="O562" s="77"/>
      <c r="P562" s="78"/>
      <c r="Q562" s="78"/>
      <c r="R562" s="90"/>
      <c r="S562" s="90"/>
      <c r="T562" s="90"/>
      <c r="U562" s="90"/>
      <c r="V562" s="52"/>
      <c r="W562" s="52"/>
      <c r="X562" s="52"/>
      <c r="Y562" s="52"/>
      <c r="Z562" s="51"/>
      <c r="AA562" s="73"/>
      <c r="AB562" s="73"/>
      <c r="AC562" s="74"/>
      <c r="AD562" s="80" t="s">
        <v>4735</v>
      </c>
      <c r="AE562" s="86" t="s">
        <v>5631</v>
      </c>
      <c r="AF562" s="80">
        <v>192</v>
      </c>
      <c r="AG562" s="80">
        <v>185</v>
      </c>
      <c r="AH562" s="80">
        <v>5840</v>
      </c>
      <c r="AI562" s="80">
        <v>2864</v>
      </c>
      <c r="AJ562" s="80"/>
      <c r="AK562" s="80" t="s">
        <v>6388</v>
      </c>
      <c r="AL562" s="80" t="s">
        <v>6980</v>
      </c>
      <c r="AM562" s="80"/>
      <c r="AN562" s="80"/>
      <c r="AO562" s="82">
        <v>44392.549675925926</v>
      </c>
      <c r="AP562" s="84" t="str">
        <f>HYPERLINK("https://pbs.twimg.com/profile_banners/1415660262657462281/1626355443")</f>
        <v>https://pbs.twimg.com/profile_banners/1415660262657462281/1626355443</v>
      </c>
      <c r="AQ562" s="80" t="b">
        <v>1</v>
      </c>
      <c r="AR562" s="80" t="b">
        <v>0</v>
      </c>
      <c r="AS562" s="80" t="b">
        <v>0</v>
      </c>
      <c r="AT562" s="80"/>
      <c r="AU562" s="80">
        <v>2</v>
      </c>
      <c r="AV562" s="80"/>
      <c r="AW562" s="80" t="b">
        <v>0</v>
      </c>
      <c r="AX562" s="80" t="s">
        <v>7173</v>
      </c>
      <c r="AY562" s="84" t="str">
        <f>HYPERLINK("https://twitter.com/0606cokr")</f>
        <v>https://twitter.com/0606cokr</v>
      </c>
      <c r="AZ562" s="80" t="s">
        <v>66</v>
      </c>
      <c r="BA562" s="2"/>
      <c r="BB562" s="3"/>
      <c r="BC562" s="3"/>
      <c r="BD562" s="3"/>
      <c r="BE562" s="3"/>
    </row>
    <row r="563" spans="1:57" x14ac:dyDescent="0.35">
      <c r="A563" s="66" t="s">
        <v>1085</v>
      </c>
      <c r="B563" s="67"/>
      <c r="C563" s="67"/>
      <c r="D563" s="68"/>
      <c r="E563" s="70"/>
      <c r="F563" s="106" t="str">
        <f>HYPERLINK("https://pbs.twimg.com/profile_images/1439922306151682054/oXOTg7ld_normal.jpg")</f>
        <v>https://pbs.twimg.com/profile_images/1439922306151682054/oXOTg7ld_normal.jpg</v>
      </c>
      <c r="G563" s="67"/>
      <c r="H563" s="71"/>
      <c r="I563" s="72"/>
      <c r="J563" s="72"/>
      <c r="K563" s="71" t="s">
        <v>7733</v>
      </c>
      <c r="L563" s="75"/>
      <c r="M563" s="76"/>
      <c r="N563" s="76"/>
      <c r="O563" s="77"/>
      <c r="P563" s="78"/>
      <c r="Q563" s="78"/>
      <c r="R563" s="90"/>
      <c r="S563" s="90"/>
      <c r="T563" s="90"/>
      <c r="U563" s="90"/>
      <c r="V563" s="52"/>
      <c r="W563" s="52"/>
      <c r="X563" s="52"/>
      <c r="Y563" s="52"/>
      <c r="Z563" s="51"/>
      <c r="AA563" s="73"/>
      <c r="AB563" s="73"/>
      <c r="AC563" s="74"/>
      <c r="AD563" s="80" t="s">
        <v>4736</v>
      </c>
      <c r="AE563" s="86" t="s">
        <v>3957</v>
      </c>
      <c r="AF563" s="80">
        <v>59</v>
      </c>
      <c r="AG563" s="80">
        <v>54</v>
      </c>
      <c r="AH563" s="80">
        <v>334</v>
      </c>
      <c r="AI563" s="80">
        <v>126</v>
      </c>
      <c r="AJ563" s="80"/>
      <c r="AK563" s="80" t="s">
        <v>6389</v>
      </c>
      <c r="AL563" s="80"/>
      <c r="AM563" s="80"/>
      <c r="AN563" s="80"/>
      <c r="AO563" s="82">
        <v>42938.441944444443</v>
      </c>
      <c r="AP563" s="84" t="str">
        <f>HYPERLINK("https://pbs.twimg.com/profile_banners/888709306673057792/1632139207")</f>
        <v>https://pbs.twimg.com/profile_banners/888709306673057792/1632139207</v>
      </c>
      <c r="AQ563" s="80" t="b">
        <v>1</v>
      </c>
      <c r="AR563" s="80" t="b">
        <v>0</v>
      </c>
      <c r="AS563" s="80" t="b">
        <v>0</v>
      </c>
      <c r="AT563" s="80"/>
      <c r="AU563" s="80">
        <v>0</v>
      </c>
      <c r="AV563" s="80"/>
      <c r="AW563" s="80" t="b">
        <v>0</v>
      </c>
      <c r="AX563" s="80" t="s">
        <v>7173</v>
      </c>
      <c r="AY563" s="84" t="str">
        <f>HYPERLINK("https://twitter.com/milsuna")</f>
        <v>https://twitter.com/milsuna</v>
      </c>
      <c r="AZ563" s="80" t="s">
        <v>65</v>
      </c>
      <c r="BA563" s="2"/>
      <c r="BB563" s="3"/>
      <c r="BC563" s="3"/>
      <c r="BD563" s="3"/>
      <c r="BE563" s="3"/>
    </row>
    <row r="564" spans="1:57" x14ac:dyDescent="0.35">
      <c r="A564" s="66" t="s">
        <v>679</v>
      </c>
      <c r="B564" s="67"/>
      <c r="C564" s="67"/>
      <c r="D564" s="68"/>
      <c r="E564" s="70"/>
      <c r="F564" s="106" t="str">
        <f>HYPERLINK("https://pbs.twimg.com/profile_images/1004112779563790341/yw74NpyB_normal.jpg")</f>
        <v>https://pbs.twimg.com/profile_images/1004112779563790341/yw74NpyB_normal.jpg</v>
      </c>
      <c r="G564" s="67"/>
      <c r="H564" s="71"/>
      <c r="I564" s="72"/>
      <c r="J564" s="72"/>
      <c r="K564" s="71" t="s">
        <v>7734</v>
      </c>
      <c r="L564" s="75"/>
      <c r="M564" s="76"/>
      <c r="N564" s="76"/>
      <c r="O564" s="77"/>
      <c r="P564" s="78"/>
      <c r="Q564" s="78"/>
      <c r="R564" s="90"/>
      <c r="S564" s="90"/>
      <c r="T564" s="90"/>
      <c r="U564" s="90"/>
      <c r="V564" s="52"/>
      <c r="W564" s="52"/>
      <c r="X564" s="52"/>
      <c r="Y564" s="52"/>
      <c r="Z564" s="51"/>
      <c r="AA564" s="73"/>
      <c r="AB564" s="73"/>
      <c r="AC564" s="74"/>
      <c r="AD564" s="80" t="s">
        <v>4737</v>
      </c>
      <c r="AE564" s="86" t="s">
        <v>5632</v>
      </c>
      <c r="AF564" s="80">
        <v>875</v>
      </c>
      <c r="AG564" s="80">
        <v>575</v>
      </c>
      <c r="AH564" s="80">
        <v>13306</v>
      </c>
      <c r="AI564" s="80">
        <v>3765</v>
      </c>
      <c r="AJ564" s="80"/>
      <c r="AK564" s="80" t="s">
        <v>6390</v>
      </c>
      <c r="AL564" s="80" t="s">
        <v>6981</v>
      </c>
      <c r="AM564" s="80"/>
      <c r="AN564" s="80"/>
      <c r="AO564" s="82">
        <v>40218.662511574075</v>
      </c>
      <c r="AP564" s="84" t="str">
        <f>HYPERLINK("https://pbs.twimg.com/profile_banners/112751156/1518147794")</f>
        <v>https://pbs.twimg.com/profile_banners/112751156/1518147794</v>
      </c>
      <c r="AQ564" s="80" t="b">
        <v>0</v>
      </c>
      <c r="AR564" s="80" t="b">
        <v>0</v>
      </c>
      <c r="AS564" s="80" t="b">
        <v>1</v>
      </c>
      <c r="AT564" s="80"/>
      <c r="AU564" s="80">
        <v>1</v>
      </c>
      <c r="AV564" s="84" t="str">
        <f>HYPERLINK("https://abs.twimg.com/images/themes/theme13/bg.gif")</f>
        <v>https://abs.twimg.com/images/themes/theme13/bg.gif</v>
      </c>
      <c r="AW564" s="80" t="b">
        <v>0</v>
      </c>
      <c r="AX564" s="80" t="s">
        <v>7173</v>
      </c>
      <c r="AY564" s="84" t="str">
        <f>HYPERLINK("https://twitter.com/wuriihannd")</f>
        <v>https://twitter.com/wuriihannd</v>
      </c>
      <c r="AZ564" s="80" t="s">
        <v>66</v>
      </c>
      <c r="BA564" s="2"/>
      <c r="BB564" s="3"/>
      <c r="BC564" s="3"/>
      <c r="BD564" s="3"/>
      <c r="BE564" s="3"/>
    </row>
    <row r="565" spans="1:57" x14ac:dyDescent="0.35">
      <c r="A565" s="66" t="s">
        <v>680</v>
      </c>
      <c r="B565" s="67"/>
      <c r="C565" s="67"/>
      <c r="D565" s="68"/>
      <c r="E565" s="70"/>
      <c r="F565" s="106" t="str">
        <f>HYPERLINK("https://pbs.twimg.com/profile_images/1221754190814298112/zXbF4BZr_normal.jpg")</f>
        <v>https://pbs.twimg.com/profile_images/1221754190814298112/zXbF4BZr_normal.jpg</v>
      </c>
      <c r="G565" s="67"/>
      <c r="H565" s="71"/>
      <c r="I565" s="72"/>
      <c r="J565" s="72"/>
      <c r="K565" s="71" t="s">
        <v>7735</v>
      </c>
      <c r="L565" s="75"/>
      <c r="M565" s="76"/>
      <c r="N565" s="76"/>
      <c r="O565" s="77"/>
      <c r="P565" s="78"/>
      <c r="Q565" s="78"/>
      <c r="R565" s="90"/>
      <c r="S565" s="90"/>
      <c r="T565" s="90"/>
      <c r="U565" s="90"/>
      <c r="V565" s="52"/>
      <c r="W565" s="52"/>
      <c r="X565" s="52"/>
      <c r="Y565" s="52"/>
      <c r="Z565" s="51"/>
      <c r="AA565" s="73"/>
      <c r="AB565" s="73"/>
      <c r="AC565" s="74"/>
      <c r="AD565" s="80" t="s">
        <v>4738</v>
      </c>
      <c r="AE565" s="86" t="s">
        <v>5633</v>
      </c>
      <c r="AF565" s="80">
        <v>4180</v>
      </c>
      <c r="AG565" s="80">
        <v>4106</v>
      </c>
      <c r="AH565" s="80">
        <v>49304</v>
      </c>
      <c r="AI565" s="80">
        <v>61003</v>
      </c>
      <c r="AJ565" s="80"/>
      <c r="AK565" s="80" t="s">
        <v>6391</v>
      </c>
      <c r="AL565" s="80"/>
      <c r="AM565" s="80"/>
      <c r="AN565" s="80"/>
      <c r="AO565" s="82">
        <v>40066.415277777778</v>
      </c>
      <c r="AP565" s="84" t="str">
        <f>HYPERLINK("https://pbs.twimg.com/profile_banners/73084689/1438958042")</f>
        <v>https://pbs.twimg.com/profile_banners/73084689/1438958042</v>
      </c>
      <c r="AQ565" s="80" t="b">
        <v>0</v>
      </c>
      <c r="AR565" s="80" t="b">
        <v>0</v>
      </c>
      <c r="AS565" s="80" t="b">
        <v>1</v>
      </c>
      <c r="AT565" s="80"/>
      <c r="AU565" s="80">
        <v>0</v>
      </c>
      <c r="AV565" s="84" t="str">
        <f>HYPERLINK("https://abs.twimg.com/images/themes/theme19/bg.gif")</f>
        <v>https://abs.twimg.com/images/themes/theme19/bg.gif</v>
      </c>
      <c r="AW565" s="80" t="b">
        <v>0</v>
      </c>
      <c r="AX565" s="80" t="s">
        <v>7173</v>
      </c>
      <c r="AY565" s="84" t="str">
        <f>HYPERLINK("https://twitter.com/ferrywf")</f>
        <v>https://twitter.com/ferrywf</v>
      </c>
      <c r="AZ565" s="80" t="s">
        <v>66</v>
      </c>
      <c r="BA565" s="2"/>
      <c r="BB565" s="3"/>
      <c r="BC565" s="3"/>
      <c r="BD565" s="3"/>
      <c r="BE565" s="3"/>
    </row>
    <row r="566" spans="1:57" x14ac:dyDescent="0.35">
      <c r="A566" s="66" t="s">
        <v>681</v>
      </c>
      <c r="B566" s="67"/>
      <c r="C566" s="67"/>
      <c r="D566" s="68"/>
      <c r="E566" s="70"/>
      <c r="F566" s="106" t="str">
        <f>HYPERLINK("https://pbs.twimg.com/profile_images/1440345778824749067/5TPu-gb8_normal.jpg")</f>
        <v>https://pbs.twimg.com/profile_images/1440345778824749067/5TPu-gb8_normal.jpg</v>
      </c>
      <c r="G566" s="67"/>
      <c r="H566" s="71"/>
      <c r="I566" s="72"/>
      <c r="J566" s="72"/>
      <c r="K566" s="71" t="s">
        <v>7736</v>
      </c>
      <c r="L566" s="75"/>
      <c r="M566" s="76"/>
      <c r="N566" s="76"/>
      <c r="O566" s="77"/>
      <c r="P566" s="78"/>
      <c r="Q566" s="78"/>
      <c r="R566" s="90"/>
      <c r="S566" s="90"/>
      <c r="T566" s="90"/>
      <c r="U566" s="90"/>
      <c r="V566" s="52"/>
      <c r="W566" s="52"/>
      <c r="X566" s="52"/>
      <c r="Y566" s="52"/>
      <c r="Z566" s="51"/>
      <c r="AA566" s="73"/>
      <c r="AB566" s="73"/>
      <c r="AC566" s="74"/>
      <c r="AD566" s="80" t="s">
        <v>4739</v>
      </c>
      <c r="AE566" s="86" t="s">
        <v>5634</v>
      </c>
      <c r="AF566" s="80">
        <v>177</v>
      </c>
      <c r="AG566" s="80">
        <v>166</v>
      </c>
      <c r="AH566" s="80">
        <v>811</v>
      </c>
      <c r="AI566" s="80">
        <v>92</v>
      </c>
      <c r="AJ566" s="80"/>
      <c r="AK566" s="80" t="s">
        <v>6392</v>
      </c>
      <c r="AL566" s="80" t="s">
        <v>6982</v>
      </c>
      <c r="AM566" s="84" t="str">
        <f>HYPERLINK("https://t.co/IMKnRA4ybK")</f>
        <v>https://t.co/IMKnRA4ybK</v>
      </c>
      <c r="AN566" s="80"/>
      <c r="AO566" s="82">
        <v>44448.797824074078</v>
      </c>
      <c r="AP566" s="84" t="str">
        <f>HYPERLINK("https://pbs.twimg.com/profile_banners/1436043910611030018/1632240169")</f>
        <v>https://pbs.twimg.com/profile_banners/1436043910611030018/1632240169</v>
      </c>
      <c r="AQ566" s="80" t="b">
        <v>1</v>
      </c>
      <c r="AR566" s="80" t="b">
        <v>0</v>
      </c>
      <c r="AS566" s="80" t="b">
        <v>0</v>
      </c>
      <c r="AT566" s="80"/>
      <c r="AU566" s="80">
        <v>1</v>
      </c>
      <c r="AV566" s="80"/>
      <c r="AW566" s="80" t="b">
        <v>0</v>
      </c>
      <c r="AX566" s="80" t="s">
        <v>7173</v>
      </c>
      <c r="AY566" s="84" t="str">
        <f>HYPERLINK("https://twitter.com/snuwoon")</f>
        <v>https://twitter.com/snuwoon</v>
      </c>
      <c r="AZ566" s="80" t="s">
        <v>66</v>
      </c>
      <c r="BA566" s="2"/>
      <c r="BB566" s="3"/>
      <c r="BC566" s="3"/>
      <c r="BD566" s="3"/>
      <c r="BE566" s="3"/>
    </row>
    <row r="567" spans="1:57" x14ac:dyDescent="0.35">
      <c r="A567" s="66" t="s">
        <v>1086</v>
      </c>
      <c r="B567" s="67"/>
      <c r="C567" s="67"/>
      <c r="D567" s="68"/>
      <c r="E567" s="70"/>
      <c r="F567" s="106" t="str">
        <f>HYPERLINK("https://pbs.twimg.com/profile_images/1440518562083315724/xtVDyGHP_normal.jpg")</f>
        <v>https://pbs.twimg.com/profile_images/1440518562083315724/xtVDyGHP_normal.jpg</v>
      </c>
      <c r="G567" s="67"/>
      <c r="H567" s="71"/>
      <c r="I567" s="72"/>
      <c r="J567" s="72"/>
      <c r="K567" s="71" t="s">
        <v>7737</v>
      </c>
      <c r="L567" s="75"/>
      <c r="M567" s="76"/>
      <c r="N567" s="76"/>
      <c r="O567" s="77"/>
      <c r="P567" s="78"/>
      <c r="Q567" s="78"/>
      <c r="R567" s="90"/>
      <c r="S567" s="90"/>
      <c r="T567" s="90"/>
      <c r="U567" s="90"/>
      <c r="V567" s="52"/>
      <c r="W567" s="52"/>
      <c r="X567" s="52"/>
      <c r="Y567" s="52"/>
      <c r="Z567" s="51"/>
      <c r="AA567" s="73"/>
      <c r="AB567" s="73"/>
      <c r="AC567" s="74"/>
      <c r="AD567" s="80" t="s">
        <v>4740</v>
      </c>
      <c r="AE567" s="86" t="s">
        <v>3958</v>
      </c>
      <c r="AF567" s="80">
        <v>36</v>
      </c>
      <c r="AG567" s="80">
        <v>25</v>
      </c>
      <c r="AH567" s="80">
        <v>318</v>
      </c>
      <c r="AI567" s="80">
        <v>14</v>
      </c>
      <c r="AJ567" s="80"/>
      <c r="AK567" s="80"/>
      <c r="AL567" s="80" t="s">
        <v>6983</v>
      </c>
      <c r="AM567" s="80"/>
      <c r="AN567" s="80"/>
      <c r="AO567" s="82">
        <v>44253.236122685186</v>
      </c>
      <c r="AP567" s="84" t="str">
        <f>HYPERLINK("https://pbs.twimg.com/profile_banners/1365174727199793153/1632200952")</f>
        <v>https://pbs.twimg.com/profile_banners/1365174727199793153/1632200952</v>
      </c>
      <c r="AQ567" s="80" t="b">
        <v>1</v>
      </c>
      <c r="AR567" s="80" t="b">
        <v>0</v>
      </c>
      <c r="AS567" s="80" t="b">
        <v>0</v>
      </c>
      <c r="AT567" s="80"/>
      <c r="AU567" s="80">
        <v>0</v>
      </c>
      <c r="AV567" s="80"/>
      <c r="AW567" s="80" t="b">
        <v>0</v>
      </c>
      <c r="AX567" s="80" t="s">
        <v>7173</v>
      </c>
      <c r="AY567" s="84" t="str">
        <f>HYPERLINK("https://twitter.com/revoiruna")</f>
        <v>https://twitter.com/revoiruna</v>
      </c>
      <c r="AZ567" s="80" t="s">
        <v>65</v>
      </c>
      <c r="BA567" s="2"/>
      <c r="BB567" s="3"/>
      <c r="BC567" s="3"/>
      <c r="BD567" s="3"/>
      <c r="BE567" s="3"/>
    </row>
    <row r="568" spans="1:57" x14ac:dyDescent="0.35">
      <c r="A568" s="66" t="s">
        <v>682</v>
      </c>
      <c r="B568" s="67"/>
      <c r="C568" s="67"/>
      <c r="D568" s="68"/>
      <c r="E568" s="70"/>
      <c r="F568" s="106" t="str">
        <f>HYPERLINK("https://pbs.twimg.com/profile_images/1396675639806021632/lhDrJlJH_normal.jpg")</f>
        <v>https://pbs.twimg.com/profile_images/1396675639806021632/lhDrJlJH_normal.jpg</v>
      </c>
      <c r="G568" s="67"/>
      <c r="H568" s="71"/>
      <c r="I568" s="72"/>
      <c r="J568" s="72"/>
      <c r="K568" s="71" t="s">
        <v>7738</v>
      </c>
      <c r="L568" s="75"/>
      <c r="M568" s="76"/>
      <c r="N568" s="76"/>
      <c r="O568" s="77"/>
      <c r="P568" s="78"/>
      <c r="Q568" s="78"/>
      <c r="R568" s="90"/>
      <c r="S568" s="90"/>
      <c r="T568" s="90"/>
      <c r="U568" s="90"/>
      <c r="V568" s="52"/>
      <c r="W568" s="52"/>
      <c r="X568" s="52"/>
      <c r="Y568" s="52"/>
      <c r="Z568" s="51"/>
      <c r="AA568" s="73"/>
      <c r="AB568" s="73"/>
      <c r="AC568" s="74"/>
      <c r="AD568" s="80" t="s">
        <v>4741</v>
      </c>
      <c r="AE568" s="86" t="s">
        <v>5635</v>
      </c>
      <c r="AF568" s="80">
        <v>0</v>
      </c>
      <c r="AG568" s="80">
        <v>108837</v>
      </c>
      <c r="AH568" s="80">
        <v>32447</v>
      </c>
      <c r="AI568" s="80">
        <v>10</v>
      </c>
      <c r="AJ568" s="80"/>
      <c r="AK568" s="80" t="s">
        <v>6393</v>
      </c>
      <c r="AL568" s="80" t="s">
        <v>6984</v>
      </c>
      <c r="AM568" s="84" t="str">
        <f>HYPERLINK("https://t.co/1G6PYLiH4f")</f>
        <v>https://t.co/1G6PYLiH4f</v>
      </c>
      <c r="AN568" s="80"/>
      <c r="AO568" s="82">
        <v>40569.570706018516</v>
      </c>
      <c r="AP568" s="84" t="str">
        <f>HYPERLINK("https://pbs.twimg.com/profile_banners/243177995/1625475374")</f>
        <v>https://pbs.twimg.com/profile_banners/243177995/1625475374</v>
      </c>
      <c r="AQ568" s="80" t="b">
        <v>0</v>
      </c>
      <c r="AR568" s="80" t="b">
        <v>0</v>
      </c>
      <c r="AS568" s="80" t="b">
        <v>0</v>
      </c>
      <c r="AT568" s="80"/>
      <c r="AU568" s="80">
        <v>77</v>
      </c>
      <c r="AV568" s="84" t="str">
        <f>HYPERLINK("https://abs.twimg.com/images/themes/theme8/bg.gif")</f>
        <v>https://abs.twimg.com/images/themes/theme8/bg.gif</v>
      </c>
      <c r="AW568" s="80" t="b">
        <v>0</v>
      </c>
      <c r="AX568" s="80" t="s">
        <v>7173</v>
      </c>
      <c r="AY568" s="84" t="str">
        <f>HYPERLINK("https://twitter.com/tintahijaucom")</f>
        <v>https://twitter.com/tintahijaucom</v>
      </c>
      <c r="AZ568" s="80" t="s">
        <v>66</v>
      </c>
      <c r="BA568" s="2"/>
      <c r="BB568" s="3"/>
      <c r="BC568" s="3"/>
      <c r="BD568" s="3"/>
      <c r="BE568" s="3"/>
    </row>
    <row r="569" spans="1:57" x14ac:dyDescent="0.35">
      <c r="A569" s="66" t="s">
        <v>683</v>
      </c>
      <c r="B569" s="67"/>
      <c r="C569" s="67"/>
      <c r="D569" s="68"/>
      <c r="E569" s="70"/>
      <c r="F569" s="106" t="str">
        <f>HYPERLINK("https://pbs.twimg.com/profile_images/1145722872804999170/HG9Fnn1A_normal.jpg")</f>
        <v>https://pbs.twimg.com/profile_images/1145722872804999170/HG9Fnn1A_normal.jpg</v>
      </c>
      <c r="G569" s="67"/>
      <c r="H569" s="71"/>
      <c r="I569" s="72"/>
      <c r="J569" s="72"/>
      <c r="K569" s="71" t="s">
        <v>7739</v>
      </c>
      <c r="L569" s="75"/>
      <c r="M569" s="76"/>
      <c r="N569" s="76"/>
      <c r="O569" s="77"/>
      <c r="P569" s="78"/>
      <c r="Q569" s="78"/>
      <c r="R569" s="90"/>
      <c r="S569" s="90"/>
      <c r="T569" s="90"/>
      <c r="U569" s="90"/>
      <c r="V569" s="52"/>
      <c r="W569" s="52"/>
      <c r="X569" s="52"/>
      <c r="Y569" s="52"/>
      <c r="Z569" s="51"/>
      <c r="AA569" s="73"/>
      <c r="AB569" s="73"/>
      <c r="AC569" s="74"/>
      <c r="AD569" s="80" t="s">
        <v>4742</v>
      </c>
      <c r="AE569" s="86" t="s">
        <v>5636</v>
      </c>
      <c r="AF569" s="80">
        <v>2221</v>
      </c>
      <c r="AG569" s="80">
        <v>18022</v>
      </c>
      <c r="AH569" s="80">
        <v>146097</v>
      </c>
      <c r="AI569" s="80">
        <v>33</v>
      </c>
      <c r="AJ569" s="80"/>
      <c r="AK569" s="80" t="s">
        <v>6394</v>
      </c>
      <c r="AL569" s="80" t="s">
        <v>6985</v>
      </c>
      <c r="AM569" s="84" t="str">
        <f>HYPERLINK("https://t.co/vKYfeCeOj4")</f>
        <v>https://t.co/vKYfeCeOj4</v>
      </c>
      <c r="AN569" s="80"/>
      <c r="AO569" s="82">
        <v>40879.133472222224</v>
      </c>
      <c r="AP569" s="84" t="str">
        <f>HYPERLINK("https://pbs.twimg.com/profile_banners/426321924/1578406470")</f>
        <v>https://pbs.twimg.com/profile_banners/426321924/1578406470</v>
      </c>
      <c r="AQ569" s="80" t="b">
        <v>0</v>
      </c>
      <c r="AR569" s="80" t="b">
        <v>0</v>
      </c>
      <c r="AS569" s="80" t="b">
        <v>1</v>
      </c>
      <c r="AT569" s="80"/>
      <c r="AU569" s="80">
        <v>20</v>
      </c>
      <c r="AV569" s="84" t="str">
        <f>HYPERLINK("https://abs.twimg.com/images/themes/theme1/bg.png")</f>
        <v>https://abs.twimg.com/images/themes/theme1/bg.png</v>
      </c>
      <c r="AW569" s="80" t="b">
        <v>0</v>
      </c>
      <c r="AX569" s="80" t="s">
        <v>7173</v>
      </c>
      <c r="AY569" s="84" t="str">
        <f>HYPERLINK("https://twitter.com/zonasubang")</f>
        <v>https://twitter.com/zonasubang</v>
      </c>
      <c r="AZ569" s="80" t="s">
        <v>66</v>
      </c>
      <c r="BA569" s="2"/>
      <c r="BB569" s="3"/>
      <c r="BC569" s="3"/>
      <c r="BD569" s="3"/>
      <c r="BE569" s="3"/>
    </row>
    <row r="570" spans="1:57" x14ac:dyDescent="0.35">
      <c r="A570" s="66" t="s">
        <v>684</v>
      </c>
      <c r="B570" s="67"/>
      <c r="C570" s="67"/>
      <c r="D570" s="68"/>
      <c r="E570" s="70"/>
      <c r="F570" s="106" t="str">
        <f>HYPERLINK("https://pbs.twimg.com/profile_images/423689158175911936/hqK6tGsi_normal.jpeg")</f>
        <v>https://pbs.twimg.com/profile_images/423689158175911936/hqK6tGsi_normal.jpeg</v>
      </c>
      <c r="G570" s="67"/>
      <c r="H570" s="71"/>
      <c r="I570" s="72"/>
      <c r="J570" s="72"/>
      <c r="K570" s="71" t="s">
        <v>7740</v>
      </c>
      <c r="L570" s="75"/>
      <c r="M570" s="76"/>
      <c r="N570" s="76"/>
      <c r="O570" s="77"/>
      <c r="P570" s="78"/>
      <c r="Q570" s="78"/>
      <c r="R570" s="90"/>
      <c r="S570" s="90"/>
      <c r="T570" s="90"/>
      <c r="U570" s="90"/>
      <c r="V570" s="52"/>
      <c r="W570" s="52"/>
      <c r="X570" s="52"/>
      <c r="Y570" s="52"/>
      <c r="Z570" s="51"/>
      <c r="AA570" s="73"/>
      <c r="AB570" s="73"/>
      <c r="AC570" s="74"/>
      <c r="AD570" s="80" t="s">
        <v>4743</v>
      </c>
      <c r="AE570" s="86" t="s">
        <v>5637</v>
      </c>
      <c r="AF570" s="80">
        <v>20</v>
      </c>
      <c r="AG570" s="80">
        <v>1853</v>
      </c>
      <c r="AH570" s="80">
        <v>123750</v>
      </c>
      <c r="AI570" s="80">
        <v>6</v>
      </c>
      <c r="AJ570" s="80"/>
      <c r="AK570" s="80" t="s">
        <v>6395</v>
      </c>
      <c r="AL570" s="80" t="s">
        <v>6792</v>
      </c>
      <c r="AM570" s="84" t="str">
        <f>HYPERLINK("http://t.co/PwQN3s9MrF")</f>
        <v>http://t.co/PwQN3s9MrF</v>
      </c>
      <c r="AN570" s="80"/>
      <c r="AO570" s="82">
        <v>40656.103449074071</v>
      </c>
      <c r="AP570" s="84" t="str">
        <f>HYPERLINK("https://pbs.twimg.com/profile_banners/286472930/1389850906")</f>
        <v>https://pbs.twimg.com/profile_banners/286472930/1389850906</v>
      </c>
      <c r="AQ570" s="80" t="b">
        <v>1</v>
      </c>
      <c r="AR570" s="80" t="b">
        <v>0</v>
      </c>
      <c r="AS570" s="80" t="b">
        <v>0</v>
      </c>
      <c r="AT570" s="80"/>
      <c r="AU570" s="80">
        <v>7</v>
      </c>
      <c r="AV570" s="84" t="str">
        <f>HYPERLINK("https://abs.twimg.com/images/themes/theme1/bg.png")</f>
        <v>https://abs.twimg.com/images/themes/theme1/bg.png</v>
      </c>
      <c r="AW570" s="80" t="b">
        <v>0</v>
      </c>
      <c r="AX570" s="80" t="s">
        <v>7173</v>
      </c>
      <c r="AY570" s="84" t="str">
        <f>HYPERLINK("https://twitter.com/jabar24jam")</f>
        <v>https://twitter.com/jabar24jam</v>
      </c>
      <c r="AZ570" s="80" t="s">
        <v>66</v>
      </c>
      <c r="BA570" s="2"/>
      <c r="BB570" s="3"/>
      <c r="BC570" s="3"/>
      <c r="BD570" s="3"/>
      <c r="BE570" s="3"/>
    </row>
    <row r="571" spans="1:57" x14ac:dyDescent="0.35">
      <c r="A571" s="66" t="s">
        <v>685</v>
      </c>
      <c r="B571" s="67"/>
      <c r="C571" s="67"/>
      <c r="D571" s="68"/>
      <c r="E571" s="70"/>
      <c r="F571" s="106" t="str">
        <f>HYPERLINK("https://pbs.twimg.com/profile_images/1041576986261372928/0cw8PKjG_normal.jpg")</f>
        <v>https://pbs.twimg.com/profile_images/1041576986261372928/0cw8PKjG_normal.jpg</v>
      </c>
      <c r="G571" s="67"/>
      <c r="H571" s="71"/>
      <c r="I571" s="72"/>
      <c r="J571" s="72"/>
      <c r="K571" s="71" t="s">
        <v>7741</v>
      </c>
      <c r="L571" s="75"/>
      <c r="M571" s="76"/>
      <c r="N571" s="76"/>
      <c r="O571" s="77"/>
      <c r="P571" s="78"/>
      <c r="Q571" s="78"/>
      <c r="R571" s="90"/>
      <c r="S571" s="90"/>
      <c r="T571" s="90"/>
      <c r="U571" s="90"/>
      <c r="V571" s="52"/>
      <c r="W571" s="52"/>
      <c r="X571" s="52"/>
      <c r="Y571" s="52"/>
      <c r="Z571" s="51"/>
      <c r="AA571" s="73"/>
      <c r="AB571" s="73"/>
      <c r="AC571" s="74"/>
      <c r="AD571" s="80" t="s">
        <v>4744</v>
      </c>
      <c r="AE571" s="86" t="s">
        <v>5638</v>
      </c>
      <c r="AF571" s="80">
        <v>5</v>
      </c>
      <c r="AG571" s="80">
        <v>10139</v>
      </c>
      <c r="AH571" s="80">
        <v>44881</v>
      </c>
      <c r="AI571" s="80">
        <v>1</v>
      </c>
      <c r="AJ571" s="80"/>
      <c r="AK571" s="80" t="s">
        <v>6396</v>
      </c>
      <c r="AL571" s="80" t="s">
        <v>6986</v>
      </c>
      <c r="AM571" s="80"/>
      <c r="AN571" s="80"/>
      <c r="AO571" s="82">
        <v>40380.087754629632</v>
      </c>
      <c r="AP571" s="80"/>
      <c r="AQ571" s="80" t="b">
        <v>0</v>
      </c>
      <c r="AR571" s="80" t="b">
        <v>0</v>
      </c>
      <c r="AS571" s="80" t="b">
        <v>0</v>
      </c>
      <c r="AT571" s="80"/>
      <c r="AU571" s="80">
        <v>18</v>
      </c>
      <c r="AV571" s="84" t="str">
        <f>HYPERLINK("https://abs.twimg.com/images/themes/theme18/bg.gif")</f>
        <v>https://abs.twimg.com/images/themes/theme18/bg.gif</v>
      </c>
      <c r="AW571" s="80" t="b">
        <v>0</v>
      </c>
      <c r="AX571" s="80" t="s">
        <v>7173</v>
      </c>
      <c r="AY571" s="84" t="str">
        <f>HYPERLINK("https://twitter.com/subanghits")</f>
        <v>https://twitter.com/subanghits</v>
      </c>
      <c r="AZ571" s="80" t="s">
        <v>66</v>
      </c>
      <c r="BA571" s="2"/>
      <c r="BB571" s="3"/>
      <c r="BC571" s="3"/>
      <c r="BD571" s="3"/>
      <c r="BE571" s="3"/>
    </row>
    <row r="572" spans="1:57" x14ac:dyDescent="0.35">
      <c r="A572" s="66" t="s">
        <v>686</v>
      </c>
      <c r="B572" s="67"/>
      <c r="C572" s="67"/>
      <c r="D572" s="68"/>
      <c r="E572" s="70"/>
      <c r="F572" s="106" t="str">
        <f>HYPERLINK("https://pbs.twimg.com/profile_images/426633691746402304/_pbyLItu_normal.jpeg")</f>
        <v>https://pbs.twimg.com/profile_images/426633691746402304/_pbyLItu_normal.jpeg</v>
      </c>
      <c r="G572" s="67"/>
      <c r="H572" s="71"/>
      <c r="I572" s="72"/>
      <c r="J572" s="72"/>
      <c r="K572" s="71" t="s">
        <v>7742</v>
      </c>
      <c r="L572" s="75"/>
      <c r="M572" s="76"/>
      <c r="N572" s="76"/>
      <c r="O572" s="77"/>
      <c r="P572" s="78"/>
      <c r="Q572" s="78"/>
      <c r="R572" s="90"/>
      <c r="S572" s="90"/>
      <c r="T572" s="90"/>
      <c r="U572" s="90"/>
      <c r="V572" s="52"/>
      <c r="W572" s="52"/>
      <c r="X572" s="52"/>
      <c r="Y572" s="52"/>
      <c r="Z572" s="51"/>
      <c r="AA572" s="73"/>
      <c r="AB572" s="73"/>
      <c r="AC572" s="74"/>
      <c r="AD572" s="80" t="s">
        <v>4745</v>
      </c>
      <c r="AE572" s="86" t="s">
        <v>5639</v>
      </c>
      <c r="AF572" s="80">
        <v>25</v>
      </c>
      <c r="AG572" s="80">
        <v>1484</v>
      </c>
      <c r="AH572" s="80">
        <v>32193</v>
      </c>
      <c r="AI572" s="80">
        <v>7</v>
      </c>
      <c r="AJ572" s="80"/>
      <c r="AK572" s="80" t="s">
        <v>6397</v>
      </c>
      <c r="AL572" s="80" t="s">
        <v>6987</v>
      </c>
      <c r="AM572" s="80"/>
      <c r="AN572" s="80"/>
      <c r="AO572" s="82">
        <v>41398.172199074077</v>
      </c>
      <c r="AP572" s="84" t="str">
        <f>HYPERLINK("https://pbs.twimg.com/profile_banners/1401345210/1390552229")</f>
        <v>https://pbs.twimg.com/profile_banners/1401345210/1390552229</v>
      </c>
      <c r="AQ572" s="80" t="b">
        <v>1</v>
      </c>
      <c r="AR572" s="80" t="b">
        <v>0</v>
      </c>
      <c r="AS572" s="80" t="b">
        <v>0</v>
      </c>
      <c r="AT572" s="80"/>
      <c r="AU572" s="80">
        <v>4</v>
      </c>
      <c r="AV572" s="84" t="str">
        <f>HYPERLINK("https://abs.twimg.com/images/themes/theme1/bg.png")</f>
        <v>https://abs.twimg.com/images/themes/theme1/bg.png</v>
      </c>
      <c r="AW572" s="80" t="b">
        <v>0</v>
      </c>
      <c r="AX572" s="80" t="s">
        <v>7173</v>
      </c>
      <c r="AY572" s="84" t="str">
        <f>HYPERLINK("https://twitter.com/panturaterkini")</f>
        <v>https://twitter.com/panturaterkini</v>
      </c>
      <c r="AZ572" s="80" t="s">
        <v>66</v>
      </c>
      <c r="BA572" s="2"/>
      <c r="BB572" s="3"/>
      <c r="BC572" s="3"/>
      <c r="BD572" s="3"/>
      <c r="BE572" s="3"/>
    </row>
    <row r="573" spans="1:57" x14ac:dyDescent="0.35">
      <c r="A573" s="66" t="s">
        <v>687</v>
      </c>
      <c r="B573" s="67"/>
      <c r="C573" s="67"/>
      <c r="D573" s="68"/>
      <c r="E573" s="70"/>
      <c r="F573" s="106" t="str">
        <f>HYPERLINK("https://pbs.twimg.com/profile_images/1339850161413976064/RyOT0CJJ_normal.jpg")</f>
        <v>https://pbs.twimg.com/profile_images/1339850161413976064/RyOT0CJJ_normal.jpg</v>
      </c>
      <c r="G573" s="67"/>
      <c r="H573" s="71"/>
      <c r="I573" s="72"/>
      <c r="J573" s="72"/>
      <c r="K573" s="71" t="s">
        <v>7743</v>
      </c>
      <c r="L573" s="75"/>
      <c r="M573" s="76"/>
      <c r="N573" s="76"/>
      <c r="O573" s="77"/>
      <c r="P573" s="78"/>
      <c r="Q573" s="78"/>
      <c r="R573" s="90"/>
      <c r="S573" s="90"/>
      <c r="T573" s="90"/>
      <c r="U573" s="90"/>
      <c r="V573" s="52"/>
      <c r="W573" s="52"/>
      <c r="X573" s="52"/>
      <c r="Y573" s="52"/>
      <c r="Z573" s="51"/>
      <c r="AA573" s="73"/>
      <c r="AB573" s="73"/>
      <c r="AC573" s="74"/>
      <c r="AD573" s="80" t="s">
        <v>4746</v>
      </c>
      <c r="AE573" s="86" t="s">
        <v>5640</v>
      </c>
      <c r="AF573" s="80">
        <v>426</v>
      </c>
      <c r="AG573" s="80">
        <v>861</v>
      </c>
      <c r="AH573" s="80">
        <v>24121</v>
      </c>
      <c r="AI573" s="80">
        <v>25813</v>
      </c>
      <c r="AJ573" s="80"/>
      <c r="AK573" s="80" t="s">
        <v>6398</v>
      </c>
      <c r="AL573" s="80" t="s">
        <v>6787</v>
      </c>
      <c r="AM573" s="80"/>
      <c r="AN573" s="80"/>
      <c r="AO573" s="82">
        <v>43830.057708333334</v>
      </c>
      <c r="AP573" s="84" t="str">
        <f>HYPERLINK("https://pbs.twimg.com/profile_banners/1211819988538904576/1597896409")</f>
        <v>https://pbs.twimg.com/profile_banners/1211819988538904576/1597896409</v>
      </c>
      <c r="AQ573" s="80" t="b">
        <v>1</v>
      </c>
      <c r="AR573" s="80" t="b">
        <v>0</v>
      </c>
      <c r="AS573" s="80" t="b">
        <v>0</v>
      </c>
      <c r="AT573" s="80"/>
      <c r="AU573" s="80">
        <v>1</v>
      </c>
      <c r="AV573" s="80"/>
      <c r="AW573" s="80" t="b">
        <v>0</v>
      </c>
      <c r="AX573" s="80" t="s">
        <v>7173</v>
      </c>
      <c r="AY573" s="84" t="str">
        <f>HYPERLINK("https://twitter.com/mawardiah8")</f>
        <v>https://twitter.com/mawardiah8</v>
      </c>
      <c r="AZ573" s="80" t="s">
        <v>66</v>
      </c>
      <c r="BA573" s="2"/>
      <c r="BB573" s="3"/>
      <c r="BC573" s="3"/>
      <c r="BD573" s="3"/>
      <c r="BE573" s="3"/>
    </row>
    <row r="574" spans="1:57" x14ac:dyDescent="0.35">
      <c r="A574" s="66" t="s">
        <v>1087</v>
      </c>
      <c r="B574" s="67"/>
      <c r="C574" s="67"/>
      <c r="D574" s="68"/>
      <c r="E574" s="70"/>
      <c r="F574" s="106" t="str">
        <f>HYPERLINK("https://pbs.twimg.com/profile_images/1432583076714934276/m8MgGtde_normal.jpg")</f>
        <v>https://pbs.twimg.com/profile_images/1432583076714934276/m8MgGtde_normal.jpg</v>
      </c>
      <c r="G574" s="67"/>
      <c r="H574" s="71"/>
      <c r="I574" s="72"/>
      <c r="J574" s="72"/>
      <c r="K574" s="71" t="s">
        <v>7744</v>
      </c>
      <c r="L574" s="75"/>
      <c r="M574" s="76"/>
      <c r="N574" s="76"/>
      <c r="O574" s="77"/>
      <c r="P574" s="78"/>
      <c r="Q574" s="78"/>
      <c r="R574" s="90"/>
      <c r="S574" s="90"/>
      <c r="T574" s="90"/>
      <c r="U574" s="90"/>
      <c r="V574" s="52"/>
      <c r="W574" s="52"/>
      <c r="X574" s="52"/>
      <c r="Y574" s="52"/>
      <c r="Z574" s="51"/>
      <c r="AA574" s="73"/>
      <c r="AB574" s="73"/>
      <c r="AC574" s="74"/>
      <c r="AD574" s="80" t="s">
        <v>4747</v>
      </c>
      <c r="AE574" s="86" t="s">
        <v>3959</v>
      </c>
      <c r="AF574" s="80">
        <v>548</v>
      </c>
      <c r="AG574" s="80">
        <v>628</v>
      </c>
      <c r="AH574" s="80">
        <v>26485</v>
      </c>
      <c r="AI574" s="80">
        <v>21628</v>
      </c>
      <c r="AJ574" s="80"/>
      <c r="AK574" s="80" t="s">
        <v>6399</v>
      </c>
      <c r="AL574" s="80" t="s">
        <v>6988</v>
      </c>
      <c r="AM574" s="84" t="str">
        <f>HYPERLINK("https://t.co/ioXNNkvm1R")</f>
        <v>https://t.co/ioXNNkvm1R</v>
      </c>
      <c r="AN574" s="80"/>
      <c r="AO574" s="82">
        <v>41825.635150462964</v>
      </c>
      <c r="AP574" s="84" t="str">
        <f>HYPERLINK("https://pbs.twimg.com/profile_banners/2676203002/1591639969")</f>
        <v>https://pbs.twimg.com/profile_banners/2676203002/1591639969</v>
      </c>
      <c r="AQ574" s="80" t="b">
        <v>1</v>
      </c>
      <c r="AR574" s="80" t="b">
        <v>0</v>
      </c>
      <c r="AS574" s="80" t="b">
        <v>1</v>
      </c>
      <c r="AT574" s="80"/>
      <c r="AU574" s="80">
        <v>1</v>
      </c>
      <c r="AV574" s="84" t="str">
        <f>HYPERLINK("https://abs.twimg.com/images/themes/theme1/bg.png")</f>
        <v>https://abs.twimg.com/images/themes/theme1/bg.png</v>
      </c>
      <c r="AW574" s="80" t="b">
        <v>0</v>
      </c>
      <c r="AX574" s="80" t="s">
        <v>7173</v>
      </c>
      <c r="AY574" s="84" t="str">
        <f>HYPERLINK("https://twitter.com/najiberror1")</f>
        <v>https://twitter.com/najiberror1</v>
      </c>
      <c r="AZ574" s="80" t="s">
        <v>65</v>
      </c>
      <c r="BA574" s="2"/>
      <c r="BB574" s="3"/>
      <c r="BC574" s="3"/>
      <c r="BD574" s="3"/>
      <c r="BE574" s="3"/>
    </row>
    <row r="575" spans="1:57" x14ac:dyDescent="0.35">
      <c r="A575" s="66" t="s">
        <v>688</v>
      </c>
      <c r="B575" s="67"/>
      <c r="C575" s="67"/>
      <c r="D575" s="68"/>
      <c r="E575" s="70"/>
      <c r="F575" s="106" t="str">
        <f>HYPERLINK("https://pbs.twimg.com/profile_images/1426551969385115653/ISaHzU55_normal.jpg")</f>
        <v>https://pbs.twimg.com/profile_images/1426551969385115653/ISaHzU55_normal.jpg</v>
      </c>
      <c r="G575" s="67"/>
      <c r="H575" s="71"/>
      <c r="I575" s="72"/>
      <c r="J575" s="72"/>
      <c r="K575" s="71" t="s">
        <v>7745</v>
      </c>
      <c r="L575" s="75"/>
      <c r="M575" s="76"/>
      <c r="N575" s="76"/>
      <c r="O575" s="77"/>
      <c r="P575" s="78"/>
      <c r="Q575" s="78"/>
      <c r="R575" s="90"/>
      <c r="S575" s="90"/>
      <c r="T575" s="90"/>
      <c r="U575" s="90"/>
      <c r="V575" s="52"/>
      <c r="W575" s="52"/>
      <c r="X575" s="52"/>
      <c r="Y575" s="52"/>
      <c r="Z575" s="51"/>
      <c r="AA575" s="73"/>
      <c r="AB575" s="73"/>
      <c r="AC575" s="74"/>
      <c r="AD575" s="80" t="s">
        <v>4748</v>
      </c>
      <c r="AE575" s="86" t="s">
        <v>5641</v>
      </c>
      <c r="AF575" s="80">
        <v>422</v>
      </c>
      <c r="AG575" s="80">
        <v>227</v>
      </c>
      <c r="AH575" s="80">
        <v>2415</v>
      </c>
      <c r="AI575" s="80">
        <v>11510</v>
      </c>
      <c r="AJ575" s="80"/>
      <c r="AK575" s="80" t="s">
        <v>6400</v>
      </c>
      <c r="AL575" s="80" t="s">
        <v>6989</v>
      </c>
      <c r="AM575" s="84" t="str">
        <f>HYPERLINK("https://t.co/3wfOUStZII")</f>
        <v>https://t.co/3wfOUStZII</v>
      </c>
      <c r="AN575" s="80"/>
      <c r="AO575" s="82">
        <v>42274.73605324074</v>
      </c>
      <c r="AP575" s="84" t="str">
        <f>HYPERLINK("https://pbs.twimg.com/profile_banners/3705891138/1537190983")</f>
        <v>https://pbs.twimg.com/profile_banners/3705891138/1537190983</v>
      </c>
      <c r="AQ575" s="80" t="b">
        <v>1</v>
      </c>
      <c r="AR575" s="80" t="b">
        <v>0</v>
      </c>
      <c r="AS575" s="80" t="b">
        <v>0</v>
      </c>
      <c r="AT575" s="80"/>
      <c r="AU575" s="80">
        <v>10</v>
      </c>
      <c r="AV575" s="84" t="str">
        <f>HYPERLINK("https://abs.twimg.com/images/themes/theme1/bg.png")</f>
        <v>https://abs.twimg.com/images/themes/theme1/bg.png</v>
      </c>
      <c r="AW575" s="80" t="b">
        <v>0</v>
      </c>
      <c r="AX575" s="80" t="s">
        <v>7173</v>
      </c>
      <c r="AY575" s="84" t="str">
        <f>HYPERLINK("https://twitter.com/_rizaldi_m_")</f>
        <v>https://twitter.com/_rizaldi_m_</v>
      </c>
      <c r="AZ575" s="80" t="s">
        <v>66</v>
      </c>
      <c r="BA575" s="2"/>
      <c r="BB575" s="3"/>
      <c r="BC575" s="3"/>
      <c r="BD575" s="3"/>
      <c r="BE575" s="3"/>
    </row>
    <row r="576" spans="1:57" x14ac:dyDescent="0.35">
      <c r="A576" s="66" t="s">
        <v>689</v>
      </c>
      <c r="B576" s="67"/>
      <c r="C576" s="67"/>
      <c r="D576" s="68"/>
      <c r="E576" s="70"/>
      <c r="F576" s="106" t="str">
        <f>HYPERLINK("https://pbs.twimg.com/profile_images/1101297545404268544/l-lXfkHR_normal.jpg")</f>
        <v>https://pbs.twimg.com/profile_images/1101297545404268544/l-lXfkHR_normal.jpg</v>
      </c>
      <c r="G576" s="67"/>
      <c r="H576" s="71"/>
      <c r="I576" s="72"/>
      <c r="J576" s="72"/>
      <c r="K576" s="71" t="s">
        <v>7746</v>
      </c>
      <c r="L576" s="75"/>
      <c r="M576" s="76"/>
      <c r="N576" s="76"/>
      <c r="O576" s="77"/>
      <c r="P576" s="78"/>
      <c r="Q576" s="78"/>
      <c r="R576" s="90"/>
      <c r="S576" s="90"/>
      <c r="T576" s="90"/>
      <c r="U576" s="90"/>
      <c r="V576" s="52"/>
      <c r="W576" s="52"/>
      <c r="X576" s="52"/>
      <c r="Y576" s="52"/>
      <c r="Z576" s="51"/>
      <c r="AA576" s="73"/>
      <c r="AB576" s="73"/>
      <c r="AC576" s="74"/>
      <c r="AD576" s="80" t="s">
        <v>4749</v>
      </c>
      <c r="AE576" s="86" t="s">
        <v>5642</v>
      </c>
      <c r="AF576" s="80">
        <v>1105</v>
      </c>
      <c r="AG576" s="80">
        <v>204</v>
      </c>
      <c r="AH576" s="80">
        <v>2990</v>
      </c>
      <c r="AI576" s="80">
        <v>11856</v>
      </c>
      <c r="AJ576" s="80"/>
      <c r="AK576" s="80"/>
      <c r="AL576" s="80"/>
      <c r="AM576" s="80"/>
      <c r="AN576" s="80"/>
      <c r="AO576" s="82">
        <v>41807.329733796294</v>
      </c>
      <c r="AP576" s="80"/>
      <c r="AQ576" s="80" t="b">
        <v>1</v>
      </c>
      <c r="AR576" s="80" t="b">
        <v>0</v>
      </c>
      <c r="AS576" s="80" t="b">
        <v>0</v>
      </c>
      <c r="AT576" s="80"/>
      <c r="AU576" s="80">
        <v>0</v>
      </c>
      <c r="AV576" s="84" t="str">
        <f>HYPERLINK("https://abs.twimg.com/images/themes/theme1/bg.png")</f>
        <v>https://abs.twimg.com/images/themes/theme1/bg.png</v>
      </c>
      <c r="AW576" s="80" t="b">
        <v>0</v>
      </c>
      <c r="AX576" s="80" t="s">
        <v>7173</v>
      </c>
      <c r="AY576" s="84" t="str">
        <f>HYPERLINK("https://twitter.com/handersonchania")</f>
        <v>https://twitter.com/handersonchania</v>
      </c>
      <c r="AZ576" s="80" t="s">
        <v>66</v>
      </c>
      <c r="BA576" s="2"/>
      <c r="BB576" s="3"/>
      <c r="BC576" s="3"/>
      <c r="BD576" s="3"/>
      <c r="BE576" s="3"/>
    </row>
    <row r="577" spans="1:57" x14ac:dyDescent="0.35">
      <c r="A577" s="66" t="s">
        <v>690</v>
      </c>
      <c r="B577" s="67"/>
      <c r="C577" s="67"/>
      <c r="D577" s="68"/>
      <c r="E577" s="70"/>
      <c r="F577" s="106" t="str">
        <f>HYPERLINK("https://pbs.twimg.com/profile_images/1435553153823346689/PdegKgYm_normal.jpg")</f>
        <v>https://pbs.twimg.com/profile_images/1435553153823346689/PdegKgYm_normal.jpg</v>
      </c>
      <c r="G577" s="67"/>
      <c r="H577" s="71"/>
      <c r="I577" s="72"/>
      <c r="J577" s="72"/>
      <c r="K577" s="71" t="s">
        <v>7747</v>
      </c>
      <c r="L577" s="75"/>
      <c r="M577" s="76"/>
      <c r="N577" s="76"/>
      <c r="O577" s="77"/>
      <c r="P577" s="78"/>
      <c r="Q577" s="78"/>
      <c r="R577" s="90"/>
      <c r="S577" s="90"/>
      <c r="T577" s="90"/>
      <c r="U577" s="90"/>
      <c r="V577" s="52"/>
      <c r="W577" s="52"/>
      <c r="X577" s="52"/>
      <c r="Y577" s="52"/>
      <c r="Z577" s="51"/>
      <c r="AA577" s="73"/>
      <c r="AB577" s="73"/>
      <c r="AC577" s="74"/>
      <c r="AD577" s="80" t="s">
        <v>4750</v>
      </c>
      <c r="AE577" s="86" t="s">
        <v>5643</v>
      </c>
      <c r="AF577" s="80">
        <v>388</v>
      </c>
      <c r="AG577" s="80">
        <v>49</v>
      </c>
      <c r="AH577" s="80">
        <v>334</v>
      </c>
      <c r="AI577" s="80">
        <v>269</v>
      </c>
      <c r="AJ577" s="80"/>
      <c r="AK577" s="80" t="s">
        <v>6401</v>
      </c>
      <c r="AL577" s="80" t="s">
        <v>6787</v>
      </c>
      <c r="AM577" s="80"/>
      <c r="AN577" s="80"/>
      <c r="AO577" s="82">
        <v>43864.293680555558</v>
      </c>
      <c r="AP577" s="84" t="str">
        <f>HYPERLINK("https://pbs.twimg.com/profile_banners/1224226622959603712/1580717545")</f>
        <v>https://pbs.twimg.com/profile_banners/1224226622959603712/1580717545</v>
      </c>
      <c r="AQ577" s="80" t="b">
        <v>1</v>
      </c>
      <c r="AR577" s="80" t="b">
        <v>0</v>
      </c>
      <c r="AS577" s="80" t="b">
        <v>0</v>
      </c>
      <c r="AT577" s="80"/>
      <c r="AU577" s="80">
        <v>0</v>
      </c>
      <c r="AV577" s="80"/>
      <c r="AW577" s="80" t="b">
        <v>0</v>
      </c>
      <c r="AX577" s="80" t="s">
        <v>7173</v>
      </c>
      <c r="AY577" s="84" t="str">
        <f>HYPERLINK("https://twitter.com/ahmadjun889")</f>
        <v>https://twitter.com/ahmadjun889</v>
      </c>
      <c r="AZ577" s="80" t="s">
        <v>66</v>
      </c>
      <c r="BA577" s="2"/>
      <c r="BB577" s="3"/>
      <c r="BC577" s="3"/>
      <c r="BD577" s="3"/>
      <c r="BE577" s="3"/>
    </row>
    <row r="578" spans="1:57" x14ac:dyDescent="0.35">
      <c r="A578" s="66" t="s">
        <v>691</v>
      </c>
      <c r="B578" s="67"/>
      <c r="C578" s="67"/>
      <c r="D578" s="68"/>
      <c r="E578" s="70"/>
      <c r="F578" s="106" t="str">
        <f>HYPERLINK("https://pbs.twimg.com/profile_images/1429650031934545921/ELnkgCIC_normal.jpg")</f>
        <v>https://pbs.twimg.com/profile_images/1429650031934545921/ELnkgCIC_normal.jpg</v>
      </c>
      <c r="G578" s="67"/>
      <c r="H578" s="71"/>
      <c r="I578" s="72"/>
      <c r="J578" s="72"/>
      <c r="K578" s="71" t="s">
        <v>7748</v>
      </c>
      <c r="L578" s="75"/>
      <c r="M578" s="76"/>
      <c r="N578" s="76"/>
      <c r="O578" s="77"/>
      <c r="P578" s="78"/>
      <c r="Q578" s="78"/>
      <c r="R578" s="90"/>
      <c r="S578" s="90"/>
      <c r="T578" s="90"/>
      <c r="U578" s="90"/>
      <c r="V578" s="52"/>
      <c r="W578" s="52"/>
      <c r="X578" s="52"/>
      <c r="Y578" s="52"/>
      <c r="Z578" s="51"/>
      <c r="AA578" s="73"/>
      <c r="AB578" s="73"/>
      <c r="AC578" s="74"/>
      <c r="AD578" s="80" t="s">
        <v>4751</v>
      </c>
      <c r="AE578" s="86" t="s">
        <v>5644</v>
      </c>
      <c r="AF578" s="80">
        <v>3547</v>
      </c>
      <c r="AG578" s="80">
        <v>1622</v>
      </c>
      <c r="AH578" s="80">
        <v>3928</v>
      </c>
      <c r="AI578" s="80">
        <v>3551</v>
      </c>
      <c r="AJ578" s="80"/>
      <c r="AK578" s="80"/>
      <c r="AL578" s="80" t="s">
        <v>6990</v>
      </c>
      <c r="AM578" s="80"/>
      <c r="AN578" s="80"/>
      <c r="AO578" s="82">
        <v>41129.268472222226</v>
      </c>
      <c r="AP578" s="84" t="str">
        <f>HYPERLINK("https://pbs.twimg.com/profile_banners/744588576/1627921988")</f>
        <v>https://pbs.twimg.com/profile_banners/744588576/1627921988</v>
      </c>
      <c r="AQ578" s="80" t="b">
        <v>1</v>
      </c>
      <c r="AR578" s="80" t="b">
        <v>0</v>
      </c>
      <c r="AS578" s="80" t="b">
        <v>1</v>
      </c>
      <c r="AT578" s="80"/>
      <c r="AU578" s="80">
        <v>0</v>
      </c>
      <c r="AV578" s="84" t="str">
        <f>HYPERLINK("https://abs.twimg.com/images/themes/theme1/bg.png")</f>
        <v>https://abs.twimg.com/images/themes/theme1/bg.png</v>
      </c>
      <c r="AW578" s="80" t="b">
        <v>0</v>
      </c>
      <c r="AX578" s="80" t="s">
        <v>7173</v>
      </c>
      <c r="AY578" s="84" t="str">
        <f>HYPERLINK("https://twitter.com/taufiqtpi")</f>
        <v>https://twitter.com/taufiqtpi</v>
      </c>
      <c r="AZ578" s="80" t="s">
        <v>66</v>
      </c>
      <c r="BA578" s="2"/>
      <c r="BB578" s="3"/>
      <c r="BC578" s="3"/>
      <c r="BD578" s="3"/>
      <c r="BE578" s="3"/>
    </row>
    <row r="579" spans="1:57" x14ac:dyDescent="0.35">
      <c r="A579" s="66" t="s">
        <v>692</v>
      </c>
      <c r="B579" s="67"/>
      <c r="C579" s="67"/>
      <c r="D579" s="68"/>
      <c r="E579" s="70"/>
      <c r="F579" s="106" t="str">
        <f>HYPERLINK("https://pbs.twimg.com/profile_images/1361450206315696130/SxA4LVwi_normal.jpg")</f>
        <v>https://pbs.twimg.com/profile_images/1361450206315696130/SxA4LVwi_normal.jpg</v>
      </c>
      <c r="G579" s="67"/>
      <c r="H579" s="71"/>
      <c r="I579" s="72"/>
      <c r="J579" s="72"/>
      <c r="K579" s="71" t="s">
        <v>7749</v>
      </c>
      <c r="L579" s="75"/>
      <c r="M579" s="76"/>
      <c r="N579" s="76"/>
      <c r="O579" s="77"/>
      <c r="P579" s="78"/>
      <c r="Q579" s="78"/>
      <c r="R579" s="90"/>
      <c r="S579" s="90"/>
      <c r="T579" s="90"/>
      <c r="U579" s="90"/>
      <c r="V579" s="52"/>
      <c r="W579" s="52"/>
      <c r="X579" s="52"/>
      <c r="Y579" s="52"/>
      <c r="Z579" s="51"/>
      <c r="AA579" s="73"/>
      <c r="AB579" s="73"/>
      <c r="AC579" s="74"/>
      <c r="AD579" s="80" t="s">
        <v>4752</v>
      </c>
      <c r="AE579" s="86" t="s">
        <v>5645</v>
      </c>
      <c r="AF579" s="80">
        <v>108</v>
      </c>
      <c r="AG579" s="80">
        <v>8</v>
      </c>
      <c r="AH579" s="80">
        <v>866</v>
      </c>
      <c r="AI579" s="80">
        <v>1421</v>
      </c>
      <c r="AJ579" s="80"/>
      <c r="AK579" s="80"/>
      <c r="AL579" s="80"/>
      <c r="AM579" s="80"/>
      <c r="AN579" s="80"/>
      <c r="AO579" s="82">
        <v>43550.554456018515</v>
      </c>
      <c r="AP579" s="84" t="str">
        <f>HYPERLINK("https://pbs.twimg.com/profile_banners/1110531453522046976/1612724450")</f>
        <v>https://pbs.twimg.com/profile_banners/1110531453522046976/1612724450</v>
      </c>
      <c r="AQ579" s="80" t="b">
        <v>1</v>
      </c>
      <c r="AR579" s="80" t="b">
        <v>0</v>
      </c>
      <c r="AS579" s="80" t="b">
        <v>1</v>
      </c>
      <c r="AT579" s="80"/>
      <c r="AU579" s="80">
        <v>0</v>
      </c>
      <c r="AV579" s="80"/>
      <c r="AW579" s="80" t="b">
        <v>0</v>
      </c>
      <c r="AX579" s="80" t="s">
        <v>7173</v>
      </c>
      <c r="AY579" s="84" t="str">
        <f>HYPERLINK("https://twitter.com/yaelaaahlu")</f>
        <v>https://twitter.com/yaelaaahlu</v>
      </c>
      <c r="AZ579" s="80" t="s">
        <v>66</v>
      </c>
      <c r="BA579" s="2"/>
      <c r="BB579" s="3"/>
      <c r="BC579" s="3"/>
      <c r="BD579" s="3"/>
      <c r="BE579" s="3"/>
    </row>
    <row r="580" spans="1:57" x14ac:dyDescent="0.35">
      <c r="A580" s="66" t="s">
        <v>693</v>
      </c>
      <c r="B580" s="67"/>
      <c r="C580" s="67"/>
      <c r="D580" s="68"/>
      <c r="E580" s="70"/>
      <c r="F580" s="106" t="str">
        <f>HYPERLINK("https://pbs.twimg.com/profile_images/1390622154920579073/o2PEvGsl_normal.jpg")</f>
        <v>https://pbs.twimg.com/profile_images/1390622154920579073/o2PEvGsl_normal.jpg</v>
      </c>
      <c r="G580" s="67"/>
      <c r="H580" s="71"/>
      <c r="I580" s="72"/>
      <c r="J580" s="72"/>
      <c r="K580" s="71" t="s">
        <v>7750</v>
      </c>
      <c r="L580" s="75"/>
      <c r="M580" s="76"/>
      <c r="N580" s="76"/>
      <c r="O580" s="77"/>
      <c r="P580" s="78"/>
      <c r="Q580" s="78"/>
      <c r="R580" s="90"/>
      <c r="S580" s="90"/>
      <c r="T580" s="90"/>
      <c r="U580" s="90"/>
      <c r="V580" s="52"/>
      <c r="W580" s="52"/>
      <c r="X580" s="52"/>
      <c r="Y580" s="52"/>
      <c r="Z580" s="51"/>
      <c r="AA580" s="73"/>
      <c r="AB580" s="73"/>
      <c r="AC580" s="74"/>
      <c r="AD580" s="80" t="s">
        <v>4753</v>
      </c>
      <c r="AE580" s="86" t="s">
        <v>5646</v>
      </c>
      <c r="AF580" s="80">
        <v>1179</v>
      </c>
      <c r="AG580" s="80">
        <v>1442</v>
      </c>
      <c r="AH580" s="80">
        <v>386</v>
      </c>
      <c r="AI580" s="80">
        <v>5845</v>
      </c>
      <c r="AJ580" s="80"/>
      <c r="AK580" s="80" t="s">
        <v>6402</v>
      </c>
      <c r="AL580" s="80" t="s">
        <v>6773</v>
      </c>
      <c r="AM580" s="80"/>
      <c r="AN580" s="80"/>
      <c r="AO580" s="82">
        <v>40228.211782407408</v>
      </c>
      <c r="AP580" s="80"/>
      <c r="AQ580" s="80" t="b">
        <v>0</v>
      </c>
      <c r="AR580" s="80" t="b">
        <v>0</v>
      </c>
      <c r="AS580" s="80" t="b">
        <v>0</v>
      </c>
      <c r="AT580" s="80"/>
      <c r="AU580" s="80">
        <v>3</v>
      </c>
      <c r="AV580" s="84" t="str">
        <f>HYPERLINK("https://abs.twimg.com/images/themes/theme4/bg.gif")</f>
        <v>https://abs.twimg.com/images/themes/theme4/bg.gif</v>
      </c>
      <c r="AW580" s="80" t="b">
        <v>0</v>
      </c>
      <c r="AX580" s="80" t="s">
        <v>7173</v>
      </c>
      <c r="AY580" s="84" t="str">
        <f>HYPERLINK("https://twitter.com/aditya_psi")</f>
        <v>https://twitter.com/aditya_psi</v>
      </c>
      <c r="AZ580" s="80" t="s">
        <v>66</v>
      </c>
      <c r="BA580" s="2"/>
      <c r="BB580" s="3"/>
      <c r="BC580" s="3"/>
      <c r="BD580" s="3"/>
      <c r="BE580" s="3"/>
    </row>
    <row r="581" spans="1:57" x14ac:dyDescent="0.35">
      <c r="A581" s="66" t="s">
        <v>694</v>
      </c>
      <c r="B581" s="67"/>
      <c r="C581" s="67"/>
      <c r="D581" s="68"/>
      <c r="E581" s="70"/>
      <c r="F581" s="106" t="str">
        <f>HYPERLINK("https://pbs.twimg.com/profile_images/1426861336558931968/bLK9JN5M_normal.jpg")</f>
        <v>https://pbs.twimg.com/profile_images/1426861336558931968/bLK9JN5M_normal.jpg</v>
      </c>
      <c r="G581" s="67"/>
      <c r="H581" s="71"/>
      <c r="I581" s="72"/>
      <c r="J581" s="72"/>
      <c r="K581" s="71" t="s">
        <v>7751</v>
      </c>
      <c r="L581" s="75"/>
      <c r="M581" s="76"/>
      <c r="N581" s="76"/>
      <c r="O581" s="77"/>
      <c r="P581" s="78"/>
      <c r="Q581" s="78"/>
      <c r="R581" s="90"/>
      <c r="S581" s="90"/>
      <c r="T581" s="90"/>
      <c r="U581" s="90"/>
      <c r="V581" s="52"/>
      <c r="W581" s="52"/>
      <c r="X581" s="52"/>
      <c r="Y581" s="52"/>
      <c r="Z581" s="51"/>
      <c r="AA581" s="73"/>
      <c r="AB581" s="73"/>
      <c r="AC581" s="74"/>
      <c r="AD581" s="80" t="s">
        <v>4754</v>
      </c>
      <c r="AE581" s="86" t="s">
        <v>3961</v>
      </c>
      <c r="AF581" s="80">
        <v>430</v>
      </c>
      <c r="AG581" s="80">
        <v>431</v>
      </c>
      <c r="AH581" s="80">
        <v>6137</v>
      </c>
      <c r="AI581" s="80">
        <v>9596</v>
      </c>
      <c r="AJ581" s="80"/>
      <c r="AK581" s="80" t="s">
        <v>6403</v>
      </c>
      <c r="AL581" s="80" t="s">
        <v>6991</v>
      </c>
      <c r="AM581" s="80"/>
      <c r="AN581" s="80"/>
      <c r="AO581" s="82">
        <v>43876.409745370373</v>
      </c>
      <c r="AP581" s="84" t="str">
        <f>HYPERLINK("https://pbs.twimg.com/profile_banners/1228617412641091584/1581923667")</f>
        <v>https://pbs.twimg.com/profile_banners/1228617412641091584/1581923667</v>
      </c>
      <c r="AQ581" s="80" t="b">
        <v>1</v>
      </c>
      <c r="AR581" s="80" t="b">
        <v>0</v>
      </c>
      <c r="AS581" s="80" t="b">
        <v>0</v>
      </c>
      <c r="AT581" s="80"/>
      <c r="AU581" s="80">
        <v>0</v>
      </c>
      <c r="AV581" s="80"/>
      <c r="AW581" s="80" t="b">
        <v>0</v>
      </c>
      <c r="AX581" s="80" t="s">
        <v>7173</v>
      </c>
      <c r="AY581" s="84" t="str">
        <f>HYPERLINK("https://twitter.com/kenanganmaniiss")</f>
        <v>https://twitter.com/kenanganmaniiss</v>
      </c>
      <c r="AZ581" s="80" t="s">
        <v>66</v>
      </c>
      <c r="BA581" s="2"/>
      <c r="BB581" s="3"/>
      <c r="BC581" s="3"/>
      <c r="BD581" s="3"/>
      <c r="BE581" s="3"/>
    </row>
    <row r="582" spans="1:57" x14ac:dyDescent="0.35">
      <c r="A582" s="66" t="s">
        <v>1088</v>
      </c>
      <c r="B582" s="67"/>
      <c r="C582" s="67"/>
      <c r="D582" s="68"/>
      <c r="E582" s="70"/>
      <c r="F582" s="106" t="str">
        <f>HYPERLINK("https://pbs.twimg.com/profile_images/1169595401466331137/XUyRcQMd_normal.jpg")</f>
        <v>https://pbs.twimg.com/profile_images/1169595401466331137/XUyRcQMd_normal.jpg</v>
      </c>
      <c r="G582" s="67"/>
      <c r="H582" s="71"/>
      <c r="I582" s="72"/>
      <c r="J582" s="72"/>
      <c r="K582" s="71" t="s">
        <v>7752</v>
      </c>
      <c r="L582" s="75"/>
      <c r="M582" s="76"/>
      <c r="N582" s="76"/>
      <c r="O582" s="77"/>
      <c r="P582" s="78"/>
      <c r="Q582" s="78"/>
      <c r="R582" s="90"/>
      <c r="S582" s="90"/>
      <c r="T582" s="90"/>
      <c r="U582" s="90"/>
      <c r="V582" s="52"/>
      <c r="W582" s="52"/>
      <c r="X582" s="52"/>
      <c r="Y582" s="52"/>
      <c r="Z582" s="51"/>
      <c r="AA582" s="73"/>
      <c r="AB582" s="73"/>
      <c r="AC582" s="74"/>
      <c r="AD582" s="80" t="s">
        <v>4755</v>
      </c>
      <c r="AE582" s="86" t="s">
        <v>3960</v>
      </c>
      <c r="AF582" s="80">
        <v>1082</v>
      </c>
      <c r="AG582" s="80">
        <v>7565</v>
      </c>
      <c r="AH582" s="80">
        <v>40553</v>
      </c>
      <c r="AI582" s="80">
        <v>51</v>
      </c>
      <c r="AJ582" s="80"/>
      <c r="AK582" s="80" t="s">
        <v>6404</v>
      </c>
      <c r="AL582" s="80" t="s">
        <v>6991</v>
      </c>
      <c r="AM582" s="84" t="str">
        <f>HYPERLINK("https://t.co/c93Y72JHM5")</f>
        <v>https://t.co/c93Y72JHM5</v>
      </c>
      <c r="AN582" s="80"/>
      <c r="AO582" s="82">
        <v>43181.345011574071</v>
      </c>
      <c r="AP582" s="84" t="str">
        <f>HYPERLINK("https://pbs.twimg.com/profile_banners/976734429392470016/1567688251")</f>
        <v>https://pbs.twimg.com/profile_banners/976734429392470016/1567688251</v>
      </c>
      <c r="AQ582" s="80" t="b">
        <v>0</v>
      </c>
      <c r="AR582" s="80" t="b">
        <v>0</v>
      </c>
      <c r="AS582" s="80" t="b">
        <v>0</v>
      </c>
      <c r="AT582" s="80"/>
      <c r="AU582" s="80">
        <v>34</v>
      </c>
      <c r="AV582" s="84" t="str">
        <f>HYPERLINK("https://abs.twimg.com/images/themes/theme1/bg.png")</f>
        <v>https://abs.twimg.com/images/themes/theme1/bg.png</v>
      </c>
      <c r="AW582" s="80" t="b">
        <v>0</v>
      </c>
      <c r="AX582" s="80" t="s">
        <v>7173</v>
      </c>
      <c r="AY582" s="84" t="str">
        <f>HYPERLINK("https://twitter.com/lampungbase")</f>
        <v>https://twitter.com/lampungbase</v>
      </c>
      <c r="AZ582" s="80" t="s">
        <v>65</v>
      </c>
      <c r="BA582" s="2"/>
      <c r="BB582" s="3"/>
      <c r="BC582" s="3"/>
      <c r="BD582" s="3"/>
      <c r="BE582" s="3"/>
    </row>
    <row r="583" spans="1:57" x14ac:dyDescent="0.35">
      <c r="A583" s="66" t="s">
        <v>695</v>
      </c>
      <c r="B583" s="67"/>
      <c r="C583" s="67"/>
      <c r="D583" s="68"/>
      <c r="E583" s="70"/>
      <c r="F583" s="106" t="str">
        <f>HYPERLINK("https://pbs.twimg.com/profile_images/1440220846589575168/fGphVg_t_normal.jpg")</f>
        <v>https://pbs.twimg.com/profile_images/1440220846589575168/fGphVg_t_normal.jpg</v>
      </c>
      <c r="G583" s="67"/>
      <c r="H583" s="71"/>
      <c r="I583" s="72"/>
      <c r="J583" s="72"/>
      <c r="K583" s="71" t="s">
        <v>7753</v>
      </c>
      <c r="L583" s="75"/>
      <c r="M583" s="76"/>
      <c r="N583" s="76"/>
      <c r="O583" s="77"/>
      <c r="P583" s="78"/>
      <c r="Q583" s="78"/>
      <c r="R583" s="90"/>
      <c r="S583" s="90"/>
      <c r="T583" s="90"/>
      <c r="U583" s="90"/>
      <c r="V583" s="52"/>
      <c r="W583" s="52"/>
      <c r="X583" s="52"/>
      <c r="Y583" s="52"/>
      <c r="Z583" s="51"/>
      <c r="AA583" s="73"/>
      <c r="AB583" s="73"/>
      <c r="AC583" s="74"/>
      <c r="AD583" s="80" t="s">
        <v>4756</v>
      </c>
      <c r="AE583" s="86" t="s">
        <v>5647</v>
      </c>
      <c r="AF583" s="80">
        <v>279</v>
      </c>
      <c r="AG583" s="80">
        <v>64</v>
      </c>
      <c r="AH583" s="80">
        <v>10853</v>
      </c>
      <c r="AI583" s="80">
        <v>4193</v>
      </c>
      <c r="AJ583" s="80"/>
      <c r="AK583" s="80" t="s">
        <v>6405</v>
      </c>
      <c r="AL583" s="80" t="s">
        <v>6992</v>
      </c>
      <c r="AM583" s="80"/>
      <c r="AN583" s="80"/>
      <c r="AO583" s="82">
        <v>43288.564432870371</v>
      </c>
      <c r="AP583" s="84" t="str">
        <f>HYPERLINK("https://pbs.twimg.com/profile_banners/1015589444819156993/1620730019")</f>
        <v>https://pbs.twimg.com/profile_banners/1015589444819156993/1620730019</v>
      </c>
      <c r="AQ583" s="80" t="b">
        <v>1</v>
      </c>
      <c r="AR583" s="80" t="b">
        <v>0</v>
      </c>
      <c r="AS583" s="80" t="b">
        <v>0</v>
      </c>
      <c r="AT583" s="80"/>
      <c r="AU583" s="80">
        <v>0</v>
      </c>
      <c r="AV583" s="80"/>
      <c r="AW583" s="80" t="b">
        <v>0</v>
      </c>
      <c r="AX583" s="80" t="s">
        <v>7173</v>
      </c>
      <c r="AY583" s="84" t="str">
        <f>HYPERLINK("https://twitter.com/bbdoobe")</f>
        <v>https://twitter.com/bbdoobe</v>
      </c>
      <c r="AZ583" s="80" t="s">
        <v>66</v>
      </c>
      <c r="BA583" s="2"/>
      <c r="BB583" s="3"/>
      <c r="BC583" s="3"/>
      <c r="BD583" s="3"/>
      <c r="BE583" s="3"/>
    </row>
    <row r="584" spans="1:57" x14ac:dyDescent="0.35">
      <c r="A584" s="66" t="s">
        <v>696</v>
      </c>
      <c r="B584" s="67"/>
      <c r="C584" s="67"/>
      <c r="D584" s="68"/>
      <c r="E584" s="70"/>
      <c r="F584" s="106" t="str">
        <f>HYPERLINK("https://pbs.twimg.com/profile_images/1430543156148195333/s1B6TgNT_normal.jpg")</f>
        <v>https://pbs.twimg.com/profile_images/1430543156148195333/s1B6TgNT_normal.jpg</v>
      </c>
      <c r="G584" s="67"/>
      <c r="H584" s="71"/>
      <c r="I584" s="72"/>
      <c r="J584" s="72"/>
      <c r="K584" s="71" t="s">
        <v>7754</v>
      </c>
      <c r="L584" s="75"/>
      <c r="M584" s="76"/>
      <c r="N584" s="76"/>
      <c r="O584" s="77"/>
      <c r="P584" s="78"/>
      <c r="Q584" s="78"/>
      <c r="R584" s="90"/>
      <c r="S584" s="90"/>
      <c r="T584" s="90"/>
      <c r="U584" s="90"/>
      <c r="V584" s="52"/>
      <c r="W584" s="52"/>
      <c r="X584" s="52"/>
      <c r="Y584" s="52"/>
      <c r="Z584" s="51"/>
      <c r="AA584" s="73"/>
      <c r="AB584" s="73"/>
      <c r="AC584" s="74"/>
      <c r="AD584" s="80" t="s">
        <v>4757</v>
      </c>
      <c r="AE584" s="86" t="s">
        <v>5648</v>
      </c>
      <c r="AF584" s="80">
        <v>557</v>
      </c>
      <c r="AG584" s="80">
        <v>293</v>
      </c>
      <c r="AH584" s="80">
        <v>17157</v>
      </c>
      <c r="AI584" s="80">
        <v>21979</v>
      </c>
      <c r="AJ584" s="80"/>
      <c r="AK584" s="80" t="s">
        <v>6406</v>
      </c>
      <c r="AL584" s="80" t="s">
        <v>4145</v>
      </c>
      <c r="AM584" s="80"/>
      <c r="AN584" s="80"/>
      <c r="AO584" s="82">
        <v>42533.615659722222</v>
      </c>
      <c r="AP584" s="84" t="str">
        <f>HYPERLINK("https://pbs.twimg.com/profile_banners/742005172054806528/1585655484")</f>
        <v>https://pbs.twimg.com/profile_banners/742005172054806528/1585655484</v>
      </c>
      <c r="AQ584" s="80" t="b">
        <v>0</v>
      </c>
      <c r="AR584" s="80" t="b">
        <v>0</v>
      </c>
      <c r="AS584" s="80" t="b">
        <v>1</v>
      </c>
      <c r="AT584" s="80"/>
      <c r="AU584" s="80">
        <v>0</v>
      </c>
      <c r="AV584" s="84" t="str">
        <f>HYPERLINK("https://abs.twimg.com/images/themes/theme1/bg.png")</f>
        <v>https://abs.twimg.com/images/themes/theme1/bg.png</v>
      </c>
      <c r="AW584" s="80" t="b">
        <v>0</v>
      </c>
      <c r="AX584" s="80" t="s">
        <v>7173</v>
      </c>
      <c r="AY584" s="84" t="str">
        <f>HYPERLINK("https://twitter.com/dheea09")</f>
        <v>https://twitter.com/dheea09</v>
      </c>
      <c r="AZ584" s="80" t="s">
        <v>66</v>
      </c>
      <c r="BA584" s="2"/>
      <c r="BB584" s="3"/>
      <c r="BC584" s="3"/>
      <c r="BD584" s="3"/>
      <c r="BE584" s="3"/>
    </row>
    <row r="585" spans="1:57" x14ac:dyDescent="0.35">
      <c r="A585" s="66" t="s">
        <v>697</v>
      </c>
      <c r="B585" s="67"/>
      <c r="C585" s="67"/>
      <c r="D585" s="68"/>
      <c r="E585" s="70"/>
      <c r="F585" s="106" t="str">
        <f>HYPERLINK("https://pbs.twimg.com/profile_images/1410619138452561926/ACRieonY_normal.jpg")</f>
        <v>https://pbs.twimg.com/profile_images/1410619138452561926/ACRieonY_normal.jpg</v>
      </c>
      <c r="G585" s="67"/>
      <c r="H585" s="71"/>
      <c r="I585" s="72"/>
      <c r="J585" s="72"/>
      <c r="K585" s="71" t="s">
        <v>7755</v>
      </c>
      <c r="L585" s="75"/>
      <c r="M585" s="76"/>
      <c r="N585" s="76"/>
      <c r="O585" s="77"/>
      <c r="P585" s="78"/>
      <c r="Q585" s="78"/>
      <c r="R585" s="90"/>
      <c r="S585" s="90"/>
      <c r="T585" s="90"/>
      <c r="U585" s="90"/>
      <c r="V585" s="52"/>
      <c r="W585" s="52"/>
      <c r="X585" s="52"/>
      <c r="Y585" s="52"/>
      <c r="Z585" s="51"/>
      <c r="AA585" s="73"/>
      <c r="AB585" s="73"/>
      <c r="AC585" s="74"/>
      <c r="AD585" s="80" t="s">
        <v>697</v>
      </c>
      <c r="AE585" s="86" t="s">
        <v>5649</v>
      </c>
      <c r="AF585" s="80">
        <v>4585</v>
      </c>
      <c r="AG585" s="80">
        <v>5743</v>
      </c>
      <c r="AH585" s="80">
        <v>63602</v>
      </c>
      <c r="AI585" s="80">
        <v>9108</v>
      </c>
      <c r="AJ585" s="80"/>
      <c r="AK585" s="80" t="s">
        <v>6407</v>
      </c>
      <c r="AL585" s="80" t="s">
        <v>4145</v>
      </c>
      <c r="AM585" s="80"/>
      <c r="AN585" s="80"/>
      <c r="AO585" s="82">
        <v>40002.1640162037</v>
      </c>
      <c r="AP585" s="84" t="str">
        <f>HYPERLINK("https://pbs.twimg.com/profile_banners/54790441/1612191741")</f>
        <v>https://pbs.twimg.com/profile_banners/54790441/1612191741</v>
      </c>
      <c r="AQ585" s="80" t="b">
        <v>0</v>
      </c>
      <c r="AR585" s="80" t="b">
        <v>0</v>
      </c>
      <c r="AS585" s="80" t="b">
        <v>1</v>
      </c>
      <c r="AT585" s="80"/>
      <c r="AU585" s="80">
        <v>34</v>
      </c>
      <c r="AV585" s="84" t="str">
        <f>HYPERLINK("https://abs.twimg.com/images/themes/theme1/bg.png")</f>
        <v>https://abs.twimg.com/images/themes/theme1/bg.png</v>
      </c>
      <c r="AW585" s="80" t="b">
        <v>0</v>
      </c>
      <c r="AX585" s="80" t="s">
        <v>7173</v>
      </c>
      <c r="AY585" s="84" t="str">
        <f>HYPERLINK("https://twitter.com/cakdim")</f>
        <v>https://twitter.com/cakdim</v>
      </c>
      <c r="AZ585" s="80" t="s">
        <v>66</v>
      </c>
      <c r="BA585" s="2"/>
      <c r="BB585" s="3"/>
      <c r="BC585" s="3"/>
      <c r="BD585" s="3"/>
      <c r="BE585" s="3"/>
    </row>
    <row r="586" spans="1:57" x14ac:dyDescent="0.35">
      <c r="A586" s="66" t="s">
        <v>1089</v>
      </c>
      <c r="B586" s="67"/>
      <c r="C586" s="67"/>
      <c r="D586" s="68"/>
      <c r="E586" s="70"/>
      <c r="F586" s="106" t="str">
        <f>HYPERLINK("https://pbs.twimg.com/profile_images/1252262567189213184/hcSES9hW_normal.jpg")</f>
        <v>https://pbs.twimg.com/profile_images/1252262567189213184/hcSES9hW_normal.jpg</v>
      </c>
      <c r="G586" s="67"/>
      <c r="H586" s="71"/>
      <c r="I586" s="72"/>
      <c r="J586" s="72"/>
      <c r="K586" s="71" t="s">
        <v>7756</v>
      </c>
      <c r="L586" s="75"/>
      <c r="M586" s="76"/>
      <c r="N586" s="76"/>
      <c r="O586" s="77"/>
      <c r="P586" s="78"/>
      <c r="Q586" s="78"/>
      <c r="R586" s="90"/>
      <c r="S586" s="90"/>
      <c r="T586" s="90"/>
      <c r="U586" s="90"/>
      <c r="V586" s="52"/>
      <c r="W586" s="52"/>
      <c r="X586" s="52"/>
      <c r="Y586" s="52"/>
      <c r="Z586" s="51"/>
      <c r="AA586" s="73"/>
      <c r="AB586" s="73"/>
      <c r="AC586" s="74"/>
      <c r="AD586" s="80" t="s">
        <v>4758</v>
      </c>
      <c r="AE586" s="86" t="s">
        <v>3962</v>
      </c>
      <c r="AF586" s="80">
        <v>506</v>
      </c>
      <c r="AG586" s="80">
        <v>2989</v>
      </c>
      <c r="AH586" s="80">
        <v>8461</v>
      </c>
      <c r="AI586" s="80">
        <v>450</v>
      </c>
      <c r="AJ586" s="80"/>
      <c r="AK586" s="80" t="s">
        <v>6408</v>
      </c>
      <c r="AL586" s="80" t="s">
        <v>6993</v>
      </c>
      <c r="AM586" s="80"/>
      <c r="AN586" s="80"/>
      <c r="AO586" s="82">
        <v>40333.190729166665</v>
      </c>
      <c r="AP586" s="80"/>
      <c r="AQ586" s="80" t="b">
        <v>0</v>
      </c>
      <c r="AR586" s="80" t="b">
        <v>0</v>
      </c>
      <c r="AS586" s="80" t="b">
        <v>0</v>
      </c>
      <c r="AT586" s="80"/>
      <c r="AU586" s="80">
        <v>0</v>
      </c>
      <c r="AV586" s="84" t="str">
        <f>HYPERLINK("https://abs.twimg.com/images/themes/theme1/bg.png")</f>
        <v>https://abs.twimg.com/images/themes/theme1/bg.png</v>
      </c>
      <c r="AW586" s="80" t="b">
        <v>0</v>
      </c>
      <c r="AX586" s="80" t="s">
        <v>7173</v>
      </c>
      <c r="AY586" s="84" t="str">
        <f>HYPERLINK("https://twitter.com/_angky")</f>
        <v>https://twitter.com/_angky</v>
      </c>
      <c r="AZ586" s="80" t="s">
        <v>65</v>
      </c>
      <c r="BA586" s="2"/>
      <c r="BB586" s="3"/>
      <c r="BC586" s="3"/>
      <c r="BD586" s="3"/>
      <c r="BE586" s="3"/>
    </row>
    <row r="587" spans="1:57" x14ac:dyDescent="0.35">
      <c r="A587" s="66" t="s">
        <v>698</v>
      </c>
      <c r="B587" s="67"/>
      <c r="C587" s="67"/>
      <c r="D587" s="68"/>
      <c r="E587" s="70"/>
      <c r="F587" s="106" t="str">
        <f>HYPERLINK("https://pbs.twimg.com/profile_images/1411600146069028865/mwRa4ovd_normal.jpg")</f>
        <v>https://pbs.twimg.com/profile_images/1411600146069028865/mwRa4ovd_normal.jpg</v>
      </c>
      <c r="G587" s="67"/>
      <c r="H587" s="71"/>
      <c r="I587" s="72"/>
      <c r="J587" s="72"/>
      <c r="K587" s="71" t="s">
        <v>7757</v>
      </c>
      <c r="L587" s="75"/>
      <c r="M587" s="76"/>
      <c r="N587" s="76"/>
      <c r="O587" s="77"/>
      <c r="P587" s="78"/>
      <c r="Q587" s="78"/>
      <c r="R587" s="90"/>
      <c r="S587" s="90"/>
      <c r="T587" s="90"/>
      <c r="U587" s="90"/>
      <c r="V587" s="52"/>
      <c r="W587" s="52"/>
      <c r="X587" s="52"/>
      <c r="Y587" s="52"/>
      <c r="Z587" s="51"/>
      <c r="AA587" s="73"/>
      <c r="AB587" s="73"/>
      <c r="AC587" s="74"/>
      <c r="AD587" s="80" t="s">
        <v>4759</v>
      </c>
      <c r="AE587" s="86" t="s">
        <v>5650</v>
      </c>
      <c r="AF587" s="80">
        <v>148</v>
      </c>
      <c r="AG587" s="80">
        <v>19</v>
      </c>
      <c r="AH587" s="80">
        <v>8561</v>
      </c>
      <c r="AI587" s="80">
        <v>572</v>
      </c>
      <c r="AJ587" s="80"/>
      <c r="AK587" s="80" t="s">
        <v>6409</v>
      </c>
      <c r="AL587" s="80"/>
      <c r="AM587" s="80"/>
      <c r="AN587" s="80"/>
      <c r="AO587" s="82">
        <v>42205.134247685186</v>
      </c>
      <c r="AP587" s="84" t="str">
        <f>HYPERLINK("https://pbs.twimg.com/profile_banners/3284988079/1614602106")</f>
        <v>https://pbs.twimg.com/profile_banners/3284988079/1614602106</v>
      </c>
      <c r="AQ587" s="80" t="b">
        <v>0</v>
      </c>
      <c r="AR587" s="80" t="b">
        <v>0</v>
      </c>
      <c r="AS587" s="80" t="b">
        <v>0</v>
      </c>
      <c r="AT587" s="80"/>
      <c r="AU587" s="80">
        <v>0</v>
      </c>
      <c r="AV587" s="84" t="str">
        <f>HYPERLINK("https://abs.twimg.com/images/themes/theme1/bg.png")</f>
        <v>https://abs.twimg.com/images/themes/theme1/bg.png</v>
      </c>
      <c r="AW587" s="80" t="b">
        <v>0</v>
      </c>
      <c r="AX587" s="80" t="s">
        <v>7173</v>
      </c>
      <c r="AY587" s="84" t="str">
        <f>HYPERLINK("https://twitter.com/dreamitb2uty")</f>
        <v>https://twitter.com/dreamitb2uty</v>
      </c>
      <c r="AZ587" s="80" t="s">
        <v>66</v>
      </c>
      <c r="BA587" s="2"/>
      <c r="BB587" s="3"/>
      <c r="BC587" s="3"/>
      <c r="BD587" s="3"/>
      <c r="BE587" s="3"/>
    </row>
    <row r="588" spans="1:57" x14ac:dyDescent="0.35">
      <c r="A588" s="66" t="s">
        <v>700</v>
      </c>
      <c r="B588" s="67"/>
      <c r="C588" s="67"/>
      <c r="D588" s="68"/>
      <c r="E588" s="70"/>
      <c r="F588" s="106" t="str">
        <f>HYPERLINK("https://pbs.twimg.com/profile_images/1162371600773107712/YJLh6dBX_normal.jpg")</f>
        <v>https://pbs.twimg.com/profile_images/1162371600773107712/YJLh6dBX_normal.jpg</v>
      </c>
      <c r="G588" s="67"/>
      <c r="H588" s="71"/>
      <c r="I588" s="72"/>
      <c r="J588" s="72"/>
      <c r="K588" s="71" t="s">
        <v>7758</v>
      </c>
      <c r="L588" s="75"/>
      <c r="M588" s="76"/>
      <c r="N588" s="76"/>
      <c r="O588" s="77"/>
      <c r="P588" s="78"/>
      <c r="Q588" s="78"/>
      <c r="R588" s="90"/>
      <c r="S588" s="90"/>
      <c r="T588" s="90"/>
      <c r="U588" s="90"/>
      <c r="V588" s="52"/>
      <c r="W588" s="52"/>
      <c r="X588" s="52"/>
      <c r="Y588" s="52"/>
      <c r="Z588" s="51"/>
      <c r="AA588" s="73"/>
      <c r="AB588" s="73"/>
      <c r="AC588" s="74"/>
      <c r="AD588" s="80" t="s">
        <v>4760</v>
      </c>
      <c r="AE588" s="86" t="s">
        <v>5651</v>
      </c>
      <c r="AF588" s="80">
        <v>42</v>
      </c>
      <c r="AG588" s="80">
        <v>10</v>
      </c>
      <c r="AH588" s="80">
        <v>204</v>
      </c>
      <c r="AI588" s="80">
        <v>972</v>
      </c>
      <c r="AJ588" s="80"/>
      <c r="AK588" s="80"/>
      <c r="AL588" s="80"/>
      <c r="AM588" s="80"/>
      <c r="AN588" s="80"/>
      <c r="AO588" s="82">
        <v>41996.034074074072</v>
      </c>
      <c r="AP588" s="84" t="str">
        <f>HYPERLINK("https://pbs.twimg.com/profile_banners/2940127513/1565965959")</f>
        <v>https://pbs.twimg.com/profile_banners/2940127513/1565965959</v>
      </c>
      <c r="AQ588" s="80" t="b">
        <v>1</v>
      </c>
      <c r="AR588" s="80" t="b">
        <v>0</v>
      </c>
      <c r="AS588" s="80" t="b">
        <v>1</v>
      </c>
      <c r="AT588" s="80"/>
      <c r="AU588" s="80">
        <v>0</v>
      </c>
      <c r="AV588" s="84" t="str">
        <f>HYPERLINK("https://abs.twimg.com/images/themes/theme1/bg.png")</f>
        <v>https://abs.twimg.com/images/themes/theme1/bg.png</v>
      </c>
      <c r="AW588" s="80" t="b">
        <v>0</v>
      </c>
      <c r="AX588" s="80" t="s">
        <v>7173</v>
      </c>
      <c r="AY588" s="84" t="str">
        <f>HYPERLINK("https://twitter.com/isworo63")</f>
        <v>https://twitter.com/isworo63</v>
      </c>
      <c r="AZ588" s="80" t="s">
        <v>66</v>
      </c>
      <c r="BA588" s="2"/>
      <c r="BB588" s="3"/>
      <c r="BC588" s="3"/>
      <c r="BD588" s="3"/>
      <c r="BE588" s="3"/>
    </row>
    <row r="589" spans="1:57" x14ac:dyDescent="0.35">
      <c r="A589" s="66" t="s">
        <v>701</v>
      </c>
      <c r="B589" s="67"/>
      <c r="C589" s="67"/>
      <c r="D589" s="68"/>
      <c r="E589" s="70"/>
      <c r="F589" s="106" t="str">
        <f>HYPERLINK("https://pbs.twimg.com/profile_images/1442515741442396162/b_n0e1kP_normal.jpg")</f>
        <v>https://pbs.twimg.com/profile_images/1442515741442396162/b_n0e1kP_normal.jpg</v>
      </c>
      <c r="G589" s="67"/>
      <c r="H589" s="71"/>
      <c r="I589" s="72"/>
      <c r="J589" s="72"/>
      <c r="K589" s="71" t="s">
        <v>7759</v>
      </c>
      <c r="L589" s="75"/>
      <c r="M589" s="76"/>
      <c r="N589" s="76"/>
      <c r="O589" s="77"/>
      <c r="P589" s="78"/>
      <c r="Q589" s="78"/>
      <c r="R589" s="90"/>
      <c r="S589" s="90"/>
      <c r="T589" s="90"/>
      <c r="U589" s="90"/>
      <c r="V589" s="52"/>
      <c r="W589" s="52"/>
      <c r="X589" s="52"/>
      <c r="Y589" s="52"/>
      <c r="Z589" s="51"/>
      <c r="AA589" s="73"/>
      <c r="AB589" s="73"/>
      <c r="AC589" s="74"/>
      <c r="AD589" s="80" t="s">
        <v>4761</v>
      </c>
      <c r="AE589" s="86" t="s">
        <v>5652</v>
      </c>
      <c r="AF589" s="80">
        <v>202</v>
      </c>
      <c r="AG589" s="80">
        <v>241</v>
      </c>
      <c r="AH589" s="80">
        <v>4130</v>
      </c>
      <c r="AI589" s="80">
        <v>1039</v>
      </c>
      <c r="AJ589" s="80"/>
      <c r="AK589" s="80" t="s">
        <v>6410</v>
      </c>
      <c r="AL589" s="80" t="s">
        <v>6994</v>
      </c>
      <c r="AM589" s="80"/>
      <c r="AN589" s="80"/>
      <c r="AO589" s="82">
        <v>40630.1249537037</v>
      </c>
      <c r="AP589" s="84" t="str">
        <f>HYPERLINK("https://pbs.twimg.com/profile_banners/273236182/1433000095")</f>
        <v>https://pbs.twimg.com/profile_banners/273236182/1433000095</v>
      </c>
      <c r="AQ589" s="80" t="b">
        <v>0</v>
      </c>
      <c r="AR589" s="80" t="b">
        <v>0</v>
      </c>
      <c r="AS589" s="80" t="b">
        <v>1</v>
      </c>
      <c r="AT589" s="80"/>
      <c r="AU589" s="80">
        <v>0</v>
      </c>
      <c r="AV589" s="84" t="str">
        <f>HYPERLINK("https://abs.twimg.com/images/themes/theme10/bg.gif")</f>
        <v>https://abs.twimg.com/images/themes/theme10/bg.gif</v>
      </c>
      <c r="AW589" s="80" t="b">
        <v>0</v>
      </c>
      <c r="AX589" s="80" t="s">
        <v>7173</v>
      </c>
      <c r="AY589" s="84" t="str">
        <f>HYPERLINK("https://twitter.com/marimaasss")</f>
        <v>https://twitter.com/marimaasss</v>
      </c>
      <c r="AZ589" s="80" t="s">
        <v>66</v>
      </c>
      <c r="BA589" s="2"/>
      <c r="BB589" s="3"/>
      <c r="BC589" s="3"/>
      <c r="BD589" s="3"/>
      <c r="BE589" s="3"/>
    </row>
    <row r="590" spans="1:57" x14ac:dyDescent="0.35">
      <c r="A590" s="66" t="s">
        <v>702</v>
      </c>
      <c r="B590" s="67"/>
      <c r="C590" s="67"/>
      <c r="D590" s="68"/>
      <c r="E590" s="70"/>
      <c r="F590" s="106" t="str">
        <f>HYPERLINK("https://pbs.twimg.com/profile_images/1237086300852736002/qtMVsgrM_normal.jpg")</f>
        <v>https://pbs.twimg.com/profile_images/1237086300852736002/qtMVsgrM_normal.jpg</v>
      </c>
      <c r="G590" s="67"/>
      <c r="H590" s="71"/>
      <c r="I590" s="72"/>
      <c r="J590" s="72"/>
      <c r="K590" s="71" t="s">
        <v>7760</v>
      </c>
      <c r="L590" s="75"/>
      <c r="M590" s="76"/>
      <c r="N590" s="76"/>
      <c r="O590" s="77"/>
      <c r="P590" s="78"/>
      <c r="Q590" s="78"/>
      <c r="R590" s="90"/>
      <c r="S590" s="90"/>
      <c r="T590" s="90"/>
      <c r="U590" s="90"/>
      <c r="V590" s="52"/>
      <c r="W590" s="52"/>
      <c r="X590" s="52"/>
      <c r="Y590" s="52"/>
      <c r="Z590" s="51"/>
      <c r="AA590" s="73"/>
      <c r="AB590" s="73"/>
      <c r="AC590" s="74"/>
      <c r="AD590" s="80" t="s">
        <v>4762</v>
      </c>
      <c r="AE590" s="86" t="s">
        <v>5653</v>
      </c>
      <c r="AF590" s="80">
        <v>900</v>
      </c>
      <c r="AG590" s="80">
        <v>552</v>
      </c>
      <c r="AH590" s="80">
        <v>808</v>
      </c>
      <c r="AI590" s="80">
        <v>1680</v>
      </c>
      <c r="AJ590" s="80"/>
      <c r="AK590" s="80"/>
      <c r="AL590" s="80"/>
      <c r="AM590" s="80"/>
      <c r="AN590" s="80"/>
      <c r="AO590" s="82">
        <v>42317.98510416667</v>
      </c>
      <c r="AP590" s="80"/>
      <c r="AQ590" s="80" t="b">
        <v>1</v>
      </c>
      <c r="AR590" s="80" t="b">
        <v>0</v>
      </c>
      <c r="AS590" s="80" t="b">
        <v>0</v>
      </c>
      <c r="AT590" s="80"/>
      <c r="AU590" s="80">
        <v>0</v>
      </c>
      <c r="AV590" s="84" t="str">
        <f>HYPERLINK("https://abs.twimg.com/images/themes/theme1/bg.png")</f>
        <v>https://abs.twimg.com/images/themes/theme1/bg.png</v>
      </c>
      <c r="AW590" s="80" t="b">
        <v>0</v>
      </c>
      <c r="AX590" s="80" t="s">
        <v>7173</v>
      </c>
      <c r="AY590" s="84" t="str">
        <f>HYPERLINK("https://twitter.com/soe_dody")</f>
        <v>https://twitter.com/soe_dody</v>
      </c>
      <c r="AZ590" s="80" t="s">
        <v>66</v>
      </c>
      <c r="BA590" s="2"/>
      <c r="BB590" s="3"/>
      <c r="BC590" s="3"/>
      <c r="BD590" s="3"/>
      <c r="BE590" s="3"/>
    </row>
    <row r="591" spans="1:57" x14ac:dyDescent="0.35">
      <c r="A591" s="66" t="s">
        <v>703</v>
      </c>
      <c r="B591" s="67"/>
      <c r="C591" s="67"/>
      <c r="D591" s="68"/>
      <c r="E591" s="70"/>
      <c r="F591" s="106" t="str">
        <f>HYPERLINK("https://pbs.twimg.com/profile_images/1435573674023682049/Pmv2j1pP_normal.jpg")</f>
        <v>https://pbs.twimg.com/profile_images/1435573674023682049/Pmv2j1pP_normal.jpg</v>
      </c>
      <c r="G591" s="67"/>
      <c r="H591" s="71"/>
      <c r="I591" s="72"/>
      <c r="J591" s="72"/>
      <c r="K591" s="71" t="s">
        <v>7761</v>
      </c>
      <c r="L591" s="75"/>
      <c r="M591" s="76"/>
      <c r="N591" s="76"/>
      <c r="O591" s="77"/>
      <c r="P591" s="78"/>
      <c r="Q591" s="78"/>
      <c r="R591" s="90"/>
      <c r="S591" s="90"/>
      <c r="T591" s="90"/>
      <c r="U591" s="90"/>
      <c r="V591" s="52"/>
      <c r="W591" s="52"/>
      <c r="X591" s="52"/>
      <c r="Y591" s="52"/>
      <c r="Z591" s="51"/>
      <c r="AA591" s="73"/>
      <c r="AB591" s="73"/>
      <c r="AC591" s="74"/>
      <c r="AD591" s="80" t="s">
        <v>4763</v>
      </c>
      <c r="AE591" s="86" t="s">
        <v>5654</v>
      </c>
      <c r="AF591" s="80">
        <v>1756</v>
      </c>
      <c r="AG591" s="80">
        <v>1608</v>
      </c>
      <c r="AH591" s="80">
        <v>984</v>
      </c>
      <c r="AI591" s="80">
        <v>680</v>
      </c>
      <c r="AJ591" s="80"/>
      <c r="AK591" s="80" t="s">
        <v>6411</v>
      </c>
      <c r="AL591" s="80"/>
      <c r="AM591" s="80"/>
      <c r="AN591" s="80"/>
      <c r="AO591" s="82">
        <v>44271.110868055555</v>
      </c>
      <c r="AP591" s="84" t="str">
        <f>HYPERLINK("https://pbs.twimg.com/profile_banners/1371652293490176001/1615865600")</f>
        <v>https://pbs.twimg.com/profile_banners/1371652293490176001/1615865600</v>
      </c>
      <c r="AQ591" s="80" t="b">
        <v>1</v>
      </c>
      <c r="AR591" s="80" t="b">
        <v>0</v>
      </c>
      <c r="AS591" s="80" t="b">
        <v>0</v>
      </c>
      <c r="AT591" s="80"/>
      <c r="AU591" s="80">
        <v>0</v>
      </c>
      <c r="AV591" s="80"/>
      <c r="AW591" s="80" t="b">
        <v>0</v>
      </c>
      <c r="AX591" s="80" t="s">
        <v>7173</v>
      </c>
      <c r="AY591" s="84" t="str">
        <f>HYPERLINK("https://twitter.com/wulandarip17")</f>
        <v>https://twitter.com/wulandarip17</v>
      </c>
      <c r="AZ591" s="80" t="s">
        <v>66</v>
      </c>
      <c r="BA591" s="2"/>
      <c r="BB591" s="3"/>
      <c r="BC591" s="3"/>
      <c r="BD591" s="3"/>
      <c r="BE591" s="3"/>
    </row>
    <row r="592" spans="1:57" x14ac:dyDescent="0.35">
      <c r="A592" s="66" t="s">
        <v>704</v>
      </c>
      <c r="B592" s="67"/>
      <c r="C592" s="67"/>
      <c r="D592" s="68"/>
      <c r="E592" s="70"/>
      <c r="F592" s="106" t="str">
        <f>HYPERLINK("https://pbs.twimg.com/profile_images/1442470899530145797/GlwkY_pd_normal.jpg")</f>
        <v>https://pbs.twimg.com/profile_images/1442470899530145797/GlwkY_pd_normal.jpg</v>
      </c>
      <c r="G592" s="67"/>
      <c r="H592" s="71"/>
      <c r="I592" s="72"/>
      <c r="J592" s="72"/>
      <c r="K592" s="71" t="s">
        <v>7762</v>
      </c>
      <c r="L592" s="75"/>
      <c r="M592" s="76"/>
      <c r="N592" s="76"/>
      <c r="O592" s="77"/>
      <c r="P592" s="78"/>
      <c r="Q592" s="78"/>
      <c r="R592" s="90"/>
      <c r="S592" s="90"/>
      <c r="T592" s="90"/>
      <c r="U592" s="90"/>
      <c r="V592" s="52"/>
      <c r="W592" s="52"/>
      <c r="X592" s="52"/>
      <c r="Y592" s="52"/>
      <c r="Z592" s="51"/>
      <c r="AA592" s="73"/>
      <c r="AB592" s="73"/>
      <c r="AC592" s="74"/>
      <c r="AD592" s="80" t="s">
        <v>4764</v>
      </c>
      <c r="AE592" s="86" t="s">
        <v>5655</v>
      </c>
      <c r="AF592" s="80">
        <v>157</v>
      </c>
      <c r="AG592" s="80">
        <v>28</v>
      </c>
      <c r="AH592" s="80">
        <v>303</v>
      </c>
      <c r="AI592" s="80">
        <v>104</v>
      </c>
      <c r="AJ592" s="80"/>
      <c r="AK592" s="80" t="s">
        <v>6412</v>
      </c>
      <c r="AL592" s="80" t="s">
        <v>6898</v>
      </c>
      <c r="AM592" s="80"/>
      <c r="AN592" s="80"/>
      <c r="AO592" s="82">
        <v>44442.648993055554</v>
      </c>
      <c r="AP592" s="84" t="str">
        <f>HYPERLINK("https://pbs.twimg.com/profile_banners/1433815655023734785/1630741129")</f>
        <v>https://pbs.twimg.com/profile_banners/1433815655023734785/1630741129</v>
      </c>
      <c r="AQ592" s="80" t="b">
        <v>1</v>
      </c>
      <c r="AR592" s="80" t="b">
        <v>0</v>
      </c>
      <c r="AS592" s="80" t="b">
        <v>0</v>
      </c>
      <c r="AT592" s="80"/>
      <c r="AU592" s="80">
        <v>0</v>
      </c>
      <c r="AV592" s="80"/>
      <c r="AW592" s="80" t="b">
        <v>0</v>
      </c>
      <c r="AX592" s="80" t="s">
        <v>7173</v>
      </c>
      <c r="AY592" s="84" t="str">
        <f>HYPERLINK("https://twitter.com/saudarisaki")</f>
        <v>https://twitter.com/saudarisaki</v>
      </c>
      <c r="AZ592" s="80" t="s">
        <v>66</v>
      </c>
      <c r="BA592" s="2"/>
      <c r="BB592" s="3"/>
      <c r="BC592" s="3"/>
      <c r="BD592" s="3"/>
      <c r="BE592" s="3"/>
    </row>
    <row r="593" spans="1:57" x14ac:dyDescent="0.35">
      <c r="A593" s="66" t="s">
        <v>705</v>
      </c>
      <c r="B593" s="67"/>
      <c r="C593" s="67"/>
      <c r="D593" s="68"/>
      <c r="E593" s="70"/>
      <c r="F593" s="106" t="str">
        <f>HYPERLINK("https://pbs.twimg.com/profile_images/1225678454915362817/Wa7YJbFC_normal.jpg")</f>
        <v>https://pbs.twimg.com/profile_images/1225678454915362817/Wa7YJbFC_normal.jpg</v>
      </c>
      <c r="G593" s="67"/>
      <c r="H593" s="71"/>
      <c r="I593" s="72"/>
      <c r="J593" s="72"/>
      <c r="K593" s="71" t="s">
        <v>7763</v>
      </c>
      <c r="L593" s="75"/>
      <c r="M593" s="76"/>
      <c r="N593" s="76"/>
      <c r="O593" s="77"/>
      <c r="P593" s="78"/>
      <c r="Q593" s="78"/>
      <c r="R593" s="90"/>
      <c r="S593" s="90"/>
      <c r="T593" s="90"/>
      <c r="U593" s="90"/>
      <c r="V593" s="52"/>
      <c r="W593" s="52"/>
      <c r="X593" s="52"/>
      <c r="Y593" s="52"/>
      <c r="Z593" s="51"/>
      <c r="AA593" s="73"/>
      <c r="AB593" s="73"/>
      <c r="AC593" s="74"/>
      <c r="AD593" s="80" t="s">
        <v>4765</v>
      </c>
      <c r="AE593" s="86" t="s">
        <v>5656</v>
      </c>
      <c r="AF593" s="80">
        <v>2200</v>
      </c>
      <c r="AG593" s="80">
        <v>2102</v>
      </c>
      <c r="AH593" s="80">
        <v>40543</v>
      </c>
      <c r="AI593" s="80">
        <v>38764</v>
      </c>
      <c r="AJ593" s="80"/>
      <c r="AK593" s="80" t="s">
        <v>6413</v>
      </c>
      <c r="AL593" s="80" t="s">
        <v>6995</v>
      </c>
      <c r="AM593" s="80"/>
      <c r="AN593" s="80"/>
      <c r="AO593" s="82">
        <v>40051.186828703707</v>
      </c>
      <c r="AP593" s="84" t="str">
        <f>HYPERLINK("https://pbs.twimg.com/profile_banners/68899374/1430740121")</f>
        <v>https://pbs.twimg.com/profile_banners/68899374/1430740121</v>
      </c>
      <c r="AQ593" s="80" t="b">
        <v>0</v>
      </c>
      <c r="AR593" s="80" t="b">
        <v>0</v>
      </c>
      <c r="AS593" s="80" t="b">
        <v>1</v>
      </c>
      <c r="AT593" s="80"/>
      <c r="AU593" s="80">
        <v>6</v>
      </c>
      <c r="AV593" s="84" t="str">
        <f>HYPERLINK("https://abs.twimg.com/images/themes/theme1/bg.png")</f>
        <v>https://abs.twimg.com/images/themes/theme1/bg.png</v>
      </c>
      <c r="AW593" s="80" t="b">
        <v>0</v>
      </c>
      <c r="AX593" s="80" t="s">
        <v>7173</v>
      </c>
      <c r="AY593" s="84" t="str">
        <f>HYPERLINK("https://twitter.com/heri_aja")</f>
        <v>https://twitter.com/heri_aja</v>
      </c>
      <c r="AZ593" s="80" t="s">
        <v>66</v>
      </c>
      <c r="BA593" s="2"/>
      <c r="BB593" s="3"/>
      <c r="BC593" s="3"/>
      <c r="BD593" s="3"/>
      <c r="BE593" s="3"/>
    </row>
    <row r="594" spans="1:57" x14ac:dyDescent="0.35">
      <c r="A594" s="66" t="s">
        <v>706</v>
      </c>
      <c r="B594" s="67"/>
      <c r="C594" s="67"/>
      <c r="D594" s="68"/>
      <c r="E594" s="70"/>
      <c r="F594" s="106" t="str">
        <f>HYPERLINK("https://pbs.twimg.com/profile_images/1363072009983299584/79tQcOsx_normal.jpg")</f>
        <v>https://pbs.twimg.com/profile_images/1363072009983299584/79tQcOsx_normal.jpg</v>
      </c>
      <c r="G594" s="67"/>
      <c r="H594" s="71"/>
      <c r="I594" s="72"/>
      <c r="J594" s="72"/>
      <c r="K594" s="71" t="s">
        <v>7764</v>
      </c>
      <c r="L594" s="75"/>
      <c r="M594" s="76"/>
      <c r="N594" s="76"/>
      <c r="O594" s="77"/>
      <c r="P594" s="78"/>
      <c r="Q594" s="78"/>
      <c r="R594" s="90"/>
      <c r="S594" s="90"/>
      <c r="T594" s="90"/>
      <c r="U594" s="90"/>
      <c r="V594" s="52"/>
      <c r="W594" s="52"/>
      <c r="X594" s="52"/>
      <c r="Y594" s="52"/>
      <c r="Z594" s="51"/>
      <c r="AA594" s="73"/>
      <c r="AB594" s="73"/>
      <c r="AC594" s="74"/>
      <c r="AD594" s="80" t="s">
        <v>4766</v>
      </c>
      <c r="AE594" s="86" t="s">
        <v>5657</v>
      </c>
      <c r="AF594" s="80">
        <v>5</v>
      </c>
      <c r="AG594" s="80">
        <v>1</v>
      </c>
      <c r="AH594" s="80">
        <v>5313</v>
      </c>
      <c r="AI594" s="80">
        <v>364</v>
      </c>
      <c r="AJ594" s="80"/>
      <c r="AK594" s="80" t="s">
        <v>6414</v>
      </c>
      <c r="AL594" s="80" t="s">
        <v>6996</v>
      </c>
      <c r="AM594" s="80"/>
      <c r="AN594" s="80"/>
      <c r="AO594" s="82">
        <v>44247.432222222225</v>
      </c>
      <c r="AP594" s="84" t="str">
        <f>HYPERLINK("https://pbs.twimg.com/profile_banners/1363071374122655746/1632044705")</f>
        <v>https://pbs.twimg.com/profile_banners/1363071374122655746/1632044705</v>
      </c>
      <c r="AQ594" s="80" t="b">
        <v>1</v>
      </c>
      <c r="AR594" s="80" t="b">
        <v>0</v>
      </c>
      <c r="AS594" s="80" t="b">
        <v>0</v>
      </c>
      <c r="AT594" s="80"/>
      <c r="AU594" s="80">
        <v>0</v>
      </c>
      <c r="AV594" s="80"/>
      <c r="AW594" s="80" t="b">
        <v>0</v>
      </c>
      <c r="AX594" s="80" t="s">
        <v>7173</v>
      </c>
      <c r="AY594" s="84" t="str">
        <f>HYPERLINK("https://twitter.com/pbantarsari")</f>
        <v>https://twitter.com/pbantarsari</v>
      </c>
      <c r="AZ594" s="80" t="s">
        <v>66</v>
      </c>
      <c r="BA594" s="2"/>
      <c r="BB594" s="3"/>
      <c r="BC594" s="3"/>
      <c r="BD594" s="3"/>
      <c r="BE594" s="3"/>
    </row>
    <row r="595" spans="1:57" x14ac:dyDescent="0.35">
      <c r="A595" s="66" t="s">
        <v>707</v>
      </c>
      <c r="B595" s="67"/>
      <c r="C595" s="67"/>
      <c r="D595" s="68"/>
      <c r="E595" s="70"/>
      <c r="F595" s="106" t="str">
        <f>HYPERLINK("https://pbs.twimg.com/profile_images/1436886922891186179/PCEQvxeE_normal.jpg")</f>
        <v>https://pbs.twimg.com/profile_images/1436886922891186179/PCEQvxeE_normal.jpg</v>
      </c>
      <c r="G595" s="67"/>
      <c r="H595" s="71"/>
      <c r="I595" s="72"/>
      <c r="J595" s="72"/>
      <c r="K595" s="71" t="s">
        <v>7765</v>
      </c>
      <c r="L595" s="75"/>
      <c r="M595" s="76"/>
      <c r="N595" s="76"/>
      <c r="O595" s="77"/>
      <c r="P595" s="78"/>
      <c r="Q595" s="78"/>
      <c r="R595" s="90"/>
      <c r="S595" s="90"/>
      <c r="T595" s="90"/>
      <c r="U595" s="90"/>
      <c r="V595" s="52"/>
      <c r="W595" s="52"/>
      <c r="X595" s="52"/>
      <c r="Y595" s="52"/>
      <c r="Z595" s="51"/>
      <c r="AA595" s="73"/>
      <c r="AB595" s="73"/>
      <c r="AC595" s="74"/>
      <c r="AD595" s="80" t="s">
        <v>4767</v>
      </c>
      <c r="AE595" s="86" t="s">
        <v>5658</v>
      </c>
      <c r="AF595" s="80">
        <v>133</v>
      </c>
      <c r="AG595" s="80">
        <v>67</v>
      </c>
      <c r="AH595" s="80">
        <v>1846</v>
      </c>
      <c r="AI595" s="80">
        <v>304</v>
      </c>
      <c r="AJ595" s="80"/>
      <c r="AK595" s="80" t="s">
        <v>6415</v>
      </c>
      <c r="AL595" s="80"/>
      <c r="AM595" s="80"/>
      <c r="AN595" s="80"/>
      <c r="AO595" s="82">
        <v>43483.305636574078</v>
      </c>
      <c r="AP595" s="84" t="str">
        <f>HYPERLINK("https://pbs.twimg.com/profile_banners/1086161295206797312/1632221428")</f>
        <v>https://pbs.twimg.com/profile_banners/1086161295206797312/1632221428</v>
      </c>
      <c r="AQ595" s="80" t="b">
        <v>1</v>
      </c>
      <c r="AR595" s="80" t="b">
        <v>0</v>
      </c>
      <c r="AS595" s="80" t="b">
        <v>0</v>
      </c>
      <c r="AT595" s="80"/>
      <c r="AU595" s="80">
        <v>0</v>
      </c>
      <c r="AV595" s="80"/>
      <c r="AW595" s="80" t="b">
        <v>0</v>
      </c>
      <c r="AX595" s="80" t="s">
        <v>7173</v>
      </c>
      <c r="AY595" s="84" t="str">
        <f>HYPERLINK("https://twitter.com/panggilajaboboy")</f>
        <v>https://twitter.com/panggilajaboboy</v>
      </c>
      <c r="AZ595" s="80" t="s">
        <v>66</v>
      </c>
      <c r="BA595" s="2"/>
      <c r="BB595" s="3"/>
      <c r="BC595" s="3"/>
      <c r="BD595" s="3"/>
      <c r="BE595" s="3"/>
    </row>
    <row r="596" spans="1:57" x14ac:dyDescent="0.35">
      <c r="A596" s="66" t="s">
        <v>708</v>
      </c>
      <c r="B596" s="67"/>
      <c r="C596" s="67"/>
      <c r="D596" s="68"/>
      <c r="E596" s="70"/>
      <c r="F596" s="106" t="str">
        <f>HYPERLINK("https://pbs.twimg.com/profile_images/1442703519752998916/VEww0A-B_normal.jpg")</f>
        <v>https://pbs.twimg.com/profile_images/1442703519752998916/VEww0A-B_normal.jpg</v>
      </c>
      <c r="G596" s="67"/>
      <c r="H596" s="71"/>
      <c r="I596" s="72"/>
      <c r="J596" s="72"/>
      <c r="K596" s="71" t="s">
        <v>7766</v>
      </c>
      <c r="L596" s="75"/>
      <c r="M596" s="76"/>
      <c r="N596" s="76"/>
      <c r="O596" s="77"/>
      <c r="P596" s="78"/>
      <c r="Q596" s="78"/>
      <c r="R596" s="90"/>
      <c r="S596" s="90"/>
      <c r="T596" s="90"/>
      <c r="U596" s="90"/>
      <c r="V596" s="52"/>
      <c r="W596" s="52"/>
      <c r="X596" s="52"/>
      <c r="Y596" s="52"/>
      <c r="Z596" s="51"/>
      <c r="AA596" s="73"/>
      <c r="AB596" s="73"/>
      <c r="AC596" s="74"/>
      <c r="AD596" s="80" t="s">
        <v>4768</v>
      </c>
      <c r="AE596" s="86" t="s">
        <v>5659</v>
      </c>
      <c r="AF596" s="80">
        <v>273</v>
      </c>
      <c r="AG596" s="80">
        <v>284</v>
      </c>
      <c r="AH596" s="80">
        <v>9068</v>
      </c>
      <c r="AI596" s="80">
        <v>2946</v>
      </c>
      <c r="AJ596" s="80"/>
      <c r="AK596" s="80" t="s">
        <v>6416</v>
      </c>
      <c r="AL596" s="80" t="s">
        <v>6997</v>
      </c>
      <c r="AM596" s="80"/>
      <c r="AN596" s="80"/>
      <c r="AO596" s="82">
        <v>40888.558125000003</v>
      </c>
      <c r="AP596" s="84" t="str">
        <f>HYPERLINK("https://pbs.twimg.com/profile_banners/434135495/1615468979")</f>
        <v>https://pbs.twimg.com/profile_banners/434135495/1615468979</v>
      </c>
      <c r="AQ596" s="80" t="b">
        <v>0</v>
      </c>
      <c r="AR596" s="80" t="b">
        <v>0</v>
      </c>
      <c r="AS596" s="80" t="b">
        <v>1</v>
      </c>
      <c r="AT596" s="80"/>
      <c r="AU596" s="80">
        <v>0</v>
      </c>
      <c r="AV596" s="84" t="str">
        <f>HYPERLINK("https://abs.twimg.com/images/themes/theme9/bg.gif")</f>
        <v>https://abs.twimg.com/images/themes/theme9/bg.gif</v>
      </c>
      <c r="AW596" s="80" t="b">
        <v>0</v>
      </c>
      <c r="AX596" s="80" t="s">
        <v>7173</v>
      </c>
      <c r="AY596" s="84" t="str">
        <f>HYPERLINK("https://twitter.com/kanglex_")</f>
        <v>https://twitter.com/kanglex_</v>
      </c>
      <c r="AZ596" s="80" t="s">
        <v>66</v>
      </c>
      <c r="BA596" s="2"/>
      <c r="BB596" s="3"/>
      <c r="BC596" s="3"/>
      <c r="BD596" s="3"/>
      <c r="BE596" s="3"/>
    </row>
    <row r="597" spans="1:57" x14ac:dyDescent="0.35">
      <c r="A597" s="66" t="s">
        <v>709</v>
      </c>
      <c r="B597" s="67"/>
      <c r="C597" s="67"/>
      <c r="D597" s="68"/>
      <c r="E597" s="70"/>
      <c r="F597" s="106" t="str">
        <f>HYPERLINK("https://pbs.twimg.com/profile_images/1434544961974718471/kivbpVyz_normal.jpg")</f>
        <v>https://pbs.twimg.com/profile_images/1434544961974718471/kivbpVyz_normal.jpg</v>
      </c>
      <c r="G597" s="67"/>
      <c r="H597" s="71"/>
      <c r="I597" s="72"/>
      <c r="J597" s="72"/>
      <c r="K597" s="71" t="s">
        <v>7767</v>
      </c>
      <c r="L597" s="75"/>
      <c r="M597" s="76"/>
      <c r="N597" s="76"/>
      <c r="O597" s="77"/>
      <c r="P597" s="78"/>
      <c r="Q597" s="78"/>
      <c r="R597" s="90"/>
      <c r="S597" s="90"/>
      <c r="T597" s="90"/>
      <c r="U597" s="90"/>
      <c r="V597" s="52"/>
      <c r="W597" s="52"/>
      <c r="X597" s="52"/>
      <c r="Y597" s="52"/>
      <c r="Z597" s="51"/>
      <c r="AA597" s="73"/>
      <c r="AB597" s="73"/>
      <c r="AC597" s="74"/>
      <c r="AD597" s="80" t="s">
        <v>4769</v>
      </c>
      <c r="AE597" s="86" t="s">
        <v>5660</v>
      </c>
      <c r="AF597" s="80">
        <v>253</v>
      </c>
      <c r="AG597" s="80">
        <v>260</v>
      </c>
      <c r="AH597" s="80">
        <v>867</v>
      </c>
      <c r="AI597" s="80">
        <v>198</v>
      </c>
      <c r="AJ597" s="80"/>
      <c r="AK597" s="80" t="s">
        <v>6417</v>
      </c>
      <c r="AL597" s="80"/>
      <c r="AM597" s="80"/>
      <c r="AN597" s="80"/>
      <c r="AO597" s="82">
        <v>44411.014618055553</v>
      </c>
      <c r="AP597" s="84" t="str">
        <f>HYPERLINK("https://pbs.twimg.com/profile_banners/1422351739026513921/1630857171")</f>
        <v>https://pbs.twimg.com/profile_banners/1422351739026513921/1630857171</v>
      </c>
      <c r="AQ597" s="80" t="b">
        <v>1</v>
      </c>
      <c r="AR597" s="80" t="b">
        <v>0</v>
      </c>
      <c r="AS597" s="80" t="b">
        <v>0</v>
      </c>
      <c r="AT597" s="80"/>
      <c r="AU597" s="80">
        <v>0</v>
      </c>
      <c r="AV597" s="80"/>
      <c r="AW597" s="80" t="b">
        <v>0</v>
      </c>
      <c r="AX597" s="80" t="s">
        <v>7173</v>
      </c>
      <c r="AY597" s="84" t="str">
        <f>HYPERLINK("https://twitter.com/siakbarrrrr")</f>
        <v>https://twitter.com/siakbarrrrr</v>
      </c>
      <c r="AZ597" s="80" t="s">
        <v>66</v>
      </c>
      <c r="BA597" s="2"/>
      <c r="BB597" s="3"/>
      <c r="BC597" s="3"/>
      <c r="BD597" s="3"/>
      <c r="BE597" s="3"/>
    </row>
    <row r="598" spans="1:57" x14ac:dyDescent="0.35">
      <c r="A598" s="66" t="s">
        <v>1090</v>
      </c>
      <c r="B598" s="67"/>
      <c r="C598" s="67"/>
      <c r="D598" s="68"/>
      <c r="E598" s="70"/>
      <c r="F598" s="106" t="str">
        <f>HYPERLINK("https://pbs.twimg.com/profile_images/1401420078902513668/CWXq44dB_normal.jpg")</f>
        <v>https://pbs.twimg.com/profile_images/1401420078902513668/CWXq44dB_normal.jpg</v>
      </c>
      <c r="G598" s="67"/>
      <c r="H598" s="71"/>
      <c r="I598" s="72"/>
      <c r="J598" s="72"/>
      <c r="K598" s="71" t="s">
        <v>7768</v>
      </c>
      <c r="L598" s="75"/>
      <c r="M598" s="76"/>
      <c r="N598" s="76"/>
      <c r="O598" s="77"/>
      <c r="P598" s="78"/>
      <c r="Q598" s="78"/>
      <c r="R598" s="90"/>
      <c r="S598" s="90"/>
      <c r="T598" s="90"/>
      <c r="U598" s="90"/>
      <c r="V598" s="52"/>
      <c r="W598" s="52"/>
      <c r="X598" s="52"/>
      <c r="Y598" s="52"/>
      <c r="Z598" s="51"/>
      <c r="AA598" s="73"/>
      <c r="AB598" s="73"/>
      <c r="AC598" s="74"/>
      <c r="AD598" s="80" t="s">
        <v>4770</v>
      </c>
      <c r="AE598" s="86" t="s">
        <v>3963</v>
      </c>
      <c r="AF598" s="80">
        <v>1100</v>
      </c>
      <c r="AG598" s="80">
        <v>1323</v>
      </c>
      <c r="AH598" s="80">
        <v>10243</v>
      </c>
      <c r="AI598" s="80">
        <v>3243</v>
      </c>
      <c r="AJ598" s="80"/>
      <c r="AK598" s="80"/>
      <c r="AL598" s="80"/>
      <c r="AM598" s="84" t="str">
        <f>HYPERLINK("https://t.co/utzrsU07cr")</f>
        <v>https://t.co/utzrsU07cr</v>
      </c>
      <c r="AN598" s="80"/>
      <c r="AO598" s="82">
        <v>44092.19972222222</v>
      </c>
      <c r="AP598" s="80"/>
      <c r="AQ598" s="80" t="b">
        <v>1</v>
      </c>
      <c r="AR598" s="80" t="b">
        <v>0</v>
      </c>
      <c r="AS598" s="80" t="b">
        <v>0</v>
      </c>
      <c r="AT598" s="80"/>
      <c r="AU598" s="80">
        <v>0</v>
      </c>
      <c r="AV598" s="80"/>
      <c r="AW598" s="80" t="b">
        <v>0</v>
      </c>
      <c r="AX598" s="80" t="s">
        <v>7173</v>
      </c>
      <c r="AY598" s="84" t="str">
        <f>HYPERLINK("https://twitter.com/nasikemarennn")</f>
        <v>https://twitter.com/nasikemarennn</v>
      </c>
      <c r="AZ598" s="80" t="s">
        <v>65</v>
      </c>
      <c r="BA598" s="2"/>
      <c r="BB598" s="3"/>
      <c r="BC598" s="3"/>
      <c r="BD598" s="3"/>
      <c r="BE598" s="3"/>
    </row>
    <row r="599" spans="1:57" x14ac:dyDescent="0.35">
      <c r="A599" s="66" t="s">
        <v>710</v>
      </c>
      <c r="B599" s="67"/>
      <c r="C599" s="67"/>
      <c r="D599" s="68"/>
      <c r="E599" s="70"/>
      <c r="F599" s="106" t="str">
        <f>HYPERLINK("https://pbs.twimg.com/profile_images/1158985004539453440/VQYxrJV0_normal.jpg")</f>
        <v>https://pbs.twimg.com/profile_images/1158985004539453440/VQYxrJV0_normal.jpg</v>
      </c>
      <c r="G599" s="67"/>
      <c r="H599" s="71"/>
      <c r="I599" s="72"/>
      <c r="J599" s="72"/>
      <c r="K599" s="71" t="s">
        <v>7769</v>
      </c>
      <c r="L599" s="75"/>
      <c r="M599" s="76"/>
      <c r="N599" s="76"/>
      <c r="O599" s="77"/>
      <c r="P599" s="78"/>
      <c r="Q599" s="78"/>
      <c r="R599" s="90"/>
      <c r="S599" s="90"/>
      <c r="T599" s="90"/>
      <c r="U599" s="90"/>
      <c r="V599" s="52"/>
      <c r="W599" s="52"/>
      <c r="X599" s="52"/>
      <c r="Y599" s="52"/>
      <c r="Z599" s="51"/>
      <c r="AA599" s="73"/>
      <c r="AB599" s="73"/>
      <c r="AC599" s="74"/>
      <c r="AD599" s="80" t="s">
        <v>4771</v>
      </c>
      <c r="AE599" s="86" t="s">
        <v>5661</v>
      </c>
      <c r="AF599" s="80">
        <v>49</v>
      </c>
      <c r="AG599" s="80">
        <v>56</v>
      </c>
      <c r="AH599" s="80">
        <v>10235</v>
      </c>
      <c r="AI599" s="80">
        <v>824</v>
      </c>
      <c r="AJ599" s="80"/>
      <c r="AK599" s="80"/>
      <c r="AL599" s="80"/>
      <c r="AM599" s="80"/>
      <c r="AN599" s="80"/>
      <c r="AO599" s="82">
        <v>43671.354872685188</v>
      </c>
      <c r="AP599" s="84" t="str">
        <f>HYPERLINK("https://pbs.twimg.com/profile_banners/1154308056605286400/1632025962")</f>
        <v>https://pbs.twimg.com/profile_banners/1154308056605286400/1632025962</v>
      </c>
      <c r="AQ599" s="80" t="b">
        <v>1</v>
      </c>
      <c r="AR599" s="80" t="b">
        <v>0</v>
      </c>
      <c r="AS599" s="80" t="b">
        <v>1</v>
      </c>
      <c r="AT599" s="80"/>
      <c r="AU599" s="80">
        <v>0</v>
      </c>
      <c r="AV599" s="80"/>
      <c r="AW599" s="80" t="b">
        <v>0</v>
      </c>
      <c r="AX599" s="80" t="s">
        <v>7173</v>
      </c>
      <c r="AY599" s="84" t="str">
        <f>HYPERLINK("https://twitter.com/mgpolsek")</f>
        <v>https://twitter.com/mgpolsek</v>
      </c>
      <c r="AZ599" s="80" t="s">
        <v>66</v>
      </c>
      <c r="BA599" s="2"/>
      <c r="BB599" s="3"/>
      <c r="BC599" s="3"/>
      <c r="BD599" s="3"/>
      <c r="BE599" s="3"/>
    </row>
    <row r="600" spans="1:57" x14ac:dyDescent="0.35">
      <c r="A600" s="66" t="s">
        <v>711</v>
      </c>
      <c r="B600" s="67"/>
      <c r="C600" s="67"/>
      <c r="D600" s="68"/>
      <c r="E600" s="70"/>
      <c r="F600" s="106" t="str">
        <f>HYPERLINK("https://pbs.twimg.com/profile_images/1385220165483175943/1v2zkrMD_normal.jpg")</f>
        <v>https://pbs.twimg.com/profile_images/1385220165483175943/1v2zkrMD_normal.jpg</v>
      </c>
      <c r="G600" s="67"/>
      <c r="H600" s="71"/>
      <c r="I600" s="72"/>
      <c r="J600" s="72"/>
      <c r="K600" s="71" t="s">
        <v>7770</v>
      </c>
      <c r="L600" s="75"/>
      <c r="M600" s="76"/>
      <c r="N600" s="76"/>
      <c r="O600" s="77"/>
      <c r="P600" s="78"/>
      <c r="Q600" s="78"/>
      <c r="R600" s="90"/>
      <c r="S600" s="90"/>
      <c r="T600" s="90"/>
      <c r="U600" s="90"/>
      <c r="V600" s="52"/>
      <c r="W600" s="52"/>
      <c r="X600" s="52"/>
      <c r="Y600" s="52"/>
      <c r="Z600" s="51"/>
      <c r="AA600" s="73"/>
      <c r="AB600" s="73"/>
      <c r="AC600" s="74"/>
      <c r="AD600" s="80" t="s">
        <v>4772</v>
      </c>
      <c r="AE600" s="86" t="s">
        <v>5662</v>
      </c>
      <c r="AF600" s="80">
        <v>2466</v>
      </c>
      <c r="AG600" s="80">
        <v>1981</v>
      </c>
      <c r="AH600" s="80">
        <v>8092</v>
      </c>
      <c r="AI600" s="80">
        <v>25356</v>
      </c>
      <c r="AJ600" s="80"/>
      <c r="AK600" s="80" t="s">
        <v>6418</v>
      </c>
      <c r="AL600" s="80" t="s">
        <v>6998</v>
      </c>
      <c r="AM600" s="80"/>
      <c r="AN600" s="80"/>
      <c r="AO600" s="82">
        <v>40314.379004629627</v>
      </c>
      <c r="AP600" s="84" t="str">
        <f>HYPERLINK("https://pbs.twimg.com/profile_banners/144442728/1629430747")</f>
        <v>https://pbs.twimg.com/profile_banners/144442728/1629430747</v>
      </c>
      <c r="AQ600" s="80" t="b">
        <v>1</v>
      </c>
      <c r="AR600" s="80" t="b">
        <v>0</v>
      </c>
      <c r="AS600" s="80" t="b">
        <v>1</v>
      </c>
      <c r="AT600" s="80"/>
      <c r="AU600" s="80">
        <v>0</v>
      </c>
      <c r="AV600" s="84" t="str">
        <f>HYPERLINK("https://abs.twimg.com/images/themes/theme1/bg.png")</f>
        <v>https://abs.twimg.com/images/themes/theme1/bg.png</v>
      </c>
      <c r="AW600" s="80" t="b">
        <v>0</v>
      </c>
      <c r="AX600" s="80" t="s">
        <v>7173</v>
      </c>
      <c r="AY600" s="84" t="str">
        <f>HYPERLINK("https://twitter.com/cecepfm")</f>
        <v>https://twitter.com/cecepfm</v>
      </c>
      <c r="AZ600" s="80" t="s">
        <v>66</v>
      </c>
      <c r="BA600" s="2"/>
      <c r="BB600" s="3"/>
      <c r="BC600" s="3"/>
      <c r="BD600" s="3"/>
      <c r="BE600" s="3"/>
    </row>
    <row r="601" spans="1:57" x14ac:dyDescent="0.35">
      <c r="A601" s="66" t="s">
        <v>712</v>
      </c>
      <c r="B601" s="67"/>
      <c r="C601" s="67"/>
      <c r="D601" s="68"/>
      <c r="E601" s="70"/>
      <c r="F601" s="106" t="str">
        <f>HYPERLINK("https://pbs.twimg.com/profile_images/1408448651475644418/ImfZsVXL_normal.jpg")</f>
        <v>https://pbs.twimg.com/profile_images/1408448651475644418/ImfZsVXL_normal.jpg</v>
      </c>
      <c r="G601" s="67"/>
      <c r="H601" s="71"/>
      <c r="I601" s="72"/>
      <c r="J601" s="72"/>
      <c r="K601" s="71" t="s">
        <v>7771</v>
      </c>
      <c r="L601" s="75"/>
      <c r="M601" s="76"/>
      <c r="N601" s="76"/>
      <c r="O601" s="77"/>
      <c r="P601" s="78"/>
      <c r="Q601" s="78"/>
      <c r="R601" s="90"/>
      <c r="S601" s="90"/>
      <c r="T601" s="90"/>
      <c r="U601" s="90"/>
      <c r="V601" s="52"/>
      <c r="W601" s="52"/>
      <c r="X601" s="52"/>
      <c r="Y601" s="52"/>
      <c r="Z601" s="51"/>
      <c r="AA601" s="73"/>
      <c r="AB601" s="73"/>
      <c r="AC601" s="74"/>
      <c r="AD601" s="80" t="s">
        <v>4773</v>
      </c>
      <c r="AE601" s="86" t="s">
        <v>5663</v>
      </c>
      <c r="AF601" s="80">
        <v>100</v>
      </c>
      <c r="AG601" s="80">
        <v>97</v>
      </c>
      <c r="AH601" s="80">
        <v>4409</v>
      </c>
      <c r="AI601" s="80">
        <v>3191</v>
      </c>
      <c r="AJ601" s="80"/>
      <c r="AK601" s="80" t="s">
        <v>6419</v>
      </c>
      <c r="AL601" s="80" t="s">
        <v>6999</v>
      </c>
      <c r="AM601" s="84" t="str">
        <f>HYPERLINK("https://t.co/ZzGwITt1CT")</f>
        <v>https://t.co/ZzGwITt1CT</v>
      </c>
      <c r="AN601" s="80"/>
      <c r="AO601" s="82">
        <v>43250.540983796294</v>
      </c>
      <c r="AP601" s="84" t="str">
        <f>HYPERLINK("https://pbs.twimg.com/profile_banners/1001810207960256513/1622988567")</f>
        <v>https://pbs.twimg.com/profile_banners/1001810207960256513/1622988567</v>
      </c>
      <c r="AQ601" s="80" t="b">
        <v>1</v>
      </c>
      <c r="AR601" s="80" t="b">
        <v>0</v>
      </c>
      <c r="AS601" s="80" t="b">
        <v>1</v>
      </c>
      <c r="AT601" s="80"/>
      <c r="AU601" s="80">
        <v>0</v>
      </c>
      <c r="AV601" s="80"/>
      <c r="AW601" s="80" t="b">
        <v>0</v>
      </c>
      <c r="AX601" s="80" t="s">
        <v>7173</v>
      </c>
      <c r="AY601" s="84" t="str">
        <f>HYPERLINK("https://twitter.com/hantiww")</f>
        <v>https://twitter.com/hantiww</v>
      </c>
      <c r="AZ601" s="80" t="s">
        <v>66</v>
      </c>
      <c r="BA601" s="2"/>
      <c r="BB601" s="3"/>
      <c r="BC601" s="3"/>
      <c r="BD601" s="3"/>
      <c r="BE601" s="3"/>
    </row>
    <row r="602" spans="1:57" x14ac:dyDescent="0.35">
      <c r="A602" s="66" t="s">
        <v>1091</v>
      </c>
      <c r="B602" s="67"/>
      <c r="C602" s="67"/>
      <c r="D602" s="68"/>
      <c r="E602" s="70"/>
      <c r="F602" s="106" t="str">
        <f>HYPERLINK("https://pbs.twimg.com/profile_images/1409847539805814786/ID4PDMYO_normal.jpg")</f>
        <v>https://pbs.twimg.com/profile_images/1409847539805814786/ID4PDMYO_normal.jpg</v>
      </c>
      <c r="G602" s="67"/>
      <c r="H602" s="71"/>
      <c r="I602" s="72"/>
      <c r="J602" s="72"/>
      <c r="K602" s="71" t="s">
        <v>7772</v>
      </c>
      <c r="L602" s="75"/>
      <c r="M602" s="76"/>
      <c r="N602" s="76"/>
      <c r="O602" s="77"/>
      <c r="P602" s="78"/>
      <c r="Q602" s="78"/>
      <c r="R602" s="90"/>
      <c r="S602" s="90"/>
      <c r="T602" s="90"/>
      <c r="U602" s="90"/>
      <c r="V602" s="52"/>
      <c r="W602" s="52"/>
      <c r="X602" s="52"/>
      <c r="Y602" s="52"/>
      <c r="Z602" s="51"/>
      <c r="AA602" s="73"/>
      <c r="AB602" s="73"/>
      <c r="AC602" s="74"/>
      <c r="AD602" s="80" t="s">
        <v>4774</v>
      </c>
      <c r="AE602" s="86" t="s">
        <v>3964</v>
      </c>
      <c r="AF602" s="80">
        <v>179</v>
      </c>
      <c r="AG602" s="80">
        <v>1581</v>
      </c>
      <c r="AH602" s="80">
        <v>2829</v>
      </c>
      <c r="AI602" s="80">
        <v>393</v>
      </c>
      <c r="AJ602" s="80"/>
      <c r="AK602" s="80" t="s">
        <v>6420</v>
      </c>
      <c r="AL602" s="80" t="s">
        <v>7000</v>
      </c>
      <c r="AM602" s="84" t="str">
        <f>HYPERLINK("https://t.co/0iBVqkGq6O")</f>
        <v>https://t.co/0iBVqkGq6O</v>
      </c>
      <c r="AN602" s="80"/>
      <c r="AO602" s="82">
        <v>44358.168888888889</v>
      </c>
      <c r="AP602" s="84" t="str">
        <f>HYPERLINK("https://pbs.twimg.com/profile_banners/1403201063176458246/1623402446")</f>
        <v>https://pbs.twimg.com/profile_banners/1403201063176458246/1623402446</v>
      </c>
      <c r="AQ602" s="80" t="b">
        <v>1</v>
      </c>
      <c r="AR602" s="80" t="b">
        <v>0</v>
      </c>
      <c r="AS602" s="80" t="b">
        <v>0</v>
      </c>
      <c r="AT602" s="80"/>
      <c r="AU602" s="80">
        <v>2</v>
      </c>
      <c r="AV602" s="80"/>
      <c r="AW602" s="80" t="b">
        <v>0</v>
      </c>
      <c r="AX602" s="80" t="s">
        <v>7173</v>
      </c>
      <c r="AY602" s="84" t="str">
        <f>HYPERLINK("https://twitter.com/sukabumiifess")</f>
        <v>https://twitter.com/sukabumiifess</v>
      </c>
      <c r="AZ602" s="80" t="s">
        <v>65</v>
      </c>
      <c r="BA602" s="2"/>
      <c r="BB602" s="3"/>
      <c r="BC602" s="3"/>
      <c r="BD602" s="3"/>
      <c r="BE602" s="3"/>
    </row>
    <row r="603" spans="1:57" x14ac:dyDescent="0.35">
      <c r="A603" s="66" t="s">
        <v>713</v>
      </c>
      <c r="B603" s="67"/>
      <c r="C603" s="67"/>
      <c r="D603" s="68"/>
      <c r="E603" s="70"/>
      <c r="F603" s="106" t="str">
        <f>HYPERLINK("https://pbs.twimg.com/profile_images/1437564020547010565/gaJR174__normal.jpg")</f>
        <v>https://pbs.twimg.com/profile_images/1437564020547010565/gaJR174__normal.jpg</v>
      </c>
      <c r="G603" s="67"/>
      <c r="H603" s="71"/>
      <c r="I603" s="72"/>
      <c r="J603" s="72"/>
      <c r="K603" s="71" t="s">
        <v>7773</v>
      </c>
      <c r="L603" s="75"/>
      <c r="M603" s="76"/>
      <c r="N603" s="76"/>
      <c r="O603" s="77"/>
      <c r="P603" s="78"/>
      <c r="Q603" s="78"/>
      <c r="R603" s="90"/>
      <c r="S603" s="90"/>
      <c r="T603" s="90"/>
      <c r="U603" s="90"/>
      <c r="V603" s="52"/>
      <c r="W603" s="52"/>
      <c r="X603" s="52"/>
      <c r="Y603" s="52"/>
      <c r="Z603" s="51"/>
      <c r="AA603" s="73"/>
      <c r="AB603" s="73"/>
      <c r="AC603" s="74"/>
      <c r="AD603" s="80" t="s">
        <v>4775</v>
      </c>
      <c r="AE603" s="86" t="s">
        <v>5664</v>
      </c>
      <c r="AF603" s="80">
        <v>5611</v>
      </c>
      <c r="AG603" s="80">
        <v>5612</v>
      </c>
      <c r="AH603" s="80">
        <v>5343</v>
      </c>
      <c r="AI603" s="80">
        <v>34246</v>
      </c>
      <c r="AJ603" s="80"/>
      <c r="AK603" s="80" t="s">
        <v>6421</v>
      </c>
      <c r="AL603" s="80" t="s">
        <v>7001</v>
      </c>
      <c r="AM603" s="80"/>
      <c r="AN603" s="80"/>
      <c r="AO603" s="82">
        <v>42996.538831018515</v>
      </c>
      <c r="AP603" s="84" t="str">
        <f>HYPERLINK("https://pbs.twimg.com/profile_banners/909762911970631680/1630979948")</f>
        <v>https://pbs.twimg.com/profile_banners/909762911970631680/1630979948</v>
      </c>
      <c r="AQ603" s="80" t="b">
        <v>0</v>
      </c>
      <c r="AR603" s="80" t="b">
        <v>0</v>
      </c>
      <c r="AS603" s="80" t="b">
        <v>1</v>
      </c>
      <c r="AT603" s="80"/>
      <c r="AU603" s="80">
        <v>0</v>
      </c>
      <c r="AV603" s="84" t="str">
        <f>HYPERLINK("https://abs.twimg.com/images/themes/theme1/bg.png")</f>
        <v>https://abs.twimg.com/images/themes/theme1/bg.png</v>
      </c>
      <c r="AW603" s="80" t="b">
        <v>0</v>
      </c>
      <c r="AX603" s="80" t="s">
        <v>7173</v>
      </c>
      <c r="AY603" s="84" t="str">
        <f>HYPERLINK("https://twitter.com/marlinbenyal")</f>
        <v>https://twitter.com/marlinbenyal</v>
      </c>
      <c r="AZ603" s="80" t="s">
        <v>66</v>
      </c>
      <c r="BA603" s="2"/>
      <c r="BB603" s="3"/>
      <c r="BC603" s="3"/>
      <c r="BD603" s="3"/>
      <c r="BE603" s="3"/>
    </row>
    <row r="604" spans="1:57" x14ac:dyDescent="0.35">
      <c r="A604" s="66" t="s">
        <v>714</v>
      </c>
      <c r="B604" s="67"/>
      <c r="C604" s="67"/>
      <c r="D604" s="68"/>
      <c r="E604" s="70"/>
      <c r="F604" s="106" t="str">
        <f>HYPERLINK("https://pbs.twimg.com/profile_images/1440598606088572929/BZHuY8dR_normal.jpg")</f>
        <v>https://pbs.twimg.com/profile_images/1440598606088572929/BZHuY8dR_normal.jpg</v>
      </c>
      <c r="G604" s="67"/>
      <c r="H604" s="71"/>
      <c r="I604" s="72"/>
      <c r="J604" s="72"/>
      <c r="K604" s="71" t="s">
        <v>7774</v>
      </c>
      <c r="L604" s="75"/>
      <c r="M604" s="76"/>
      <c r="N604" s="76"/>
      <c r="O604" s="77"/>
      <c r="P604" s="78"/>
      <c r="Q604" s="78"/>
      <c r="R604" s="90"/>
      <c r="S604" s="90"/>
      <c r="T604" s="90"/>
      <c r="U604" s="90"/>
      <c r="V604" s="52"/>
      <c r="W604" s="52"/>
      <c r="X604" s="52"/>
      <c r="Y604" s="52"/>
      <c r="Z604" s="51"/>
      <c r="AA604" s="73"/>
      <c r="AB604" s="73"/>
      <c r="AC604" s="74"/>
      <c r="AD604" s="80" t="s">
        <v>4776</v>
      </c>
      <c r="AE604" s="86" t="s">
        <v>5665</v>
      </c>
      <c r="AF604" s="80">
        <v>322</v>
      </c>
      <c r="AG604" s="80">
        <v>219</v>
      </c>
      <c r="AH604" s="80">
        <v>607</v>
      </c>
      <c r="AI604" s="80">
        <v>765</v>
      </c>
      <c r="AJ604" s="80"/>
      <c r="AK604" s="80" t="s">
        <v>6422</v>
      </c>
      <c r="AL604" s="80" t="s">
        <v>7002</v>
      </c>
      <c r="AM604" s="80"/>
      <c r="AN604" s="80"/>
      <c r="AO604" s="82">
        <v>44391.457372685189</v>
      </c>
      <c r="AP604" s="84" t="str">
        <f>HYPERLINK("https://pbs.twimg.com/profile_banners/1415264117099679745/1632463375")</f>
        <v>https://pbs.twimg.com/profile_banners/1415264117099679745/1632463375</v>
      </c>
      <c r="AQ604" s="80" t="b">
        <v>1</v>
      </c>
      <c r="AR604" s="80" t="b">
        <v>0</v>
      </c>
      <c r="AS604" s="80" t="b">
        <v>0</v>
      </c>
      <c r="AT604" s="80"/>
      <c r="AU604" s="80">
        <v>0</v>
      </c>
      <c r="AV604" s="80"/>
      <c r="AW604" s="80" t="b">
        <v>0</v>
      </c>
      <c r="AX604" s="80" t="s">
        <v>7173</v>
      </c>
      <c r="AY604" s="84" t="str">
        <f>HYPERLINK("https://twitter.com/wistereina")</f>
        <v>https://twitter.com/wistereina</v>
      </c>
      <c r="AZ604" s="80" t="s">
        <v>66</v>
      </c>
      <c r="BA604" s="2"/>
      <c r="BB604" s="3"/>
      <c r="BC604" s="3"/>
      <c r="BD604" s="3"/>
      <c r="BE604" s="3"/>
    </row>
    <row r="605" spans="1:57" x14ac:dyDescent="0.35">
      <c r="A605" s="66" t="s">
        <v>1092</v>
      </c>
      <c r="B605" s="67"/>
      <c r="C605" s="67"/>
      <c r="D605" s="68"/>
      <c r="E605" s="70"/>
      <c r="F605" s="106" t="str">
        <f>HYPERLINK("https://pbs.twimg.com/profile_images/1434469836910854146/6ycJOG1o_normal.jpg")</f>
        <v>https://pbs.twimg.com/profile_images/1434469836910854146/6ycJOG1o_normal.jpg</v>
      </c>
      <c r="G605" s="67"/>
      <c r="H605" s="71"/>
      <c r="I605" s="72"/>
      <c r="J605" s="72"/>
      <c r="K605" s="71" t="s">
        <v>7775</v>
      </c>
      <c r="L605" s="75"/>
      <c r="M605" s="76"/>
      <c r="N605" s="76"/>
      <c r="O605" s="77"/>
      <c r="P605" s="78"/>
      <c r="Q605" s="78"/>
      <c r="R605" s="90"/>
      <c r="S605" s="90"/>
      <c r="T605" s="90"/>
      <c r="U605" s="90"/>
      <c r="V605" s="52"/>
      <c r="W605" s="52"/>
      <c r="X605" s="52"/>
      <c r="Y605" s="52"/>
      <c r="Z605" s="51"/>
      <c r="AA605" s="73"/>
      <c r="AB605" s="73"/>
      <c r="AC605" s="74"/>
      <c r="AD605" s="80" t="s">
        <v>4777</v>
      </c>
      <c r="AE605" s="86" t="s">
        <v>3965</v>
      </c>
      <c r="AF605" s="80">
        <v>5423</v>
      </c>
      <c r="AG605" s="80">
        <v>121307</v>
      </c>
      <c r="AH605" s="80">
        <v>51521</v>
      </c>
      <c r="AI605" s="80">
        <v>2240</v>
      </c>
      <c r="AJ605" s="80"/>
      <c r="AK605" s="80" t="s">
        <v>6423</v>
      </c>
      <c r="AL605" s="80" t="s">
        <v>7003</v>
      </c>
      <c r="AM605" s="84" t="str">
        <f>HYPERLINK("https://t.co/mujmW4EICf")</f>
        <v>https://t.co/mujmW4EICf</v>
      </c>
      <c r="AN605" s="80"/>
      <c r="AO605" s="82">
        <v>43980.696562500001</v>
      </c>
      <c r="AP605" s="84" t="str">
        <f>HYPERLINK("https://pbs.twimg.com/profile_banners/1266409544537661442/1631418323")</f>
        <v>https://pbs.twimg.com/profile_banners/1266409544537661442/1631418323</v>
      </c>
      <c r="AQ605" s="80" t="b">
        <v>1</v>
      </c>
      <c r="AR605" s="80" t="b">
        <v>0</v>
      </c>
      <c r="AS605" s="80" t="b">
        <v>0</v>
      </c>
      <c r="AT605" s="80"/>
      <c r="AU605" s="80">
        <v>703</v>
      </c>
      <c r="AV605" s="80"/>
      <c r="AW605" s="80" t="b">
        <v>0</v>
      </c>
      <c r="AX605" s="80" t="s">
        <v>7173</v>
      </c>
      <c r="AY605" s="84" t="str">
        <f>HYPERLINK("https://twitter.com/animefess_")</f>
        <v>https://twitter.com/animefess_</v>
      </c>
      <c r="AZ605" s="80" t="s">
        <v>65</v>
      </c>
      <c r="BA605" s="2"/>
      <c r="BB605" s="3"/>
      <c r="BC605" s="3"/>
      <c r="BD605" s="3"/>
      <c r="BE605" s="3"/>
    </row>
    <row r="606" spans="1:57" x14ac:dyDescent="0.35">
      <c r="A606" s="66" t="s">
        <v>715</v>
      </c>
      <c r="B606" s="67"/>
      <c r="C606" s="67"/>
      <c r="D606" s="68"/>
      <c r="E606" s="70"/>
      <c r="F606" s="106" t="str">
        <f>HYPERLINK("https://pbs.twimg.com/profile_images/1230469523842707456/1nqEZvCp_normal.jpg")</f>
        <v>https://pbs.twimg.com/profile_images/1230469523842707456/1nqEZvCp_normal.jpg</v>
      </c>
      <c r="G606" s="67"/>
      <c r="H606" s="71"/>
      <c r="I606" s="72"/>
      <c r="J606" s="72"/>
      <c r="K606" s="71" t="s">
        <v>7776</v>
      </c>
      <c r="L606" s="75"/>
      <c r="M606" s="76"/>
      <c r="N606" s="76"/>
      <c r="O606" s="77"/>
      <c r="P606" s="78"/>
      <c r="Q606" s="78"/>
      <c r="R606" s="90"/>
      <c r="S606" s="90"/>
      <c r="T606" s="90"/>
      <c r="U606" s="90"/>
      <c r="V606" s="52"/>
      <c r="W606" s="52"/>
      <c r="X606" s="52"/>
      <c r="Y606" s="52"/>
      <c r="Z606" s="51"/>
      <c r="AA606" s="73"/>
      <c r="AB606" s="73"/>
      <c r="AC606" s="74"/>
      <c r="AD606" s="80" t="s">
        <v>4778</v>
      </c>
      <c r="AE606" s="86" t="s">
        <v>5666</v>
      </c>
      <c r="AF606" s="80">
        <v>52</v>
      </c>
      <c r="AG606" s="80">
        <v>1641320</v>
      </c>
      <c r="AH606" s="80">
        <v>1719061</v>
      </c>
      <c r="AI606" s="80">
        <v>1024</v>
      </c>
      <c r="AJ606" s="80"/>
      <c r="AK606" s="80" t="s">
        <v>6424</v>
      </c>
      <c r="AL606" s="80" t="s">
        <v>6773</v>
      </c>
      <c r="AM606" s="84" t="str">
        <f>HYPERLINK("https://t.co/La76PKicQX")</f>
        <v>https://t.co/La76PKicQX</v>
      </c>
      <c r="AN606" s="80"/>
      <c r="AO606" s="82">
        <v>39871.430902777778</v>
      </c>
      <c r="AP606" s="84" t="str">
        <f>HYPERLINK("https://pbs.twimg.com/profile_banners/22126902/1627627906")</f>
        <v>https://pbs.twimg.com/profile_banners/22126902/1627627906</v>
      </c>
      <c r="AQ606" s="80" t="b">
        <v>0</v>
      </c>
      <c r="AR606" s="80" t="b">
        <v>0</v>
      </c>
      <c r="AS606" s="80" t="b">
        <v>1</v>
      </c>
      <c r="AT606" s="80"/>
      <c r="AU606" s="80">
        <v>2980</v>
      </c>
      <c r="AV606" s="84" t="str">
        <f>HYPERLINK("https://abs.twimg.com/images/themes/theme1/bg.png")</f>
        <v>https://abs.twimg.com/images/themes/theme1/bg.png</v>
      </c>
      <c r="AW606" s="80" t="b">
        <v>1</v>
      </c>
      <c r="AX606" s="80" t="s">
        <v>7173</v>
      </c>
      <c r="AY606" s="84" t="str">
        <f>HYPERLINK("https://twitter.com/republikaonline")</f>
        <v>https://twitter.com/republikaonline</v>
      </c>
      <c r="AZ606" s="80" t="s">
        <v>66</v>
      </c>
      <c r="BA606" s="2"/>
      <c r="BB606" s="3"/>
      <c r="BC606" s="3"/>
      <c r="BD606" s="3"/>
      <c r="BE606" s="3"/>
    </row>
    <row r="607" spans="1:57" x14ac:dyDescent="0.35">
      <c r="A607" s="66" t="s">
        <v>716</v>
      </c>
      <c r="B607" s="67"/>
      <c r="C607" s="67"/>
      <c r="D607" s="68"/>
      <c r="E607" s="70"/>
      <c r="F607" s="106" t="str">
        <f>HYPERLINK("https://pbs.twimg.com/profile_images/1442359650175705089/CEHp4vkG_normal.jpg")</f>
        <v>https://pbs.twimg.com/profile_images/1442359650175705089/CEHp4vkG_normal.jpg</v>
      </c>
      <c r="G607" s="67"/>
      <c r="H607" s="71"/>
      <c r="I607" s="72"/>
      <c r="J607" s="72"/>
      <c r="K607" s="71" t="s">
        <v>7777</v>
      </c>
      <c r="L607" s="75"/>
      <c r="M607" s="76"/>
      <c r="N607" s="76"/>
      <c r="O607" s="77"/>
      <c r="P607" s="78"/>
      <c r="Q607" s="78"/>
      <c r="R607" s="90"/>
      <c r="S607" s="90"/>
      <c r="T607" s="90"/>
      <c r="U607" s="90"/>
      <c r="V607" s="52"/>
      <c r="W607" s="52"/>
      <c r="X607" s="52"/>
      <c r="Y607" s="52"/>
      <c r="Z607" s="51"/>
      <c r="AA607" s="73"/>
      <c r="AB607" s="73"/>
      <c r="AC607" s="74"/>
      <c r="AD607" s="80" t="s">
        <v>4779</v>
      </c>
      <c r="AE607" s="86" t="s">
        <v>5667</v>
      </c>
      <c r="AF607" s="80">
        <v>276</v>
      </c>
      <c r="AG607" s="80">
        <v>460</v>
      </c>
      <c r="AH607" s="80">
        <v>39319</v>
      </c>
      <c r="AI607" s="80">
        <v>1729</v>
      </c>
      <c r="AJ607" s="80"/>
      <c r="AK607" s="80" t="s">
        <v>6425</v>
      </c>
      <c r="AL607" s="80" t="s">
        <v>7004</v>
      </c>
      <c r="AM607" s="84" t="str">
        <f>HYPERLINK("https://t.co/3xldk59qUo")</f>
        <v>https://t.co/3xldk59qUo</v>
      </c>
      <c r="AN607" s="80"/>
      <c r="AO607" s="82">
        <v>42367.39303240741</v>
      </c>
      <c r="AP607" s="84" t="str">
        <f>HYPERLINK("https://pbs.twimg.com/profile_banners/4672110926/1632539589")</f>
        <v>https://pbs.twimg.com/profile_banners/4672110926/1632539589</v>
      </c>
      <c r="AQ607" s="80" t="b">
        <v>1</v>
      </c>
      <c r="AR607" s="80" t="b">
        <v>0</v>
      </c>
      <c r="AS607" s="80" t="b">
        <v>1</v>
      </c>
      <c r="AT607" s="80"/>
      <c r="AU607" s="80">
        <v>26</v>
      </c>
      <c r="AV607" s="80"/>
      <c r="AW607" s="80" t="b">
        <v>0</v>
      </c>
      <c r="AX607" s="80" t="s">
        <v>7173</v>
      </c>
      <c r="AY607" s="84" t="str">
        <f>HYPERLINK("https://twitter.com/ug94jinyoung")</f>
        <v>https://twitter.com/ug94jinyoung</v>
      </c>
      <c r="AZ607" s="80" t="s">
        <v>66</v>
      </c>
      <c r="BA607" s="2"/>
      <c r="BB607" s="3"/>
      <c r="BC607" s="3"/>
      <c r="BD607" s="3"/>
      <c r="BE607" s="3"/>
    </row>
    <row r="608" spans="1:57" x14ac:dyDescent="0.35">
      <c r="A608" s="66" t="s">
        <v>1093</v>
      </c>
      <c r="B608" s="67"/>
      <c r="C608" s="67"/>
      <c r="D608" s="68"/>
      <c r="E608" s="70"/>
      <c r="F608" s="106" t="str">
        <f>HYPERLINK("https://pbs.twimg.com/profile_images/1441260686462521349/jnr0GtES_normal.jpg")</f>
        <v>https://pbs.twimg.com/profile_images/1441260686462521349/jnr0GtES_normal.jpg</v>
      </c>
      <c r="G608" s="67"/>
      <c r="H608" s="71"/>
      <c r="I608" s="72"/>
      <c r="J608" s="72"/>
      <c r="K608" s="71" t="s">
        <v>7778</v>
      </c>
      <c r="L608" s="75"/>
      <c r="M608" s="76"/>
      <c r="N608" s="76"/>
      <c r="O608" s="77"/>
      <c r="P608" s="78"/>
      <c r="Q608" s="78"/>
      <c r="R608" s="90"/>
      <c r="S608" s="90"/>
      <c r="T608" s="90"/>
      <c r="U608" s="90"/>
      <c r="V608" s="52"/>
      <c r="W608" s="52"/>
      <c r="X608" s="52"/>
      <c r="Y608" s="52"/>
      <c r="Z608" s="51"/>
      <c r="AA608" s="73"/>
      <c r="AB608" s="73"/>
      <c r="AC608" s="74"/>
      <c r="AD608" s="80" t="s">
        <v>4780</v>
      </c>
      <c r="AE608" s="86" t="s">
        <v>3966</v>
      </c>
      <c r="AF608" s="80">
        <v>317</v>
      </c>
      <c r="AG608" s="80">
        <v>335</v>
      </c>
      <c r="AH608" s="80">
        <v>15548</v>
      </c>
      <c r="AI608" s="80">
        <v>1807</v>
      </c>
      <c r="AJ608" s="80"/>
      <c r="AK608" s="80" t="s">
        <v>6426</v>
      </c>
      <c r="AL608" s="80" t="s">
        <v>7005</v>
      </c>
      <c r="AM608" s="84" t="str">
        <f>HYPERLINK("https://t.co/ai0G0qjMyw")</f>
        <v>https://t.co/ai0G0qjMyw</v>
      </c>
      <c r="AN608" s="80"/>
      <c r="AO608" s="82">
        <v>43976.393159722225</v>
      </c>
      <c r="AP608" s="84" t="str">
        <f>HYPERLINK("https://pbs.twimg.com/profile_banners/1264850176759324673/1632458299")</f>
        <v>https://pbs.twimg.com/profile_banners/1264850176759324673/1632458299</v>
      </c>
      <c r="AQ608" s="80" t="b">
        <v>1</v>
      </c>
      <c r="AR608" s="80" t="b">
        <v>0</v>
      </c>
      <c r="AS608" s="80" t="b">
        <v>0</v>
      </c>
      <c r="AT608" s="80"/>
      <c r="AU608" s="80">
        <v>10</v>
      </c>
      <c r="AV608" s="80"/>
      <c r="AW608" s="80" t="b">
        <v>0</v>
      </c>
      <c r="AX608" s="80" t="s">
        <v>7173</v>
      </c>
      <c r="AY608" s="84" t="str">
        <f>HYPERLINK("https://twitter.com/marktauan")</f>
        <v>https://twitter.com/marktauan</v>
      </c>
      <c r="AZ608" s="80" t="s">
        <v>65</v>
      </c>
      <c r="BA608" s="2"/>
      <c r="BB608" s="3"/>
      <c r="BC608" s="3"/>
      <c r="BD608" s="3"/>
      <c r="BE608" s="3"/>
    </row>
    <row r="609" spans="1:57" x14ac:dyDescent="0.35">
      <c r="A609" s="66" t="s">
        <v>717</v>
      </c>
      <c r="B609" s="67"/>
      <c r="C609" s="67"/>
      <c r="D609" s="68"/>
      <c r="E609" s="70"/>
      <c r="F609" s="106" t="str">
        <f>HYPERLINK("https://pbs.twimg.com/profile_images/1403892276007346184/J5fqDk8Q_normal.jpg")</f>
        <v>https://pbs.twimg.com/profile_images/1403892276007346184/J5fqDk8Q_normal.jpg</v>
      </c>
      <c r="G609" s="67"/>
      <c r="H609" s="71"/>
      <c r="I609" s="72"/>
      <c r="J609" s="72"/>
      <c r="K609" s="71" t="s">
        <v>7779</v>
      </c>
      <c r="L609" s="75"/>
      <c r="M609" s="76"/>
      <c r="N609" s="76"/>
      <c r="O609" s="77"/>
      <c r="P609" s="78"/>
      <c r="Q609" s="78"/>
      <c r="R609" s="90"/>
      <c r="S609" s="90"/>
      <c r="T609" s="90"/>
      <c r="U609" s="90"/>
      <c r="V609" s="52"/>
      <c r="W609" s="52"/>
      <c r="X609" s="52"/>
      <c r="Y609" s="52"/>
      <c r="Z609" s="51"/>
      <c r="AA609" s="73"/>
      <c r="AB609" s="73"/>
      <c r="AC609" s="74"/>
      <c r="AD609" s="80" t="s">
        <v>4781</v>
      </c>
      <c r="AE609" s="86" t="s">
        <v>5668</v>
      </c>
      <c r="AF609" s="80">
        <v>177</v>
      </c>
      <c r="AG609" s="80">
        <v>337</v>
      </c>
      <c r="AH609" s="80">
        <v>3908</v>
      </c>
      <c r="AI609" s="80">
        <v>1406</v>
      </c>
      <c r="AJ609" s="80"/>
      <c r="AK609" s="80"/>
      <c r="AL609" s="80" t="s">
        <v>7006</v>
      </c>
      <c r="AM609" s="80"/>
      <c r="AN609" s="80"/>
      <c r="AO609" s="82">
        <v>41358.24046296296</v>
      </c>
      <c r="AP609" s="84" t="str">
        <f>HYPERLINK("https://pbs.twimg.com/profile_banners/1297828819/1630020084")</f>
        <v>https://pbs.twimg.com/profile_banners/1297828819/1630020084</v>
      </c>
      <c r="AQ609" s="80" t="b">
        <v>1</v>
      </c>
      <c r="AR609" s="80" t="b">
        <v>0</v>
      </c>
      <c r="AS609" s="80" t="b">
        <v>1</v>
      </c>
      <c r="AT609" s="80"/>
      <c r="AU609" s="80">
        <v>0</v>
      </c>
      <c r="AV609" s="84" t="str">
        <f>HYPERLINK("https://abs.twimg.com/images/themes/theme1/bg.png")</f>
        <v>https://abs.twimg.com/images/themes/theme1/bg.png</v>
      </c>
      <c r="AW609" s="80" t="b">
        <v>0</v>
      </c>
      <c r="AX609" s="80" t="s">
        <v>7173</v>
      </c>
      <c r="AY609" s="84" t="str">
        <f>HYPERLINK("https://twitter.com/iceeteaaaaa")</f>
        <v>https://twitter.com/iceeteaaaaa</v>
      </c>
      <c r="AZ609" s="80" t="s">
        <v>66</v>
      </c>
      <c r="BA609" s="2"/>
      <c r="BB609" s="3"/>
      <c r="BC609" s="3"/>
      <c r="BD609" s="3"/>
      <c r="BE609" s="3"/>
    </row>
    <row r="610" spans="1:57" x14ac:dyDescent="0.35">
      <c r="A610" s="66" t="s">
        <v>1094</v>
      </c>
      <c r="B610" s="67"/>
      <c r="C610" s="67"/>
      <c r="D610" s="68"/>
      <c r="E610" s="70"/>
      <c r="F610" s="106" t="str">
        <f>HYPERLINK("https://pbs.twimg.com/profile_images/1442099846702190598/xZ1c31aG_normal.jpg")</f>
        <v>https://pbs.twimg.com/profile_images/1442099846702190598/xZ1c31aG_normal.jpg</v>
      </c>
      <c r="G610" s="67"/>
      <c r="H610" s="71"/>
      <c r="I610" s="72"/>
      <c r="J610" s="72"/>
      <c r="K610" s="71" t="s">
        <v>7780</v>
      </c>
      <c r="L610" s="75"/>
      <c r="M610" s="76"/>
      <c r="N610" s="76"/>
      <c r="O610" s="77"/>
      <c r="P610" s="78"/>
      <c r="Q610" s="78"/>
      <c r="R610" s="90"/>
      <c r="S610" s="90"/>
      <c r="T610" s="90"/>
      <c r="U610" s="90"/>
      <c r="V610" s="52"/>
      <c r="W610" s="52"/>
      <c r="X610" s="52"/>
      <c r="Y610" s="52"/>
      <c r="Z610" s="51"/>
      <c r="AA610" s="73"/>
      <c r="AB610" s="73"/>
      <c r="AC610" s="74"/>
      <c r="AD610" s="80" t="s">
        <v>4782</v>
      </c>
      <c r="AE610" s="86" t="s">
        <v>5669</v>
      </c>
      <c r="AF610" s="80">
        <v>796</v>
      </c>
      <c r="AG610" s="80">
        <v>1001</v>
      </c>
      <c r="AH610" s="80">
        <v>33998</v>
      </c>
      <c r="AI610" s="80">
        <v>5577</v>
      </c>
      <c r="AJ610" s="80"/>
      <c r="AK610" s="80" t="s">
        <v>6427</v>
      </c>
      <c r="AL610" s="80"/>
      <c r="AM610" s="80"/>
      <c r="AN610" s="80"/>
      <c r="AO610" s="82">
        <v>41510.35769675926</v>
      </c>
      <c r="AP610" s="84" t="str">
        <f>HYPERLINK("https://pbs.twimg.com/profile_banners/1695962251/1630429728")</f>
        <v>https://pbs.twimg.com/profile_banners/1695962251/1630429728</v>
      </c>
      <c r="AQ610" s="80" t="b">
        <v>0</v>
      </c>
      <c r="AR610" s="80" t="b">
        <v>0</v>
      </c>
      <c r="AS610" s="80" t="b">
        <v>1</v>
      </c>
      <c r="AT610" s="80"/>
      <c r="AU610" s="80">
        <v>0</v>
      </c>
      <c r="AV610" s="84" t="str">
        <f>HYPERLINK("https://abs.twimg.com/images/themes/theme12/bg.gif")</f>
        <v>https://abs.twimg.com/images/themes/theme12/bg.gif</v>
      </c>
      <c r="AW610" s="80" t="b">
        <v>0</v>
      </c>
      <c r="AX610" s="80" t="s">
        <v>7173</v>
      </c>
      <c r="AY610" s="84" t="str">
        <f>HYPERLINK("https://twitter.com/queenssambit")</f>
        <v>https://twitter.com/queenssambit</v>
      </c>
      <c r="AZ610" s="80" t="s">
        <v>65</v>
      </c>
      <c r="BA610" s="2"/>
      <c r="BB610" s="3"/>
      <c r="BC610" s="3"/>
      <c r="BD610" s="3"/>
      <c r="BE610" s="3"/>
    </row>
    <row r="611" spans="1:57" x14ac:dyDescent="0.35">
      <c r="A611" s="66" t="s">
        <v>1095</v>
      </c>
      <c r="B611" s="67"/>
      <c r="C611" s="67"/>
      <c r="D611" s="68"/>
      <c r="E611" s="70"/>
      <c r="F611" s="106" t="str">
        <f>HYPERLINK("https://pbs.twimg.com/profile_images/1441741145873125386/C8vZ9vCr_normal.jpg")</f>
        <v>https://pbs.twimg.com/profile_images/1441741145873125386/C8vZ9vCr_normal.jpg</v>
      </c>
      <c r="G611" s="67"/>
      <c r="H611" s="71"/>
      <c r="I611" s="72"/>
      <c r="J611" s="72"/>
      <c r="K611" s="71" t="s">
        <v>7781</v>
      </c>
      <c r="L611" s="75"/>
      <c r="M611" s="76"/>
      <c r="N611" s="76"/>
      <c r="O611" s="77"/>
      <c r="P611" s="78"/>
      <c r="Q611" s="78"/>
      <c r="R611" s="90"/>
      <c r="S611" s="90"/>
      <c r="T611" s="90"/>
      <c r="U611" s="90"/>
      <c r="V611" s="52"/>
      <c r="W611" s="52"/>
      <c r="X611" s="52"/>
      <c r="Y611" s="52"/>
      <c r="Z611" s="51"/>
      <c r="AA611" s="73"/>
      <c r="AB611" s="73"/>
      <c r="AC611" s="74"/>
      <c r="AD611" s="80" t="s">
        <v>4783</v>
      </c>
      <c r="AE611" s="86" t="s">
        <v>5670</v>
      </c>
      <c r="AF611" s="80">
        <v>193</v>
      </c>
      <c r="AG611" s="80">
        <v>425</v>
      </c>
      <c r="AH611" s="80">
        <v>2040</v>
      </c>
      <c r="AI611" s="80">
        <v>3096</v>
      </c>
      <c r="AJ611" s="80"/>
      <c r="AK611" s="80" t="s">
        <v>6428</v>
      </c>
      <c r="AL611" s="80" t="s">
        <v>7007</v>
      </c>
      <c r="AM611" s="80"/>
      <c r="AN611" s="80"/>
      <c r="AO611" s="82">
        <v>41401.358888888892</v>
      </c>
      <c r="AP611" s="84" t="str">
        <f>HYPERLINK("https://pbs.twimg.com/profile_banners/1409709354/1631355763")</f>
        <v>https://pbs.twimg.com/profile_banners/1409709354/1631355763</v>
      </c>
      <c r="AQ611" s="80" t="b">
        <v>0</v>
      </c>
      <c r="AR611" s="80" t="b">
        <v>0</v>
      </c>
      <c r="AS611" s="80" t="b">
        <v>1</v>
      </c>
      <c r="AT611" s="80"/>
      <c r="AU611" s="80">
        <v>0</v>
      </c>
      <c r="AV611" s="84" t="str">
        <f>HYPERLINK("https://abs.twimg.com/images/themes/theme1/bg.png")</f>
        <v>https://abs.twimg.com/images/themes/theme1/bg.png</v>
      </c>
      <c r="AW611" s="80" t="b">
        <v>0</v>
      </c>
      <c r="AX611" s="80" t="s">
        <v>7173</v>
      </c>
      <c r="AY611" s="84" t="str">
        <f>HYPERLINK("https://twitter.com/marthawidya4")</f>
        <v>https://twitter.com/marthawidya4</v>
      </c>
      <c r="AZ611" s="80" t="s">
        <v>65</v>
      </c>
      <c r="BA611" s="2"/>
      <c r="BB611" s="3"/>
      <c r="BC611" s="3"/>
      <c r="BD611" s="3"/>
      <c r="BE611" s="3"/>
    </row>
    <row r="612" spans="1:57" x14ac:dyDescent="0.35">
      <c r="A612" s="66" t="s">
        <v>1096</v>
      </c>
      <c r="B612" s="67"/>
      <c r="C612" s="67"/>
      <c r="D612" s="68"/>
      <c r="E612" s="70"/>
      <c r="F612" s="106" t="str">
        <f>HYPERLINK("https://pbs.twimg.com/profile_images/1298665070130421765/0UzeebKn_normal.jpg")</f>
        <v>https://pbs.twimg.com/profile_images/1298665070130421765/0UzeebKn_normal.jpg</v>
      </c>
      <c r="G612" s="67"/>
      <c r="H612" s="71"/>
      <c r="I612" s="72"/>
      <c r="J612" s="72"/>
      <c r="K612" s="71" t="s">
        <v>7782</v>
      </c>
      <c r="L612" s="75"/>
      <c r="M612" s="76"/>
      <c r="N612" s="76"/>
      <c r="O612" s="77"/>
      <c r="P612" s="78"/>
      <c r="Q612" s="78"/>
      <c r="R612" s="90"/>
      <c r="S612" s="90"/>
      <c r="T612" s="90"/>
      <c r="U612" s="90"/>
      <c r="V612" s="52"/>
      <c r="W612" s="52"/>
      <c r="X612" s="52"/>
      <c r="Y612" s="52"/>
      <c r="Z612" s="51"/>
      <c r="AA612" s="73"/>
      <c r="AB612" s="73"/>
      <c r="AC612" s="74"/>
      <c r="AD612" s="80" t="s">
        <v>4784</v>
      </c>
      <c r="AE612" s="86" t="s">
        <v>5671</v>
      </c>
      <c r="AF612" s="80">
        <v>160</v>
      </c>
      <c r="AG612" s="80">
        <v>176</v>
      </c>
      <c r="AH612" s="80">
        <v>1266</v>
      </c>
      <c r="AI612" s="80">
        <v>1194</v>
      </c>
      <c r="AJ612" s="80"/>
      <c r="AK612" s="80" t="s">
        <v>6429</v>
      </c>
      <c r="AL612" s="80" t="s">
        <v>7008</v>
      </c>
      <c r="AM612" s="80"/>
      <c r="AN612" s="80"/>
      <c r="AO612" s="82">
        <v>43447.769224537034</v>
      </c>
      <c r="AP612" s="84" t="str">
        <f>HYPERLINK("https://pbs.twimg.com/profile_banners/1073283329531789314/1624374219")</f>
        <v>https://pbs.twimg.com/profile_banners/1073283329531789314/1624374219</v>
      </c>
      <c r="AQ612" s="80" t="b">
        <v>0</v>
      </c>
      <c r="AR612" s="80" t="b">
        <v>0</v>
      </c>
      <c r="AS612" s="80" t="b">
        <v>0</v>
      </c>
      <c r="AT612" s="80"/>
      <c r="AU612" s="80">
        <v>0</v>
      </c>
      <c r="AV612" s="84" t="str">
        <f>HYPERLINK("https://abs.twimg.com/images/themes/theme1/bg.png")</f>
        <v>https://abs.twimg.com/images/themes/theme1/bg.png</v>
      </c>
      <c r="AW612" s="80" t="b">
        <v>0</v>
      </c>
      <c r="AX612" s="80" t="s">
        <v>7173</v>
      </c>
      <c r="AY612" s="84" t="str">
        <f>HYPERLINK("https://twitter.com/afebriannaaaaa")</f>
        <v>https://twitter.com/afebriannaaaaa</v>
      </c>
      <c r="AZ612" s="80" t="s">
        <v>65</v>
      </c>
      <c r="BA612" s="2"/>
      <c r="BB612" s="3"/>
      <c r="BC612" s="3"/>
      <c r="BD612" s="3"/>
      <c r="BE612" s="3"/>
    </row>
    <row r="613" spans="1:57" x14ac:dyDescent="0.35">
      <c r="A613" s="66" t="s">
        <v>1097</v>
      </c>
      <c r="B613" s="67"/>
      <c r="C613" s="67"/>
      <c r="D613" s="68"/>
      <c r="E613" s="70"/>
      <c r="F613" s="106" t="str">
        <f>HYPERLINK("https://pbs.twimg.com/profile_images/1439027445177278470/lwMiu814_normal.jpg")</f>
        <v>https://pbs.twimg.com/profile_images/1439027445177278470/lwMiu814_normal.jpg</v>
      </c>
      <c r="G613" s="67"/>
      <c r="H613" s="71"/>
      <c r="I613" s="72"/>
      <c r="J613" s="72"/>
      <c r="K613" s="71" t="s">
        <v>7783</v>
      </c>
      <c r="L613" s="75"/>
      <c r="M613" s="76"/>
      <c r="N613" s="76"/>
      <c r="O613" s="77"/>
      <c r="P613" s="78"/>
      <c r="Q613" s="78"/>
      <c r="R613" s="90"/>
      <c r="S613" s="90"/>
      <c r="T613" s="90"/>
      <c r="U613" s="90"/>
      <c r="V613" s="52"/>
      <c r="W613" s="52"/>
      <c r="X613" s="52"/>
      <c r="Y613" s="52"/>
      <c r="Z613" s="51"/>
      <c r="AA613" s="73"/>
      <c r="AB613" s="73"/>
      <c r="AC613" s="74"/>
      <c r="AD613" s="80" t="s">
        <v>4785</v>
      </c>
      <c r="AE613" s="86" t="s">
        <v>3967</v>
      </c>
      <c r="AF613" s="80">
        <v>637</v>
      </c>
      <c r="AG613" s="80">
        <v>653</v>
      </c>
      <c r="AH613" s="80">
        <v>20376</v>
      </c>
      <c r="AI613" s="80">
        <v>4764</v>
      </c>
      <c r="AJ613" s="80"/>
      <c r="AK613" s="80"/>
      <c r="AL613" s="80" t="s">
        <v>7009</v>
      </c>
      <c r="AM613" s="80"/>
      <c r="AN613" s="80"/>
      <c r="AO613" s="82">
        <v>41363.857766203706</v>
      </c>
      <c r="AP613" s="84" t="str">
        <f>HYPERLINK("https://pbs.twimg.com/profile_banners/1317140678/1630503254")</f>
        <v>https://pbs.twimg.com/profile_banners/1317140678/1630503254</v>
      </c>
      <c r="AQ613" s="80" t="b">
        <v>0</v>
      </c>
      <c r="AR613" s="80" t="b">
        <v>0</v>
      </c>
      <c r="AS613" s="80" t="b">
        <v>1</v>
      </c>
      <c r="AT613" s="80"/>
      <c r="AU613" s="80">
        <v>1</v>
      </c>
      <c r="AV613" s="84" t="str">
        <f>HYPERLINK("https://abs.twimg.com/images/themes/theme1/bg.png")</f>
        <v>https://abs.twimg.com/images/themes/theme1/bg.png</v>
      </c>
      <c r="AW613" s="80" t="b">
        <v>0</v>
      </c>
      <c r="AX613" s="80" t="s">
        <v>7173</v>
      </c>
      <c r="AY613" s="84" t="str">
        <f>HYPERLINK("https://twitter.com/ohmyjhones")</f>
        <v>https://twitter.com/ohmyjhones</v>
      </c>
      <c r="AZ613" s="80" t="s">
        <v>65</v>
      </c>
      <c r="BA613" s="2"/>
      <c r="BB613" s="3"/>
      <c r="BC613" s="3"/>
      <c r="BD613" s="3"/>
      <c r="BE613" s="3"/>
    </row>
    <row r="614" spans="1:57" x14ac:dyDescent="0.35">
      <c r="A614" s="66" t="s">
        <v>718</v>
      </c>
      <c r="B614" s="67"/>
      <c r="C614" s="67"/>
      <c r="D614" s="68"/>
      <c r="E614" s="70"/>
      <c r="F614" s="106" t="str">
        <f>HYPERLINK("https://pbs.twimg.com/profile_images/1301215673914327040/xgAaFG1f_normal.jpg")</f>
        <v>https://pbs.twimg.com/profile_images/1301215673914327040/xgAaFG1f_normal.jpg</v>
      </c>
      <c r="G614" s="67"/>
      <c r="H614" s="71"/>
      <c r="I614" s="72"/>
      <c r="J614" s="72"/>
      <c r="K614" s="71" t="s">
        <v>7784</v>
      </c>
      <c r="L614" s="75"/>
      <c r="M614" s="76"/>
      <c r="N614" s="76"/>
      <c r="O614" s="77"/>
      <c r="P614" s="78"/>
      <c r="Q614" s="78"/>
      <c r="R614" s="90"/>
      <c r="S614" s="90"/>
      <c r="T614" s="90"/>
      <c r="U614" s="90"/>
      <c r="V614" s="52"/>
      <c r="W614" s="52"/>
      <c r="X614" s="52"/>
      <c r="Y614" s="52"/>
      <c r="Z614" s="51"/>
      <c r="AA614" s="73"/>
      <c r="AB614" s="73"/>
      <c r="AC614" s="74"/>
      <c r="AD614" s="80" t="s">
        <v>4786</v>
      </c>
      <c r="AE614" s="86" t="s">
        <v>5672</v>
      </c>
      <c r="AF614" s="80">
        <v>0</v>
      </c>
      <c r="AG614" s="80">
        <v>110</v>
      </c>
      <c r="AH614" s="80">
        <v>2393</v>
      </c>
      <c r="AI614" s="80">
        <v>0</v>
      </c>
      <c r="AJ614" s="80"/>
      <c r="AK614" s="80" t="s">
        <v>6430</v>
      </c>
      <c r="AL614" s="80" t="s">
        <v>6773</v>
      </c>
      <c r="AM614" s="84" t="str">
        <f>HYPERLINK("https://t.co/AqheouwzAK")</f>
        <v>https://t.co/AqheouwzAK</v>
      </c>
      <c r="AN614" s="80"/>
      <c r="AO614" s="82">
        <v>44076.742361111108</v>
      </c>
      <c r="AP614" s="80"/>
      <c r="AQ614" s="80" t="b">
        <v>1</v>
      </c>
      <c r="AR614" s="80" t="b">
        <v>0</v>
      </c>
      <c r="AS614" s="80" t="b">
        <v>0</v>
      </c>
      <c r="AT614" s="80"/>
      <c r="AU614" s="80">
        <v>0</v>
      </c>
      <c r="AV614" s="80"/>
      <c r="AW614" s="80" t="b">
        <v>0</v>
      </c>
      <c r="AX614" s="80" t="s">
        <v>7173</v>
      </c>
      <c r="AY614" s="84" t="str">
        <f>HYPERLINK("https://twitter.com/lokernesiaid")</f>
        <v>https://twitter.com/lokernesiaid</v>
      </c>
      <c r="AZ614" s="80" t="s">
        <v>66</v>
      </c>
      <c r="BA614" s="2"/>
      <c r="BB614" s="3"/>
      <c r="BC614" s="3"/>
      <c r="BD614" s="3"/>
      <c r="BE614" s="3"/>
    </row>
    <row r="615" spans="1:57" x14ac:dyDescent="0.35">
      <c r="A615" s="66" t="s">
        <v>719</v>
      </c>
      <c r="B615" s="67"/>
      <c r="C615" s="67"/>
      <c r="D615" s="68"/>
      <c r="E615" s="70"/>
      <c r="F615" s="106" t="str">
        <f>HYPERLINK("https://pbs.twimg.com/profile_images/1442060719894134784/NnNgISWG_normal.jpg")</f>
        <v>https://pbs.twimg.com/profile_images/1442060719894134784/NnNgISWG_normal.jpg</v>
      </c>
      <c r="G615" s="67"/>
      <c r="H615" s="71"/>
      <c r="I615" s="72"/>
      <c r="J615" s="72"/>
      <c r="K615" s="71" t="s">
        <v>7785</v>
      </c>
      <c r="L615" s="75"/>
      <c r="M615" s="76"/>
      <c r="N615" s="76"/>
      <c r="O615" s="77"/>
      <c r="P615" s="78"/>
      <c r="Q615" s="78"/>
      <c r="R615" s="90"/>
      <c r="S615" s="90"/>
      <c r="T615" s="90"/>
      <c r="U615" s="90"/>
      <c r="V615" s="52"/>
      <c r="W615" s="52"/>
      <c r="X615" s="52"/>
      <c r="Y615" s="52"/>
      <c r="Z615" s="51"/>
      <c r="AA615" s="73"/>
      <c r="AB615" s="73"/>
      <c r="AC615" s="74"/>
      <c r="AD615" s="80" t="s">
        <v>4787</v>
      </c>
      <c r="AE615" s="86" t="s">
        <v>3969</v>
      </c>
      <c r="AF615" s="80">
        <v>93</v>
      </c>
      <c r="AG615" s="80">
        <v>42</v>
      </c>
      <c r="AH615" s="80">
        <v>1214</v>
      </c>
      <c r="AI615" s="80">
        <v>3592</v>
      </c>
      <c r="AJ615" s="80"/>
      <c r="AK615" s="80" t="s">
        <v>6431</v>
      </c>
      <c r="AL615" s="80" t="s">
        <v>7010</v>
      </c>
      <c r="AM615" s="80"/>
      <c r="AN615" s="80"/>
      <c r="AO615" s="82">
        <v>43733.383101851854</v>
      </c>
      <c r="AP615" s="84" t="str">
        <f>HYPERLINK("https://pbs.twimg.com/profile_banners/1176786251942260741/1596505539")</f>
        <v>https://pbs.twimg.com/profile_banners/1176786251942260741/1596505539</v>
      </c>
      <c r="AQ615" s="80" t="b">
        <v>1</v>
      </c>
      <c r="AR615" s="80" t="b">
        <v>0</v>
      </c>
      <c r="AS615" s="80" t="b">
        <v>0</v>
      </c>
      <c r="AT615" s="80"/>
      <c r="AU615" s="80">
        <v>0</v>
      </c>
      <c r="AV615" s="80"/>
      <c r="AW615" s="80" t="b">
        <v>0</v>
      </c>
      <c r="AX615" s="80" t="s">
        <v>7173</v>
      </c>
      <c r="AY615" s="84" t="str">
        <f>HYPERLINK("https://twitter.com/tedtood")</f>
        <v>https://twitter.com/tedtood</v>
      </c>
      <c r="AZ615" s="80" t="s">
        <v>66</v>
      </c>
      <c r="BA615" s="2"/>
      <c r="BB615" s="3"/>
      <c r="BC615" s="3"/>
      <c r="BD615" s="3"/>
      <c r="BE615" s="3"/>
    </row>
    <row r="616" spans="1:57" x14ac:dyDescent="0.35">
      <c r="A616" s="66" t="s">
        <v>1098</v>
      </c>
      <c r="B616" s="67"/>
      <c r="C616" s="67"/>
      <c r="D616" s="68"/>
      <c r="E616" s="70"/>
      <c r="F616" s="106" t="str">
        <f>HYPERLINK("https://pbs.twimg.com/profile_images/1431562252100911106/xkw2mFUC_normal.jpg")</f>
        <v>https://pbs.twimg.com/profile_images/1431562252100911106/xkw2mFUC_normal.jpg</v>
      </c>
      <c r="G616" s="67"/>
      <c r="H616" s="71"/>
      <c r="I616" s="72"/>
      <c r="J616" s="72"/>
      <c r="K616" s="71" t="s">
        <v>7786</v>
      </c>
      <c r="L616" s="75"/>
      <c r="M616" s="76"/>
      <c r="N616" s="76"/>
      <c r="O616" s="77"/>
      <c r="P616" s="78"/>
      <c r="Q616" s="78"/>
      <c r="R616" s="90"/>
      <c r="S616" s="90"/>
      <c r="T616" s="90"/>
      <c r="U616" s="90"/>
      <c r="V616" s="52"/>
      <c r="W616" s="52"/>
      <c r="X616" s="52"/>
      <c r="Y616" s="52"/>
      <c r="Z616" s="51"/>
      <c r="AA616" s="73"/>
      <c r="AB616" s="73"/>
      <c r="AC616" s="74"/>
      <c r="AD616" s="80" t="s">
        <v>4788</v>
      </c>
      <c r="AE616" s="86" t="s">
        <v>5673</v>
      </c>
      <c r="AF616" s="80">
        <v>901</v>
      </c>
      <c r="AG616" s="80">
        <v>24978</v>
      </c>
      <c r="AH616" s="80">
        <v>63247</v>
      </c>
      <c r="AI616" s="80">
        <v>161</v>
      </c>
      <c r="AJ616" s="80"/>
      <c r="AK616" s="80" t="s">
        <v>6432</v>
      </c>
      <c r="AL616" s="80" t="s">
        <v>7011</v>
      </c>
      <c r="AM616" s="80"/>
      <c r="AN616" s="80"/>
      <c r="AO616" s="82">
        <v>42242.570833333331</v>
      </c>
      <c r="AP616" s="84" t="str">
        <f>HYPERLINK("https://pbs.twimg.com/profile_banners/3348945079/1630146025")</f>
        <v>https://pbs.twimg.com/profile_banners/3348945079/1630146025</v>
      </c>
      <c r="AQ616" s="80" t="b">
        <v>1</v>
      </c>
      <c r="AR616" s="80" t="b">
        <v>0</v>
      </c>
      <c r="AS616" s="80" t="b">
        <v>0</v>
      </c>
      <c r="AT616" s="80"/>
      <c r="AU616" s="80">
        <v>86</v>
      </c>
      <c r="AV616" s="84" t="str">
        <f>HYPERLINK("https://abs.twimg.com/images/themes/theme1/bg.png")</f>
        <v>https://abs.twimg.com/images/themes/theme1/bg.png</v>
      </c>
      <c r="AW616" s="80" t="b">
        <v>0</v>
      </c>
      <c r="AX616" s="80" t="s">
        <v>7173</v>
      </c>
      <c r="AY616" s="84" t="str">
        <f>HYPERLINK("https://twitter.com/bogorfess_")</f>
        <v>https://twitter.com/bogorfess_</v>
      </c>
      <c r="AZ616" s="80" t="s">
        <v>65</v>
      </c>
      <c r="BA616" s="2"/>
      <c r="BB616" s="3"/>
      <c r="BC616" s="3"/>
      <c r="BD616" s="3"/>
      <c r="BE616" s="3"/>
    </row>
    <row r="617" spans="1:57" x14ac:dyDescent="0.35">
      <c r="A617" s="66" t="s">
        <v>720</v>
      </c>
      <c r="B617" s="67"/>
      <c r="C617" s="67"/>
      <c r="D617" s="68"/>
      <c r="E617" s="70"/>
      <c r="F617" s="106" t="str">
        <f>HYPERLINK("https://pbs.twimg.com/profile_images/1438948103290175489/A0VHiBIn_normal.jpg")</f>
        <v>https://pbs.twimg.com/profile_images/1438948103290175489/A0VHiBIn_normal.jpg</v>
      </c>
      <c r="G617" s="67"/>
      <c r="H617" s="71"/>
      <c r="I617" s="72"/>
      <c r="J617" s="72"/>
      <c r="K617" s="71" t="s">
        <v>7787</v>
      </c>
      <c r="L617" s="75"/>
      <c r="M617" s="76"/>
      <c r="N617" s="76"/>
      <c r="O617" s="77"/>
      <c r="P617" s="78"/>
      <c r="Q617" s="78"/>
      <c r="R617" s="90"/>
      <c r="S617" s="90"/>
      <c r="T617" s="90"/>
      <c r="U617" s="90"/>
      <c r="V617" s="52"/>
      <c r="W617" s="52"/>
      <c r="X617" s="52"/>
      <c r="Y617" s="52"/>
      <c r="Z617" s="51"/>
      <c r="AA617" s="73"/>
      <c r="AB617" s="73"/>
      <c r="AC617" s="74"/>
      <c r="AD617" s="80" t="s">
        <v>4789</v>
      </c>
      <c r="AE617" s="86" t="s">
        <v>3968</v>
      </c>
      <c r="AF617" s="80">
        <v>1346</v>
      </c>
      <c r="AG617" s="80">
        <v>1215</v>
      </c>
      <c r="AH617" s="80">
        <v>15549</v>
      </c>
      <c r="AI617" s="80">
        <v>23976</v>
      </c>
      <c r="AJ617" s="80"/>
      <c r="AK617" s="80" t="s">
        <v>6433</v>
      </c>
      <c r="AL617" s="80"/>
      <c r="AM617" s="80"/>
      <c r="AN617" s="80"/>
      <c r="AO617" s="82">
        <v>42912.690925925926</v>
      </c>
      <c r="AP617" s="84" t="str">
        <f>HYPERLINK("https://pbs.twimg.com/profile_banners/879377449632411648/1631533921")</f>
        <v>https://pbs.twimg.com/profile_banners/879377449632411648/1631533921</v>
      </c>
      <c r="AQ617" s="80" t="b">
        <v>1</v>
      </c>
      <c r="AR617" s="80" t="b">
        <v>0</v>
      </c>
      <c r="AS617" s="80" t="b">
        <v>0</v>
      </c>
      <c r="AT617" s="80"/>
      <c r="AU617" s="80">
        <v>1</v>
      </c>
      <c r="AV617" s="84" t="str">
        <f>HYPERLINK("https://abs.twimg.com/images/themes/theme1/bg.png")</f>
        <v>https://abs.twimg.com/images/themes/theme1/bg.png</v>
      </c>
      <c r="AW617" s="80" t="b">
        <v>0</v>
      </c>
      <c r="AX617" s="80" t="s">
        <v>7173</v>
      </c>
      <c r="AY617" s="84" t="str">
        <f>HYPERLINK("https://twitter.com/joohoneyw_")</f>
        <v>https://twitter.com/joohoneyw_</v>
      </c>
      <c r="AZ617" s="80" t="s">
        <v>66</v>
      </c>
      <c r="BA617" s="2"/>
      <c r="BB617" s="3"/>
      <c r="BC617" s="3"/>
      <c r="BD617" s="3"/>
      <c r="BE617" s="3"/>
    </row>
    <row r="618" spans="1:57" x14ac:dyDescent="0.35">
      <c r="A618" s="66" t="s">
        <v>721</v>
      </c>
      <c r="B618" s="67"/>
      <c r="C618" s="67"/>
      <c r="D618" s="68"/>
      <c r="E618" s="70"/>
      <c r="F618" s="106" t="str">
        <f>HYPERLINK("https://pbs.twimg.com/profile_images/1435123797946892289/wdvgafCl_normal.jpg")</f>
        <v>https://pbs.twimg.com/profile_images/1435123797946892289/wdvgafCl_normal.jpg</v>
      </c>
      <c r="G618" s="67"/>
      <c r="H618" s="71"/>
      <c r="I618" s="72"/>
      <c r="J618" s="72"/>
      <c r="K618" s="71" t="s">
        <v>7788</v>
      </c>
      <c r="L618" s="75"/>
      <c r="M618" s="76"/>
      <c r="N618" s="76"/>
      <c r="O618" s="77"/>
      <c r="P618" s="78"/>
      <c r="Q618" s="78"/>
      <c r="R618" s="90"/>
      <c r="S618" s="90"/>
      <c r="T618" s="90"/>
      <c r="U618" s="90"/>
      <c r="V618" s="52"/>
      <c r="W618" s="52"/>
      <c r="X618" s="52"/>
      <c r="Y618" s="52"/>
      <c r="Z618" s="51"/>
      <c r="AA618" s="73"/>
      <c r="AB618" s="73"/>
      <c r="AC618" s="74"/>
      <c r="AD618" s="80" t="s">
        <v>4790</v>
      </c>
      <c r="AE618" s="86" t="s">
        <v>5674</v>
      </c>
      <c r="AF618" s="80">
        <v>262</v>
      </c>
      <c r="AG618" s="80">
        <v>269</v>
      </c>
      <c r="AH618" s="80">
        <v>48048</v>
      </c>
      <c r="AI618" s="80">
        <v>8396</v>
      </c>
      <c r="AJ618" s="80"/>
      <c r="AK618" s="80" t="s">
        <v>6434</v>
      </c>
      <c r="AL618" s="80"/>
      <c r="AM618" s="80"/>
      <c r="AN618" s="80"/>
      <c r="AO618" s="82">
        <v>43537.2109837963</v>
      </c>
      <c r="AP618" s="84" t="str">
        <f>HYPERLINK("https://pbs.twimg.com/profile_banners/1105695938096463872/1630995151")</f>
        <v>https://pbs.twimg.com/profile_banners/1105695938096463872/1630995151</v>
      </c>
      <c r="AQ618" s="80" t="b">
        <v>1</v>
      </c>
      <c r="AR618" s="80" t="b">
        <v>0</v>
      </c>
      <c r="AS618" s="80" t="b">
        <v>0</v>
      </c>
      <c r="AT618" s="80"/>
      <c r="AU618" s="80">
        <v>0</v>
      </c>
      <c r="AV618" s="80"/>
      <c r="AW618" s="80" t="b">
        <v>0</v>
      </c>
      <c r="AX618" s="80" t="s">
        <v>7173</v>
      </c>
      <c r="AY618" s="84" t="str">
        <f>HYPERLINK("https://twitter.com/haeppyharuenjen")</f>
        <v>https://twitter.com/haeppyharuenjen</v>
      </c>
      <c r="AZ618" s="80" t="s">
        <v>66</v>
      </c>
      <c r="BA618" s="2"/>
      <c r="BB618" s="3"/>
      <c r="BC618" s="3"/>
      <c r="BD618" s="3"/>
      <c r="BE618" s="3"/>
    </row>
    <row r="619" spans="1:57" x14ac:dyDescent="0.35">
      <c r="A619" s="66" t="s">
        <v>1099</v>
      </c>
      <c r="B619" s="67"/>
      <c r="C619" s="67"/>
      <c r="D619" s="68"/>
      <c r="E619" s="70"/>
      <c r="F619" s="106" t="str">
        <f>HYPERLINK("https://pbs.twimg.com/profile_images/1393049972296220675/-FTnVHBi_normal.jpg")</f>
        <v>https://pbs.twimg.com/profile_images/1393049972296220675/-FTnVHBi_normal.jpg</v>
      </c>
      <c r="G619" s="67"/>
      <c r="H619" s="71"/>
      <c r="I619" s="72"/>
      <c r="J619" s="72"/>
      <c r="K619" s="71" t="s">
        <v>7789</v>
      </c>
      <c r="L619" s="75"/>
      <c r="M619" s="76"/>
      <c r="N619" s="76"/>
      <c r="O619" s="77"/>
      <c r="P619" s="78"/>
      <c r="Q619" s="78"/>
      <c r="R619" s="90"/>
      <c r="S619" s="90"/>
      <c r="T619" s="90"/>
      <c r="U619" s="90"/>
      <c r="V619" s="52"/>
      <c r="W619" s="52"/>
      <c r="X619" s="52"/>
      <c r="Y619" s="52"/>
      <c r="Z619" s="51"/>
      <c r="AA619" s="73"/>
      <c r="AB619" s="73"/>
      <c r="AC619" s="74"/>
      <c r="AD619" s="80" t="s">
        <v>4791</v>
      </c>
      <c r="AE619" s="86" t="s">
        <v>3970</v>
      </c>
      <c r="AF619" s="80">
        <v>2158</v>
      </c>
      <c r="AG619" s="80">
        <v>17253</v>
      </c>
      <c r="AH619" s="80">
        <v>232336</v>
      </c>
      <c r="AI619" s="80">
        <v>11</v>
      </c>
      <c r="AJ619" s="80"/>
      <c r="AK619" s="80" t="s">
        <v>6435</v>
      </c>
      <c r="AL619" s="80"/>
      <c r="AM619" s="84" t="str">
        <f>HYPERLINK("https://t.co/An6XrRdD7L")</f>
        <v>https://t.co/An6XrRdD7L</v>
      </c>
      <c r="AN619" s="80"/>
      <c r="AO619" s="82">
        <v>44167.50571759259</v>
      </c>
      <c r="AP619" s="84" t="str">
        <f>HYPERLINK("https://pbs.twimg.com/profile_banners/1334107047898451971/1606911805")</f>
        <v>https://pbs.twimg.com/profile_banners/1334107047898451971/1606911805</v>
      </c>
      <c r="AQ619" s="80" t="b">
        <v>1</v>
      </c>
      <c r="AR619" s="80" t="b">
        <v>0</v>
      </c>
      <c r="AS619" s="80" t="b">
        <v>0</v>
      </c>
      <c r="AT619" s="80"/>
      <c r="AU619" s="80">
        <v>254</v>
      </c>
      <c r="AV619" s="80"/>
      <c r="AW619" s="80" t="b">
        <v>0</v>
      </c>
      <c r="AX619" s="80" t="s">
        <v>7173</v>
      </c>
      <c r="AY619" s="84" t="str">
        <f>HYPERLINK("https://twitter.com/ggsell_fess")</f>
        <v>https://twitter.com/ggsell_fess</v>
      </c>
      <c r="AZ619" s="80" t="s">
        <v>65</v>
      </c>
      <c r="BA619" s="2"/>
      <c r="BB619" s="3"/>
      <c r="BC619" s="3"/>
      <c r="BD619" s="3"/>
      <c r="BE619" s="3"/>
    </row>
    <row r="620" spans="1:57" x14ac:dyDescent="0.35">
      <c r="A620" s="66" t="s">
        <v>722</v>
      </c>
      <c r="B620" s="67"/>
      <c r="C620" s="67"/>
      <c r="D620" s="68"/>
      <c r="E620" s="70"/>
      <c r="F620" s="106" t="str">
        <f>HYPERLINK("https://pbs.twimg.com/profile_images/1380909655271088139/bZko4pFH_normal.jpg")</f>
        <v>https://pbs.twimg.com/profile_images/1380909655271088139/bZko4pFH_normal.jpg</v>
      </c>
      <c r="G620" s="67"/>
      <c r="H620" s="71"/>
      <c r="I620" s="72"/>
      <c r="J620" s="72"/>
      <c r="K620" s="71" t="s">
        <v>7790</v>
      </c>
      <c r="L620" s="75"/>
      <c r="M620" s="76"/>
      <c r="N620" s="76"/>
      <c r="O620" s="77"/>
      <c r="P620" s="78"/>
      <c r="Q620" s="78"/>
      <c r="R620" s="90"/>
      <c r="S620" s="90"/>
      <c r="T620" s="90"/>
      <c r="U620" s="90"/>
      <c r="V620" s="52"/>
      <c r="W620" s="52"/>
      <c r="X620" s="52"/>
      <c r="Y620" s="52"/>
      <c r="Z620" s="51"/>
      <c r="AA620" s="73"/>
      <c r="AB620" s="73"/>
      <c r="AC620" s="74"/>
      <c r="AD620" s="80" t="s">
        <v>4792</v>
      </c>
      <c r="AE620" s="86" t="s">
        <v>5675</v>
      </c>
      <c r="AF620" s="80">
        <v>171</v>
      </c>
      <c r="AG620" s="80">
        <v>142</v>
      </c>
      <c r="AH620" s="80">
        <v>2165</v>
      </c>
      <c r="AI620" s="80">
        <v>139</v>
      </c>
      <c r="AJ620" s="80"/>
      <c r="AK620" s="80"/>
      <c r="AL620" s="80"/>
      <c r="AM620" s="80"/>
      <c r="AN620" s="80"/>
      <c r="AO620" s="82">
        <v>40899.186736111114</v>
      </c>
      <c r="AP620" s="84" t="str">
        <f>HYPERLINK("https://pbs.twimg.com/profile_banners/443403184/1605627198")</f>
        <v>https://pbs.twimg.com/profile_banners/443403184/1605627198</v>
      </c>
      <c r="AQ620" s="80" t="b">
        <v>0</v>
      </c>
      <c r="AR620" s="80" t="b">
        <v>0</v>
      </c>
      <c r="AS620" s="80" t="b">
        <v>1</v>
      </c>
      <c r="AT620" s="80"/>
      <c r="AU620" s="80">
        <v>0</v>
      </c>
      <c r="AV620" s="84" t="str">
        <f>HYPERLINK("https://abs.twimg.com/images/themes/theme1/bg.png")</f>
        <v>https://abs.twimg.com/images/themes/theme1/bg.png</v>
      </c>
      <c r="AW620" s="80" t="b">
        <v>0</v>
      </c>
      <c r="AX620" s="80" t="s">
        <v>7173</v>
      </c>
      <c r="AY620" s="84" t="str">
        <f>HYPERLINK("https://twitter.com/abdurrafialwan")</f>
        <v>https://twitter.com/abdurrafialwan</v>
      </c>
      <c r="AZ620" s="80" t="s">
        <v>66</v>
      </c>
      <c r="BA620" s="2"/>
      <c r="BB620" s="3"/>
      <c r="BC620" s="3"/>
      <c r="BD620" s="3"/>
      <c r="BE620" s="3"/>
    </row>
    <row r="621" spans="1:57" x14ac:dyDescent="0.35">
      <c r="A621" s="66" t="s">
        <v>723</v>
      </c>
      <c r="B621" s="67"/>
      <c r="C621" s="67"/>
      <c r="D621" s="68"/>
      <c r="E621" s="70"/>
      <c r="F621" s="106" t="str">
        <f>HYPERLINK("https://pbs.twimg.com/profile_images/1442666690022502406/dpNneEcN_normal.jpg")</f>
        <v>https://pbs.twimg.com/profile_images/1442666690022502406/dpNneEcN_normal.jpg</v>
      </c>
      <c r="G621" s="67"/>
      <c r="H621" s="71"/>
      <c r="I621" s="72"/>
      <c r="J621" s="72"/>
      <c r="K621" s="71" t="s">
        <v>7791</v>
      </c>
      <c r="L621" s="75"/>
      <c r="M621" s="76"/>
      <c r="N621" s="76"/>
      <c r="O621" s="77"/>
      <c r="P621" s="78"/>
      <c r="Q621" s="78"/>
      <c r="R621" s="90"/>
      <c r="S621" s="90"/>
      <c r="T621" s="90"/>
      <c r="U621" s="90"/>
      <c r="V621" s="52"/>
      <c r="W621" s="52"/>
      <c r="X621" s="52"/>
      <c r="Y621" s="52"/>
      <c r="Z621" s="51"/>
      <c r="AA621" s="73"/>
      <c r="AB621" s="73"/>
      <c r="AC621" s="74"/>
      <c r="AD621" s="80" t="s">
        <v>4793</v>
      </c>
      <c r="AE621" s="86" t="s">
        <v>5676</v>
      </c>
      <c r="AF621" s="80">
        <v>106</v>
      </c>
      <c r="AG621" s="80">
        <v>121</v>
      </c>
      <c r="AH621" s="80">
        <v>940</v>
      </c>
      <c r="AI621" s="80">
        <v>339</v>
      </c>
      <c r="AJ621" s="80"/>
      <c r="AK621" s="80" t="s">
        <v>6436</v>
      </c>
      <c r="AL621" s="80" t="s">
        <v>7012</v>
      </c>
      <c r="AM621" s="80"/>
      <c r="AN621" s="80"/>
      <c r="AO621" s="82">
        <v>44190.269583333335</v>
      </c>
      <c r="AP621" s="84" t="str">
        <f>HYPERLINK("https://pbs.twimg.com/profile_banners/1342356422533627905/1632793520")</f>
        <v>https://pbs.twimg.com/profile_banners/1342356422533627905/1632793520</v>
      </c>
      <c r="AQ621" s="80" t="b">
        <v>1</v>
      </c>
      <c r="AR621" s="80" t="b">
        <v>0</v>
      </c>
      <c r="AS621" s="80" t="b">
        <v>0</v>
      </c>
      <c r="AT621" s="80"/>
      <c r="AU621" s="80">
        <v>2</v>
      </c>
      <c r="AV621" s="80"/>
      <c r="AW621" s="80" t="b">
        <v>0</v>
      </c>
      <c r="AX621" s="80" t="s">
        <v>7173</v>
      </c>
      <c r="AY621" s="84" t="str">
        <f>HYPERLINK("https://twitter.com/lheezseung")</f>
        <v>https://twitter.com/lheezseung</v>
      </c>
      <c r="AZ621" s="80" t="s">
        <v>66</v>
      </c>
      <c r="BA621" s="2"/>
      <c r="BB621" s="3"/>
      <c r="BC621" s="3"/>
      <c r="BD621" s="3"/>
      <c r="BE621" s="3"/>
    </row>
    <row r="622" spans="1:57" x14ac:dyDescent="0.35">
      <c r="A622" s="66" t="s">
        <v>1100</v>
      </c>
      <c r="B622" s="67"/>
      <c r="C622" s="67"/>
      <c r="D622" s="68"/>
      <c r="E622" s="70"/>
      <c r="F622" s="106" t="str">
        <f>HYPERLINK("https://pbs.twimg.com/profile_images/1437708936988086273/pURb0S9x_normal.png")</f>
        <v>https://pbs.twimg.com/profile_images/1437708936988086273/pURb0S9x_normal.png</v>
      </c>
      <c r="G622" s="67"/>
      <c r="H622" s="71"/>
      <c r="I622" s="72"/>
      <c r="J622" s="72"/>
      <c r="K622" s="71" t="s">
        <v>7792</v>
      </c>
      <c r="L622" s="75"/>
      <c r="M622" s="76"/>
      <c r="N622" s="76"/>
      <c r="O622" s="77"/>
      <c r="P622" s="78"/>
      <c r="Q622" s="78"/>
      <c r="R622" s="90"/>
      <c r="S622" s="90"/>
      <c r="T622" s="90"/>
      <c r="U622" s="90"/>
      <c r="V622" s="52"/>
      <c r="W622" s="52"/>
      <c r="X622" s="52"/>
      <c r="Y622" s="52"/>
      <c r="Z622" s="51"/>
      <c r="AA622" s="73"/>
      <c r="AB622" s="73"/>
      <c r="AC622" s="74"/>
      <c r="AD622" s="80" t="s">
        <v>4794</v>
      </c>
      <c r="AE622" s="86" t="s">
        <v>3971</v>
      </c>
      <c r="AF622" s="80">
        <v>69</v>
      </c>
      <c r="AG622" s="80">
        <v>114</v>
      </c>
      <c r="AH622" s="80">
        <v>2395</v>
      </c>
      <c r="AI622" s="80">
        <v>66</v>
      </c>
      <c r="AJ622" s="80"/>
      <c r="AK622" s="80" t="s">
        <v>6437</v>
      </c>
      <c r="AL622" s="80" t="s">
        <v>7013</v>
      </c>
      <c r="AM622" s="84" t="str">
        <f>HYPERLINK("https://t.co/dSOCTrClDd")</f>
        <v>https://t.co/dSOCTrClDd</v>
      </c>
      <c r="AN622" s="80"/>
      <c r="AO622" s="82">
        <v>44453.382268518515</v>
      </c>
      <c r="AP622" s="84" t="str">
        <f>HYPERLINK("https://pbs.twimg.com/profile_banners/1437705158117380098/1631611610")</f>
        <v>https://pbs.twimg.com/profile_banners/1437705158117380098/1631611610</v>
      </c>
      <c r="AQ622" s="80" t="b">
        <v>1</v>
      </c>
      <c r="AR622" s="80" t="b">
        <v>0</v>
      </c>
      <c r="AS622" s="80" t="b">
        <v>0</v>
      </c>
      <c r="AT622" s="80"/>
      <c r="AU622" s="80">
        <v>2</v>
      </c>
      <c r="AV622" s="80"/>
      <c r="AW622" s="80" t="b">
        <v>0</v>
      </c>
      <c r="AX622" s="80" t="s">
        <v>7173</v>
      </c>
      <c r="AY622" s="84" t="str">
        <f>HYPERLINK("https://twitter.com/noblesinparis")</f>
        <v>https://twitter.com/noblesinparis</v>
      </c>
      <c r="AZ622" s="80" t="s">
        <v>65</v>
      </c>
      <c r="BA622" s="2"/>
      <c r="BB622" s="3"/>
      <c r="BC622" s="3"/>
      <c r="BD622" s="3"/>
      <c r="BE622" s="3"/>
    </row>
    <row r="623" spans="1:57" x14ac:dyDescent="0.35">
      <c r="A623" s="66" t="s">
        <v>724</v>
      </c>
      <c r="B623" s="67"/>
      <c r="C623" s="67"/>
      <c r="D623" s="68"/>
      <c r="E623" s="70"/>
      <c r="F623" s="106" t="str">
        <f>HYPERLINK("https://pbs.twimg.com/profile_images/1044596314292420608/UyByhG0l_normal.jpg")</f>
        <v>https://pbs.twimg.com/profile_images/1044596314292420608/UyByhG0l_normal.jpg</v>
      </c>
      <c r="G623" s="67"/>
      <c r="H623" s="71"/>
      <c r="I623" s="72"/>
      <c r="J623" s="72"/>
      <c r="K623" s="71" t="s">
        <v>7793</v>
      </c>
      <c r="L623" s="75"/>
      <c r="M623" s="76"/>
      <c r="N623" s="76"/>
      <c r="O623" s="77"/>
      <c r="P623" s="78"/>
      <c r="Q623" s="78"/>
      <c r="R623" s="90"/>
      <c r="S623" s="90"/>
      <c r="T623" s="90"/>
      <c r="U623" s="90"/>
      <c r="V623" s="52"/>
      <c r="W623" s="52"/>
      <c r="X623" s="52"/>
      <c r="Y623" s="52"/>
      <c r="Z623" s="51"/>
      <c r="AA623" s="73"/>
      <c r="AB623" s="73"/>
      <c r="AC623" s="74"/>
      <c r="AD623" s="80" t="s">
        <v>4795</v>
      </c>
      <c r="AE623" s="86" t="s">
        <v>5677</v>
      </c>
      <c r="AF623" s="80">
        <v>1</v>
      </c>
      <c r="AG623" s="80">
        <v>133</v>
      </c>
      <c r="AH623" s="80">
        <v>3095</v>
      </c>
      <c r="AI623" s="80">
        <v>10</v>
      </c>
      <c r="AJ623" s="80"/>
      <c r="AK623" s="80" t="s">
        <v>6438</v>
      </c>
      <c r="AL623" s="80" t="s">
        <v>7014</v>
      </c>
      <c r="AM623" s="84" t="str">
        <f>HYPERLINK("https://t.co/Shgan76Ii9")</f>
        <v>https://t.co/Shgan76Ii9</v>
      </c>
      <c r="AN623" s="80"/>
      <c r="AO623" s="82">
        <v>43200.521365740744</v>
      </c>
      <c r="AP623" s="84" t="str">
        <f>HYPERLINK("https://pbs.twimg.com/profile_banners/983683705049833473/1558420159")</f>
        <v>https://pbs.twimg.com/profile_banners/983683705049833473/1558420159</v>
      </c>
      <c r="AQ623" s="80" t="b">
        <v>1</v>
      </c>
      <c r="AR623" s="80" t="b">
        <v>0</v>
      </c>
      <c r="AS623" s="80" t="b">
        <v>0</v>
      </c>
      <c r="AT623" s="80"/>
      <c r="AU623" s="80">
        <v>0</v>
      </c>
      <c r="AV623" s="80"/>
      <c r="AW623" s="80" t="b">
        <v>0</v>
      </c>
      <c r="AX623" s="80" t="s">
        <v>7173</v>
      </c>
      <c r="AY623" s="84" t="str">
        <f>HYPERLINK("https://twitter.com/lokersumatera1")</f>
        <v>https://twitter.com/lokersumatera1</v>
      </c>
      <c r="AZ623" s="80" t="s">
        <v>66</v>
      </c>
      <c r="BA623" s="2"/>
      <c r="BB623" s="3"/>
      <c r="BC623" s="3"/>
      <c r="BD623" s="3"/>
      <c r="BE623" s="3"/>
    </row>
    <row r="624" spans="1:57" x14ac:dyDescent="0.35">
      <c r="A624" s="66" t="s">
        <v>725</v>
      </c>
      <c r="B624" s="67"/>
      <c r="C624" s="67"/>
      <c r="D624" s="68"/>
      <c r="E624" s="70"/>
      <c r="F624" s="106" t="str">
        <f>HYPERLINK("https://pbs.twimg.com/profile_images/1433728859971588097/k8ltPHcu_normal.jpg")</f>
        <v>https://pbs.twimg.com/profile_images/1433728859971588097/k8ltPHcu_normal.jpg</v>
      </c>
      <c r="G624" s="67"/>
      <c r="H624" s="71"/>
      <c r="I624" s="72"/>
      <c r="J624" s="72"/>
      <c r="K624" s="71" t="s">
        <v>7794</v>
      </c>
      <c r="L624" s="75"/>
      <c r="M624" s="76"/>
      <c r="N624" s="76"/>
      <c r="O624" s="77"/>
      <c r="P624" s="78"/>
      <c r="Q624" s="78"/>
      <c r="R624" s="90"/>
      <c r="S624" s="90"/>
      <c r="T624" s="90"/>
      <c r="U624" s="90"/>
      <c r="V624" s="52"/>
      <c r="W624" s="52"/>
      <c r="X624" s="52"/>
      <c r="Y624" s="52"/>
      <c r="Z624" s="51"/>
      <c r="AA624" s="73"/>
      <c r="AB624" s="73"/>
      <c r="AC624" s="74"/>
      <c r="AD624" s="80" t="s">
        <v>4796</v>
      </c>
      <c r="AE624" s="86" t="s">
        <v>5678</v>
      </c>
      <c r="AF624" s="80">
        <v>996</v>
      </c>
      <c r="AG624" s="80">
        <v>4208</v>
      </c>
      <c r="AH624" s="80">
        <v>45437</v>
      </c>
      <c r="AI624" s="80">
        <v>15</v>
      </c>
      <c r="AJ624" s="80"/>
      <c r="AK624" s="80" t="s">
        <v>6439</v>
      </c>
      <c r="AL624" s="80"/>
      <c r="AM624" s="84" t="str">
        <f>HYPERLINK("https://t.co/VdRKrbelpM")</f>
        <v>https://t.co/VdRKrbelpM</v>
      </c>
      <c r="AN624" s="80"/>
      <c r="AO624" s="82">
        <v>44330.261250000003</v>
      </c>
      <c r="AP624" s="84" t="str">
        <f>HYPERLINK("https://pbs.twimg.com/profile_banners/1393087700102565894/1621090752")</f>
        <v>https://pbs.twimg.com/profile_banners/1393087700102565894/1621090752</v>
      </c>
      <c r="AQ624" s="80" t="b">
        <v>1</v>
      </c>
      <c r="AR624" s="80" t="b">
        <v>0</v>
      </c>
      <c r="AS624" s="80" t="b">
        <v>0</v>
      </c>
      <c r="AT624" s="80"/>
      <c r="AU624" s="80">
        <v>57</v>
      </c>
      <c r="AV624" s="80"/>
      <c r="AW624" s="80" t="b">
        <v>0</v>
      </c>
      <c r="AX624" s="80" t="s">
        <v>7173</v>
      </c>
      <c r="AY624" s="84" t="str">
        <f>HYPERLINK("https://twitter.com/ateezmart")</f>
        <v>https://twitter.com/ateezmart</v>
      </c>
      <c r="AZ624" s="80" t="s">
        <v>66</v>
      </c>
      <c r="BA624" s="2"/>
      <c r="BB624" s="3"/>
      <c r="BC624" s="3"/>
      <c r="BD624" s="3"/>
      <c r="BE624" s="3"/>
    </row>
    <row r="625" spans="1:57" x14ac:dyDescent="0.35">
      <c r="A625" s="66" t="s">
        <v>727</v>
      </c>
      <c r="B625" s="67"/>
      <c r="C625" s="67"/>
      <c r="D625" s="68"/>
      <c r="E625" s="70"/>
      <c r="F625" s="106" t="str">
        <f>HYPERLINK("https://pbs.twimg.com/profile_images/1441633267858374661/MQ7I8cKY_normal.jpg")</f>
        <v>https://pbs.twimg.com/profile_images/1441633267858374661/MQ7I8cKY_normal.jpg</v>
      </c>
      <c r="G625" s="67"/>
      <c r="H625" s="71"/>
      <c r="I625" s="72"/>
      <c r="J625" s="72"/>
      <c r="K625" s="71" t="s">
        <v>7795</v>
      </c>
      <c r="L625" s="75"/>
      <c r="M625" s="76"/>
      <c r="N625" s="76"/>
      <c r="O625" s="77"/>
      <c r="P625" s="78"/>
      <c r="Q625" s="78"/>
      <c r="R625" s="90"/>
      <c r="S625" s="90"/>
      <c r="T625" s="90"/>
      <c r="U625" s="90"/>
      <c r="V625" s="52"/>
      <c r="W625" s="52"/>
      <c r="X625" s="52"/>
      <c r="Y625" s="52"/>
      <c r="Z625" s="51"/>
      <c r="AA625" s="73"/>
      <c r="AB625" s="73"/>
      <c r="AC625" s="74"/>
      <c r="AD625" s="80" t="s">
        <v>4797</v>
      </c>
      <c r="AE625" s="86" t="s">
        <v>5679</v>
      </c>
      <c r="AF625" s="80">
        <v>1</v>
      </c>
      <c r="AG625" s="80">
        <v>241</v>
      </c>
      <c r="AH625" s="80">
        <v>147</v>
      </c>
      <c r="AI625" s="80">
        <v>11</v>
      </c>
      <c r="AJ625" s="80"/>
      <c r="AK625" s="80" t="s">
        <v>6440</v>
      </c>
      <c r="AL625" s="80" t="s">
        <v>6777</v>
      </c>
      <c r="AM625" s="84" t="str">
        <f>HYPERLINK("https://t.co/7xsG328vRT")</f>
        <v>https://t.co/7xsG328vRT</v>
      </c>
      <c r="AN625" s="80"/>
      <c r="AO625" s="82">
        <v>44406.739664351851</v>
      </c>
      <c r="AP625" s="80"/>
      <c r="AQ625" s="80" t="b">
        <v>1</v>
      </c>
      <c r="AR625" s="80" t="b">
        <v>0</v>
      </c>
      <c r="AS625" s="80" t="b">
        <v>0</v>
      </c>
      <c r="AT625" s="80"/>
      <c r="AU625" s="80">
        <v>1</v>
      </c>
      <c r="AV625" s="80"/>
      <c r="AW625" s="80" t="b">
        <v>0</v>
      </c>
      <c r="AX625" s="80" t="s">
        <v>7173</v>
      </c>
      <c r="AY625" s="84" t="str">
        <f>HYPERLINK("https://twitter.com/seoulutionid")</f>
        <v>https://twitter.com/seoulutionid</v>
      </c>
      <c r="AZ625" s="80" t="s">
        <v>66</v>
      </c>
      <c r="BA625" s="2"/>
      <c r="BB625" s="3"/>
      <c r="BC625" s="3"/>
      <c r="BD625" s="3"/>
      <c r="BE625" s="3"/>
    </row>
    <row r="626" spans="1:57" x14ac:dyDescent="0.35">
      <c r="A626" s="66" t="s">
        <v>726</v>
      </c>
      <c r="B626" s="67"/>
      <c r="C626" s="67"/>
      <c r="D626" s="68"/>
      <c r="E626" s="70"/>
      <c r="F626" s="106" t="str">
        <f>HYPERLINK("https://pbs.twimg.com/profile_images/1367080758347665413/IGJqIvMz_normal.jpg")</f>
        <v>https://pbs.twimg.com/profile_images/1367080758347665413/IGJqIvMz_normal.jpg</v>
      </c>
      <c r="G626" s="67"/>
      <c r="H626" s="71"/>
      <c r="I626" s="72"/>
      <c r="J626" s="72"/>
      <c r="K626" s="71" t="s">
        <v>7796</v>
      </c>
      <c r="L626" s="75"/>
      <c r="M626" s="76"/>
      <c r="N626" s="76"/>
      <c r="O626" s="77"/>
      <c r="P626" s="78"/>
      <c r="Q626" s="78"/>
      <c r="R626" s="90"/>
      <c r="S626" s="90"/>
      <c r="T626" s="90"/>
      <c r="U626" s="90"/>
      <c r="V626" s="52"/>
      <c r="W626" s="52"/>
      <c r="X626" s="52"/>
      <c r="Y626" s="52"/>
      <c r="Z626" s="51"/>
      <c r="AA626" s="73"/>
      <c r="AB626" s="73"/>
      <c r="AC626" s="74"/>
      <c r="AD626" s="80" t="s">
        <v>4798</v>
      </c>
      <c r="AE626" s="86" t="s">
        <v>5680</v>
      </c>
      <c r="AF626" s="80">
        <v>32</v>
      </c>
      <c r="AG626" s="80">
        <v>5</v>
      </c>
      <c r="AH626" s="80">
        <v>4</v>
      </c>
      <c r="AI626" s="80">
        <v>1</v>
      </c>
      <c r="AJ626" s="80"/>
      <c r="AK626" s="80"/>
      <c r="AL626" s="80" t="s">
        <v>6825</v>
      </c>
      <c r="AM626" s="80"/>
      <c r="AN626" s="80"/>
      <c r="AO626" s="82">
        <v>44258.486678240741</v>
      </c>
      <c r="AP626" s="80"/>
      <c r="AQ626" s="80" t="b">
        <v>1</v>
      </c>
      <c r="AR626" s="80" t="b">
        <v>0</v>
      </c>
      <c r="AS626" s="80" t="b">
        <v>0</v>
      </c>
      <c r="AT626" s="80"/>
      <c r="AU626" s="80">
        <v>0</v>
      </c>
      <c r="AV626" s="80"/>
      <c r="AW626" s="80" t="b">
        <v>0</v>
      </c>
      <c r="AX626" s="80" t="s">
        <v>7173</v>
      </c>
      <c r="AY626" s="84" t="str">
        <f>HYPERLINK("https://twitter.com/widodo_harjono")</f>
        <v>https://twitter.com/widodo_harjono</v>
      </c>
      <c r="AZ626" s="80" t="s">
        <v>66</v>
      </c>
      <c r="BA626" s="2"/>
      <c r="BB626" s="3"/>
      <c r="BC626" s="3"/>
      <c r="BD626" s="3"/>
      <c r="BE626" s="3"/>
    </row>
    <row r="627" spans="1:57" x14ac:dyDescent="0.35">
      <c r="A627" s="66" t="s">
        <v>1101</v>
      </c>
      <c r="B627" s="67"/>
      <c r="C627" s="67"/>
      <c r="D627" s="68"/>
      <c r="E627" s="70"/>
      <c r="F627" s="106" t="str">
        <f>HYPERLINK("https://pbs.twimg.com/profile_images/1209268107190996992/aycrl4be_normal.jpg")</f>
        <v>https://pbs.twimg.com/profile_images/1209268107190996992/aycrl4be_normal.jpg</v>
      </c>
      <c r="G627" s="67"/>
      <c r="H627" s="71"/>
      <c r="I627" s="72"/>
      <c r="J627" s="72"/>
      <c r="K627" s="71" t="s">
        <v>7797</v>
      </c>
      <c r="L627" s="75"/>
      <c r="M627" s="76"/>
      <c r="N627" s="76"/>
      <c r="O627" s="77"/>
      <c r="P627" s="78"/>
      <c r="Q627" s="78"/>
      <c r="R627" s="90"/>
      <c r="S627" s="90"/>
      <c r="T627" s="90"/>
      <c r="U627" s="90"/>
      <c r="V627" s="52"/>
      <c r="W627" s="52"/>
      <c r="X627" s="52"/>
      <c r="Y627" s="52"/>
      <c r="Z627" s="51"/>
      <c r="AA627" s="73"/>
      <c r="AB627" s="73"/>
      <c r="AC627" s="74"/>
      <c r="AD627" s="80" t="s">
        <v>4799</v>
      </c>
      <c r="AE627" s="86" t="s">
        <v>3972</v>
      </c>
      <c r="AF627" s="80">
        <v>642</v>
      </c>
      <c r="AG627" s="80">
        <v>3769889</v>
      </c>
      <c r="AH627" s="80">
        <v>25505</v>
      </c>
      <c r="AI627" s="80">
        <v>111</v>
      </c>
      <c r="AJ627" s="80"/>
      <c r="AK627" s="80" t="s">
        <v>6441</v>
      </c>
      <c r="AL627" s="80" t="s">
        <v>6788</v>
      </c>
      <c r="AM627" s="80"/>
      <c r="AN627" s="80"/>
      <c r="AO627" s="82">
        <v>40647.484583333331</v>
      </c>
      <c r="AP627" s="84" t="str">
        <f>HYPERLINK("https://pbs.twimg.com/profile_banners/282006208/1577112783")</f>
        <v>https://pbs.twimg.com/profile_banners/282006208/1577112783</v>
      </c>
      <c r="AQ627" s="80" t="b">
        <v>0</v>
      </c>
      <c r="AR627" s="80" t="b">
        <v>0</v>
      </c>
      <c r="AS627" s="80" t="b">
        <v>1</v>
      </c>
      <c r="AT627" s="80"/>
      <c r="AU627" s="80">
        <v>1235</v>
      </c>
      <c r="AV627" s="84" t="str">
        <f>HYPERLINK("https://abs.twimg.com/images/themes/theme17/bg.gif")</f>
        <v>https://abs.twimg.com/images/themes/theme17/bg.gif</v>
      </c>
      <c r="AW627" s="80" t="b">
        <v>1</v>
      </c>
      <c r="AX627" s="80" t="s">
        <v>7173</v>
      </c>
      <c r="AY627" s="84" t="str">
        <f>HYPERLINK("https://twitter.com/mohmahfudmd")</f>
        <v>https://twitter.com/mohmahfudmd</v>
      </c>
      <c r="AZ627" s="80" t="s">
        <v>65</v>
      </c>
      <c r="BA627" s="2"/>
      <c r="BB627" s="3"/>
      <c r="BC627" s="3"/>
      <c r="BD627" s="3"/>
      <c r="BE627" s="3"/>
    </row>
    <row r="628" spans="1:57" x14ac:dyDescent="0.35">
      <c r="A628" s="66" t="s">
        <v>728</v>
      </c>
      <c r="B628" s="67"/>
      <c r="C628" s="67"/>
      <c r="D628" s="68"/>
      <c r="E628" s="70"/>
      <c r="F628" s="106" t="str">
        <f>HYPERLINK("https://pbs.twimg.com/profile_images/1442484423731994634/IctUIVZB_normal.jpg")</f>
        <v>https://pbs.twimg.com/profile_images/1442484423731994634/IctUIVZB_normal.jpg</v>
      </c>
      <c r="G628" s="67"/>
      <c r="H628" s="71"/>
      <c r="I628" s="72"/>
      <c r="J628" s="72"/>
      <c r="K628" s="71" t="s">
        <v>7798</v>
      </c>
      <c r="L628" s="75"/>
      <c r="M628" s="76"/>
      <c r="N628" s="76"/>
      <c r="O628" s="77"/>
      <c r="P628" s="78"/>
      <c r="Q628" s="78"/>
      <c r="R628" s="90"/>
      <c r="S628" s="90"/>
      <c r="T628" s="90"/>
      <c r="U628" s="90"/>
      <c r="V628" s="52"/>
      <c r="W628" s="52"/>
      <c r="X628" s="52"/>
      <c r="Y628" s="52"/>
      <c r="Z628" s="51"/>
      <c r="AA628" s="73"/>
      <c r="AB628" s="73"/>
      <c r="AC628" s="74"/>
      <c r="AD628" s="80" t="s">
        <v>4800</v>
      </c>
      <c r="AE628" s="86" t="s">
        <v>5681</v>
      </c>
      <c r="AF628" s="80">
        <v>120</v>
      </c>
      <c r="AG628" s="80">
        <v>46</v>
      </c>
      <c r="AH628" s="80">
        <v>8018</v>
      </c>
      <c r="AI628" s="80">
        <v>248</v>
      </c>
      <c r="AJ628" s="80"/>
      <c r="AK628" s="80" t="s">
        <v>6442</v>
      </c>
      <c r="AL628" s="80" t="s">
        <v>7015</v>
      </c>
      <c r="AM628" s="80"/>
      <c r="AN628" s="80"/>
      <c r="AO628" s="82">
        <v>42537.374756944446</v>
      </c>
      <c r="AP628" s="84" t="str">
        <f>HYPERLINK("https://pbs.twimg.com/profile_banners/743367423168913408/1632142874")</f>
        <v>https://pbs.twimg.com/profile_banners/743367423168913408/1632142874</v>
      </c>
      <c r="AQ628" s="80" t="b">
        <v>0</v>
      </c>
      <c r="AR628" s="80" t="b">
        <v>0</v>
      </c>
      <c r="AS628" s="80" t="b">
        <v>0</v>
      </c>
      <c r="AT628" s="80"/>
      <c r="AU628" s="80">
        <v>0</v>
      </c>
      <c r="AV628" s="84" t="str">
        <f>HYPERLINK("https://abs.twimg.com/images/themes/theme1/bg.png")</f>
        <v>https://abs.twimg.com/images/themes/theme1/bg.png</v>
      </c>
      <c r="AW628" s="80" t="b">
        <v>0</v>
      </c>
      <c r="AX628" s="80" t="s">
        <v>7173</v>
      </c>
      <c r="AY628" s="84" t="str">
        <f>HYPERLINK("https://twitter.com/fallinstaar")</f>
        <v>https://twitter.com/fallinstaar</v>
      </c>
      <c r="AZ628" s="80" t="s">
        <v>66</v>
      </c>
      <c r="BA628" s="2"/>
      <c r="BB628" s="3"/>
      <c r="BC628" s="3"/>
      <c r="BD628" s="3"/>
      <c r="BE628" s="3"/>
    </row>
    <row r="629" spans="1:57" x14ac:dyDescent="0.35">
      <c r="A629" s="66" t="s">
        <v>729</v>
      </c>
      <c r="B629" s="67"/>
      <c r="C629" s="67"/>
      <c r="D629" s="68"/>
      <c r="E629" s="70"/>
      <c r="F629" s="106" t="str">
        <f>HYPERLINK("https://pbs.twimg.com/profile_images/1442489988935917571/PLEjxUwD_normal.jpg")</f>
        <v>https://pbs.twimg.com/profile_images/1442489988935917571/PLEjxUwD_normal.jpg</v>
      </c>
      <c r="G629" s="67"/>
      <c r="H629" s="71"/>
      <c r="I629" s="72"/>
      <c r="J629" s="72"/>
      <c r="K629" s="71" t="s">
        <v>7799</v>
      </c>
      <c r="L629" s="75"/>
      <c r="M629" s="76"/>
      <c r="N629" s="76"/>
      <c r="O629" s="77"/>
      <c r="P629" s="78"/>
      <c r="Q629" s="78"/>
      <c r="R629" s="90"/>
      <c r="S629" s="90"/>
      <c r="T629" s="90"/>
      <c r="U629" s="90"/>
      <c r="V629" s="52"/>
      <c r="W629" s="52"/>
      <c r="X629" s="52"/>
      <c r="Y629" s="52"/>
      <c r="Z629" s="51"/>
      <c r="AA629" s="73"/>
      <c r="AB629" s="73"/>
      <c r="AC629" s="74"/>
      <c r="AD629" s="80" t="s">
        <v>4801</v>
      </c>
      <c r="AE629" s="86" t="s">
        <v>5682</v>
      </c>
      <c r="AF629" s="80">
        <v>1625</v>
      </c>
      <c r="AG629" s="80">
        <v>1598</v>
      </c>
      <c r="AH629" s="80">
        <v>38784</v>
      </c>
      <c r="AI629" s="80">
        <v>1703</v>
      </c>
      <c r="AJ629" s="80"/>
      <c r="AK629" s="80" t="s">
        <v>6443</v>
      </c>
      <c r="AL629" s="80"/>
      <c r="AM629" s="84" t="str">
        <f>HYPERLINK("https://t.co/2nMySzMwUV")</f>
        <v>https://t.co/2nMySzMwUV</v>
      </c>
      <c r="AN629" s="80"/>
      <c r="AO629" s="82">
        <v>41647.289270833331</v>
      </c>
      <c r="AP629" s="84" t="str">
        <f>HYPERLINK("https://pbs.twimg.com/profile_banners/2281727816/1632752216")</f>
        <v>https://pbs.twimg.com/profile_banners/2281727816/1632752216</v>
      </c>
      <c r="AQ629" s="80" t="b">
        <v>1</v>
      </c>
      <c r="AR629" s="80" t="b">
        <v>0</v>
      </c>
      <c r="AS629" s="80" t="b">
        <v>0</v>
      </c>
      <c r="AT629" s="80"/>
      <c r="AU629" s="80">
        <v>4</v>
      </c>
      <c r="AV629" s="84" t="str">
        <f>HYPERLINK("https://abs.twimg.com/images/themes/theme1/bg.png")</f>
        <v>https://abs.twimg.com/images/themes/theme1/bg.png</v>
      </c>
      <c r="AW629" s="80" t="b">
        <v>0</v>
      </c>
      <c r="AX629" s="80" t="s">
        <v>7173</v>
      </c>
      <c r="AY629" s="84" t="str">
        <f>HYPERLINK("https://twitter.com/thetarasu")</f>
        <v>https://twitter.com/thetarasu</v>
      </c>
      <c r="AZ629" s="80" t="s">
        <v>66</v>
      </c>
      <c r="BA629" s="2"/>
      <c r="BB629" s="3"/>
      <c r="BC629" s="3"/>
      <c r="BD629" s="3"/>
      <c r="BE629" s="3"/>
    </row>
    <row r="630" spans="1:57" x14ac:dyDescent="0.35">
      <c r="A630" s="66" t="s">
        <v>1102</v>
      </c>
      <c r="B630" s="67"/>
      <c r="C630" s="67"/>
      <c r="D630" s="68"/>
      <c r="E630" s="70"/>
      <c r="F630" s="106" t="str">
        <f>HYPERLINK("https://pbs.twimg.com/profile_images/1442110487680872465/gkE-Wns__normal.jpg")</f>
        <v>https://pbs.twimg.com/profile_images/1442110487680872465/gkE-Wns__normal.jpg</v>
      </c>
      <c r="G630" s="67"/>
      <c r="H630" s="71"/>
      <c r="I630" s="72"/>
      <c r="J630" s="72"/>
      <c r="K630" s="71" t="s">
        <v>7800</v>
      </c>
      <c r="L630" s="75"/>
      <c r="M630" s="76"/>
      <c r="N630" s="76"/>
      <c r="O630" s="77"/>
      <c r="P630" s="78"/>
      <c r="Q630" s="78"/>
      <c r="R630" s="90"/>
      <c r="S630" s="90"/>
      <c r="T630" s="90"/>
      <c r="U630" s="90"/>
      <c r="V630" s="52"/>
      <c r="W630" s="52"/>
      <c r="X630" s="52"/>
      <c r="Y630" s="52"/>
      <c r="Z630" s="51"/>
      <c r="AA630" s="73"/>
      <c r="AB630" s="73"/>
      <c r="AC630" s="74"/>
      <c r="AD630" s="80" t="s">
        <v>4802</v>
      </c>
      <c r="AE630" s="86" t="s">
        <v>3973</v>
      </c>
      <c r="AF630" s="80">
        <v>3043</v>
      </c>
      <c r="AG630" s="80">
        <v>3041</v>
      </c>
      <c r="AH630" s="80">
        <v>48732</v>
      </c>
      <c r="AI630" s="80">
        <v>14286</v>
      </c>
      <c r="AJ630" s="80"/>
      <c r="AK630" s="80" t="s">
        <v>6444</v>
      </c>
      <c r="AL630" s="80"/>
      <c r="AM630" s="80"/>
      <c r="AN630" s="80"/>
      <c r="AO630" s="82">
        <v>44191.633252314816</v>
      </c>
      <c r="AP630" s="84" t="str">
        <f>HYPERLINK("https://pbs.twimg.com/profile_banners/1342850527470579716/1632795391")</f>
        <v>https://pbs.twimg.com/profile_banners/1342850527470579716/1632795391</v>
      </c>
      <c r="AQ630" s="80" t="b">
        <v>1</v>
      </c>
      <c r="AR630" s="80" t="b">
        <v>0</v>
      </c>
      <c r="AS630" s="80" t="b">
        <v>0</v>
      </c>
      <c r="AT630" s="80"/>
      <c r="AU630" s="80">
        <v>9</v>
      </c>
      <c r="AV630" s="80"/>
      <c r="AW630" s="80" t="b">
        <v>0</v>
      </c>
      <c r="AX630" s="80" t="s">
        <v>7173</v>
      </c>
      <c r="AY630" s="84" t="str">
        <f>HYPERLINK("https://twitter.com/xxsalsakyl")</f>
        <v>https://twitter.com/xxsalsakyl</v>
      </c>
      <c r="AZ630" s="80" t="s">
        <v>65</v>
      </c>
      <c r="BA630" s="2"/>
      <c r="BB630" s="3"/>
      <c r="BC630" s="3"/>
      <c r="BD630" s="3"/>
      <c r="BE630" s="3"/>
    </row>
    <row r="631" spans="1:57" x14ac:dyDescent="0.35">
      <c r="A631" s="66" t="s">
        <v>730</v>
      </c>
      <c r="B631" s="67"/>
      <c r="C631" s="67"/>
      <c r="D631" s="68"/>
      <c r="E631" s="70"/>
      <c r="F631" s="106" t="str">
        <f>HYPERLINK("https://pbs.twimg.com/profile_images/1442150322919514113/b-h8zcst_normal.jpg")</f>
        <v>https://pbs.twimg.com/profile_images/1442150322919514113/b-h8zcst_normal.jpg</v>
      </c>
      <c r="G631" s="67"/>
      <c r="H631" s="71"/>
      <c r="I631" s="72"/>
      <c r="J631" s="72"/>
      <c r="K631" s="71" t="s">
        <v>7801</v>
      </c>
      <c r="L631" s="75"/>
      <c r="M631" s="76"/>
      <c r="N631" s="76"/>
      <c r="O631" s="77"/>
      <c r="P631" s="78"/>
      <c r="Q631" s="78"/>
      <c r="R631" s="90"/>
      <c r="S631" s="90"/>
      <c r="T631" s="90"/>
      <c r="U631" s="90"/>
      <c r="V631" s="52"/>
      <c r="W631" s="52"/>
      <c r="X631" s="52"/>
      <c r="Y631" s="52"/>
      <c r="Z631" s="51"/>
      <c r="AA631" s="73"/>
      <c r="AB631" s="73"/>
      <c r="AC631" s="74"/>
      <c r="AD631" s="80" t="s">
        <v>4803</v>
      </c>
      <c r="AE631" s="86" t="s">
        <v>5683</v>
      </c>
      <c r="AF631" s="80">
        <v>1283</v>
      </c>
      <c r="AG631" s="80">
        <v>13393</v>
      </c>
      <c r="AH631" s="80">
        <v>35067</v>
      </c>
      <c r="AI631" s="80">
        <v>5447</v>
      </c>
      <c r="AJ631" s="80"/>
      <c r="AK631" s="80" t="s">
        <v>6445</v>
      </c>
      <c r="AL631" s="80"/>
      <c r="AM631" s="84" t="str">
        <f>HYPERLINK("https://t.co/Z4ce1oSdaj")</f>
        <v>https://t.co/Z4ce1oSdaj</v>
      </c>
      <c r="AN631" s="80"/>
      <c r="AO631" s="82">
        <v>43531.169340277775</v>
      </c>
      <c r="AP631" s="84" t="str">
        <f>HYPERLINK("https://pbs.twimg.com/profile_banners/1103506519851589633/1631524636")</f>
        <v>https://pbs.twimg.com/profile_banners/1103506519851589633/1631524636</v>
      </c>
      <c r="AQ631" s="80" t="b">
        <v>1</v>
      </c>
      <c r="AR631" s="80" t="b">
        <v>0</v>
      </c>
      <c r="AS631" s="80" t="b">
        <v>1</v>
      </c>
      <c r="AT631" s="80"/>
      <c r="AU631" s="80">
        <v>3</v>
      </c>
      <c r="AV631" s="80"/>
      <c r="AW631" s="80" t="b">
        <v>0</v>
      </c>
      <c r="AX631" s="80" t="s">
        <v>7173</v>
      </c>
      <c r="AY631" s="84" t="str">
        <f>HYPERLINK("https://twitter.com/dahcapekya")</f>
        <v>https://twitter.com/dahcapekya</v>
      </c>
      <c r="AZ631" s="80" t="s">
        <v>66</v>
      </c>
      <c r="BA631" s="2"/>
      <c r="BB631" s="3"/>
      <c r="BC631" s="3"/>
      <c r="BD631" s="3"/>
      <c r="BE631" s="3"/>
    </row>
    <row r="632" spans="1:57" x14ac:dyDescent="0.35">
      <c r="A632" s="66" t="s">
        <v>1103</v>
      </c>
      <c r="B632" s="67"/>
      <c r="C632" s="67"/>
      <c r="D632" s="68"/>
      <c r="E632" s="70"/>
      <c r="F632" s="106" t="str">
        <f>HYPERLINK("https://pbs.twimg.com/profile_images/1355144339853172738/EHarZuAe_normal.jpg")</f>
        <v>https://pbs.twimg.com/profile_images/1355144339853172738/EHarZuAe_normal.jpg</v>
      </c>
      <c r="G632" s="67"/>
      <c r="H632" s="71"/>
      <c r="I632" s="72"/>
      <c r="J632" s="72"/>
      <c r="K632" s="71" t="s">
        <v>7802</v>
      </c>
      <c r="L632" s="75"/>
      <c r="M632" s="76"/>
      <c r="N632" s="76"/>
      <c r="O632" s="77"/>
      <c r="P632" s="78"/>
      <c r="Q632" s="78"/>
      <c r="R632" s="90"/>
      <c r="S632" s="90"/>
      <c r="T632" s="90"/>
      <c r="U632" s="90"/>
      <c r="V632" s="52"/>
      <c r="W632" s="52"/>
      <c r="X632" s="52"/>
      <c r="Y632" s="52"/>
      <c r="Z632" s="51"/>
      <c r="AA632" s="73"/>
      <c r="AB632" s="73"/>
      <c r="AC632" s="74"/>
      <c r="AD632" s="80" t="s">
        <v>4804</v>
      </c>
      <c r="AE632" s="86" t="s">
        <v>3974</v>
      </c>
      <c r="AF632" s="80">
        <v>48974</v>
      </c>
      <c r="AG632" s="80">
        <v>769086</v>
      </c>
      <c r="AH632" s="80">
        <v>1150798</v>
      </c>
      <c r="AI632" s="80">
        <v>39</v>
      </c>
      <c r="AJ632" s="80"/>
      <c r="AK632" s="80" t="s">
        <v>6446</v>
      </c>
      <c r="AL632" s="80" t="s">
        <v>4145</v>
      </c>
      <c r="AM632" s="84" t="str">
        <f>HYPERLINK("https://t.co/lvVVxlxie3")</f>
        <v>https://t.co/lvVVxlxie3</v>
      </c>
      <c r="AN632" s="80"/>
      <c r="AO632" s="82">
        <v>43372.713391203702</v>
      </c>
      <c r="AP632" s="84" t="str">
        <f>HYPERLINK("https://pbs.twimg.com/profile_banners/1046084008742801408/1601470924")</f>
        <v>https://pbs.twimg.com/profile_banners/1046084008742801408/1601470924</v>
      </c>
      <c r="AQ632" s="80" t="b">
        <v>0</v>
      </c>
      <c r="AR632" s="80" t="b">
        <v>0</v>
      </c>
      <c r="AS632" s="80" t="b">
        <v>0</v>
      </c>
      <c r="AT632" s="80"/>
      <c r="AU632" s="80">
        <v>6286</v>
      </c>
      <c r="AV632" s="84" t="str">
        <f>HYPERLINK("https://abs.twimg.com/images/themes/theme1/bg.png")</f>
        <v>https://abs.twimg.com/images/themes/theme1/bg.png</v>
      </c>
      <c r="AW632" s="80" t="b">
        <v>0</v>
      </c>
      <c r="AX632" s="80" t="s">
        <v>7173</v>
      </c>
      <c r="AY632" s="84" t="str">
        <f>HYPERLINK("https://twitter.com/collegemenfess")</f>
        <v>https://twitter.com/collegemenfess</v>
      </c>
      <c r="AZ632" s="80" t="s">
        <v>65</v>
      </c>
      <c r="BA632" s="2"/>
      <c r="BB632" s="3"/>
      <c r="BC632" s="3"/>
      <c r="BD632" s="3"/>
      <c r="BE632" s="3"/>
    </row>
    <row r="633" spans="1:57" x14ac:dyDescent="0.35">
      <c r="A633" s="66" t="s">
        <v>731</v>
      </c>
      <c r="B633" s="67"/>
      <c r="C633" s="67"/>
      <c r="D633" s="68"/>
      <c r="E633" s="70"/>
      <c r="F633" s="106" t="str">
        <f>HYPERLINK("https://pbs.twimg.com/profile_images/1359759067665686529/8-Sus6Cq_normal.jpg")</f>
        <v>https://pbs.twimg.com/profile_images/1359759067665686529/8-Sus6Cq_normal.jpg</v>
      </c>
      <c r="G633" s="67"/>
      <c r="H633" s="71"/>
      <c r="I633" s="72"/>
      <c r="J633" s="72"/>
      <c r="K633" s="71" t="s">
        <v>7803</v>
      </c>
      <c r="L633" s="75"/>
      <c r="M633" s="76"/>
      <c r="N633" s="76"/>
      <c r="O633" s="77"/>
      <c r="P633" s="78"/>
      <c r="Q633" s="78"/>
      <c r="R633" s="90"/>
      <c r="S633" s="90"/>
      <c r="T633" s="90"/>
      <c r="U633" s="90"/>
      <c r="V633" s="52"/>
      <c r="W633" s="52"/>
      <c r="X633" s="52"/>
      <c r="Y633" s="52"/>
      <c r="Z633" s="51"/>
      <c r="AA633" s="73"/>
      <c r="AB633" s="73"/>
      <c r="AC633" s="74"/>
      <c r="AD633" s="80" t="s">
        <v>4805</v>
      </c>
      <c r="AE633" s="86" t="s">
        <v>5684</v>
      </c>
      <c r="AF633" s="80">
        <v>122</v>
      </c>
      <c r="AG633" s="80">
        <v>316</v>
      </c>
      <c r="AH633" s="80">
        <v>734</v>
      </c>
      <c r="AI633" s="80">
        <v>0</v>
      </c>
      <c r="AJ633" s="80"/>
      <c r="AK633" s="80"/>
      <c r="AL633" s="80"/>
      <c r="AM633" s="80"/>
      <c r="AN633" s="80"/>
      <c r="AO633" s="82">
        <v>42425.640914351854</v>
      </c>
      <c r="AP633" s="84" t="str">
        <f>HYPERLINK("https://pbs.twimg.com/profile_banners/702876432175763456/1613026801")</f>
        <v>https://pbs.twimg.com/profile_banners/702876432175763456/1613026801</v>
      </c>
      <c r="AQ633" s="80" t="b">
        <v>1</v>
      </c>
      <c r="AR633" s="80" t="b">
        <v>0</v>
      </c>
      <c r="AS633" s="80" t="b">
        <v>0</v>
      </c>
      <c r="AT633" s="80"/>
      <c r="AU633" s="80">
        <v>0</v>
      </c>
      <c r="AV633" s="80"/>
      <c r="AW633" s="80" t="b">
        <v>0</v>
      </c>
      <c r="AX633" s="80" t="s">
        <v>7173</v>
      </c>
      <c r="AY633" s="84" t="str">
        <f>HYPERLINK("https://twitter.com/beritappat")</f>
        <v>https://twitter.com/beritappat</v>
      </c>
      <c r="AZ633" s="80" t="s">
        <v>66</v>
      </c>
      <c r="BA633" s="2"/>
      <c r="BB633" s="3"/>
      <c r="BC633" s="3"/>
      <c r="BD633" s="3"/>
      <c r="BE633" s="3"/>
    </row>
    <row r="634" spans="1:57" x14ac:dyDescent="0.35">
      <c r="A634" s="66" t="s">
        <v>732</v>
      </c>
      <c r="B634" s="67"/>
      <c r="C634" s="67"/>
      <c r="D634" s="68"/>
      <c r="E634" s="70"/>
      <c r="F634" s="106" t="str">
        <f>HYPERLINK("https://pbs.twimg.com/profile_images/1378870762614878209/rfbt2hqx_normal.jpg")</f>
        <v>https://pbs.twimg.com/profile_images/1378870762614878209/rfbt2hqx_normal.jpg</v>
      </c>
      <c r="G634" s="67"/>
      <c r="H634" s="71"/>
      <c r="I634" s="72"/>
      <c r="J634" s="72"/>
      <c r="K634" s="71" t="s">
        <v>7804</v>
      </c>
      <c r="L634" s="75"/>
      <c r="M634" s="76"/>
      <c r="N634" s="76"/>
      <c r="O634" s="77"/>
      <c r="P634" s="78"/>
      <c r="Q634" s="78"/>
      <c r="R634" s="90"/>
      <c r="S634" s="90"/>
      <c r="T634" s="90"/>
      <c r="U634" s="90"/>
      <c r="V634" s="52"/>
      <c r="W634" s="52"/>
      <c r="X634" s="52"/>
      <c r="Y634" s="52"/>
      <c r="Z634" s="51"/>
      <c r="AA634" s="73"/>
      <c r="AB634" s="73"/>
      <c r="AC634" s="74"/>
      <c r="AD634" s="80" t="s">
        <v>4806</v>
      </c>
      <c r="AE634" s="86" t="s">
        <v>5685</v>
      </c>
      <c r="AF634" s="80">
        <v>649</v>
      </c>
      <c r="AG634" s="80">
        <v>2813</v>
      </c>
      <c r="AH634" s="80">
        <v>217132</v>
      </c>
      <c r="AI634" s="80">
        <v>890</v>
      </c>
      <c r="AJ634" s="80"/>
      <c r="AK634" s="80"/>
      <c r="AL634" s="80" t="s">
        <v>7016</v>
      </c>
      <c r="AM634" s="84" t="str">
        <f>HYPERLINK("https://t.co/HtElmp8Od4")</f>
        <v>https://t.co/HtElmp8Od4</v>
      </c>
      <c r="AN634" s="80"/>
      <c r="AO634" s="82">
        <v>40564.323287037034</v>
      </c>
      <c r="AP634" s="84" t="str">
        <f>HYPERLINK("https://pbs.twimg.com/profile_banners/241018848/1466862699")</f>
        <v>https://pbs.twimg.com/profile_banners/241018848/1466862699</v>
      </c>
      <c r="AQ634" s="80" t="b">
        <v>0</v>
      </c>
      <c r="AR634" s="80" t="b">
        <v>0</v>
      </c>
      <c r="AS634" s="80" t="b">
        <v>1</v>
      </c>
      <c r="AT634" s="80"/>
      <c r="AU634" s="80">
        <v>206</v>
      </c>
      <c r="AV634" s="84" t="str">
        <f>HYPERLINK("https://abs.twimg.com/images/themes/theme15/bg.png")</f>
        <v>https://abs.twimg.com/images/themes/theme15/bg.png</v>
      </c>
      <c r="AW634" s="80" t="b">
        <v>0</v>
      </c>
      <c r="AX634" s="80" t="s">
        <v>7173</v>
      </c>
      <c r="AY634" s="84" t="str">
        <f>HYPERLINK("https://twitter.com/minosyahmadi")</f>
        <v>https://twitter.com/minosyahmadi</v>
      </c>
      <c r="AZ634" s="80" t="s">
        <v>66</v>
      </c>
      <c r="BA634" s="2"/>
      <c r="BB634" s="3"/>
      <c r="BC634" s="3"/>
      <c r="BD634" s="3"/>
      <c r="BE634" s="3"/>
    </row>
    <row r="635" spans="1:57" x14ac:dyDescent="0.35">
      <c r="A635" s="66" t="s">
        <v>733</v>
      </c>
      <c r="B635" s="67"/>
      <c r="C635" s="67"/>
      <c r="D635" s="68"/>
      <c r="E635" s="70"/>
      <c r="F635" s="106" t="str">
        <f>HYPERLINK("https://pbs.twimg.com/profile_images/1440945187237203976/j4ZuZ0ib_normal.jpg")</f>
        <v>https://pbs.twimg.com/profile_images/1440945187237203976/j4ZuZ0ib_normal.jpg</v>
      </c>
      <c r="G635" s="67"/>
      <c r="H635" s="71"/>
      <c r="I635" s="72"/>
      <c r="J635" s="72"/>
      <c r="K635" s="71" t="s">
        <v>7805</v>
      </c>
      <c r="L635" s="75"/>
      <c r="M635" s="76"/>
      <c r="N635" s="76"/>
      <c r="O635" s="77"/>
      <c r="P635" s="78"/>
      <c r="Q635" s="78"/>
      <c r="R635" s="90"/>
      <c r="S635" s="90"/>
      <c r="T635" s="90"/>
      <c r="U635" s="90"/>
      <c r="V635" s="52"/>
      <c r="W635" s="52"/>
      <c r="X635" s="52"/>
      <c r="Y635" s="52"/>
      <c r="Z635" s="51"/>
      <c r="AA635" s="73"/>
      <c r="AB635" s="73"/>
      <c r="AC635" s="74"/>
      <c r="AD635" s="80" t="s">
        <v>4807</v>
      </c>
      <c r="AE635" s="86" t="s">
        <v>5686</v>
      </c>
      <c r="AF635" s="80">
        <v>22</v>
      </c>
      <c r="AG635" s="80">
        <v>1</v>
      </c>
      <c r="AH635" s="80">
        <v>51</v>
      </c>
      <c r="AI635" s="80">
        <v>225</v>
      </c>
      <c r="AJ635" s="80"/>
      <c r="AK635" s="80" t="s">
        <v>6447</v>
      </c>
      <c r="AL635" s="80" t="s">
        <v>7017</v>
      </c>
      <c r="AM635" s="80"/>
      <c r="AN635" s="80"/>
      <c r="AO635" s="82">
        <v>44449.383518518516</v>
      </c>
      <c r="AP635" s="84" t="str">
        <f>HYPERLINK("https://pbs.twimg.com/profile_banners/1436256071669088260/1632383358")</f>
        <v>https://pbs.twimg.com/profile_banners/1436256071669088260/1632383358</v>
      </c>
      <c r="AQ635" s="80" t="b">
        <v>1</v>
      </c>
      <c r="AR635" s="80" t="b">
        <v>0</v>
      </c>
      <c r="AS635" s="80" t="b">
        <v>1</v>
      </c>
      <c r="AT635" s="80"/>
      <c r="AU635" s="80">
        <v>0</v>
      </c>
      <c r="AV635" s="80"/>
      <c r="AW635" s="80" t="b">
        <v>0</v>
      </c>
      <c r="AX635" s="80" t="s">
        <v>7173</v>
      </c>
      <c r="AY635" s="84" t="str">
        <f>HYPERLINK("https://twitter.com/lianajust4you")</f>
        <v>https://twitter.com/lianajust4you</v>
      </c>
      <c r="AZ635" s="80" t="s">
        <v>66</v>
      </c>
      <c r="BA635" s="2"/>
      <c r="BB635" s="3"/>
      <c r="BC635" s="3"/>
      <c r="BD635" s="3"/>
      <c r="BE635" s="3"/>
    </row>
    <row r="636" spans="1:57" x14ac:dyDescent="0.35">
      <c r="A636" s="66" t="s">
        <v>734</v>
      </c>
      <c r="B636" s="67"/>
      <c r="C636" s="67"/>
      <c r="D636" s="68"/>
      <c r="E636" s="70"/>
      <c r="F636" s="106" t="str">
        <f>HYPERLINK("https://pbs.twimg.com/profile_images/1343890913257353216/ny6-7ckL_normal.jpg")</f>
        <v>https://pbs.twimg.com/profile_images/1343890913257353216/ny6-7ckL_normal.jpg</v>
      </c>
      <c r="G636" s="67"/>
      <c r="H636" s="71"/>
      <c r="I636" s="72"/>
      <c r="J636" s="72"/>
      <c r="K636" s="71" t="s">
        <v>7806</v>
      </c>
      <c r="L636" s="75"/>
      <c r="M636" s="76"/>
      <c r="N636" s="76"/>
      <c r="O636" s="77"/>
      <c r="P636" s="78"/>
      <c r="Q636" s="78"/>
      <c r="R636" s="90"/>
      <c r="S636" s="90"/>
      <c r="T636" s="90"/>
      <c r="U636" s="90"/>
      <c r="V636" s="52"/>
      <c r="W636" s="52"/>
      <c r="X636" s="52"/>
      <c r="Y636" s="52"/>
      <c r="Z636" s="51"/>
      <c r="AA636" s="73"/>
      <c r="AB636" s="73"/>
      <c r="AC636" s="74"/>
      <c r="AD636" s="80" t="s">
        <v>4808</v>
      </c>
      <c r="AE636" s="86" t="s">
        <v>5687</v>
      </c>
      <c r="AF636" s="80">
        <v>545</v>
      </c>
      <c r="AG636" s="80">
        <v>345</v>
      </c>
      <c r="AH636" s="80">
        <v>38176</v>
      </c>
      <c r="AI636" s="80">
        <v>12928</v>
      </c>
      <c r="AJ636" s="80"/>
      <c r="AK636" s="80" t="s">
        <v>6448</v>
      </c>
      <c r="AL636" s="80" t="s">
        <v>7018</v>
      </c>
      <c r="AM636" s="80"/>
      <c r="AN636" s="80"/>
      <c r="AO636" s="82">
        <v>40735.50854166667</v>
      </c>
      <c r="AP636" s="84" t="str">
        <f>HYPERLINK("https://pbs.twimg.com/profile_banners/333356020/1553414903")</f>
        <v>https://pbs.twimg.com/profile_banners/333356020/1553414903</v>
      </c>
      <c r="AQ636" s="80" t="b">
        <v>0</v>
      </c>
      <c r="AR636" s="80" t="b">
        <v>0</v>
      </c>
      <c r="AS636" s="80" t="b">
        <v>1</v>
      </c>
      <c r="AT636" s="80"/>
      <c r="AU636" s="80">
        <v>2</v>
      </c>
      <c r="AV636" s="84" t="str">
        <f>HYPERLINK("https://abs.twimg.com/images/themes/theme1/bg.png")</f>
        <v>https://abs.twimg.com/images/themes/theme1/bg.png</v>
      </c>
      <c r="AW636" s="80" t="b">
        <v>0</v>
      </c>
      <c r="AX636" s="80" t="s">
        <v>7173</v>
      </c>
      <c r="AY636" s="84" t="str">
        <f>HYPERLINK("https://twitter.com/czwolo")</f>
        <v>https://twitter.com/czwolo</v>
      </c>
      <c r="AZ636" s="80" t="s">
        <v>66</v>
      </c>
      <c r="BA636" s="2"/>
      <c r="BB636" s="3"/>
      <c r="BC636" s="3"/>
      <c r="BD636" s="3"/>
      <c r="BE636" s="3"/>
    </row>
    <row r="637" spans="1:57" x14ac:dyDescent="0.35">
      <c r="A637" s="66" t="s">
        <v>735</v>
      </c>
      <c r="B637" s="67"/>
      <c r="C637" s="67"/>
      <c r="D637" s="68"/>
      <c r="E637" s="70"/>
      <c r="F637" s="106" t="str">
        <f>HYPERLINK("https://pbs.twimg.com/profile_images/1441199014410526727/8MUBsgO4_normal.jpg")</f>
        <v>https://pbs.twimg.com/profile_images/1441199014410526727/8MUBsgO4_normal.jpg</v>
      </c>
      <c r="G637" s="67"/>
      <c r="H637" s="71"/>
      <c r="I637" s="72"/>
      <c r="J637" s="72"/>
      <c r="K637" s="71" t="s">
        <v>7807</v>
      </c>
      <c r="L637" s="75"/>
      <c r="M637" s="76"/>
      <c r="N637" s="76"/>
      <c r="O637" s="77"/>
      <c r="P637" s="78"/>
      <c r="Q637" s="78"/>
      <c r="R637" s="90"/>
      <c r="S637" s="90"/>
      <c r="T637" s="90"/>
      <c r="U637" s="90"/>
      <c r="V637" s="52"/>
      <c r="W637" s="52"/>
      <c r="X637" s="52"/>
      <c r="Y637" s="52"/>
      <c r="Z637" s="51"/>
      <c r="AA637" s="73"/>
      <c r="AB637" s="73"/>
      <c r="AC637" s="74"/>
      <c r="AD637" s="80" t="s">
        <v>4809</v>
      </c>
      <c r="AE637" s="86" t="s">
        <v>5688</v>
      </c>
      <c r="AF637" s="80">
        <v>78</v>
      </c>
      <c r="AG637" s="80">
        <v>61</v>
      </c>
      <c r="AH637" s="80">
        <v>791</v>
      </c>
      <c r="AI637" s="80">
        <v>4746</v>
      </c>
      <c r="AJ637" s="80"/>
      <c r="AK637" s="80" t="s">
        <v>6449</v>
      </c>
      <c r="AL637" s="80"/>
      <c r="AM637" s="80"/>
      <c r="AN637" s="80"/>
      <c r="AO637" s="82">
        <v>43699.148344907408</v>
      </c>
      <c r="AP637" s="84" t="str">
        <f>HYPERLINK("https://pbs.twimg.com/profile_banners/1164380027917463557/1632443595")</f>
        <v>https://pbs.twimg.com/profile_banners/1164380027917463557/1632443595</v>
      </c>
      <c r="AQ637" s="80" t="b">
        <v>1</v>
      </c>
      <c r="AR637" s="80" t="b">
        <v>0</v>
      </c>
      <c r="AS637" s="80" t="b">
        <v>0</v>
      </c>
      <c r="AT637" s="80"/>
      <c r="AU637" s="80">
        <v>0</v>
      </c>
      <c r="AV637" s="80"/>
      <c r="AW637" s="80" t="b">
        <v>0</v>
      </c>
      <c r="AX637" s="80" t="s">
        <v>7173</v>
      </c>
      <c r="AY637" s="84" t="str">
        <f>HYPERLINK("https://twitter.com/cikanovika")</f>
        <v>https://twitter.com/cikanovika</v>
      </c>
      <c r="AZ637" s="80" t="s">
        <v>66</v>
      </c>
      <c r="BA637" s="2"/>
      <c r="BB637" s="3"/>
      <c r="BC637" s="3"/>
      <c r="BD637" s="3"/>
      <c r="BE637" s="3"/>
    </row>
    <row r="638" spans="1:57" x14ac:dyDescent="0.35">
      <c r="A638" s="66" t="s">
        <v>736</v>
      </c>
      <c r="B638" s="67"/>
      <c r="C638" s="67"/>
      <c r="D638" s="68"/>
      <c r="E638" s="70"/>
      <c r="F638" s="106" t="str">
        <f>HYPERLINK("https://pbs.twimg.com/profile_images/1431544653715701761/C5iiF4UR_normal.jpg")</f>
        <v>https://pbs.twimg.com/profile_images/1431544653715701761/C5iiF4UR_normal.jpg</v>
      </c>
      <c r="G638" s="67"/>
      <c r="H638" s="71"/>
      <c r="I638" s="72"/>
      <c r="J638" s="72"/>
      <c r="K638" s="71" t="s">
        <v>7808</v>
      </c>
      <c r="L638" s="75"/>
      <c r="M638" s="76"/>
      <c r="N638" s="76"/>
      <c r="O638" s="77"/>
      <c r="P638" s="78"/>
      <c r="Q638" s="78"/>
      <c r="R638" s="90"/>
      <c r="S638" s="90"/>
      <c r="T638" s="90"/>
      <c r="U638" s="90"/>
      <c r="V638" s="52"/>
      <c r="W638" s="52"/>
      <c r="X638" s="52"/>
      <c r="Y638" s="52"/>
      <c r="Z638" s="51"/>
      <c r="AA638" s="73"/>
      <c r="AB638" s="73"/>
      <c r="AC638" s="74"/>
      <c r="AD638" s="80" t="s">
        <v>4810</v>
      </c>
      <c r="AE638" s="86" t="s">
        <v>5689</v>
      </c>
      <c r="AF638" s="80">
        <v>104</v>
      </c>
      <c r="AG638" s="80">
        <v>1</v>
      </c>
      <c r="AH638" s="80">
        <v>137</v>
      </c>
      <c r="AI638" s="80">
        <v>72</v>
      </c>
      <c r="AJ638" s="80"/>
      <c r="AK638" s="80" t="s">
        <v>6450</v>
      </c>
      <c r="AL638" s="80"/>
      <c r="AM638" s="80"/>
      <c r="AN638" s="80"/>
      <c r="AO638" s="82">
        <v>44429.186539351853</v>
      </c>
      <c r="AP638" s="84" t="str">
        <f>HYPERLINK("https://pbs.twimg.com/profile_banners/1428937004796940288/1629539156")</f>
        <v>https://pbs.twimg.com/profile_banners/1428937004796940288/1629539156</v>
      </c>
      <c r="AQ638" s="80" t="b">
        <v>1</v>
      </c>
      <c r="AR638" s="80" t="b">
        <v>0</v>
      </c>
      <c r="AS638" s="80" t="b">
        <v>0</v>
      </c>
      <c r="AT638" s="80"/>
      <c r="AU638" s="80">
        <v>0</v>
      </c>
      <c r="AV638" s="80"/>
      <c r="AW638" s="80" t="b">
        <v>0</v>
      </c>
      <c r="AX638" s="80" t="s">
        <v>7173</v>
      </c>
      <c r="AY638" s="84" t="str">
        <f>HYPERLINK("https://twitter.com/p4ndemin")</f>
        <v>https://twitter.com/p4ndemin</v>
      </c>
      <c r="AZ638" s="80" t="s">
        <v>66</v>
      </c>
      <c r="BA638" s="2"/>
      <c r="BB638" s="3"/>
      <c r="BC638" s="3"/>
      <c r="BD638" s="3"/>
      <c r="BE638" s="3"/>
    </row>
    <row r="639" spans="1:57" x14ac:dyDescent="0.35">
      <c r="A639" s="66" t="s">
        <v>1104</v>
      </c>
      <c r="B639" s="67"/>
      <c r="C639" s="67"/>
      <c r="D639" s="68"/>
      <c r="E639" s="70"/>
      <c r="F639" s="106" t="str">
        <f>HYPERLINK("https://pbs.twimg.com/profile_images/1165927990200430592/IQdDwCYK_normal.jpg")</f>
        <v>https://pbs.twimg.com/profile_images/1165927990200430592/IQdDwCYK_normal.jpg</v>
      </c>
      <c r="G639" s="67"/>
      <c r="H639" s="71"/>
      <c r="I639" s="72"/>
      <c r="J639" s="72"/>
      <c r="K639" s="71" t="s">
        <v>7809</v>
      </c>
      <c r="L639" s="75"/>
      <c r="M639" s="76"/>
      <c r="N639" s="76"/>
      <c r="O639" s="77"/>
      <c r="P639" s="78"/>
      <c r="Q639" s="78"/>
      <c r="R639" s="90"/>
      <c r="S639" s="90"/>
      <c r="T639" s="90"/>
      <c r="U639" s="90"/>
      <c r="V639" s="52"/>
      <c r="W639" s="52"/>
      <c r="X639" s="52"/>
      <c r="Y639" s="52"/>
      <c r="Z639" s="51"/>
      <c r="AA639" s="73"/>
      <c r="AB639" s="73"/>
      <c r="AC639" s="74"/>
      <c r="AD639" s="80" t="s">
        <v>4811</v>
      </c>
      <c r="AE639" s="86" t="s">
        <v>5690</v>
      </c>
      <c r="AF639" s="80">
        <v>79</v>
      </c>
      <c r="AG639" s="80">
        <v>7885</v>
      </c>
      <c r="AH639" s="80">
        <v>1115</v>
      </c>
      <c r="AI639" s="80">
        <v>131</v>
      </c>
      <c r="AJ639" s="80"/>
      <c r="AK639" s="80"/>
      <c r="AL639" s="80" t="s">
        <v>7019</v>
      </c>
      <c r="AM639" s="84" t="str">
        <f>HYPERLINK("https://t.co/gi6hClU62m")</f>
        <v>https://t.co/gi6hClU62m</v>
      </c>
      <c r="AN639" s="80"/>
      <c r="AO639" s="82">
        <v>43181.354062500002</v>
      </c>
      <c r="AP639" s="84" t="str">
        <f>HYPERLINK("https://pbs.twimg.com/profile_banners/976737708721631232/1567579515")</f>
        <v>https://pbs.twimg.com/profile_banners/976737708721631232/1567579515</v>
      </c>
      <c r="AQ639" s="80" t="b">
        <v>0</v>
      </c>
      <c r="AR639" s="80" t="b">
        <v>0</v>
      </c>
      <c r="AS639" s="80" t="b">
        <v>1</v>
      </c>
      <c r="AT639" s="80"/>
      <c r="AU639" s="80">
        <v>8</v>
      </c>
      <c r="AV639" s="84" t="str">
        <f>HYPERLINK("https://abs.twimg.com/images/themes/theme1/bg.png")</f>
        <v>https://abs.twimg.com/images/themes/theme1/bg.png</v>
      </c>
      <c r="AW639" s="80" t="b">
        <v>0</v>
      </c>
      <c r="AX639" s="80" t="s">
        <v>7173</v>
      </c>
      <c r="AY639" s="84" t="str">
        <f>HYPERLINK("https://twitter.com/dishub_mlgkota")</f>
        <v>https://twitter.com/dishub_mlgkota</v>
      </c>
      <c r="AZ639" s="80" t="s">
        <v>65</v>
      </c>
      <c r="BA639" s="2"/>
      <c r="BB639" s="3"/>
      <c r="BC639" s="3"/>
      <c r="BD639" s="3"/>
      <c r="BE639" s="3"/>
    </row>
    <row r="640" spans="1:57" x14ac:dyDescent="0.35">
      <c r="A640" s="66" t="s">
        <v>1105</v>
      </c>
      <c r="B640" s="67"/>
      <c r="C640" s="67"/>
      <c r="D640" s="68"/>
      <c r="E640" s="70"/>
      <c r="F640" s="106" t="str">
        <f>HYPERLINK("https://pbs.twimg.com/profile_images/1844679397/twitter_profile_normal.jpg")</f>
        <v>https://pbs.twimg.com/profile_images/1844679397/twitter_profile_normal.jpg</v>
      </c>
      <c r="G640" s="67"/>
      <c r="H640" s="71"/>
      <c r="I640" s="72"/>
      <c r="J640" s="72"/>
      <c r="K640" s="71" t="s">
        <v>7810</v>
      </c>
      <c r="L640" s="75"/>
      <c r="M640" s="76"/>
      <c r="N640" s="76"/>
      <c r="O640" s="77"/>
      <c r="P640" s="78"/>
      <c r="Q640" s="78"/>
      <c r="R640" s="90"/>
      <c r="S640" s="90"/>
      <c r="T640" s="90"/>
      <c r="U640" s="90"/>
      <c r="V640" s="52"/>
      <c r="W640" s="52"/>
      <c r="X640" s="52"/>
      <c r="Y640" s="52"/>
      <c r="Z640" s="51"/>
      <c r="AA640" s="73"/>
      <c r="AB640" s="73"/>
      <c r="AC640" s="74"/>
      <c r="AD640" s="80" t="s">
        <v>4812</v>
      </c>
      <c r="AE640" s="86" t="s">
        <v>3975</v>
      </c>
      <c r="AF640" s="80">
        <v>1024</v>
      </c>
      <c r="AG640" s="80">
        <v>5752</v>
      </c>
      <c r="AH640" s="80">
        <v>152416</v>
      </c>
      <c r="AI640" s="80">
        <v>12059</v>
      </c>
      <c r="AJ640" s="80"/>
      <c r="AK640" s="80" t="s">
        <v>6451</v>
      </c>
      <c r="AL640" s="80" t="s">
        <v>7020</v>
      </c>
      <c r="AM640" s="80"/>
      <c r="AN640" s="80"/>
      <c r="AO640" s="82">
        <v>40086.619247685187</v>
      </c>
      <c r="AP640" s="84" t="str">
        <f>HYPERLINK("https://pbs.twimg.com/profile_banners/78619866/1511515046")</f>
        <v>https://pbs.twimg.com/profile_banners/78619866/1511515046</v>
      </c>
      <c r="AQ640" s="80" t="b">
        <v>0</v>
      </c>
      <c r="AR640" s="80" t="b">
        <v>0</v>
      </c>
      <c r="AS640" s="80" t="b">
        <v>1</v>
      </c>
      <c r="AT640" s="80"/>
      <c r="AU640" s="80">
        <v>95</v>
      </c>
      <c r="AV640" s="84" t="str">
        <f>HYPERLINK("https://abs.twimg.com/images/themes/theme14/bg.gif")</f>
        <v>https://abs.twimg.com/images/themes/theme14/bg.gif</v>
      </c>
      <c r="AW640" s="80" t="b">
        <v>0</v>
      </c>
      <c r="AX640" s="80" t="s">
        <v>7173</v>
      </c>
      <c r="AY640" s="84" t="str">
        <f>HYPERLINK("https://twitter.com/yusufgunawan")</f>
        <v>https://twitter.com/yusufgunawan</v>
      </c>
      <c r="AZ640" s="80" t="s">
        <v>65</v>
      </c>
      <c r="BA640" s="2"/>
      <c r="BB640" s="3"/>
      <c r="BC640" s="3"/>
      <c r="BD640" s="3"/>
      <c r="BE640" s="3"/>
    </row>
    <row r="641" spans="1:57" x14ac:dyDescent="0.35">
      <c r="A641" s="66" t="s">
        <v>737</v>
      </c>
      <c r="B641" s="67"/>
      <c r="C641" s="67"/>
      <c r="D641" s="68"/>
      <c r="E641" s="70"/>
      <c r="F641" s="106" t="str">
        <f>HYPERLINK("https://pbs.twimg.com/profile_images/1377812553699524608/SkSjaPCQ_normal.jpg")</f>
        <v>https://pbs.twimg.com/profile_images/1377812553699524608/SkSjaPCQ_normal.jpg</v>
      </c>
      <c r="G641" s="67"/>
      <c r="H641" s="71"/>
      <c r="I641" s="72"/>
      <c r="J641" s="72"/>
      <c r="K641" s="71" t="s">
        <v>7811</v>
      </c>
      <c r="L641" s="75"/>
      <c r="M641" s="76"/>
      <c r="N641" s="76"/>
      <c r="O641" s="77"/>
      <c r="P641" s="78"/>
      <c r="Q641" s="78"/>
      <c r="R641" s="90"/>
      <c r="S641" s="90"/>
      <c r="T641" s="90"/>
      <c r="U641" s="90"/>
      <c r="V641" s="52"/>
      <c r="W641" s="52"/>
      <c r="X641" s="52"/>
      <c r="Y641" s="52"/>
      <c r="Z641" s="51"/>
      <c r="AA641" s="73"/>
      <c r="AB641" s="73"/>
      <c r="AC641" s="74"/>
      <c r="AD641" s="80" t="s">
        <v>4813</v>
      </c>
      <c r="AE641" s="86" t="s">
        <v>3976</v>
      </c>
      <c r="AF641" s="80">
        <v>191</v>
      </c>
      <c r="AG641" s="80">
        <v>65</v>
      </c>
      <c r="AH641" s="80">
        <v>2199</v>
      </c>
      <c r="AI641" s="80">
        <v>870</v>
      </c>
      <c r="AJ641" s="80"/>
      <c r="AK641" s="80" t="s">
        <v>6452</v>
      </c>
      <c r="AL641" s="80" t="s">
        <v>4145</v>
      </c>
      <c r="AM641" s="80"/>
      <c r="AN641" s="80"/>
      <c r="AO641" s="82">
        <v>43117.822094907409</v>
      </c>
      <c r="AP641" s="84" t="str">
        <f>HYPERLINK("https://pbs.twimg.com/profile_banners/953714494470897664/1614099917")</f>
        <v>https://pbs.twimg.com/profile_banners/953714494470897664/1614099917</v>
      </c>
      <c r="AQ641" s="80" t="b">
        <v>1</v>
      </c>
      <c r="AR641" s="80" t="b">
        <v>0</v>
      </c>
      <c r="AS641" s="80" t="b">
        <v>0</v>
      </c>
      <c r="AT641" s="80"/>
      <c r="AU641" s="80">
        <v>0</v>
      </c>
      <c r="AV641" s="80"/>
      <c r="AW641" s="80" t="b">
        <v>0</v>
      </c>
      <c r="AX641" s="80" t="s">
        <v>7173</v>
      </c>
      <c r="AY641" s="84" t="str">
        <f>HYPERLINK("https://twitter.com/jjherlambang")</f>
        <v>https://twitter.com/jjherlambang</v>
      </c>
      <c r="AZ641" s="80" t="s">
        <v>66</v>
      </c>
      <c r="BA641" s="2"/>
      <c r="BB641" s="3"/>
      <c r="BC641" s="3"/>
      <c r="BD641" s="3"/>
      <c r="BE641" s="3"/>
    </row>
    <row r="642" spans="1:57" x14ac:dyDescent="0.35">
      <c r="A642" s="66" t="s">
        <v>738</v>
      </c>
      <c r="B642" s="67"/>
      <c r="C642" s="67"/>
      <c r="D642" s="68"/>
      <c r="E642" s="70"/>
      <c r="F642" s="106" t="str">
        <f>HYPERLINK("https://pbs.twimg.com/profile_images/891418849437827072/1aJH2eM5_normal.jpg")</f>
        <v>https://pbs.twimg.com/profile_images/891418849437827072/1aJH2eM5_normal.jpg</v>
      </c>
      <c r="G642" s="67"/>
      <c r="H642" s="71"/>
      <c r="I642" s="72"/>
      <c r="J642" s="72"/>
      <c r="K642" s="71" t="s">
        <v>7812</v>
      </c>
      <c r="L642" s="75"/>
      <c r="M642" s="76"/>
      <c r="N642" s="76"/>
      <c r="O642" s="77"/>
      <c r="P642" s="78"/>
      <c r="Q642" s="78"/>
      <c r="R642" s="90"/>
      <c r="S642" s="90"/>
      <c r="T642" s="90"/>
      <c r="U642" s="90"/>
      <c r="V642" s="52"/>
      <c r="W642" s="52"/>
      <c r="X642" s="52"/>
      <c r="Y642" s="52"/>
      <c r="Z642" s="51"/>
      <c r="AA642" s="73"/>
      <c r="AB642" s="73"/>
      <c r="AC642" s="74"/>
      <c r="AD642" s="80" t="s">
        <v>4814</v>
      </c>
      <c r="AE642" s="86" t="s">
        <v>5691</v>
      </c>
      <c r="AF642" s="80">
        <v>1730</v>
      </c>
      <c r="AG642" s="80">
        <v>3174</v>
      </c>
      <c r="AH642" s="80">
        <v>337067</v>
      </c>
      <c r="AI642" s="80">
        <v>2098</v>
      </c>
      <c r="AJ642" s="80"/>
      <c r="AK642" s="80" t="s">
        <v>6453</v>
      </c>
      <c r="AL642" s="80" t="s">
        <v>7021</v>
      </c>
      <c r="AM642" s="84" t="str">
        <f>HYPERLINK("https://t.co/LTITCnYTvb")</f>
        <v>https://t.co/LTITCnYTvb</v>
      </c>
      <c r="AN642" s="80"/>
      <c r="AO642" s="82">
        <v>39972.577152777776</v>
      </c>
      <c r="AP642" s="84" t="str">
        <f>HYPERLINK("https://pbs.twimg.com/profile_banners/45568375/1351761899")</f>
        <v>https://pbs.twimg.com/profile_banners/45568375/1351761899</v>
      </c>
      <c r="AQ642" s="80" t="b">
        <v>0</v>
      </c>
      <c r="AR642" s="80" t="b">
        <v>0</v>
      </c>
      <c r="AS642" s="80" t="b">
        <v>0</v>
      </c>
      <c r="AT642" s="80"/>
      <c r="AU642" s="80">
        <v>78</v>
      </c>
      <c r="AV642" s="84" t="str">
        <f>HYPERLINK("https://abs.twimg.com/images/themes/theme1/bg.png")</f>
        <v>https://abs.twimg.com/images/themes/theme1/bg.png</v>
      </c>
      <c r="AW642" s="80" t="b">
        <v>0</v>
      </c>
      <c r="AX642" s="80" t="s">
        <v>7173</v>
      </c>
      <c r="AY642" s="84" t="str">
        <f>HYPERLINK("https://twitter.com/bustanulis")</f>
        <v>https://twitter.com/bustanulis</v>
      </c>
      <c r="AZ642" s="80" t="s">
        <v>66</v>
      </c>
      <c r="BA642" s="2"/>
      <c r="BB642" s="3"/>
      <c r="BC642" s="3"/>
      <c r="BD642" s="3"/>
      <c r="BE642" s="3"/>
    </row>
    <row r="643" spans="1:57" x14ac:dyDescent="0.35">
      <c r="A643" s="66" t="s">
        <v>739</v>
      </c>
      <c r="B643" s="67"/>
      <c r="C643" s="67"/>
      <c r="D643" s="68"/>
      <c r="E643" s="70"/>
      <c r="F643" s="106" t="str">
        <f>HYPERLINK("https://pbs.twimg.com/profile_images/1442435455044124681/mULzLjh5_normal.jpg")</f>
        <v>https://pbs.twimg.com/profile_images/1442435455044124681/mULzLjh5_normal.jpg</v>
      </c>
      <c r="G643" s="67"/>
      <c r="H643" s="71"/>
      <c r="I643" s="72"/>
      <c r="J643" s="72"/>
      <c r="K643" s="71" t="s">
        <v>7813</v>
      </c>
      <c r="L643" s="75"/>
      <c r="M643" s="76"/>
      <c r="N643" s="76"/>
      <c r="O643" s="77"/>
      <c r="P643" s="78"/>
      <c r="Q643" s="78"/>
      <c r="R643" s="90"/>
      <c r="S643" s="90"/>
      <c r="T643" s="90"/>
      <c r="U643" s="90"/>
      <c r="V643" s="52"/>
      <c r="W643" s="52"/>
      <c r="X643" s="52"/>
      <c r="Y643" s="52"/>
      <c r="Z643" s="51"/>
      <c r="AA643" s="73"/>
      <c r="AB643" s="73"/>
      <c r="AC643" s="74"/>
      <c r="AD643" s="80" t="s">
        <v>4815</v>
      </c>
      <c r="AE643" s="86" t="s">
        <v>5692</v>
      </c>
      <c r="AF643" s="80">
        <v>799</v>
      </c>
      <c r="AG643" s="80">
        <v>873</v>
      </c>
      <c r="AH643" s="80">
        <v>21027</v>
      </c>
      <c r="AI643" s="80">
        <v>3826</v>
      </c>
      <c r="AJ643" s="80"/>
      <c r="AK643" s="80" t="s">
        <v>6454</v>
      </c>
      <c r="AL643" s="80"/>
      <c r="AM643" s="80"/>
      <c r="AN643" s="80"/>
      <c r="AO643" s="82">
        <v>40163.363981481481</v>
      </c>
      <c r="AP643" s="84" t="str">
        <f>HYPERLINK("https://pbs.twimg.com/profile_banners/97168995/1544970257")</f>
        <v>https://pbs.twimg.com/profile_banners/97168995/1544970257</v>
      </c>
      <c r="AQ643" s="80" t="b">
        <v>0</v>
      </c>
      <c r="AR643" s="80" t="b">
        <v>0</v>
      </c>
      <c r="AS643" s="80" t="b">
        <v>1</v>
      </c>
      <c r="AT643" s="80"/>
      <c r="AU643" s="80">
        <v>4</v>
      </c>
      <c r="AV643" s="84" t="str">
        <f>HYPERLINK("https://abs.twimg.com/images/themes/theme14/bg.gif")</f>
        <v>https://abs.twimg.com/images/themes/theme14/bg.gif</v>
      </c>
      <c r="AW643" s="80" t="b">
        <v>0</v>
      </c>
      <c r="AX643" s="80" t="s">
        <v>7173</v>
      </c>
      <c r="AY643" s="84" t="str">
        <f>HYPERLINK("https://twitter.com/rzk_bunga")</f>
        <v>https://twitter.com/rzk_bunga</v>
      </c>
      <c r="AZ643" s="80" t="s">
        <v>66</v>
      </c>
      <c r="BA643" s="2"/>
      <c r="BB643" s="3"/>
      <c r="BC643" s="3"/>
      <c r="BD643" s="3"/>
      <c r="BE643" s="3"/>
    </row>
    <row r="644" spans="1:57" x14ac:dyDescent="0.35">
      <c r="A644" s="66" t="s">
        <v>1106</v>
      </c>
      <c r="B644" s="67"/>
      <c r="C644" s="67"/>
      <c r="D644" s="68"/>
      <c r="E644" s="70"/>
      <c r="F644" s="106" t="str">
        <f>HYPERLINK("https://pbs.twimg.com/profile_images/1435944221064663041/07uBo1RL_normal.jpg")</f>
        <v>https://pbs.twimg.com/profile_images/1435944221064663041/07uBo1RL_normal.jpg</v>
      </c>
      <c r="G644" s="67"/>
      <c r="H644" s="71"/>
      <c r="I644" s="72"/>
      <c r="J644" s="72"/>
      <c r="K644" s="71" t="s">
        <v>7814</v>
      </c>
      <c r="L644" s="75"/>
      <c r="M644" s="76"/>
      <c r="N644" s="76"/>
      <c r="O644" s="77"/>
      <c r="P644" s="78"/>
      <c r="Q644" s="78"/>
      <c r="R644" s="90"/>
      <c r="S644" s="90"/>
      <c r="T644" s="90"/>
      <c r="U644" s="90"/>
      <c r="V644" s="52"/>
      <c r="W644" s="52"/>
      <c r="X644" s="52"/>
      <c r="Y644" s="52"/>
      <c r="Z644" s="51"/>
      <c r="AA644" s="73"/>
      <c r="AB644" s="73"/>
      <c r="AC644" s="74"/>
      <c r="AD644" s="80" t="s">
        <v>4816</v>
      </c>
      <c r="AE644" s="86" t="s">
        <v>5693</v>
      </c>
      <c r="AF644" s="80">
        <v>1692</v>
      </c>
      <c r="AG644" s="80">
        <v>3433</v>
      </c>
      <c r="AH644" s="80">
        <v>27558</v>
      </c>
      <c r="AI644" s="80">
        <v>3205</v>
      </c>
      <c r="AJ644" s="80"/>
      <c r="AK644" s="80"/>
      <c r="AL644" s="80"/>
      <c r="AM644" s="80"/>
      <c r="AN644" s="80"/>
      <c r="AO644" s="82">
        <v>44131.474421296298</v>
      </c>
      <c r="AP644" s="84" t="str">
        <f>HYPERLINK("https://pbs.twimg.com/profile_banners/1321049766688550915/1631924644")</f>
        <v>https://pbs.twimg.com/profile_banners/1321049766688550915/1631924644</v>
      </c>
      <c r="AQ644" s="80" t="b">
        <v>1</v>
      </c>
      <c r="AR644" s="80" t="b">
        <v>0</v>
      </c>
      <c r="AS644" s="80" t="b">
        <v>0</v>
      </c>
      <c r="AT644" s="80"/>
      <c r="AU644" s="80">
        <v>3</v>
      </c>
      <c r="AV644" s="80"/>
      <c r="AW644" s="80" t="b">
        <v>0</v>
      </c>
      <c r="AX644" s="80" t="s">
        <v>7173</v>
      </c>
      <c r="AY644" s="84" t="str">
        <f>HYPERLINK("https://twitter.com/snvleur")</f>
        <v>https://twitter.com/snvleur</v>
      </c>
      <c r="AZ644" s="80" t="s">
        <v>65</v>
      </c>
      <c r="BA644" s="2"/>
      <c r="BB644" s="3"/>
      <c r="BC644" s="3"/>
      <c r="BD644" s="3"/>
      <c r="BE644" s="3"/>
    </row>
    <row r="645" spans="1:57" x14ac:dyDescent="0.35">
      <c r="A645" s="66" t="s">
        <v>1107</v>
      </c>
      <c r="B645" s="67"/>
      <c r="C645" s="67"/>
      <c r="D645" s="68"/>
      <c r="E645" s="70"/>
      <c r="F645" s="106" t="str">
        <f>HYPERLINK("https://pbs.twimg.com/profile_images/1435159133536206849/kjMQAzaw_normal.jpg")</f>
        <v>https://pbs.twimg.com/profile_images/1435159133536206849/kjMQAzaw_normal.jpg</v>
      </c>
      <c r="G645" s="67"/>
      <c r="H645" s="71"/>
      <c r="I645" s="72"/>
      <c r="J645" s="72"/>
      <c r="K645" s="71" t="s">
        <v>7815</v>
      </c>
      <c r="L645" s="75"/>
      <c r="M645" s="76"/>
      <c r="N645" s="76"/>
      <c r="O645" s="77"/>
      <c r="P645" s="78"/>
      <c r="Q645" s="78"/>
      <c r="R645" s="90"/>
      <c r="S645" s="90"/>
      <c r="T645" s="90"/>
      <c r="U645" s="90"/>
      <c r="V645" s="52"/>
      <c r="W645" s="52"/>
      <c r="X645" s="52"/>
      <c r="Y645" s="52"/>
      <c r="Z645" s="51"/>
      <c r="AA645" s="73"/>
      <c r="AB645" s="73"/>
      <c r="AC645" s="74"/>
      <c r="AD645" s="80" t="s">
        <v>4817</v>
      </c>
      <c r="AE645" s="86" t="s">
        <v>3977</v>
      </c>
      <c r="AF645" s="80">
        <v>339</v>
      </c>
      <c r="AG645" s="80">
        <v>304</v>
      </c>
      <c r="AH645" s="80">
        <v>1972</v>
      </c>
      <c r="AI645" s="80">
        <v>4420</v>
      </c>
      <c r="AJ645" s="80"/>
      <c r="AK645" s="80" t="s">
        <v>6455</v>
      </c>
      <c r="AL645" s="80" t="s">
        <v>7022</v>
      </c>
      <c r="AM645" s="80"/>
      <c r="AN645" s="80"/>
      <c r="AO645" s="82">
        <v>43727.516643518517</v>
      </c>
      <c r="AP645" s="84" t="str">
        <f>HYPERLINK("https://pbs.twimg.com/profile_banners/1174660356641148928/1632111401")</f>
        <v>https://pbs.twimg.com/profile_banners/1174660356641148928/1632111401</v>
      </c>
      <c r="AQ645" s="80" t="b">
        <v>1</v>
      </c>
      <c r="AR645" s="80" t="b">
        <v>0</v>
      </c>
      <c r="AS645" s="80" t="b">
        <v>1</v>
      </c>
      <c r="AT645" s="80"/>
      <c r="AU645" s="80">
        <v>0</v>
      </c>
      <c r="AV645" s="80"/>
      <c r="AW645" s="80" t="b">
        <v>0</v>
      </c>
      <c r="AX645" s="80" t="s">
        <v>7173</v>
      </c>
      <c r="AY645" s="84" t="str">
        <f>HYPERLINK("https://twitter.com/cunggit_")</f>
        <v>https://twitter.com/cunggit_</v>
      </c>
      <c r="AZ645" s="80" t="s">
        <v>65</v>
      </c>
      <c r="BA645" s="2"/>
      <c r="BB645" s="3"/>
      <c r="BC645" s="3"/>
      <c r="BD645" s="3"/>
      <c r="BE645" s="3"/>
    </row>
    <row r="646" spans="1:57" x14ac:dyDescent="0.35">
      <c r="A646" s="66" t="s">
        <v>740</v>
      </c>
      <c r="B646" s="67"/>
      <c r="C646" s="67"/>
      <c r="D646" s="68"/>
      <c r="E646" s="70"/>
      <c r="F646" s="106" t="str">
        <f>HYPERLINK("https://pbs.twimg.com/profile_images/1328318897603297286/uM3ZlF9p_normal.jpg")</f>
        <v>https://pbs.twimg.com/profile_images/1328318897603297286/uM3ZlF9p_normal.jpg</v>
      </c>
      <c r="G646" s="67"/>
      <c r="H646" s="71"/>
      <c r="I646" s="72"/>
      <c r="J646" s="72"/>
      <c r="K646" s="71" t="s">
        <v>7816</v>
      </c>
      <c r="L646" s="75"/>
      <c r="M646" s="76"/>
      <c r="N646" s="76"/>
      <c r="O646" s="77"/>
      <c r="P646" s="78"/>
      <c r="Q646" s="78"/>
      <c r="R646" s="90"/>
      <c r="S646" s="90"/>
      <c r="T646" s="90"/>
      <c r="U646" s="90"/>
      <c r="V646" s="52"/>
      <c r="W646" s="52"/>
      <c r="X646" s="52"/>
      <c r="Y646" s="52"/>
      <c r="Z646" s="51"/>
      <c r="AA646" s="73"/>
      <c r="AB646" s="73"/>
      <c r="AC646" s="74"/>
      <c r="AD646" s="80" t="s">
        <v>4818</v>
      </c>
      <c r="AE646" s="86" t="s">
        <v>5694</v>
      </c>
      <c r="AF646" s="80">
        <v>349</v>
      </c>
      <c r="AG646" s="80">
        <v>352</v>
      </c>
      <c r="AH646" s="80">
        <v>24710</v>
      </c>
      <c r="AI646" s="80">
        <v>2223</v>
      </c>
      <c r="AJ646" s="80"/>
      <c r="AK646" s="80" t="s">
        <v>6456</v>
      </c>
      <c r="AL646" s="80"/>
      <c r="AM646" s="80"/>
      <c r="AN646" s="80"/>
      <c r="AO646" s="82">
        <v>40371.572291666664</v>
      </c>
      <c r="AP646" s="84" t="str">
        <f>HYPERLINK("https://pbs.twimg.com/profile_banners/165764339/1477282639")</f>
        <v>https://pbs.twimg.com/profile_banners/165764339/1477282639</v>
      </c>
      <c r="AQ646" s="80" t="b">
        <v>0</v>
      </c>
      <c r="AR646" s="80" t="b">
        <v>0</v>
      </c>
      <c r="AS646" s="80" t="b">
        <v>1</v>
      </c>
      <c r="AT646" s="80"/>
      <c r="AU646" s="80">
        <v>1</v>
      </c>
      <c r="AV646" s="84" t="str">
        <f>HYPERLINK("https://abs.twimg.com/images/themes/theme1/bg.png")</f>
        <v>https://abs.twimg.com/images/themes/theme1/bg.png</v>
      </c>
      <c r="AW646" s="80" t="b">
        <v>0</v>
      </c>
      <c r="AX646" s="80" t="s">
        <v>7173</v>
      </c>
      <c r="AY646" s="84" t="str">
        <f>HYPERLINK("https://twitter.com/imattuadniw")</f>
        <v>https://twitter.com/imattuadniw</v>
      </c>
      <c r="AZ646" s="80" t="s">
        <v>66</v>
      </c>
      <c r="BA646" s="2"/>
      <c r="BB646" s="3"/>
      <c r="BC646" s="3"/>
      <c r="BD646" s="3"/>
      <c r="BE646" s="3"/>
    </row>
    <row r="647" spans="1:57" x14ac:dyDescent="0.35">
      <c r="A647" s="66" t="s">
        <v>1108</v>
      </c>
      <c r="B647" s="67"/>
      <c r="C647" s="67"/>
      <c r="D647" s="68"/>
      <c r="E647" s="70"/>
      <c r="F647" s="106" t="str">
        <f>HYPERLINK("https://pbs.twimg.com/profile_images/1411912372487262211/BkiPED0O_normal.jpg")</f>
        <v>https://pbs.twimg.com/profile_images/1411912372487262211/BkiPED0O_normal.jpg</v>
      </c>
      <c r="G647" s="67"/>
      <c r="H647" s="71"/>
      <c r="I647" s="72"/>
      <c r="J647" s="72"/>
      <c r="K647" s="71" t="s">
        <v>7817</v>
      </c>
      <c r="L647" s="75"/>
      <c r="M647" s="76"/>
      <c r="N647" s="76"/>
      <c r="O647" s="77"/>
      <c r="P647" s="78"/>
      <c r="Q647" s="78"/>
      <c r="R647" s="90"/>
      <c r="S647" s="90"/>
      <c r="T647" s="90"/>
      <c r="U647" s="90"/>
      <c r="V647" s="52"/>
      <c r="W647" s="52"/>
      <c r="X647" s="52"/>
      <c r="Y647" s="52"/>
      <c r="Z647" s="51"/>
      <c r="AA647" s="73"/>
      <c r="AB647" s="73"/>
      <c r="AC647" s="74"/>
      <c r="AD647" s="80" t="s">
        <v>4819</v>
      </c>
      <c r="AE647" s="86" t="s">
        <v>5695</v>
      </c>
      <c r="AF647" s="80">
        <v>2</v>
      </c>
      <c r="AG647" s="80">
        <v>3256</v>
      </c>
      <c r="AH647" s="80">
        <v>1552</v>
      </c>
      <c r="AI647" s="80">
        <v>473</v>
      </c>
      <c r="AJ647" s="80"/>
      <c r="AK647" s="80" t="s">
        <v>6457</v>
      </c>
      <c r="AL647" s="80" t="s">
        <v>6770</v>
      </c>
      <c r="AM647" s="84" t="str">
        <f>HYPERLINK("https://t.co/FoNHFjwpfr")</f>
        <v>https://t.co/FoNHFjwpfr</v>
      </c>
      <c r="AN647" s="80"/>
      <c r="AO647" s="82">
        <v>44236.245405092595</v>
      </c>
      <c r="AP647" s="84" t="str">
        <f>HYPERLINK("https://pbs.twimg.com/profile_banners/1359017410406150148/1618202280")</f>
        <v>https://pbs.twimg.com/profile_banners/1359017410406150148/1618202280</v>
      </c>
      <c r="AQ647" s="80" t="b">
        <v>1</v>
      </c>
      <c r="AR647" s="80" t="b">
        <v>0</v>
      </c>
      <c r="AS647" s="80" t="b">
        <v>0</v>
      </c>
      <c r="AT647" s="80"/>
      <c r="AU647" s="80">
        <v>3</v>
      </c>
      <c r="AV647" s="80"/>
      <c r="AW647" s="80" t="b">
        <v>1</v>
      </c>
      <c r="AX647" s="80" t="s">
        <v>7173</v>
      </c>
      <c r="AY647" s="84" t="str">
        <f>HYPERLINK("https://twitter.com/zaloraidn")</f>
        <v>https://twitter.com/zaloraidn</v>
      </c>
      <c r="AZ647" s="80" t="s">
        <v>65</v>
      </c>
      <c r="BA647" s="2"/>
      <c r="BB647" s="3"/>
      <c r="BC647" s="3"/>
      <c r="BD647" s="3"/>
      <c r="BE647" s="3"/>
    </row>
    <row r="648" spans="1:57" x14ac:dyDescent="0.35">
      <c r="A648" s="66" t="s">
        <v>741</v>
      </c>
      <c r="B648" s="67"/>
      <c r="C648" s="67"/>
      <c r="D648" s="68"/>
      <c r="E648" s="70"/>
      <c r="F648" s="106" t="str">
        <f>HYPERLINK("https://pbs.twimg.com/profile_images/1152387842267471872/ZD4BHcke_normal.jpg")</f>
        <v>https://pbs.twimg.com/profile_images/1152387842267471872/ZD4BHcke_normal.jpg</v>
      </c>
      <c r="G648" s="67"/>
      <c r="H648" s="71"/>
      <c r="I648" s="72"/>
      <c r="J648" s="72"/>
      <c r="K648" s="71" t="s">
        <v>7818</v>
      </c>
      <c r="L648" s="75"/>
      <c r="M648" s="76"/>
      <c r="N648" s="76"/>
      <c r="O648" s="77"/>
      <c r="P648" s="78"/>
      <c r="Q648" s="78"/>
      <c r="R648" s="90"/>
      <c r="S648" s="90"/>
      <c r="T648" s="90"/>
      <c r="U648" s="90"/>
      <c r="V648" s="52"/>
      <c r="W648" s="52"/>
      <c r="X648" s="52"/>
      <c r="Y648" s="52"/>
      <c r="Z648" s="51"/>
      <c r="AA648" s="73"/>
      <c r="AB648" s="73"/>
      <c r="AC648" s="74"/>
      <c r="AD648" s="80" t="s">
        <v>4820</v>
      </c>
      <c r="AE648" s="86" t="s">
        <v>3978</v>
      </c>
      <c r="AF648" s="80">
        <v>1756</v>
      </c>
      <c r="AG648" s="80">
        <v>46629</v>
      </c>
      <c r="AH648" s="80">
        <v>37331</v>
      </c>
      <c r="AI648" s="80">
        <v>2624</v>
      </c>
      <c r="AJ648" s="80"/>
      <c r="AK648" s="80" t="s">
        <v>6458</v>
      </c>
      <c r="AL648" s="80" t="s">
        <v>6788</v>
      </c>
      <c r="AM648" s="84" t="str">
        <f>HYPERLINK("https://t.co/DykodlBeVi")</f>
        <v>https://t.co/DykodlBeVi</v>
      </c>
      <c r="AN648" s="80"/>
      <c r="AO648" s="82">
        <v>40459.635023148148</v>
      </c>
      <c r="AP648" s="84" t="str">
        <f>HYPERLINK("https://pbs.twimg.com/profile_banners/200144577/1572568204")</f>
        <v>https://pbs.twimg.com/profile_banners/200144577/1572568204</v>
      </c>
      <c r="AQ648" s="80" t="b">
        <v>0</v>
      </c>
      <c r="AR648" s="80" t="b">
        <v>0</v>
      </c>
      <c r="AS648" s="80" t="b">
        <v>1</v>
      </c>
      <c r="AT648" s="80"/>
      <c r="AU648" s="80">
        <v>99</v>
      </c>
      <c r="AV648" s="84" t="str">
        <f>HYPERLINK("https://abs.twimg.com/images/themes/theme1/bg.png")</f>
        <v>https://abs.twimg.com/images/themes/theme1/bg.png</v>
      </c>
      <c r="AW648" s="80" t="b">
        <v>0</v>
      </c>
      <c r="AX648" s="80" t="s">
        <v>7173</v>
      </c>
      <c r="AY648" s="84" t="str">
        <f>HYPERLINK("https://twitter.com/ko2w")</f>
        <v>https://twitter.com/ko2w</v>
      </c>
      <c r="AZ648" s="80" t="s">
        <v>66</v>
      </c>
      <c r="BA648" s="2"/>
      <c r="BB648" s="3"/>
      <c r="BC648" s="3"/>
      <c r="BD648" s="3"/>
      <c r="BE648" s="3"/>
    </row>
    <row r="649" spans="1:57" x14ac:dyDescent="0.35">
      <c r="A649" s="66" t="s">
        <v>742</v>
      </c>
      <c r="B649" s="67"/>
      <c r="C649" s="67"/>
      <c r="D649" s="68"/>
      <c r="E649" s="70"/>
      <c r="F649" s="106" t="str">
        <f>HYPERLINK("https://pbs.twimg.com/profile_images/1018383053255659521/ftb_vb3n_normal.jpg")</f>
        <v>https://pbs.twimg.com/profile_images/1018383053255659521/ftb_vb3n_normal.jpg</v>
      </c>
      <c r="G649" s="67"/>
      <c r="H649" s="71"/>
      <c r="I649" s="72"/>
      <c r="J649" s="72"/>
      <c r="K649" s="71" t="s">
        <v>7819</v>
      </c>
      <c r="L649" s="75"/>
      <c r="M649" s="76"/>
      <c r="N649" s="76"/>
      <c r="O649" s="77"/>
      <c r="P649" s="78"/>
      <c r="Q649" s="78"/>
      <c r="R649" s="90"/>
      <c r="S649" s="90"/>
      <c r="T649" s="90"/>
      <c r="U649" s="90"/>
      <c r="V649" s="52"/>
      <c r="W649" s="52"/>
      <c r="X649" s="52"/>
      <c r="Y649" s="52"/>
      <c r="Z649" s="51"/>
      <c r="AA649" s="73"/>
      <c r="AB649" s="73"/>
      <c r="AC649" s="74"/>
      <c r="AD649" s="80" t="s">
        <v>4821</v>
      </c>
      <c r="AE649" s="86" t="s">
        <v>5696</v>
      </c>
      <c r="AF649" s="80">
        <v>184</v>
      </c>
      <c r="AG649" s="80">
        <v>116</v>
      </c>
      <c r="AH649" s="80">
        <v>25210</v>
      </c>
      <c r="AI649" s="80">
        <v>3161</v>
      </c>
      <c r="AJ649" s="80"/>
      <c r="AK649" s="80" t="s">
        <v>6459</v>
      </c>
      <c r="AL649" s="80" t="s">
        <v>6963</v>
      </c>
      <c r="AM649" s="84" t="str">
        <f>HYPERLINK("https://t.co/GHHJyUrcDP")</f>
        <v>https://t.co/GHHJyUrcDP</v>
      </c>
      <c r="AN649" s="80"/>
      <c r="AO649" s="82">
        <v>40228.25104166667</v>
      </c>
      <c r="AP649" s="84" t="str">
        <f>HYPERLINK("https://pbs.twimg.com/profile_banners/115592547/1481527414")</f>
        <v>https://pbs.twimg.com/profile_banners/115592547/1481527414</v>
      </c>
      <c r="AQ649" s="80" t="b">
        <v>0</v>
      </c>
      <c r="AR649" s="80" t="b">
        <v>0</v>
      </c>
      <c r="AS649" s="80" t="b">
        <v>0</v>
      </c>
      <c r="AT649" s="80"/>
      <c r="AU649" s="80">
        <v>2</v>
      </c>
      <c r="AV649" s="84" t="str">
        <f>HYPERLINK("https://abs.twimg.com/images/themes/theme2/bg.gif")</f>
        <v>https://abs.twimg.com/images/themes/theme2/bg.gif</v>
      </c>
      <c r="AW649" s="80" t="b">
        <v>0</v>
      </c>
      <c r="AX649" s="80" t="s">
        <v>7173</v>
      </c>
      <c r="AY649" s="84" t="str">
        <f>HYPERLINK("https://twitter.com/saiahunk")</f>
        <v>https://twitter.com/saiahunk</v>
      </c>
      <c r="AZ649" s="80" t="s">
        <v>66</v>
      </c>
      <c r="BA649" s="2"/>
      <c r="BB649" s="3"/>
      <c r="BC649" s="3"/>
      <c r="BD649" s="3"/>
      <c r="BE649" s="3"/>
    </row>
    <row r="650" spans="1:57" x14ac:dyDescent="0.35">
      <c r="A650" s="66" t="s">
        <v>743</v>
      </c>
      <c r="B650" s="67"/>
      <c r="C650" s="67"/>
      <c r="D650" s="68"/>
      <c r="E650" s="70"/>
      <c r="F650" s="106" t="str">
        <f>HYPERLINK("https://pbs.twimg.com/profile_images/1380531532184514561/Z_ZuhacR_normal.jpg")</f>
        <v>https://pbs.twimg.com/profile_images/1380531532184514561/Z_ZuhacR_normal.jpg</v>
      </c>
      <c r="G650" s="67"/>
      <c r="H650" s="71"/>
      <c r="I650" s="72"/>
      <c r="J650" s="72"/>
      <c r="K650" s="71" t="s">
        <v>7820</v>
      </c>
      <c r="L650" s="75"/>
      <c r="M650" s="76"/>
      <c r="N650" s="76"/>
      <c r="O650" s="77"/>
      <c r="P650" s="78"/>
      <c r="Q650" s="78"/>
      <c r="R650" s="90"/>
      <c r="S650" s="90"/>
      <c r="T650" s="90"/>
      <c r="U650" s="90"/>
      <c r="V650" s="52"/>
      <c r="W650" s="52"/>
      <c r="X650" s="52"/>
      <c r="Y650" s="52"/>
      <c r="Z650" s="51"/>
      <c r="AA650" s="73"/>
      <c r="AB650" s="73"/>
      <c r="AC650" s="74"/>
      <c r="AD650" s="80" t="s">
        <v>4822</v>
      </c>
      <c r="AE650" s="86" t="s">
        <v>5697</v>
      </c>
      <c r="AF650" s="80">
        <v>58</v>
      </c>
      <c r="AG650" s="80">
        <v>180</v>
      </c>
      <c r="AH650" s="80">
        <v>6796</v>
      </c>
      <c r="AI650" s="80">
        <v>2</v>
      </c>
      <c r="AJ650" s="80"/>
      <c r="AK650" s="80" t="s">
        <v>6460</v>
      </c>
      <c r="AL650" s="80"/>
      <c r="AM650" s="80"/>
      <c r="AN650" s="80"/>
      <c r="AO650" s="82">
        <v>44077.674768518518</v>
      </c>
      <c r="AP650" s="80"/>
      <c r="AQ650" s="80" t="b">
        <v>1</v>
      </c>
      <c r="AR650" s="80" t="b">
        <v>0</v>
      </c>
      <c r="AS650" s="80" t="b">
        <v>0</v>
      </c>
      <c r="AT650" s="80"/>
      <c r="AU650" s="80">
        <v>0</v>
      </c>
      <c r="AV650" s="80"/>
      <c r="AW650" s="80" t="b">
        <v>0</v>
      </c>
      <c r="AX650" s="80" t="s">
        <v>7173</v>
      </c>
      <c r="AY650" s="84" t="str">
        <f>HYPERLINK("https://twitter.com/res_okus")</f>
        <v>https://twitter.com/res_okus</v>
      </c>
      <c r="AZ650" s="80" t="s">
        <v>66</v>
      </c>
      <c r="BA650" s="2"/>
      <c r="BB650" s="3"/>
      <c r="BC650" s="3"/>
      <c r="BD650" s="3"/>
      <c r="BE650" s="3"/>
    </row>
    <row r="651" spans="1:57" x14ac:dyDescent="0.35">
      <c r="A651" s="66" t="s">
        <v>744</v>
      </c>
      <c r="B651" s="67"/>
      <c r="C651" s="67"/>
      <c r="D651" s="68"/>
      <c r="E651" s="70"/>
      <c r="F651" s="106" t="str">
        <f>HYPERLINK("https://pbs.twimg.com/profile_images/1442704888786407426/_vFoPfdC_normal.jpg")</f>
        <v>https://pbs.twimg.com/profile_images/1442704888786407426/_vFoPfdC_normal.jpg</v>
      </c>
      <c r="G651" s="67"/>
      <c r="H651" s="71"/>
      <c r="I651" s="72"/>
      <c r="J651" s="72"/>
      <c r="K651" s="71" t="s">
        <v>7821</v>
      </c>
      <c r="L651" s="75"/>
      <c r="M651" s="76"/>
      <c r="N651" s="76"/>
      <c r="O651" s="77"/>
      <c r="P651" s="78"/>
      <c r="Q651" s="78"/>
      <c r="R651" s="90"/>
      <c r="S651" s="90"/>
      <c r="T651" s="90"/>
      <c r="U651" s="90"/>
      <c r="V651" s="52"/>
      <c r="W651" s="52"/>
      <c r="X651" s="52"/>
      <c r="Y651" s="52"/>
      <c r="Z651" s="51"/>
      <c r="AA651" s="73"/>
      <c r="AB651" s="73"/>
      <c r="AC651" s="74"/>
      <c r="AD651" s="80" t="s">
        <v>4823</v>
      </c>
      <c r="AE651" s="86" t="s">
        <v>5698</v>
      </c>
      <c r="AF651" s="80">
        <v>279</v>
      </c>
      <c r="AG651" s="80">
        <v>446</v>
      </c>
      <c r="AH651" s="80">
        <v>20021</v>
      </c>
      <c r="AI651" s="80">
        <v>4388</v>
      </c>
      <c r="AJ651" s="80"/>
      <c r="AK651" s="80" t="s">
        <v>6461</v>
      </c>
      <c r="AL651" s="80" t="s">
        <v>7023</v>
      </c>
      <c r="AM651" s="84" t="str">
        <f>HYPERLINK("https://t.co/vZua6jNtay")</f>
        <v>https://t.co/vZua6jNtay</v>
      </c>
      <c r="AN651" s="80"/>
      <c r="AO651" s="82">
        <v>40011.531701388885</v>
      </c>
      <c r="AP651" s="84" t="str">
        <f>HYPERLINK("https://pbs.twimg.com/profile_banners/57633045/1632802625")</f>
        <v>https://pbs.twimg.com/profile_banners/57633045/1632802625</v>
      </c>
      <c r="AQ651" s="80" t="b">
        <v>0</v>
      </c>
      <c r="AR651" s="80" t="b">
        <v>0</v>
      </c>
      <c r="AS651" s="80" t="b">
        <v>0</v>
      </c>
      <c r="AT651" s="80"/>
      <c r="AU651" s="80">
        <v>7</v>
      </c>
      <c r="AV651" s="84" t="str">
        <f>HYPERLINK("https://abs.twimg.com/images/themes/theme11/bg.gif")</f>
        <v>https://abs.twimg.com/images/themes/theme11/bg.gif</v>
      </c>
      <c r="AW651" s="80" t="b">
        <v>0</v>
      </c>
      <c r="AX651" s="80" t="s">
        <v>7173</v>
      </c>
      <c r="AY651" s="84" t="str">
        <f>HYPERLINK("https://twitter.com/oecsik")</f>
        <v>https://twitter.com/oecsik</v>
      </c>
      <c r="AZ651" s="80" t="s">
        <v>66</v>
      </c>
      <c r="BA651" s="2"/>
      <c r="BB651" s="3"/>
      <c r="BC651" s="3"/>
      <c r="BD651" s="3"/>
      <c r="BE651" s="3"/>
    </row>
    <row r="652" spans="1:57" x14ac:dyDescent="0.35">
      <c r="A652" s="66" t="s">
        <v>745</v>
      </c>
      <c r="B652" s="67"/>
      <c r="C652" s="67"/>
      <c r="D652" s="68"/>
      <c r="E652" s="70"/>
      <c r="F652" s="106" t="str">
        <f>HYPERLINK("https://pbs.twimg.com/profile_images/1383673548728799239/ZVOJozh6_normal.jpg")</f>
        <v>https://pbs.twimg.com/profile_images/1383673548728799239/ZVOJozh6_normal.jpg</v>
      </c>
      <c r="G652" s="67"/>
      <c r="H652" s="71"/>
      <c r="I652" s="72"/>
      <c r="J652" s="72"/>
      <c r="K652" s="71" t="s">
        <v>7822</v>
      </c>
      <c r="L652" s="75"/>
      <c r="M652" s="76"/>
      <c r="N652" s="76"/>
      <c r="O652" s="77"/>
      <c r="P652" s="78"/>
      <c r="Q652" s="78"/>
      <c r="R652" s="90"/>
      <c r="S652" s="90"/>
      <c r="T652" s="90"/>
      <c r="U652" s="90"/>
      <c r="V652" s="52"/>
      <c r="W652" s="52"/>
      <c r="X652" s="52"/>
      <c r="Y652" s="52"/>
      <c r="Z652" s="51"/>
      <c r="AA652" s="73"/>
      <c r="AB652" s="73"/>
      <c r="AC652" s="74"/>
      <c r="AD652" s="80" t="s">
        <v>4824</v>
      </c>
      <c r="AE652" s="86" t="s">
        <v>5699</v>
      </c>
      <c r="AF652" s="80">
        <v>38</v>
      </c>
      <c r="AG652" s="80">
        <v>48</v>
      </c>
      <c r="AH652" s="80">
        <v>2368</v>
      </c>
      <c r="AI652" s="80">
        <v>2</v>
      </c>
      <c r="AJ652" s="80"/>
      <c r="AK652" s="80" t="s">
        <v>6462</v>
      </c>
      <c r="AL652" s="80"/>
      <c r="AM652" s="80"/>
      <c r="AN652" s="80"/>
      <c r="AO652" s="82">
        <v>44304.282743055555</v>
      </c>
      <c r="AP652" s="80"/>
      <c r="AQ652" s="80" t="b">
        <v>1</v>
      </c>
      <c r="AR652" s="80" t="b">
        <v>0</v>
      </c>
      <c r="AS652" s="80" t="b">
        <v>0</v>
      </c>
      <c r="AT652" s="80"/>
      <c r="AU652" s="80">
        <v>0</v>
      </c>
      <c r="AV652" s="80"/>
      <c r="AW652" s="80" t="b">
        <v>0</v>
      </c>
      <c r="AX652" s="80" t="s">
        <v>7173</v>
      </c>
      <c r="AY652" s="84" t="str">
        <f>HYPERLINK("https://twitter.com/portalkalbar1")</f>
        <v>https://twitter.com/portalkalbar1</v>
      </c>
      <c r="AZ652" s="80" t="s">
        <v>66</v>
      </c>
      <c r="BA652" s="2"/>
      <c r="BB652" s="3"/>
      <c r="BC652" s="3"/>
      <c r="BD652" s="3"/>
      <c r="BE652" s="3"/>
    </row>
    <row r="653" spans="1:57" x14ac:dyDescent="0.35">
      <c r="A653" s="66" t="s">
        <v>746</v>
      </c>
      <c r="B653" s="67"/>
      <c r="C653" s="67"/>
      <c r="D653" s="68"/>
      <c r="E653" s="70"/>
      <c r="F653" s="106" t="str">
        <f>HYPERLINK("https://pbs.twimg.com/profile_images/994041206542712832/uhVZfhwi_normal.jpg")</f>
        <v>https://pbs.twimg.com/profile_images/994041206542712832/uhVZfhwi_normal.jpg</v>
      </c>
      <c r="G653" s="67"/>
      <c r="H653" s="71"/>
      <c r="I653" s="72"/>
      <c r="J653" s="72"/>
      <c r="K653" s="71" t="s">
        <v>7823</v>
      </c>
      <c r="L653" s="75"/>
      <c r="M653" s="76"/>
      <c r="N653" s="76"/>
      <c r="O653" s="77"/>
      <c r="P653" s="78"/>
      <c r="Q653" s="78"/>
      <c r="R653" s="90"/>
      <c r="S653" s="90"/>
      <c r="T653" s="90"/>
      <c r="U653" s="90"/>
      <c r="V653" s="52"/>
      <c r="W653" s="52"/>
      <c r="X653" s="52"/>
      <c r="Y653" s="52"/>
      <c r="Z653" s="51"/>
      <c r="AA653" s="73"/>
      <c r="AB653" s="73"/>
      <c r="AC653" s="74"/>
      <c r="AD653" s="80" t="s">
        <v>4825</v>
      </c>
      <c r="AE653" s="86" t="s">
        <v>3979</v>
      </c>
      <c r="AF653" s="80">
        <v>94</v>
      </c>
      <c r="AG653" s="80">
        <v>232</v>
      </c>
      <c r="AH653" s="80">
        <v>804</v>
      </c>
      <c r="AI653" s="80">
        <v>49</v>
      </c>
      <c r="AJ653" s="80"/>
      <c r="AK653" s="80" t="s">
        <v>6463</v>
      </c>
      <c r="AL653" s="80" t="s">
        <v>7024</v>
      </c>
      <c r="AM653" s="80"/>
      <c r="AN653" s="80"/>
      <c r="AO653" s="82">
        <v>42795.996712962966</v>
      </c>
      <c r="AP653" s="84" t="str">
        <f>HYPERLINK("https://pbs.twimg.com/profile_banners/837088882470621185/1604978390")</f>
        <v>https://pbs.twimg.com/profile_banners/837088882470621185/1604978390</v>
      </c>
      <c r="AQ653" s="80" t="b">
        <v>0</v>
      </c>
      <c r="AR653" s="80" t="b">
        <v>0</v>
      </c>
      <c r="AS653" s="80" t="b">
        <v>0</v>
      </c>
      <c r="AT653" s="80"/>
      <c r="AU653" s="80">
        <v>0</v>
      </c>
      <c r="AV653" s="84" t="str">
        <f>HYPERLINK("https://abs.twimg.com/images/themes/theme1/bg.png")</f>
        <v>https://abs.twimg.com/images/themes/theme1/bg.png</v>
      </c>
      <c r="AW653" s="80" t="b">
        <v>0</v>
      </c>
      <c r="AX653" s="80" t="s">
        <v>7173</v>
      </c>
      <c r="AY653" s="84" t="str">
        <f>HYPERLINK("https://twitter.com/bapas_makassar")</f>
        <v>https://twitter.com/bapas_makassar</v>
      </c>
      <c r="AZ653" s="80" t="s">
        <v>66</v>
      </c>
      <c r="BA653" s="2"/>
      <c r="BB653" s="3"/>
      <c r="BC653" s="3"/>
      <c r="BD653" s="3"/>
      <c r="BE653" s="3"/>
    </row>
    <row r="654" spans="1:57" x14ac:dyDescent="0.35">
      <c r="A654" s="66" t="s">
        <v>747</v>
      </c>
      <c r="B654" s="67"/>
      <c r="C654" s="67"/>
      <c r="D654" s="68"/>
      <c r="E654" s="70"/>
      <c r="F654" s="106" t="str">
        <f>HYPERLINK("https://pbs.twimg.com/profile_images/1286049738568024064/S4XsA1cf_normal.jpg")</f>
        <v>https://pbs.twimg.com/profile_images/1286049738568024064/S4XsA1cf_normal.jpg</v>
      </c>
      <c r="G654" s="67"/>
      <c r="H654" s="71"/>
      <c r="I654" s="72"/>
      <c r="J654" s="72"/>
      <c r="K654" s="71" t="s">
        <v>7824</v>
      </c>
      <c r="L654" s="75"/>
      <c r="M654" s="76"/>
      <c r="N654" s="76"/>
      <c r="O654" s="77"/>
      <c r="P654" s="78"/>
      <c r="Q654" s="78"/>
      <c r="R654" s="90"/>
      <c r="S654" s="90"/>
      <c r="T654" s="90"/>
      <c r="U654" s="90"/>
      <c r="V654" s="52"/>
      <c r="W654" s="52"/>
      <c r="X654" s="52"/>
      <c r="Y654" s="52"/>
      <c r="Z654" s="51"/>
      <c r="AA654" s="73"/>
      <c r="AB654" s="73"/>
      <c r="AC654" s="74"/>
      <c r="AD654" s="80" t="s">
        <v>4241</v>
      </c>
      <c r="AE654" s="86" t="s">
        <v>5700</v>
      </c>
      <c r="AF654" s="80">
        <v>211</v>
      </c>
      <c r="AG654" s="80">
        <v>263</v>
      </c>
      <c r="AH654" s="80">
        <v>11036</v>
      </c>
      <c r="AI654" s="80">
        <v>923</v>
      </c>
      <c r="AJ654" s="80"/>
      <c r="AK654" s="80" t="s">
        <v>6464</v>
      </c>
      <c r="AL654" s="80" t="s">
        <v>6762</v>
      </c>
      <c r="AM654" s="80"/>
      <c r="AN654" s="80"/>
      <c r="AO654" s="82">
        <v>40627.311597222222</v>
      </c>
      <c r="AP654" s="84" t="str">
        <f>HYPERLINK("https://pbs.twimg.com/profile_banners/271818771/1404228424")</f>
        <v>https://pbs.twimg.com/profile_banners/271818771/1404228424</v>
      </c>
      <c r="AQ654" s="80" t="b">
        <v>0</v>
      </c>
      <c r="AR654" s="80" t="b">
        <v>0</v>
      </c>
      <c r="AS654" s="80" t="b">
        <v>1</v>
      </c>
      <c r="AT654" s="80"/>
      <c r="AU654" s="80">
        <v>0</v>
      </c>
      <c r="AV654" s="84" t="str">
        <f>HYPERLINK("https://abs.twimg.com/images/themes/theme15/bg.png")</f>
        <v>https://abs.twimg.com/images/themes/theme15/bg.png</v>
      </c>
      <c r="AW654" s="80" t="b">
        <v>0</v>
      </c>
      <c r="AX654" s="80" t="s">
        <v>7173</v>
      </c>
      <c r="AY654" s="84" t="str">
        <f>HYPERLINK("https://twitter.com/wafaarhmn")</f>
        <v>https://twitter.com/wafaarhmn</v>
      </c>
      <c r="AZ654" s="80" t="s">
        <v>66</v>
      </c>
      <c r="BA654" s="2"/>
      <c r="BB654" s="3"/>
      <c r="BC654" s="3"/>
      <c r="BD654" s="3"/>
      <c r="BE654" s="3"/>
    </row>
    <row r="655" spans="1:57" x14ac:dyDescent="0.35">
      <c r="A655" s="66" t="s">
        <v>1109</v>
      </c>
      <c r="B655" s="67"/>
      <c r="C655" s="67"/>
      <c r="D655" s="68"/>
      <c r="E655" s="70"/>
      <c r="F655" s="106" t="str">
        <f>HYPERLINK("https://pbs.twimg.com/profile_images/1297352297467408384/FMsbk4sP_normal.jpg")</f>
        <v>https://pbs.twimg.com/profile_images/1297352297467408384/FMsbk4sP_normal.jpg</v>
      </c>
      <c r="G655" s="67"/>
      <c r="H655" s="71"/>
      <c r="I655" s="72"/>
      <c r="J655" s="72"/>
      <c r="K655" s="71" t="s">
        <v>7825</v>
      </c>
      <c r="L655" s="75"/>
      <c r="M655" s="76"/>
      <c r="N655" s="76"/>
      <c r="O655" s="77"/>
      <c r="P655" s="78"/>
      <c r="Q655" s="78"/>
      <c r="R655" s="90"/>
      <c r="S655" s="90"/>
      <c r="T655" s="90"/>
      <c r="U655" s="90"/>
      <c r="V655" s="52"/>
      <c r="W655" s="52"/>
      <c r="X655" s="52"/>
      <c r="Y655" s="52"/>
      <c r="Z655" s="51"/>
      <c r="AA655" s="73"/>
      <c r="AB655" s="73"/>
      <c r="AC655" s="74"/>
      <c r="AD655" s="80" t="s">
        <v>4826</v>
      </c>
      <c r="AE655" s="86" t="s">
        <v>5701</v>
      </c>
      <c r="AF655" s="80">
        <v>385</v>
      </c>
      <c r="AG655" s="80">
        <v>846</v>
      </c>
      <c r="AH655" s="80">
        <v>60492</v>
      </c>
      <c r="AI655" s="80">
        <v>78</v>
      </c>
      <c r="AJ655" s="80"/>
      <c r="AK655" s="80" t="s">
        <v>6465</v>
      </c>
      <c r="AL655" s="80" t="s">
        <v>6762</v>
      </c>
      <c r="AM655" s="80"/>
      <c r="AN655" s="80"/>
      <c r="AO655" s="82">
        <v>40180.371793981481</v>
      </c>
      <c r="AP655" s="84" t="str">
        <f>HYPERLINK("https://pbs.twimg.com/profile_banners/101178286/1581330958")</f>
        <v>https://pbs.twimg.com/profile_banners/101178286/1581330958</v>
      </c>
      <c r="AQ655" s="80" t="b">
        <v>0</v>
      </c>
      <c r="AR655" s="80" t="b">
        <v>0</v>
      </c>
      <c r="AS655" s="80" t="b">
        <v>0</v>
      </c>
      <c r="AT655" s="80"/>
      <c r="AU655" s="80">
        <v>3</v>
      </c>
      <c r="AV655" s="84" t="str">
        <f>HYPERLINK("https://abs.twimg.com/images/themes/theme13/bg.gif")</f>
        <v>https://abs.twimg.com/images/themes/theme13/bg.gif</v>
      </c>
      <c r="AW655" s="80" t="b">
        <v>0</v>
      </c>
      <c r="AX655" s="80" t="s">
        <v>7173</v>
      </c>
      <c r="AY655" s="84" t="str">
        <f>HYPERLINK("https://twitter.com/daenerystgrnn")</f>
        <v>https://twitter.com/daenerystgrnn</v>
      </c>
      <c r="AZ655" s="80" t="s">
        <v>65</v>
      </c>
      <c r="BA655" s="2"/>
      <c r="BB655" s="3"/>
      <c r="BC655" s="3"/>
      <c r="BD655" s="3"/>
      <c r="BE655" s="3"/>
    </row>
    <row r="656" spans="1:57" x14ac:dyDescent="0.35">
      <c r="A656" s="66" t="s">
        <v>1110</v>
      </c>
      <c r="B656" s="67"/>
      <c r="C656" s="67"/>
      <c r="D656" s="68"/>
      <c r="E656" s="70"/>
      <c r="F656" s="106" t="str">
        <f>HYPERLINK("https://pbs.twimg.com/profile_images/1435200168194822145/YyLwgtTV_normal.jpg")</f>
        <v>https://pbs.twimg.com/profile_images/1435200168194822145/YyLwgtTV_normal.jpg</v>
      </c>
      <c r="G656" s="67"/>
      <c r="H656" s="71"/>
      <c r="I656" s="72"/>
      <c r="J656" s="72"/>
      <c r="K656" s="71" t="s">
        <v>7826</v>
      </c>
      <c r="L656" s="75"/>
      <c r="M656" s="76"/>
      <c r="N656" s="76"/>
      <c r="O656" s="77"/>
      <c r="P656" s="78"/>
      <c r="Q656" s="78"/>
      <c r="R656" s="90"/>
      <c r="S656" s="90"/>
      <c r="T656" s="90"/>
      <c r="U656" s="90"/>
      <c r="V656" s="52"/>
      <c r="W656" s="52"/>
      <c r="X656" s="52"/>
      <c r="Y656" s="52"/>
      <c r="Z656" s="51"/>
      <c r="AA656" s="73"/>
      <c r="AB656" s="73"/>
      <c r="AC656" s="74"/>
      <c r="AD656" s="80" t="s">
        <v>4827</v>
      </c>
      <c r="AE656" s="86" t="s">
        <v>3980</v>
      </c>
      <c r="AF656" s="80">
        <v>105</v>
      </c>
      <c r="AG656" s="80">
        <v>104</v>
      </c>
      <c r="AH656" s="80">
        <v>3336</v>
      </c>
      <c r="AI656" s="80">
        <v>631</v>
      </c>
      <c r="AJ656" s="80"/>
      <c r="AK656" s="80"/>
      <c r="AL656" s="80" t="s">
        <v>6762</v>
      </c>
      <c r="AM656" s="80"/>
      <c r="AN656" s="80"/>
      <c r="AO656" s="82">
        <v>41150.338865740741</v>
      </c>
      <c r="AP656" s="80"/>
      <c r="AQ656" s="80" t="b">
        <v>0</v>
      </c>
      <c r="AR656" s="80" t="b">
        <v>0</v>
      </c>
      <c r="AS656" s="80" t="b">
        <v>1</v>
      </c>
      <c r="AT656" s="80"/>
      <c r="AU656" s="80">
        <v>0</v>
      </c>
      <c r="AV656" s="84" t="str">
        <f>HYPERLINK("https://abs.twimg.com/images/themes/theme9/bg.gif")</f>
        <v>https://abs.twimg.com/images/themes/theme9/bg.gif</v>
      </c>
      <c r="AW656" s="80" t="b">
        <v>0</v>
      </c>
      <c r="AX656" s="80" t="s">
        <v>7173</v>
      </c>
      <c r="AY656" s="84" t="str">
        <f>HYPERLINK("https://twitter.com/rizkicgmlr")</f>
        <v>https://twitter.com/rizkicgmlr</v>
      </c>
      <c r="AZ656" s="80" t="s">
        <v>65</v>
      </c>
      <c r="BA656" s="2"/>
      <c r="BB656" s="3"/>
      <c r="BC656" s="3"/>
      <c r="BD656" s="3"/>
      <c r="BE656" s="3"/>
    </row>
    <row r="657" spans="1:57" x14ac:dyDescent="0.35">
      <c r="A657" s="66" t="s">
        <v>748</v>
      </c>
      <c r="B657" s="67"/>
      <c r="C657" s="67"/>
      <c r="D657" s="68"/>
      <c r="E657" s="70"/>
      <c r="F657" s="106" t="str">
        <f>HYPERLINK("https://pbs.twimg.com/profile_images/1435266779434012674/zNl8XNUZ_normal.jpg")</f>
        <v>https://pbs.twimg.com/profile_images/1435266779434012674/zNl8XNUZ_normal.jpg</v>
      </c>
      <c r="G657" s="67"/>
      <c r="H657" s="71"/>
      <c r="I657" s="72"/>
      <c r="J657" s="72"/>
      <c r="K657" s="71" t="s">
        <v>7827</v>
      </c>
      <c r="L657" s="75"/>
      <c r="M657" s="76"/>
      <c r="N657" s="76"/>
      <c r="O657" s="77"/>
      <c r="P657" s="78"/>
      <c r="Q657" s="78"/>
      <c r="R657" s="90"/>
      <c r="S657" s="90"/>
      <c r="T657" s="90"/>
      <c r="U657" s="90"/>
      <c r="V657" s="52"/>
      <c r="W657" s="52"/>
      <c r="X657" s="52"/>
      <c r="Y657" s="52"/>
      <c r="Z657" s="51"/>
      <c r="AA657" s="73"/>
      <c r="AB657" s="73"/>
      <c r="AC657" s="74"/>
      <c r="AD657" s="80" t="s">
        <v>4828</v>
      </c>
      <c r="AE657" s="86" t="s">
        <v>3981</v>
      </c>
      <c r="AF657" s="80">
        <v>406</v>
      </c>
      <c r="AG657" s="80">
        <v>170</v>
      </c>
      <c r="AH657" s="80">
        <v>17262</v>
      </c>
      <c r="AI657" s="80">
        <v>13806</v>
      </c>
      <c r="AJ657" s="80"/>
      <c r="AK657" s="80" t="s">
        <v>6466</v>
      </c>
      <c r="AL657" s="80" t="s">
        <v>7025</v>
      </c>
      <c r="AM657" s="80"/>
      <c r="AN657" s="80"/>
      <c r="AO657" s="82">
        <v>43161.588449074072</v>
      </c>
      <c r="AP657" s="84" t="str">
        <f>HYPERLINK("https://pbs.twimg.com/profile_banners/969574890087985152/1622654062")</f>
        <v>https://pbs.twimg.com/profile_banners/969574890087985152/1622654062</v>
      </c>
      <c r="AQ657" s="80" t="b">
        <v>1</v>
      </c>
      <c r="AR657" s="80" t="b">
        <v>0</v>
      </c>
      <c r="AS657" s="80" t="b">
        <v>0</v>
      </c>
      <c r="AT657" s="80"/>
      <c r="AU657" s="80">
        <v>4</v>
      </c>
      <c r="AV657" s="80"/>
      <c r="AW657" s="80" t="b">
        <v>0</v>
      </c>
      <c r="AX657" s="80" t="s">
        <v>7173</v>
      </c>
      <c r="AY657" s="84" t="str">
        <f>HYPERLINK("https://twitter.com/rain_bow80")</f>
        <v>https://twitter.com/rain_bow80</v>
      </c>
      <c r="AZ657" s="80" t="s">
        <v>66</v>
      </c>
      <c r="BA657" s="2"/>
      <c r="BB657" s="3"/>
      <c r="BC657" s="3"/>
      <c r="BD657" s="3"/>
      <c r="BE657" s="3"/>
    </row>
    <row r="658" spans="1:57" x14ac:dyDescent="0.35">
      <c r="A658" s="66" t="s">
        <v>749</v>
      </c>
      <c r="B658" s="67"/>
      <c r="C658" s="67"/>
      <c r="D658" s="68"/>
      <c r="E658" s="70"/>
      <c r="F658" s="106" t="str">
        <f>HYPERLINK("https://pbs.twimg.com/profile_images/1437480358333669378/joQ5DRuU_normal.jpg")</f>
        <v>https://pbs.twimg.com/profile_images/1437480358333669378/joQ5DRuU_normal.jpg</v>
      </c>
      <c r="G658" s="67"/>
      <c r="H658" s="71"/>
      <c r="I658" s="72"/>
      <c r="J658" s="72"/>
      <c r="K658" s="71" t="s">
        <v>7828</v>
      </c>
      <c r="L658" s="75"/>
      <c r="M658" s="76"/>
      <c r="N658" s="76"/>
      <c r="O658" s="77"/>
      <c r="P658" s="78"/>
      <c r="Q658" s="78"/>
      <c r="R658" s="90"/>
      <c r="S658" s="90"/>
      <c r="T658" s="90"/>
      <c r="U658" s="90"/>
      <c r="V658" s="52"/>
      <c r="W658" s="52"/>
      <c r="X658" s="52"/>
      <c r="Y658" s="52"/>
      <c r="Z658" s="51"/>
      <c r="AA658" s="73"/>
      <c r="AB658" s="73"/>
      <c r="AC658" s="74"/>
      <c r="AD658" s="80" t="s">
        <v>4829</v>
      </c>
      <c r="AE658" s="86" t="s">
        <v>3983</v>
      </c>
      <c r="AF658" s="80">
        <v>985</v>
      </c>
      <c r="AG658" s="80">
        <v>874</v>
      </c>
      <c r="AH658" s="80">
        <v>69566</v>
      </c>
      <c r="AI658" s="80">
        <v>90124</v>
      </c>
      <c r="AJ658" s="80"/>
      <c r="AK658" s="80" t="s">
        <v>6467</v>
      </c>
      <c r="AL658" s="80" t="s">
        <v>7026</v>
      </c>
      <c r="AM658" s="84" t="str">
        <f>HYPERLINK("https://t.co/IuWMlHK5Mw")</f>
        <v>https://t.co/IuWMlHK5Mw</v>
      </c>
      <c r="AN658" s="80"/>
      <c r="AO658" s="82">
        <v>44072.637650462966</v>
      </c>
      <c r="AP658" s="84" t="str">
        <f>HYPERLINK("https://pbs.twimg.com/profile_banners/1299728027887173632/1628514568")</f>
        <v>https://pbs.twimg.com/profile_banners/1299728027887173632/1628514568</v>
      </c>
      <c r="AQ658" s="80" t="b">
        <v>1</v>
      </c>
      <c r="AR658" s="80" t="b">
        <v>0</v>
      </c>
      <c r="AS658" s="80" t="b">
        <v>0</v>
      </c>
      <c r="AT658" s="80"/>
      <c r="AU658" s="80">
        <v>18</v>
      </c>
      <c r="AV658" s="80"/>
      <c r="AW658" s="80" t="b">
        <v>0</v>
      </c>
      <c r="AX658" s="80" t="s">
        <v>7173</v>
      </c>
      <c r="AY658" s="84" t="str">
        <f>HYPERLINK("https://twitter.com/dounsedap")</f>
        <v>https://twitter.com/dounsedap</v>
      </c>
      <c r="AZ658" s="80" t="s">
        <v>66</v>
      </c>
      <c r="BA658" s="2"/>
      <c r="BB658" s="3"/>
      <c r="BC658" s="3"/>
      <c r="BD658" s="3"/>
      <c r="BE658" s="3"/>
    </row>
    <row r="659" spans="1:57" x14ac:dyDescent="0.35">
      <c r="A659" s="66" t="s">
        <v>750</v>
      </c>
      <c r="B659" s="67"/>
      <c r="C659" s="67"/>
      <c r="D659" s="68"/>
      <c r="E659" s="70"/>
      <c r="F659" s="106" t="str">
        <f>HYPERLINK("https://pbs.twimg.com/profile_images/1440905439441342464/PH_eKI8I_normal.jpg")</f>
        <v>https://pbs.twimg.com/profile_images/1440905439441342464/PH_eKI8I_normal.jpg</v>
      </c>
      <c r="G659" s="67"/>
      <c r="H659" s="71"/>
      <c r="I659" s="72"/>
      <c r="J659" s="72"/>
      <c r="K659" s="71" t="s">
        <v>7829</v>
      </c>
      <c r="L659" s="75"/>
      <c r="M659" s="76"/>
      <c r="N659" s="76"/>
      <c r="O659" s="77"/>
      <c r="P659" s="78"/>
      <c r="Q659" s="78"/>
      <c r="R659" s="90"/>
      <c r="S659" s="90"/>
      <c r="T659" s="90"/>
      <c r="U659" s="90"/>
      <c r="V659" s="52"/>
      <c r="W659" s="52"/>
      <c r="X659" s="52"/>
      <c r="Y659" s="52"/>
      <c r="Z659" s="51"/>
      <c r="AA659" s="73"/>
      <c r="AB659" s="73"/>
      <c r="AC659" s="74"/>
      <c r="AD659" s="80" t="s">
        <v>4830</v>
      </c>
      <c r="AE659" s="86" t="s">
        <v>3982</v>
      </c>
      <c r="AF659" s="80">
        <v>1109</v>
      </c>
      <c r="AG659" s="80">
        <v>1085</v>
      </c>
      <c r="AH659" s="80">
        <v>33203</v>
      </c>
      <c r="AI659" s="80">
        <v>7464</v>
      </c>
      <c r="AJ659" s="80"/>
      <c r="AK659" s="80" t="s">
        <v>6468</v>
      </c>
      <c r="AL659" s="80" t="s">
        <v>7027</v>
      </c>
      <c r="AM659" s="84" t="str">
        <f>HYPERLINK("https://t.co/Wn4sot7Lpu")</f>
        <v>https://t.co/Wn4sot7Lpu</v>
      </c>
      <c r="AN659" s="80"/>
      <c r="AO659" s="82">
        <v>43999.609155092592</v>
      </c>
      <c r="AP659" s="84" t="str">
        <f>HYPERLINK("https://pbs.twimg.com/profile_banners/1273263376504774656/1630151656")</f>
        <v>https://pbs.twimg.com/profile_banners/1273263376504774656/1630151656</v>
      </c>
      <c r="AQ659" s="80" t="b">
        <v>1</v>
      </c>
      <c r="AR659" s="80" t="b">
        <v>0</v>
      </c>
      <c r="AS659" s="80" t="b">
        <v>1</v>
      </c>
      <c r="AT659" s="80"/>
      <c r="AU659" s="80">
        <v>24</v>
      </c>
      <c r="AV659" s="80"/>
      <c r="AW659" s="80" t="b">
        <v>0</v>
      </c>
      <c r="AX659" s="80" t="s">
        <v>7173</v>
      </c>
      <c r="AY659" s="84" t="str">
        <f>HYPERLINK("https://twitter.com/dwoonyyy")</f>
        <v>https://twitter.com/dwoonyyy</v>
      </c>
      <c r="AZ659" s="80" t="s">
        <v>66</v>
      </c>
      <c r="BA659" s="2"/>
      <c r="BB659" s="3"/>
      <c r="BC659" s="3"/>
      <c r="BD659" s="3"/>
      <c r="BE659" s="3"/>
    </row>
    <row r="660" spans="1:57" x14ac:dyDescent="0.35">
      <c r="A660" s="66" t="s">
        <v>751</v>
      </c>
      <c r="B660" s="67"/>
      <c r="C660" s="67"/>
      <c r="D660" s="68"/>
      <c r="E660" s="70"/>
      <c r="F660" s="106" t="str">
        <f>HYPERLINK("https://pbs.twimg.com/profile_images/1425056024554131464/B9R69UKK_normal.jpg")</f>
        <v>https://pbs.twimg.com/profile_images/1425056024554131464/B9R69UKK_normal.jpg</v>
      </c>
      <c r="G660" s="67"/>
      <c r="H660" s="71"/>
      <c r="I660" s="72"/>
      <c r="J660" s="72"/>
      <c r="K660" s="71" t="s">
        <v>7830</v>
      </c>
      <c r="L660" s="75"/>
      <c r="M660" s="76"/>
      <c r="N660" s="76"/>
      <c r="O660" s="77"/>
      <c r="P660" s="78"/>
      <c r="Q660" s="78"/>
      <c r="R660" s="90"/>
      <c r="S660" s="90"/>
      <c r="T660" s="90"/>
      <c r="U660" s="90"/>
      <c r="V660" s="52"/>
      <c r="W660" s="52"/>
      <c r="X660" s="52"/>
      <c r="Y660" s="52"/>
      <c r="Z660" s="51"/>
      <c r="AA660" s="73"/>
      <c r="AB660" s="73"/>
      <c r="AC660" s="74"/>
      <c r="AD660" s="80" t="s">
        <v>4831</v>
      </c>
      <c r="AE660" s="86" t="s">
        <v>3985</v>
      </c>
      <c r="AF660" s="80">
        <v>426</v>
      </c>
      <c r="AG660" s="80">
        <v>472</v>
      </c>
      <c r="AH660" s="80">
        <v>10919</v>
      </c>
      <c r="AI660" s="80">
        <v>3249</v>
      </c>
      <c r="AJ660" s="80"/>
      <c r="AK660" s="80" t="s">
        <v>6469</v>
      </c>
      <c r="AL660" s="80" t="s">
        <v>7028</v>
      </c>
      <c r="AM660" s="84" t="str">
        <f>HYPERLINK("https://t.co/HeiTDuNoJq")</f>
        <v>https://t.co/HeiTDuNoJq</v>
      </c>
      <c r="AN660" s="80"/>
      <c r="AO660" s="82">
        <v>41553.563252314816</v>
      </c>
      <c r="AP660" s="84" t="str">
        <f>HYPERLINK("https://pbs.twimg.com/profile_banners/1940940588/1632062614")</f>
        <v>https://pbs.twimg.com/profile_banners/1940940588/1632062614</v>
      </c>
      <c r="AQ660" s="80" t="b">
        <v>1</v>
      </c>
      <c r="AR660" s="80" t="b">
        <v>0</v>
      </c>
      <c r="AS660" s="80" t="b">
        <v>0</v>
      </c>
      <c r="AT660" s="80"/>
      <c r="AU660" s="80">
        <v>0</v>
      </c>
      <c r="AV660" s="84" t="str">
        <f>HYPERLINK("https://abs.twimg.com/images/themes/theme1/bg.png")</f>
        <v>https://abs.twimg.com/images/themes/theme1/bg.png</v>
      </c>
      <c r="AW660" s="80" t="b">
        <v>0</v>
      </c>
      <c r="AX660" s="80" t="s">
        <v>7173</v>
      </c>
      <c r="AY660" s="84" t="str">
        <f>HYPERLINK("https://twitter.com/ayayyawae")</f>
        <v>https://twitter.com/ayayyawae</v>
      </c>
      <c r="AZ660" s="80" t="s">
        <v>66</v>
      </c>
      <c r="BA660" s="2"/>
      <c r="BB660" s="3"/>
      <c r="BC660" s="3"/>
      <c r="BD660" s="3"/>
      <c r="BE660" s="3"/>
    </row>
    <row r="661" spans="1:57" x14ac:dyDescent="0.35">
      <c r="A661" s="66" t="s">
        <v>752</v>
      </c>
      <c r="B661" s="67"/>
      <c r="C661" s="67"/>
      <c r="D661" s="68"/>
      <c r="E661" s="70"/>
      <c r="F661" s="106" t="str">
        <f>HYPERLINK("https://pbs.twimg.com/profile_images/1380601253864955909/YcaS5QIb_normal.jpg")</f>
        <v>https://pbs.twimg.com/profile_images/1380601253864955909/YcaS5QIb_normal.jpg</v>
      </c>
      <c r="G661" s="67"/>
      <c r="H661" s="71"/>
      <c r="I661" s="72"/>
      <c r="J661" s="72"/>
      <c r="K661" s="71" t="s">
        <v>7831</v>
      </c>
      <c r="L661" s="75"/>
      <c r="M661" s="76"/>
      <c r="N661" s="76"/>
      <c r="O661" s="77"/>
      <c r="P661" s="78"/>
      <c r="Q661" s="78"/>
      <c r="R661" s="90"/>
      <c r="S661" s="90"/>
      <c r="T661" s="90"/>
      <c r="U661" s="90"/>
      <c r="V661" s="52"/>
      <c r="W661" s="52"/>
      <c r="X661" s="52"/>
      <c r="Y661" s="52"/>
      <c r="Z661" s="51"/>
      <c r="AA661" s="73"/>
      <c r="AB661" s="73"/>
      <c r="AC661" s="74"/>
      <c r="AD661" s="80" t="s">
        <v>4832</v>
      </c>
      <c r="AE661" s="86" t="s">
        <v>3984</v>
      </c>
      <c r="AF661" s="80">
        <v>877</v>
      </c>
      <c r="AG661" s="80">
        <v>860</v>
      </c>
      <c r="AH661" s="80">
        <v>29868</v>
      </c>
      <c r="AI661" s="80">
        <v>3728</v>
      </c>
      <c r="AJ661" s="80"/>
      <c r="AK661" s="80" t="s">
        <v>6470</v>
      </c>
      <c r="AL661" s="80" t="s">
        <v>7029</v>
      </c>
      <c r="AM661" s="80"/>
      <c r="AN661" s="80"/>
      <c r="AO661" s="82">
        <v>43314.473460648151</v>
      </c>
      <c r="AP661" s="84" t="str">
        <f>HYPERLINK("https://pbs.twimg.com/profile_banners/1024978564880334848/1614292859")</f>
        <v>https://pbs.twimg.com/profile_banners/1024978564880334848/1614292859</v>
      </c>
      <c r="AQ661" s="80" t="b">
        <v>1</v>
      </c>
      <c r="AR661" s="80" t="b">
        <v>0</v>
      </c>
      <c r="AS661" s="80" t="b">
        <v>1</v>
      </c>
      <c r="AT661" s="80"/>
      <c r="AU661" s="80">
        <v>1</v>
      </c>
      <c r="AV661" s="80"/>
      <c r="AW661" s="80" t="b">
        <v>0</v>
      </c>
      <c r="AX661" s="80" t="s">
        <v>7173</v>
      </c>
      <c r="AY661" s="84" t="str">
        <f>HYPERLINK("https://twitter.com/insecuretard")</f>
        <v>https://twitter.com/insecuretard</v>
      </c>
      <c r="AZ661" s="80" t="s">
        <v>66</v>
      </c>
      <c r="BA661" s="2"/>
      <c r="BB661" s="3"/>
      <c r="BC661" s="3"/>
      <c r="BD661" s="3"/>
      <c r="BE661" s="3"/>
    </row>
    <row r="662" spans="1:57" x14ac:dyDescent="0.35">
      <c r="A662" s="66" t="s">
        <v>753</v>
      </c>
      <c r="B662" s="67"/>
      <c r="C662" s="67"/>
      <c r="D662" s="68"/>
      <c r="E662" s="70"/>
      <c r="F662" s="106" t="str">
        <f>HYPERLINK("https://pbs.twimg.com/profile_images/1440325167650000913/i_OYQ1v__normal.jpg")</f>
        <v>https://pbs.twimg.com/profile_images/1440325167650000913/i_OYQ1v__normal.jpg</v>
      </c>
      <c r="G662" s="67"/>
      <c r="H662" s="71"/>
      <c r="I662" s="72"/>
      <c r="J662" s="72"/>
      <c r="K662" s="71" t="s">
        <v>7832</v>
      </c>
      <c r="L662" s="75"/>
      <c r="M662" s="76"/>
      <c r="N662" s="76"/>
      <c r="O662" s="77"/>
      <c r="P662" s="78"/>
      <c r="Q662" s="78"/>
      <c r="R662" s="90"/>
      <c r="S662" s="90"/>
      <c r="T662" s="90"/>
      <c r="U662" s="90"/>
      <c r="V662" s="52"/>
      <c r="W662" s="52"/>
      <c r="X662" s="52"/>
      <c r="Y662" s="52"/>
      <c r="Z662" s="51"/>
      <c r="AA662" s="73"/>
      <c r="AB662" s="73"/>
      <c r="AC662" s="74"/>
      <c r="AD662" s="80" t="s">
        <v>4833</v>
      </c>
      <c r="AE662" s="86" t="s">
        <v>5702</v>
      </c>
      <c r="AF662" s="80">
        <v>1995</v>
      </c>
      <c r="AG662" s="80">
        <v>2231</v>
      </c>
      <c r="AH662" s="80">
        <v>11569</v>
      </c>
      <c r="AI662" s="80">
        <v>285</v>
      </c>
      <c r="AJ662" s="80"/>
      <c r="AK662" s="80" t="s">
        <v>6471</v>
      </c>
      <c r="AL662" s="80"/>
      <c r="AM662" s="84" t="str">
        <f>HYPERLINK("https://t.co/Noy8Xhs7Fe")</f>
        <v>https://t.co/Noy8Xhs7Fe</v>
      </c>
      <c r="AN662" s="80"/>
      <c r="AO662" s="82">
        <v>43831.303773148145</v>
      </c>
      <c r="AP662" s="84" t="str">
        <f>HYPERLINK("https://pbs.twimg.com/profile_banners/1212271527212666881/1632229741")</f>
        <v>https://pbs.twimg.com/profile_banners/1212271527212666881/1632229741</v>
      </c>
      <c r="AQ662" s="80" t="b">
        <v>1</v>
      </c>
      <c r="AR662" s="80" t="b">
        <v>0</v>
      </c>
      <c r="AS662" s="80" t="b">
        <v>1</v>
      </c>
      <c r="AT662" s="80"/>
      <c r="AU662" s="80">
        <v>2</v>
      </c>
      <c r="AV662" s="80"/>
      <c r="AW662" s="80" t="b">
        <v>0</v>
      </c>
      <c r="AX662" s="80" t="s">
        <v>7173</v>
      </c>
      <c r="AY662" s="84" t="str">
        <f>HYPERLINK("https://twitter.com/hottieboobies")</f>
        <v>https://twitter.com/hottieboobies</v>
      </c>
      <c r="AZ662" s="80" t="s">
        <v>66</v>
      </c>
      <c r="BA662" s="2"/>
      <c r="BB662" s="3"/>
      <c r="BC662" s="3"/>
      <c r="BD662" s="3"/>
      <c r="BE662" s="3"/>
    </row>
    <row r="663" spans="1:57" x14ac:dyDescent="0.35">
      <c r="A663" s="66" t="s">
        <v>1111</v>
      </c>
      <c r="B663" s="67"/>
      <c r="C663" s="67"/>
      <c r="D663" s="68"/>
      <c r="E663" s="70"/>
      <c r="F663" s="106" t="str">
        <f>HYPERLINK("https://pbs.twimg.com/profile_images/1395243081457233926/-fVGsIuM_normal.jpg")</f>
        <v>https://pbs.twimg.com/profile_images/1395243081457233926/-fVGsIuM_normal.jpg</v>
      </c>
      <c r="G663" s="67"/>
      <c r="H663" s="71"/>
      <c r="I663" s="72"/>
      <c r="J663" s="72"/>
      <c r="K663" s="71" t="s">
        <v>7833</v>
      </c>
      <c r="L663" s="75"/>
      <c r="M663" s="76"/>
      <c r="N663" s="76"/>
      <c r="O663" s="77"/>
      <c r="P663" s="78"/>
      <c r="Q663" s="78"/>
      <c r="R663" s="90"/>
      <c r="S663" s="90"/>
      <c r="T663" s="90"/>
      <c r="U663" s="90"/>
      <c r="V663" s="52"/>
      <c r="W663" s="52"/>
      <c r="X663" s="52"/>
      <c r="Y663" s="52"/>
      <c r="Z663" s="51"/>
      <c r="AA663" s="73"/>
      <c r="AB663" s="73"/>
      <c r="AC663" s="74"/>
      <c r="AD663" s="80" t="s">
        <v>4834</v>
      </c>
      <c r="AE663" s="86" t="s">
        <v>3986</v>
      </c>
      <c r="AF663" s="80">
        <v>2197</v>
      </c>
      <c r="AG663" s="80">
        <v>2301</v>
      </c>
      <c r="AH663" s="80">
        <v>2084</v>
      </c>
      <c r="AI663" s="80">
        <v>0</v>
      </c>
      <c r="AJ663" s="80"/>
      <c r="AK663" s="80"/>
      <c r="AL663" s="80" t="s">
        <v>4909</v>
      </c>
      <c r="AM663" s="80"/>
      <c r="AN663" s="80"/>
      <c r="AO663" s="82">
        <v>44336.191099537034</v>
      </c>
      <c r="AP663" s="84" t="str">
        <f>HYPERLINK("https://pbs.twimg.com/profile_banners/1395236242862661635/1625228018")</f>
        <v>https://pbs.twimg.com/profile_banners/1395236242862661635/1625228018</v>
      </c>
      <c r="AQ663" s="80" t="b">
        <v>1</v>
      </c>
      <c r="AR663" s="80" t="b">
        <v>0</v>
      </c>
      <c r="AS663" s="80" t="b">
        <v>0</v>
      </c>
      <c r="AT663" s="80"/>
      <c r="AU663" s="80">
        <v>0</v>
      </c>
      <c r="AV663" s="80"/>
      <c r="AW663" s="80" t="b">
        <v>0</v>
      </c>
      <c r="AX663" s="80" t="s">
        <v>7173</v>
      </c>
      <c r="AY663" s="84" t="str">
        <f>HYPERLINK("https://twitter.com/chiki666_")</f>
        <v>https://twitter.com/chiki666_</v>
      </c>
      <c r="AZ663" s="80" t="s">
        <v>65</v>
      </c>
      <c r="BA663" s="2"/>
      <c r="BB663" s="3"/>
      <c r="BC663" s="3"/>
      <c r="BD663" s="3"/>
      <c r="BE663" s="3"/>
    </row>
    <row r="664" spans="1:57" x14ac:dyDescent="0.35">
      <c r="A664" s="66" t="s">
        <v>755</v>
      </c>
      <c r="B664" s="67"/>
      <c r="C664" s="67"/>
      <c r="D664" s="68"/>
      <c r="E664" s="70"/>
      <c r="F664" s="106" t="str">
        <f>HYPERLINK("https://pbs.twimg.com/profile_images/1441794143450107904/eeyW_lat_normal.jpg")</f>
        <v>https://pbs.twimg.com/profile_images/1441794143450107904/eeyW_lat_normal.jpg</v>
      </c>
      <c r="G664" s="67"/>
      <c r="H664" s="71"/>
      <c r="I664" s="72"/>
      <c r="J664" s="72"/>
      <c r="K664" s="71" t="s">
        <v>7834</v>
      </c>
      <c r="L664" s="75"/>
      <c r="M664" s="76"/>
      <c r="N664" s="76"/>
      <c r="O664" s="77"/>
      <c r="P664" s="78"/>
      <c r="Q664" s="78"/>
      <c r="R664" s="90"/>
      <c r="S664" s="90"/>
      <c r="T664" s="90"/>
      <c r="U664" s="90"/>
      <c r="V664" s="52"/>
      <c r="W664" s="52"/>
      <c r="X664" s="52"/>
      <c r="Y664" s="52"/>
      <c r="Z664" s="51"/>
      <c r="AA664" s="73"/>
      <c r="AB664" s="73"/>
      <c r="AC664" s="74"/>
      <c r="AD664" s="80" t="s">
        <v>4835</v>
      </c>
      <c r="AE664" s="86" t="s">
        <v>5703</v>
      </c>
      <c r="AF664" s="80">
        <v>464</v>
      </c>
      <c r="AG664" s="80">
        <v>466</v>
      </c>
      <c r="AH664" s="80">
        <v>1755</v>
      </c>
      <c r="AI664" s="80">
        <v>102</v>
      </c>
      <c r="AJ664" s="80"/>
      <c r="AK664" s="80"/>
      <c r="AL664" s="80"/>
      <c r="AM664" s="80"/>
      <c r="AN664" s="80"/>
      <c r="AO664" s="82">
        <v>41176.330324074072</v>
      </c>
      <c r="AP664" s="84" t="str">
        <f>HYPERLINK("https://pbs.twimg.com/profile_banners/843153072/1598854364")</f>
        <v>https://pbs.twimg.com/profile_banners/843153072/1598854364</v>
      </c>
      <c r="AQ664" s="80" t="b">
        <v>0</v>
      </c>
      <c r="AR664" s="80" t="b">
        <v>0</v>
      </c>
      <c r="AS664" s="80" t="b">
        <v>1</v>
      </c>
      <c r="AT664" s="80"/>
      <c r="AU664" s="80">
        <v>1</v>
      </c>
      <c r="AV664" s="84" t="str">
        <f>HYPERLINK("https://abs.twimg.com/images/themes/theme1/bg.png")</f>
        <v>https://abs.twimg.com/images/themes/theme1/bg.png</v>
      </c>
      <c r="AW664" s="80" t="b">
        <v>0</v>
      </c>
      <c r="AX664" s="80" t="s">
        <v>7173</v>
      </c>
      <c r="AY664" s="84" t="str">
        <f>HYPERLINK("https://twitter.com/fcks_")</f>
        <v>https://twitter.com/fcks_</v>
      </c>
      <c r="AZ664" s="80" t="s">
        <v>66</v>
      </c>
      <c r="BA664" s="2"/>
      <c r="BB664" s="3"/>
      <c r="BC664" s="3"/>
      <c r="BD664" s="3"/>
      <c r="BE664" s="3"/>
    </row>
    <row r="665" spans="1:57" x14ac:dyDescent="0.35">
      <c r="A665" s="66" t="s">
        <v>756</v>
      </c>
      <c r="B665" s="67"/>
      <c r="C665" s="67"/>
      <c r="D665" s="68"/>
      <c r="E665" s="70"/>
      <c r="F665" s="106" t="str">
        <f>HYPERLINK("https://pbs.twimg.com/profile_images/1392467121087475718/fTHYWD8M_normal.jpg")</f>
        <v>https://pbs.twimg.com/profile_images/1392467121087475718/fTHYWD8M_normal.jpg</v>
      </c>
      <c r="G665" s="67"/>
      <c r="H665" s="71"/>
      <c r="I665" s="72"/>
      <c r="J665" s="72"/>
      <c r="K665" s="71" t="s">
        <v>7835</v>
      </c>
      <c r="L665" s="75"/>
      <c r="M665" s="76"/>
      <c r="N665" s="76"/>
      <c r="O665" s="77"/>
      <c r="P665" s="78"/>
      <c r="Q665" s="78"/>
      <c r="R665" s="90"/>
      <c r="S665" s="90"/>
      <c r="T665" s="90"/>
      <c r="U665" s="90"/>
      <c r="V665" s="52"/>
      <c r="W665" s="52"/>
      <c r="X665" s="52"/>
      <c r="Y665" s="52"/>
      <c r="Z665" s="51"/>
      <c r="AA665" s="73"/>
      <c r="AB665" s="73"/>
      <c r="AC665" s="74"/>
      <c r="AD665" s="80" t="s">
        <v>4836</v>
      </c>
      <c r="AE665" s="86" t="s">
        <v>5704</v>
      </c>
      <c r="AF665" s="80">
        <v>266</v>
      </c>
      <c r="AG665" s="80">
        <v>258</v>
      </c>
      <c r="AH665" s="80">
        <v>6211</v>
      </c>
      <c r="AI665" s="80">
        <v>5107</v>
      </c>
      <c r="AJ665" s="80"/>
      <c r="AK665" s="80"/>
      <c r="AL665" s="80"/>
      <c r="AM665" s="80"/>
      <c r="AN665" s="80"/>
      <c r="AO665" s="82">
        <v>44014.372893518521</v>
      </c>
      <c r="AP665" s="84" t="str">
        <f>HYPERLINK("https://pbs.twimg.com/profile_banners/1278613515234758656/1620825627")</f>
        <v>https://pbs.twimg.com/profile_banners/1278613515234758656/1620825627</v>
      </c>
      <c r="AQ665" s="80" t="b">
        <v>1</v>
      </c>
      <c r="AR665" s="80" t="b">
        <v>0</v>
      </c>
      <c r="AS665" s="80" t="b">
        <v>0</v>
      </c>
      <c r="AT665" s="80"/>
      <c r="AU665" s="80">
        <v>0</v>
      </c>
      <c r="AV665" s="80"/>
      <c r="AW665" s="80" t="b">
        <v>0</v>
      </c>
      <c r="AX665" s="80" t="s">
        <v>7173</v>
      </c>
      <c r="AY665" s="84" t="str">
        <f>HYPERLINK("https://twitter.com/solitaire_evil")</f>
        <v>https://twitter.com/solitaire_evil</v>
      </c>
      <c r="AZ665" s="80" t="s">
        <v>66</v>
      </c>
      <c r="BA665" s="2"/>
      <c r="BB665" s="3"/>
      <c r="BC665" s="3"/>
      <c r="BD665" s="3"/>
      <c r="BE665" s="3"/>
    </row>
    <row r="666" spans="1:57" x14ac:dyDescent="0.35">
      <c r="A666" s="66" t="s">
        <v>1112</v>
      </c>
      <c r="B666" s="67"/>
      <c r="C666" s="67"/>
      <c r="D666" s="68"/>
      <c r="E666" s="70"/>
      <c r="F666" s="106" t="str">
        <f>HYPERLINK("https://pbs.twimg.com/profile_images/1428054063749337091/W8hk8l1l_normal.jpg")</f>
        <v>https://pbs.twimg.com/profile_images/1428054063749337091/W8hk8l1l_normal.jpg</v>
      </c>
      <c r="G666" s="67"/>
      <c r="H666" s="71"/>
      <c r="I666" s="72"/>
      <c r="J666" s="72"/>
      <c r="K666" s="71" t="s">
        <v>7836</v>
      </c>
      <c r="L666" s="75"/>
      <c r="M666" s="76"/>
      <c r="N666" s="76"/>
      <c r="O666" s="77"/>
      <c r="P666" s="78"/>
      <c r="Q666" s="78"/>
      <c r="R666" s="90"/>
      <c r="S666" s="90"/>
      <c r="T666" s="90"/>
      <c r="U666" s="90"/>
      <c r="V666" s="52"/>
      <c r="W666" s="52"/>
      <c r="X666" s="52"/>
      <c r="Y666" s="52"/>
      <c r="Z666" s="51"/>
      <c r="AA666" s="73"/>
      <c r="AB666" s="73"/>
      <c r="AC666" s="74"/>
      <c r="AD666" s="80" t="s">
        <v>4837</v>
      </c>
      <c r="AE666" s="86" t="s">
        <v>3987</v>
      </c>
      <c r="AF666" s="80">
        <v>3624</v>
      </c>
      <c r="AG666" s="80">
        <v>1810</v>
      </c>
      <c r="AH666" s="80">
        <v>44750</v>
      </c>
      <c r="AI666" s="80">
        <v>42358</v>
      </c>
      <c r="AJ666" s="80"/>
      <c r="AK666" s="80" t="s">
        <v>6472</v>
      </c>
      <c r="AL666" s="80" t="s">
        <v>4145</v>
      </c>
      <c r="AM666" s="80"/>
      <c r="AN666" s="80"/>
      <c r="AO666" s="82">
        <v>44207.56590277778</v>
      </c>
      <c r="AP666" s="84" t="str">
        <f>HYPERLINK("https://pbs.twimg.com/profile_banners/1348624320860327940/1628535126")</f>
        <v>https://pbs.twimg.com/profile_banners/1348624320860327940/1628535126</v>
      </c>
      <c r="AQ666" s="80" t="b">
        <v>1</v>
      </c>
      <c r="AR666" s="80" t="b">
        <v>0</v>
      </c>
      <c r="AS666" s="80" t="b">
        <v>0</v>
      </c>
      <c r="AT666" s="80"/>
      <c r="AU666" s="80">
        <v>2</v>
      </c>
      <c r="AV666" s="80"/>
      <c r="AW666" s="80" t="b">
        <v>0</v>
      </c>
      <c r="AX666" s="80" t="s">
        <v>7173</v>
      </c>
      <c r="AY666" s="84" t="str">
        <f>HYPERLINK("https://twitter.com/pmoch88")</f>
        <v>https://twitter.com/pmoch88</v>
      </c>
      <c r="AZ666" s="80" t="s">
        <v>65</v>
      </c>
      <c r="BA666" s="2"/>
      <c r="BB666" s="3"/>
      <c r="BC666" s="3"/>
      <c r="BD666" s="3"/>
      <c r="BE666" s="3"/>
    </row>
    <row r="667" spans="1:57" x14ac:dyDescent="0.35">
      <c r="A667" s="66" t="s">
        <v>757</v>
      </c>
      <c r="B667" s="67"/>
      <c r="C667" s="67"/>
      <c r="D667" s="68"/>
      <c r="E667" s="70"/>
      <c r="F667" s="106" t="str">
        <f>HYPERLINK("https://pbs.twimg.com/profile_images/1442539867393576966/Q-HOsNpy_normal.jpg")</f>
        <v>https://pbs.twimg.com/profile_images/1442539867393576966/Q-HOsNpy_normal.jpg</v>
      </c>
      <c r="G667" s="67"/>
      <c r="H667" s="71"/>
      <c r="I667" s="72"/>
      <c r="J667" s="72"/>
      <c r="K667" s="71" t="s">
        <v>7837</v>
      </c>
      <c r="L667" s="75"/>
      <c r="M667" s="76"/>
      <c r="N667" s="76"/>
      <c r="O667" s="77"/>
      <c r="P667" s="78"/>
      <c r="Q667" s="78"/>
      <c r="R667" s="90"/>
      <c r="S667" s="90"/>
      <c r="T667" s="90"/>
      <c r="U667" s="90"/>
      <c r="V667" s="52"/>
      <c r="W667" s="52"/>
      <c r="X667" s="52"/>
      <c r="Y667" s="52"/>
      <c r="Z667" s="51"/>
      <c r="AA667" s="73"/>
      <c r="AB667" s="73"/>
      <c r="AC667" s="74"/>
      <c r="AD667" s="80" t="s">
        <v>4838</v>
      </c>
      <c r="AE667" s="86" t="s">
        <v>5705</v>
      </c>
      <c r="AF667" s="80">
        <v>344</v>
      </c>
      <c r="AG667" s="80">
        <v>1953</v>
      </c>
      <c r="AH667" s="80">
        <v>150990</v>
      </c>
      <c r="AI667" s="80">
        <v>20884</v>
      </c>
      <c r="AJ667" s="80"/>
      <c r="AK667" s="80" t="s">
        <v>6473</v>
      </c>
      <c r="AL667" s="80" t="s">
        <v>7030</v>
      </c>
      <c r="AM667" s="84" t="str">
        <f>HYPERLINK("https://t.co/3gaIhSmqeO")</f>
        <v>https://t.co/3gaIhSmqeO</v>
      </c>
      <c r="AN667" s="80"/>
      <c r="AO667" s="82">
        <v>42062.266400462962</v>
      </c>
      <c r="AP667" s="84" t="str">
        <f>HYPERLINK("https://pbs.twimg.com/profile_banners/3045656083/1632725180")</f>
        <v>https://pbs.twimg.com/profile_banners/3045656083/1632725180</v>
      </c>
      <c r="AQ667" s="80" t="b">
        <v>0</v>
      </c>
      <c r="AR667" s="80" t="b">
        <v>0</v>
      </c>
      <c r="AS667" s="80" t="b">
        <v>0</v>
      </c>
      <c r="AT667" s="80"/>
      <c r="AU667" s="80">
        <v>28</v>
      </c>
      <c r="AV667" s="84" t="str">
        <f>HYPERLINK("https://abs.twimg.com/images/themes/theme1/bg.png")</f>
        <v>https://abs.twimg.com/images/themes/theme1/bg.png</v>
      </c>
      <c r="AW667" s="80" t="b">
        <v>0</v>
      </c>
      <c r="AX667" s="80" t="s">
        <v>7173</v>
      </c>
      <c r="AY667" s="84" t="str">
        <f>HYPERLINK("https://twitter.com/atanalerectida")</f>
        <v>https://twitter.com/atanalerectida</v>
      </c>
      <c r="AZ667" s="80" t="s">
        <v>66</v>
      </c>
      <c r="BA667" s="2"/>
      <c r="BB667" s="3"/>
      <c r="BC667" s="3"/>
      <c r="BD667" s="3"/>
      <c r="BE667" s="3"/>
    </row>
    <row r="668" spans="1:57" x14ac:dyDescent="0.35">
      <c r="A668" s="66" t="s">
        <v>758</v>
      </c>
      <c r="B668" s="67"/>
      <c r="C668" s="67"/>
      <c r="D668" s="68"/>
      <c r="E668" s="70"/>
      <c r="F668" s="106" t="str">
        <f>HYPERLINK("https://pbs.twimg.com/profile_images/1429704046294700036/x7_XEJEY_normal.jpg")</f>
        <v>https://pbs.twimg.com/profile_images/1429704046294700036/x7_XEJEY_normal.jpg</v>
      </c>
      <c r="G668" s="67"/>
      <c r="H668" s="71"/>
      <c r="I668" s="72"/>
      <c r="J668" s="72"/>
      <c r="K668" s="71" t="s">
        <v>7838</v>
      </c>
      <c r="L668" s="75"/>
      <c r="M668" s="76"/>
      <c r="N668" s="76"/>
      <c r="O668" s="77"/>
      <c r="P668" s="78"/>
      <c r="Q668" s="78"/>
      <c r="R668" s="90"/>
      <c r="S668" s="90"/>
      <c r="T668" s="90"/>
      <c r="U668" s="90"/>
      <c r="V668" s="52"/>
      <c r="W668" s="52"/>
      <c r="X668" s="52"/>
      <c r="Y668" s="52"/>
      <c r="Z668" s="51"/>
      <c r="AA668" s="73"/>
      <c r="AB668" s="73"/>
      <c r="AC668" s="74"/>
      <c r="AD668" s="80" t="s">
        <v>4839</v>
      </c>
      <c r="AE668" s="86" t="s">
        <v>5706</v>
      </c>
      <c r="AF668" s="80">
        <v>251</v>
      </c>
      <c r="AG668" s="80">
        <v>620</v>
      </c>
      <c r="AH668" s="80">
        <v>82313</v>
      </c>
      <c r="AI668" s="80">
        <v>9930</v>
      </c>
      <c r="AJ668" s="80"/>
      <c r="AK668" s="80" t="s">
        <v>6474</v>
      </c>
      <c r="AL668" s="80" t="s">
        <v>7031</v>
      </c>
      <c r="AM668" s="84" t="str">
        <f>HYPERLINK("https://t.co/VuP70A8imc")</f>
        <v>https://t.co/VuP70A8imc</v>
      </c>
      <c r="AN668" s="80"/>
      <c r="AO668" s="82">
        <v>40697.710138888891</v>
      </c>
      <c r="AP668" s="84" t="str">
        <f>HYPERLINK("https://pbs.twimg.com/profile_banners/310379237/1546696049")</f>
        <v>https://pbs.twimg.com/profile_banners/310379237/1546696049</v>
      </c>
      <c r="AQ668" s="80" t="b">
        <v>0</v>
      </c>
      <c r="AR668" s="80" t="b">
        <v>0</v>
      </c>
      <c r="AS668" s="80" t="b">
        <v>1</v>
      </c>
      <c r="AT668" s="80"/>
      <c r="AU668" s="80">
        <v>4</v>
      </c>
      <c r="AV668" s="84" t="str">
        <f>HYPERLINK("https://abs.twimg.com/images/themes/theme18/bg.gif")</f>
        <v>https://abs.twimg.com/images/themes/theme18/bg.gif</v>
      </c>
      <c r="AW668" s="80" t="b">
        <v>0</v>
      </c>
      <c r="AX668" s="80" t="s">
        <v>7173</v>
      </c>
      <c r="AY668" s="84" t="str">
        <f>HYPERLINK("https://twitter.com/tys1004")</f>
        <v>https://twitter.com/tys1004</v>
      </c>
      <c r="AZ668" s="80" t="s">
        <v>66</v>
      </c>
      <c r="BA668" s="2"/>
      <c r="BB668" s="3"/>
      <c r="BC668" s="3"/>
      <c r="BD668" s="3"/>
      <c r="BE668" s="3"/>
    </row>
    <row r="669" spans="1:57" x14ac:dyDescent="0.35">
      <c r="A669" s="66" t="s">
        <v>759</v>
      </c>
      <c r="B669" s="67"/>
      <c r="C669" s="67"/>
      <c r="D669" s="68"/>
      <c r="E669" s="70"/>
      <c r="F669" s="106" t="str">
        <f>HYPERLINK("https://pbs.twimg.com/profile_images/1441799121258512388/EFc-ivKj_normal.jpg")</f>
        <v>https://pbs.twimg.com/profile_images/1441799121258512388/EFc-ivKj_normal.jpg</v>
      </c>
      <c r="G669" s="67"/>
      <c r="H669" s="71"/>
      <c r="I669" s="72"/>
      <c r="J669" s="72"/>
      <c r="K669" s="71" t="s">
        <v>7839</v>
      </c>
      <c r="L669" s="75"/>
      <c r="M669" s="76"/>
      <c r="N669" s="76"/>
      <c r="O669" s="77"/>
      <c r="P669" s="78"/>
      <c r="Q669" s="78"/>
      <c r="R669" s="90"/>
      <c r="S669" s="90"/>
      <c r="T669" s="90"/>
      <c r="U669" s="90"/>
      <c r="V669" s="52"/>
      <c r="W669" s="52"/>
      <c r="X669" s="52"/>
      <c r="Y669" s="52"/>
      <c r="Z669" s="51"/>
      <c r="AA669" s="73"/>
      <c r="AB669" s="73"/>
      <c r="AC669" s="74"/>
      <c r="AD669" s="80" t="s">
        <v>4840</v>
      </c>
      <c r="AE669" s="86" t="s">
        <v>3988</v>
      </c>
      <c r="AF669" s="80">
        <v>171</v>
      </c>
      <c r="AG669" s="80">
        <v>65</v>
      </c>
      <c r="AH669" s="80">
        <v>59</v>
      </c>
      <c r="AI669" s="80">
        <v>223</v>
      </c>
      <c r="AJ669" s="80"/>
      <c r="AK669" s="80" t="s">
        <v>6475</v>
      </c>
      <c r="AL669" s="80" t="s">
        <v>6777</v>
      </c>
      <c r="AM669" s="84" t="str">
        <f>HYPERLINK("https://t.co/gBRgUIdLt6")</f>
        <v>https://t.co/gBRgUIdLt6</v>
      </c>
      <c r="AN669" s="80"/>
      <c r="AO669" s="82">
        <v>44092.787557870368</v>
      </c>
      <c r="AP669" s="84" t="str">
        <f>HYPERLINK("https://pbs.twimg.com/profile_banners/1307030100643205120/1629789358")</f>
        <v>https://pbs.twimg.com/profile_banners/1307030100643205120/1629789358</v>
      </c>
      <c r="AQ669" s="80" t="b">
        <v>1</v>
      </c>
      <c r="AR669" s="80" t="b">
        <v>0</v>
      </c>
      <c r="AS669" s="80" t="b">
        <v>0</v>
      </c>
      <c r="AT669" s="80"/>
      <c r="AU669" s="80">
        <v>0</v>
      </c>
      <c r="AV669" s="80"/>
      <c r="AW669" s="80" t="b">
        <v>0</v>
      </c>
      <c r="AX669" s="80" t="s">
        <v>7173</v>
      </c>
      <c r="AY669" s="84" t="str">
        <f>HYPERLINK("https://twitter.com/berkepribadian")</f>
        <v>https://twitter.com/berkepribadian</v>
      </c>
      <c r="AZ669" s="80" t="s">
        <v>66</v>
      </c>
      <c r="BA669" s="2"/>
      <c r="BB669" s="3"/>
      <c r="BC669" s="3"/>
      <c r="BD669" s="3"/>
      <c r="BE669" s="3"/>
    </row>
    <row r="670" spans="1:57" x14ac:dyDescent="0.35">
      <c r="A670" s="66" t="s">
        <v>760</v>
      </c>
      <c r="B670" s="67"/>
      <c r="C670" s="67"/>
      <c r="D670" s="68"/>
      <c r="E670" s="70"/>
      <c r="F670" s="106" t="str">
        <f>HYPERLINK("https://pbs.twimg.com/profile_images/1441036752852905984/rPk3KAw7_normal.png")</f>
        <v>https://pbs.twimg.com/profile_images/1441036752852905984/rPk3KAw7_normal.png</v>
      </c>
      <c r="G670" s="67"/>
      <c r="H670" s="71"/>
      <c r="I670" s="72"/>
      <c r="J670" s="72"/>
      <c r="K670" s="71" t="s">
        <v>7840</v>
      </c>
      <c r="L670" s="75"/>
      <c r="M670" s="76"/>
      <c r="N670" s="76"/>
      <c r="O670" s="77"/>
      <c r="P670" s="78"/>
      <c r="Q670" s="78"/>
      <c r="R670" s="90"/>
      <c r="S670" s="90"/>
      <c r="T670" s="90"/>
      <c r="U670" s="90"/>
      <c r="V670" s="52"/>
      <c r="W670" s="52"/>
      <c r="X670" s="52"/>
      <c r="Y670" s="52"/>
      <c r="Z670" s="51"/>
      <c r="AA670" s="73"/>
      <c r="AB670" s="73"/>
      <c r="AC670" s="74"/>
      <c r="AD670" s="80" t="s">
        <v>4841</v>
      </c>
      <c r="AE670" s="86" t="s">
        <v>5707</v>
      </c>
      <c r="AF670" s="80">
        <v>0</v>
      </c>
      <c r="AG670" s="80">
        <v>0</v>
      </c>
      <c r="AH670" s="80">
        <v>1</v>
      </c>
      <c r="AI670" s="80">
        <v>0</v>
      </c>
      <c r="AJ670" s="80"/>
      <c r="AK670" s="80"/>
      <c r="AL670" s="80"/>
      <c r="AM670" s="80"/>
      <c r="AN670" s="80"/>
      <c r="AO670" s="82">
        <v>44462.575335648151</v>
      </c>
      <c r="AP670" s="80"/>
      <c r="AQ670" s="80" t="b">
        <v>1</v>
      </c>
      <c r="AR670" s="80" t="b">
        <v>0</v>
      </c>
      <c r="AS670" s="80" t="b">
        <v>0</v>
      </c>
      <c r="AT670" s="80"/>
      <c r="AU670" s="80">
        <v>0</v>
      </c>
      <c r="AV670" s="80"/>
      <c r="AW670" s="80" t="b">
        <v>0</v>
      </c>
      <c r="AX670" s="80" t="s">
        <v>7173</v>
      </c>
      <c r="AY670" s="84" t="str">
        <f>HYPERLINK("https://twitter.com/azherbaizane")</f>
        <v>https://twitter.com/azherbaizane</v>
      </c>
      <c r="AZ670" s="80" t="s">
        <v>66</v>
      </c>
      <c r="BA670" s="2"/>
      <c r="BB670" s="3"/>
      <c r="BC670" s="3"/>
      <c r="BD670" s="3"/>
      <c r="BE670" s="3"/>
    </row>
    <row r="671" spans="1:57" x14ac:dyDescent="0.35">
      <c r="A671" s="66" t="s">
        <v>1113</v>
      </c>
      <c r="B671" s="67"/>
      <c r="C671" s="67"/>
      <c r="D671" s="68"/>
      <c r="E671" s="70"/>
      <c r="F671" s="106" t="str">
        <f>HYPERLINK("https://pbs.twimg.com/profile_images/1281515941788971009/FsKNeZF9_normal.jpg")</f>
        <v>https://pbs.twimg.com/profile_images/1281515941788971009/FsKNeZF9_normal.jpg</v>
      </c>
      <c r="G671" s="67"/>
      <c r="H671" s="71"/>
      <c r="I671" s="72"/>
      <c r="J671" s="72"/>
      <c r="K671" s="71" t="s">
        <v>7841</v>
      </c>
      <c r="L671" s="75"/>
      <c r="M671" s="76"/>
      <c r="N671" s="76"/>
      <c r="O671" s="77"/>
      <c r="P671" s="78"/>
      <c r="Q671" s="78"/>
      <c r="R671" s="90"/>
      <c r="S671" s="90"/>
      <c r="T671" s="90"/>
      <c r="U671" s="90"/>
      <c r="V671" s="52"/>
      <c r="W671" s="52"/>
      <c r="X671" s="52"/>
      <c r="Y671" s="52"/>
      <c r="Z671" s="51"/>
      <c r="AA671" s="73"/>
      <c r="AB671" s="73"/>
      <c r="AC671" s="74"/>
      <c r="AD671" s="80" t="s">
        <v>4842</v>
      </c>
      <c r="AE671" s="86" t="s">
        <v>3989</v>
      </c>
      <c r="AF671" s="80">
        <v>0</v>
      </c>
      <c r="AG671" s="80">
        <v>571</v>
      </c>
      <c r="AH671" s="80">
        <v>232</v>
      </c>
      <c r="AI671" s="80">
        <v>7</v>
      </c>
      <c r="AJ671" s="80"/>
      <c r="AK671" s="80" t="s">
        <v>6476</v>
      </c>
      <c r="AL671" s="80" t="s">
        <v>6867</v>
      </c>
      <c r="AM671" s="84" t="str">
        <f>HYPERLINK("https://t.co/JY6d9ACicv")</f>
        <v>https://t.co/JY6d9ACicv</v>
      </c>
      <c r="AN671" s="80"/>
      <c r="AO671" s="82">
        <v>42298.093900462962</v>
      </c>
      <c r="AP671" s="84" t="str">
        <f>HYPERLINK("https://pbs.twimg.com/profile_banners/3964238784/1528692162")</f>
        <v>https://pbs.twimg.com/profile_banners/3964238784/1528692162</v>
      </c>
      <c r="AQ671" s="80" t="b">
        <v>1</v>
      </c>
      <c r="AR671" s="80" t="b">
        <v>0</v>
      </c>
      <c r="AS671" s="80" t="b">
        <v>0</v>
      </c>
      <c r="AT671" s="80"/>
      <c r="AU671" s="80">
        <v>1</v>
      </c>
      <c r="AV671" s="84" t="str">
        <f>HYPERLINK("https://abs.twimg.com/images/themes/theme1/bg.png")</f>
        <v>https://abs.twimg.com/images/themes/theme1/bg.png</v>
      </c>
      <c r="AW671" s="80" t="b">
        <v>0</v>
      </c>
      <c r="AX671" s="80" t="s">
        <v>7173</v>
      </c>
      <c r="AY671" s="84" t="str">
        <f>HYPERLINK("https://twitter.com/clipan_finance")</f>
        <v>https://twitter.com/clipan_finance</v>
      </c>
      <c r="AZ671" s="80" t="s">
        <v>65</v>
      </c>
      <c r="BA671" s="2"/>
      <c r="BB671" s="3"/>
      <c r="BC671" s="3"/>
      <c r="BD671" s="3"/>
      <c r="BE671" s="3"/>
    </row>
    <row r="672" spans="1:57" x14ac:dyDescent="0.35">
      <c r="A672" s="66" t="s">
        <v>761</v>
      </c>
      <c r="B672" s="67"/>
      <c r="C672" s="67"/>
      <c r="D672" s="68"/>
      <c r="E672" s="70"/>
      <c r="F672" s="106" t="str">
        <f>HYPERLINK("https://pbs.twimg.com/profile_images/1439397054426537987/PNPVArRm_normal.jpg")</f>
        <v>https://pbs.twimg.com/profile_images/1439397054426537987/PNPVArRm_normal.jpg</v>
      </c>
      <c r="G672" s="67"/>
      <c r="H672" s="71"/>
      <c r="I672" s="72"/>
      <c r="J672" s="72"/>
      <c r="K672" s="71" t="s">
        <v>7842</v>
      </c>
      <c r="L672" s="75"/>
      <c r="M672" s="76"/>
      <c r="N672" s="76"/>
      <c r="O672" s="77"/>
      <c r="P672" s="78"/>
      <c r="Q672" s="78"/>
      <c r="R672" s="90"/>
      <c r="S672" s="90"/>
      <c r="T672" s="90"/>
      <c r="U672" s="90"/>
      <c r="V672" s="52"/>
      <c r="W672" s="52"/>
      <c r="X672" s="52"/>
      <c r="Y672" s="52"/>
      <c r="Z672" s="51"/>
      <c r="AA672" s="73"/>
      <c r="AB672" s="73"/>
      <c r="AC672" s="74"/>
      <c r="AD672" s="80" t="s">
        <v>4843</v>
      </c>
      <c r="AE672" s="86" t="s">
        <v>5708</v>
      </c>
      <c r="AF672" s="80">
        <v>81</v>
      </c>
      <c r="AG672" s="80">
        <v>317</v>
      </c>
      <c r="AH672" s="80">
        <v>9233</v>
      </c>
      <c r="AI672" s="80">
        <v>2594</v>
      </c>
      <c r="AJ672" s="80"/>
      <c r="AK672" s="80" t="s">
        <v>6477</v>
      </c>
      <c r="AL672" s="80" t="s">
        <v>7032</v>
      </c>
      <c r="AM672" s="84" t="str">
        <f>HYPERLINK("https://t.co/n4RX75gSMz")</f>
        <v>https://t.co/n4RX75gSMz</v>
      </c>
      <c r="AN672" s="80"/>
      <c r="AO672" s="82">
        <v>44180.146956018521</v>
      </c>
      <c r="AP672" s="84" t="str">
        <f>HYPERLINK("https://pbs.twimg.com/profile_banners/1338688002109788161/1632012877")</f>
        <v>https://pbs.twimg.com/profile_banners/1338688002109788161/1632012877</v>
      </c>
      <c r="AQ672" s="80" t="b">
        <v>1</v>
      </c>
      <c r="AR672" s="80" t="b">
        <v>0</v>
      </c>
      <c r="AS672" s="80" t="b">
        <v>0</v>
      </c>
      <c r="AT672" s="80"/>
      <c r="AU672" s="80">
        <v>1</v>
      </c>
      <c r="AV672" s="80"/>
      <c r="AW672" s="80" t="b">
        <v>0</v>
      </c>
      <c r="AX672" s="80" t="s">
        <v>7173</v>
      </c>
      <c r="AY672" s="84" t="str">
        <f>HYPERLINK("https://twitter.com/karanavany")</f>
        <v>https://twitter.com/karanavany</v>
      </c>
      <c r="AZ672" s="80" t="s">
        <v>66</v>
      </c>
      <c r="BA672" s="2"/>
      <c r="BB672" s="3"/>
      <c r="BC672" s="3"/>
      <c r="BD672" s="3"/>
      <c r="BE672" s="3"/>
    </row>
    <row r="673" spans="1:57" x14ac:dyDescent="0.35">
      <c r="A673" s="66" t="s">
        <v>1114</v>
      </c>
      <c r="B673" s="67"/>
      <c r="C673" s="67"/>
      <c r="D673" s="68"/>
      <c r="E673" s="70"/>
      <c r="F673" s="106" t="str">
        <f>HYPERLINK("https://pbs.twimg.com/profile_images/1423210125192400896/TI0iMb5H_normal.jpg")</f>
        <v>https://pbs.twimg.com/profile_images/1423210125192400896/TI0iMb5H_normal.jpg</v>
      </c>
      <c r="G673" s="67"/>
      <c r="H673" s="71"/>
      <c r="I673" s="72"/>
      <c r="J673" s="72"/>
      <c r="K673" s="71" t="s">
        <v>7843</v>
      </c>
      <c r="L673" s="75"/>
      <c r="M673" s="76"/>
      <c r="N673" s="76"/>
      <c r="O673" s="77"/>
      <c r="P673" s="78"/>
      <c r="Q673" s="78"/>
      <c r="R673" s="90"/>
      <c r="S673" s="90"/>
      <c r="T673" s="90"/>
      <c r="U673" s="90"/>
      <c r="V673" s="52"/>
      <c r="W673" s="52"/>
      <c r="X673" s="52"/>
      <c r="Y673" s="52"/>
      <c r="Z673" s="51"/>
      <c r="AA673" s="73"/>
      <c r="AB673" s="73"/>
      <c r="AC673" s="74"/>
      <c r="AD673" s="80" t="s">
        <v>4844</v>
      </c>
      <c r="AE673" s="86" t="s">
        <v>3990</v>
      </c>
      <c r="AF673" s="80">
        <v>729</v>
      </c>
      <c r="AG673" s="80">
        <v>14992</v>
      </c>
      <c r="AH673" s="80">
        <v>153411</v>
      </c>
      <c r="AI673" s="80">
        <v>13</v>
      </c>
      <c r="AJ673" s="80"/>
      <c r="AK673" s="80" t="s">
        <v>6478</v>
      </c>
      <c r="AL673" s="80" t="s">
        <v>7033</v>
      </c>
      <c r="AM673" s="84" t="str">
        <f>HYPERLINK("https://t.co/jcXXqAtpwN")</f>
        <v>https://t.co/jcXXqAtpwN</v>
      </c>
      <c r="AN673" s="80"/>
      <c r="AO673" s="82">
        <v>42857.543969907405</v>
      </c>
      <c r="AP673" s="84" t="str">
        <f>HYPERLINK("https://pbs.twimg.com/profile_banners/859392858540789761/1628154712")</f>
        <v>https://pbs.twimg.com/profile_banners/859392858540789761/1628154712</v>
      </c>
      <c r="AQ673" s="80" t="b">
        <v>1</v>
      </c>
      <c r="AR673" s="80" t="b">
        <v>0</v>
      </c>
      <c r="AS673" s="80" t="b">
        <v>0</v>
      </c>
      <c r="AT673" s="80"/>
      <c r="AU673" s="80">
        <v>264</v>
      </c>
      <c r="AV673" s="80"/>
      <c r="AW673" s="80" t="b">
        <v>0</v>
      </c>
      <c r="AX673" s="80" t="s">
        <v>7173</v>
      </c>
      <c r="AY673" s="84" t="str">
        <f>HYPERLINK("https://twitter.com/ctbzale")</f>
        <v>https://twitter.com/ctbzale</v>
      </c>
      <c r="AZ673" s="80" t="s">
        <v>65</v>
      </c>
      <c r="BA673" s="2"/>
      <c r="BB673" s="3"/>
      <c r="BC673" s="3"/>
      <c r="BD673" s="3"/>
      <c r="BE673" s="3"/>
    </row>
    <row r="674" spans="1:57" x14ac:dyDescent="0.35">
      <c r="A674" s="66" t="s">
        <v>762</v>
      </c>
      <c r="B674" s="67"/>
      <c r="C674" s="67"/>
      <c r="D674" s="68"/>
      <c r="E674" s="70"/>
      <c r="F674" s="106" t="str">
        <f>HYPERLINK("https://pbs.twimg.com/profile_images/1311691844703592448/j6VLJChL_normal.jpg")</f>
        <v>https://pbs.twimg.com/profile_images/1311691844703592448/j6VLJChL_normal.jpg</v>
      </c>
      <c r="G674" s="67"/>
      <c r="H674" s="71"/>
      <c r="I674" s="72"/>
      <c r="J674" s="72"/>
      <c r="K674" s="71" t="s">
        <v>7844</v>
      </c>
      <c r="L674" s="75"/>
      <c r="M674" s="76"/>
      <c r="N674" s="76"/>
      <c r="O674" s="77"/>
      <c r="P674" s="78"/>
      <c r="Q674" s="78"/>
      <c r="R674" s="90"/>
      <c r="S674" s="90"/>
      <c r="T674" s="90"/>
      <c r="U674" s="90"/>
      <c r="V674" s="52"/>
      <c r="W674" s="52"/>
      <c r="X674" s="52"/>
      <c r="Y674" s="52"/>
      <c r="Z674" s="51"/>
      <c r="AA674" s="73"/>
      <c r="AB674" s="73"/>
      <c r="AC674" s="74"/>
      <c r="AD674" s="80" t="s">
        <v>4845</v>
      </c>
      <c r="AE674" s="86" t="s">
        <v>5709</v>
      </c>
      <c r="AF674" s="80">
        <v>98</v>
      </c>
      <c r="AG674" s="80">
        <v>1015</v>
      </c>
      <c r="AH674" s="80">
        <v>909</v>
      </c>
      <c r="AI674" s="80">
        <v>260</v>
      </c>
      <c r="AJ674" s="80"/>
      <c r="AK674" s="80" t="s">
        <v>6479</v>
      </c>
      <c r="AL674" s="80" t="s">
        <v>7034</v>
      </c>
      <c r="AM674" s="84" t="str">
        <f>HYPERLINK("https://t.co/OKxhz2xVc9")</f>
        <v>https://t.co/OKxhz2xVc9</v>
      </c>
      <c r="AN674" s="80"/>
      <c r="AO674" s="82">
        <v>43500.574502314812</v>
      </c>
      <c r="AP674" s="84" t="str">
        <f>HYPERLINK("https://pbs.twimg.com/profile_banners/1092419323820298240/1588511540")</f>
        <v>https://pbs.twimg.com/profile_banners/1092419323820298240/1588511540</v>
      </c>
      <c r="AQ674" s="80" t="b">
        <v>1</v>
      </c>
      <c r="AR674" s="80" t="b">
        <v>0</v>
      </c>
      <c r="AS674" s="80" t="b">
        <v>0</v>
      </c>
      <c r="AT674" s="80"/>
      <c r="AU674" s="80">
        <v>1</v>
      </c>
      <c r="AV674" s="80"/>
      <c r="AW674" s="80" t="b">
        <v>0</v>
      </c>
      <c r="AX674" s="80" t="s">
        <v>7173</v>
      </c>
      <c r="AY674" s="84" t="str">
        <f>HYPERLINK("https://twitter.com/kominfo_srg")</f>
        <v>https://twitter.com/kominfo_srg</v>
      </c>
      <c r="AZ674" s="80" t="s">
        <v>66</v>
      </c>
      <c r="BA674" s="2"/>
      <c r="BB674" s="3"/>
      <c r="BC674" s="3"/>
      <c r="BD674" s="3"/>
      <c r="BE674" s="3"/>
    </row>
    <row r="675" spans="1:57" x14ac:dyDescent="0.35">
      <c r="A675" s="66" t="s">
        <v>763</v>
      </c>
      <c r="B675" s="67"/>
      <c r="C675" s="67"/>
      <c r="D675" s="68"/>
      <c r="E675" s="70"/>
      <c r="F675" s="106" t="str">
        <f>HYPERLINK("https://pbs.twimg.com/profile_images/1438130181835685895/tocLPpGa_normal.jpg")</f>
        <v>https://pbs.twimg.com/profile_images/1438130181835685895/tocLPpGa_normal.jpg</v>
      </c>
      <c r="G675" s="67"/>
      <c r="H675" s="71"/>
      <c r="I675" s="72"/>
      <c r="J675" s="72"/>
      <c r="K675" s="71" t="s">
        <v>7845</v>
      </c>
      <c r="L675" s="75"/>
      <c r="M675" s="76"/>
      <c r="N675" s="76"/>
      <c r="O675" s="77"/>
      <c r="P675" s="78"/>
      <c r="Q675" s="78"/>
      <c r="R675" s="90"/>
      <c r="S675" s="90"/>
      <c r="T675" s="90"/>
      <c r="U675" s="90"/>
      <c r="V675" s="52"/>
      <c r="W675" s="52"/>
      <c r="X675" s="52"/>
      <c r="Y675" s="52"/>
      <c r="Z675" s="51"/>
      <c r="AA675" s="73"/>
      <c r="AB675" s="73"/>
      <c r="AC675" s="74"/>
      <c r="AD675" s="80" t="s">
        <v>4846</v>
      </c>
      <c r="AE675" s="86" t="s">
        <v>5710</v>
      </c>
      <c r="AF675" s="80">
        <v>305</v>
      </c>
      <c r="AG675" s="80">
        <v>636</v>
      </c>
      <c r="AH675" s="80">
        <v>318008</v>
      </c>
      <c r="AI675" s="80">
        <v>162589</v>
      </c>
      <c r="AJ675" s="80"/>
      <c r="AK675" s="80" t="s">
        <v>6480</v>
      </c>
      <c r="AL675" s="80" t="s">
        <v>7035</v>
      </c>
      <c r="AM675" s="84" t="str">
        <f>HYPERLINK("https://t.co/4MfO5M6Bue")</f>
        <v>https://t.co/4MfO5M6Bue</v>
      </c>
      <c r="AN675" s="80"/>
      <c r="AO675" s="82">
        <v>41420.135138888887</v>
      </c>
      <c r="AP675" s="84" t="str">
        <f>HYPERLINK("https://pbs.twimg.com/profile_banners/1458617708/1621782860")</f>
        <v>https://pbs.twimg.com/profile_banners/1458617708/1621782860</v>
      </c>
      <c r="AQ675" s="80" t="b">
        <v>1</v>
      </c>
      <c r="AR675" s="80" t="b">
        <v>0</v>
      </c>
      <c r="AS675" s="80" t="b">
        <v>1</v>
      </c>
      <c r="AT675" s="80"/>
      <c r="AU675" s="80">
        <v>10</v>
      </c>
      <c r="AV675" s="84" t="str">
        <f>HYPERLINK("https://abs.twimg.com/images/themes/theme1/bg.png")</f>
        <v>https://abs.twimg.com/images/themes/theme1/bg.png</v>
      </c>
      <c r="AW675" s="80" t="b">
        <v>0</v>
      </c>
      <c r="AX675" s="80" t="s">
        <v>7173</v>
      </c>
      <c r="AY675" s="84" t="str">
        <f>HYPERLINK("https://twitter.com/kurniawanricho")</f>
        <v>https://twitter.com/kurniawanricho</v>
      </c>
      <c r="AZ675" s="80" t="s">
        <v>66</v>
      </c>
      <c r="BA675" s="2"/>
      <c r="BB675" s="3"/>
      <c r="BC675" s="3"/>
      <c r="BD675" s="3"/>
      <c r="BE675" s="3"/>
    </row>
    <row r="676" spans="1:57" x14ac:dyDescent="0.35">
      <c r="A676" s="66" t="s">
        <v>764</v>
      </c>
      <c r="B676" s="67"/>
      <c r="C676" s="67"/>
      <c r="D676" s="68"/>
      <c r="E676" s="70"/>
      <c r="F676" s="106" t="str">
        <f>HYPERLINK("https://pbs.twimg.com/profile_images/1207987350405406722/ZkCDTos6_normal.jpg")</f>
        <v>https://pbs.twimg.com/profile_images/1207987350405406722/ZkCDTos6_normal.jpg</v>
      </c>
      <c r="G676" s="67"/>
      <c r="H676" s="71"/>
      <c r="I676" s="72"/>
      <c r="J676" s="72"/>
      <c r="K676" s="71" t="s">
        <v>7846</v>
      </c>
      <c r="L676" s="75"/>
      <c r="M676" s="76"/>
      <c r="N676" s="76"/>
      <c r="O676" s="77"/>
      <c r="P676" s="78"/>
      <c r="Q676" s="78"/>
      <c r="R676" s="90"/>
      <c r="S676" s="90"/>
      <c r="T676" s="90"/>
      <c r="U676" s="90"/>
      <c r="V676" s="52"/>
      <c r="W676" s="52"/>
      <c r="X676" s="52"/>
      <c r="Y676" s="52"/>
      <c r="Z676" s="51"/>
      <c r="AA676" s="73"/>
      <c r="AB676" s="73"/>
      <c r="AC676" s="74"/>
      <c r="AD676" s="80" t="s">
        <v>4847</v>
      </c>
      <c r="AE676" s="86" t="s">
        <v>5711</v>
      </c>
      <c r="AF676" s="80">
        <v>2641</v>
      </c>
      <c r="AG676" s="80">
        <v>24700</v>
      </c>
      <c r="AH676" s="80">
        <v>160776</v>
      </c>
      <c r="AI676" s="80">
        <v>28210</v>
      </c>
      <c r="AJ676" s="80"/>
      <c r="AK676" s="80" t="s">
        <v>6481</v>
      </c>
      <c r="AL676" s="80" t="s">
        <v>7036</v>
      </c>
      <c r="AM676" s="80"/>
      <c r="AN676" s="80"/>
      <c r="AO676" s="82">
        <v>39911.599942129629</v>
      </c>
      <c r="AP676" s="84" t="str">
        <f>HYPERLINK("https://pbs.twimg.com/profile_banners/29725195/1384160511")</f>
        <v>https://pbs.twimg.com/profile_banners/29725195/1384160511</v>
      </c>
      <c r="AQ676" s="80" t="b">
        <v>0</v>
      </c>
      <c r="AR676" s="80" t="b">
        <v>0</v>
      </c>
      <c r="AS676" s="80" t="b">
        <v>1</v>
      </c>
      <c r="AT676" s="80"/>
      <c r="AU676" s="80">
        <v>126</v>
      </c>
      <c r="AV676" s="84" t="str">
        <f>HYPERLINK("https://abs.twimg.com/images/themes/theme4/bg.gif")</f>
        <v>https://abs.twimg.com/images/themes/theme4/bg.gif</v>
      </c>
      <c r="AW676" s="80" t="b">
        <v>0</v>
      </c>
      <c r="AX676" s="80" t="s">
        <v>7173</v>
      </c>
      <c r="AY676" s="84" t="str">
        <f>HYPERLINK("https://twitter.com/dianonno")</f>
        <v>https://twitter.com/dianonno</v>
      </c>
      <c r="AZ676" s="80" t="s">
        <v>66</v>
      </c>
      <c r="BA676" s="2"/>
      <c r="BB676" s="3"/>
      <c r="BC676" s="3"/>
      <c r="BD676" s="3"/>
      <c r="BE676" s="3"/>
    </row>
    <row r="677" spans="1:57" x14ac:dyDescent="0.35">
      <c r="A677" s="66" t="s">
        <v>1115</v>
      </c>
      <c r="B677" s="67"/>
      <c r="C677" s="67"/>
      <c r="D677" s="68"/>
      <c r="E677" s="70"/>
      <c r="F677" s="106" t="str">
        <f>HYPERLINK("https://pbs.twimg.com/profile_images/1254745126536048641/vfMNq9mm_normal.jpg")</f>
        <v>https://pbs.twimg.com/profile_images/1254745126536048641/vfMNq9mm_normal.jpg</v>
      </c>
      <c r="G677" s="67"/>
      <c r="H677" s="71"/>
      <c r="I677" s="72"/>
      <c r="J677" s="72"/>
      <c r="K677" s="71" t="s">
        <v>7847</v>
      </c>
      <c r="L677" s="75"/>
      <c r="M677" s="76"/>
      <c r="N677" s="76"/>
      <c r="O677" s="77"/>
      <c r="P677" s="78"/>
      <c r="Q677" s="78"/>
      <c r="R677" s="90"/>
      <c r="S677" s="90"/>
      <c r="T677" s="90"/>
      <c r="U677" s="90"/>
      <c r="V677" s="52"/>
      <c r="W677" s="52"/>
      <c r="X677" s="52"/>
      <c r="Y677" s="52"/>
      <c r="Z677" s="51"/>
      <c r="AA677" s="73"/>
      <c r="AB677" s="73"/>
      <c r="AC677" s="74"/>
      <c r="AD677" s="80" t="s">
        <v>4848</v>
      </c>
      <c r="AE677" s="86" t="s">
        <v>5712</v>
      </c>
      <c r="AF677" s="80">
        <v>83</v>
      </c>
      <c r="AG677" s="80">
        <v>66</v>
      </c>
      <c r="AH677" s="80">
        <v>4395</v>
      </c>
      <c r="AI677" s="80">
        <v>945</v>
      </c>
      <c r="AJ677" s="80"/>
      <c r="AK677" s="80" t="s">
        <v>6482</v>
      </c>
      <c r="AL677" s="80"/>
      <c r="AM677" s="80"/>
      <c r="AN677" s="80"/>
      <c r="AO677" s="82">
        <v>42509.31077546296</v>
      </c>
      <c r="AP677" s="84" t="str">
        <f>HYPERLINK("https://pbs.twimg.com/profile_banners/733197375825534976/1523749790")</f>
        <v>https://pbs.twimg.com/profile_banners/733197375825534976/1523749790</v>
      </c>
      <c r="AQ677" s="80" t="b">
        <v>1</v>
      </c>
      <c r="AR677" s="80" t="b">
        <v>0</v>
      </c>
      <c r="AS677" s="80" t="b">
        <v>1</v>
      </c>
      <c r="AT677" s="80"/>
      <c r="AU677" s="80">
        <v>0</v>
      </c>
      <c r="AV677" s="80"/>
      <c r="AW677" s="80" t="b">
        <v>0</v>
      </c>
      <c r="AX677" s="80" t="s">
        <v>7173</v>
      </c>
      <c r="AY677" s="84" t="str">
        <f>HYPERLINK("https://twitter.com/sunnycunnyy")</f>
        <v>https://twitter.com/sunnycunnyy</v>
      </c>
      <c r="AZ677" s="80" t="s">
        <v>65</v>
      </c>
      <c r="BA677" s="2"/>
      <c r="BB677" s="3"/>
      <c r="BC677" s="3"/>
      <c r="BD677" s="3"/>
      <c r="BE677" s="3"/>
    </row>
    <row r="678" spans="1:57" x14ac:dyDescent="0.35">
      <c r="A678" s="66" t="s">
        <v>1116</v>
      </c>
      <c r="B678" s="67"/>
      <c r="C678" s="67"/>
      <c r="D678" s="68"/>
      <c r="E678" s="70"/>
      <c r="F678" s="106" t="str">
        <f>HYPERLINK("https://pbs.twimg.com/profile_images/1437463918876651521/c8n9aTtI_normal.jpg")</f>
        <v>https://pbs.twimg.com/profile_images/1437463918876651521/c8n9aTtI_normal.jpg</v>
      </c>
      <c r="G678" s="67"/>
      <c r="H678" s="71"/>
      <c r="I678" s="72"/>
      <c r="J678" s="72"/>
      <c r="K678" s="71" t="s">
        <v>7848</v>
      </c>
      <c r="L678" s="75"/>
      <c r="M678" s="76"/>
      <c r="N678" s="76"/>
      <c r="O678" s="77"/>
      <c r="P678" s="78"/>
      <c r="Q678" s="78"/>
      <c r="R678" s="90"/>
      <c r="S678" s="90"/>
      <c r="T678" s="90"/>
      <c r="U678" s="90"/>
      <c r="V678" s="52"/>
      <c r="W678" s="52"/>
      <c r="X678" s="52"/>
      <c r="Y678" s="52"/>
      <c r="Z678" s="51"/>
      <c r="AA678" s="73"/>
      <c r="AB678" s="73"/>
      <c r="AC678" s="74"/>
      <c r="AD678" s="80" t="s">
        <v>4849</v>
      </c>
      <c r="AE678" s="86" t="s">
        <v>5713</v>
      </c>
      <c r="AF678" s="80">
        <v>338</v>
      </c>
      <c r="AG678" s="80">
        <v>195</v>
      </c>
      <c r="AH678" s="80">
        <v>22842</v>
      </c>
      <c r="AI678" s="80">
        <v>20223</v>
      </c>
      <c r="AJ678" s="80"/>
      <c r="AK678" s="80" t="s">
        <v>6483</v>
      </c>
      <c r="AL678" s="80"/>
      <c r="AM678" s="80"/>
      <c r="AN678" s="80"/>
      <c r="AO678" s="82">
        <v>41767.637488425928</v>
      </c>
      <c r="AP678" s="84" t="str">
        <f>HYPERLINK("https://pbs.twimg.com/profile_banners/2483905332/1612967721")</f>
        <v>https://pbs.twimg.com/profile_banners/2483905332/1612967721</v>
      </c>
      <c r="AQ678" s="80" t="b">
        <v>1</v>
      </c>
      <c r="AR678" s="80" t="b">
        <v>0</v>
      </c>
      <c r="AS678" s="80" t="b">
        <v>1</v>
      </c>
      <c r="AT678" s="80"/>
      <c r="AU678" s="80">
        <v>1</v>
      </c>
      <c r="AV678" s="84" t="str">
        <f>HYPERLINK("https://abs.twimg.com/images/themes/theme1/bg.png")</f>
        <v>https://abs.twimg.com/images/themes/theme1/bg.png</v>
      </c>
      <c r="AW678" s="80" t="b">
        <v>0</v>
      </c>
      <c r="AX678" s="80" t="s">
        <v>7173</v>
      </c>
      <c r="AY678" s="84" t="str">
        <f>HYPERLINK("https://twitter.com/noisette_douce")</f>
        <v>https://twitter.com/noisette_douce</v>
      </c>
      <c r="AZ678" s="80" t="s">
        <v>65</v>
      </c>
      <c r="BA678" s="2"/>
      <c r="BB678" s="3"/>
      <c r="BC678" s="3"/>
      <c r="BD678" s="3"/>
      <c r="BE678" s="3"/>
    </row>
    <row r="679" spans="1:57" x14ac:dyDescent="0.35">
      <c r="A679" s="66" t="s">
        <v>1117</v>
      </c>
      <c r="B679" s="67"/>
      <c r="C679" s="67"/>
      <c r="D679" s="68"/>
      <c r="E679" s="70"/>
      <c r="F679" s="106" t="str">
        <f>HYPERLINK("https://pbs.twimg.com/profile_images/1350610819818561538/ivZv0nZk_normal.jpg")</f>
        <v>https://pbs.twimg.com/profile_images/1350610819818561538/ivZv0nZk_normal.jpg</v>
      </c>
      <c r="G679" s="67"/>
      <c r="H679" s="71"/>
      <c r="I679" s="72"/>
      <c r="J679" s="72"/>
      <c r="K679" s="71" t="s">
        <v>7849</v>
      </c>
      <c r="L679" s="75"/>
      <c r="M679" s="76"/>
      <c r="N679" s="76"/>
      <c r="O679" s="77"/>
      <c r="P679" s="78"/>
      <c r="Q679" s="78"/>
      <c r="R679" s="90"/>
      <c r="S679" s="90"/>
      <c r="T679" s="90"/>
      <c r="U679" s="90"/>
      <c r="V679" s="52"/>
      <c r="W679" s="52"/>
      <c r="X679" s="52"/>
      <c r="Y679" s="52"/>
      <c r="Z679" s="51"/>
      <c r="AA679" s="73"/>
      <c r="AB679" s="73"/>
      <c r="AC679" s="74"/>
      <c r="AD679" s="80" t="s">
        <v>4850</v>
      </c>
      <c r="AE679" s="86" t="s">
        <v>3991</v>
      </c>
      <c r="AF679" s="80">
        <v>555</v>
      </c>
      <c r="AG679" s="80">
        <v>582</v>
      </c>
      <c r="AH679" s="80">
        <v>53397</v>
      </c>
      <c r="AI679" s="80">
        <v>1215</v>
      </c>
      <c r="AJ679" s="80"/>
      <c r="AK679" s="80" t="s">
        <v>6484</v>
      </c>
      <c r="AL679" s="80" t="s">
        <v>7037</v>
      </c>
      <c r="AM679" s="80"/>
      <c r="AN679" s="80"/>
      <c r="AO679" s="82">
        <v>40128.224317129629</v>
      </c>
      <c r="AP679" s="84" t="str">
        <f>HYPERLINK("https://pbs.twimg.com/profile_banners/89115025/1378270057")</f>
        <v>https://pbs.twimg.com/profile_banners/89115025/1378270057</v>
      </c>
      <c r="AQ679" s="80" t="b">
        <v>0</v>
      </c>
      <c r="AR679" s="80" t="b">
        <v>0</v>
      </c>
      <c r="AS679" s="80" t="b">
        <v>1</v>
      </c>
      <c r="AT679" s="80"/>
      <c r="AU679" s="80">
        <v>3</v>
      </c>
      <c r="AV679" s="84" t="str">
        <f>HYPERLINK("https://abs.twimg.com/images/themes/theme1/bg.png")</f>
        <v>https://abs.twimg.com/images/themes/theme1/bg.png</v>
      </c>
      <c r="AW679" s="80" t="b">
        <v>0</v>
      </c>
      <c r="AX679" s="80" t="s">
        <v>7173</v>
      </c>
      <c r="AY679" s="84" t="str">
        <f>HYPERLINK("https://twitter.com/okyonline")</f>
        <v>https://twitter.com/okyonline</v>
      </c>
      <c r="AZ679" s="80" t="s">
        <v>65</v>
      </c>
      <c r="BA679" s="2"/>
      <c r="BB679" s="3"/>
      <c r="BC679" s="3"/>
      <c r="BD679" s="3"/>
      <c r="BE679" s="3"/>
    </row>
    <row r="680" spans="1:57" x14ac:dyDescent="0.35">
      <c r="A680" s="66" t="s">
        <v>765</v>
      </c>
      <c r="B680" s="67"/>
      <c r="C680" s="67"/>
      <c r="D680" s="68"/>
      <c r="E680" s="70"/>
      <c r="F680" s="106" t="str">
        <f>HYPERLINK("https://pbs.twimg.com/profile_images/1438493991838760963/S8zFj6Lo_normal.jpg")</f>
        <v>https://pbs.twimg.com/profile_images/1438493991838760963/S8zFj6Lo_normal.jpg</v>
      </c>
      <c r="G680" s="67"/>
      <c r="H680" s="71"/>
      <c r="I680" s="72"/>
      <c r="J680" s="72"/>
      <c r="K680" s="71" t="s">
        <v>7850</v>
      </c>
      <c r="L680" s="75"/>
      <c r="M680" s="76"/>
      <c r="N680" s="76"/>
      <c r="O680" s="77"/>
      <c r="P680" s="78"/>
      <c r="Q680" s="78"/>
      <c r="R680" s="90"/>
      <c r="S680" s="90"/>
      <c r="T680" s="90"/>
      <c r="U680" s="90"/>
      <c r="V680" s="52"/>
      <c r="W680" s="52"/>
      <c r="X680" s="52"/>
      <c r="Y680" s="52"/>
      <c r="Z680" s="51"/>
      <c r="AA680" s="73"/>
      <c r="AB680" s="73"/>
      <c r="AC680" s="74"/>
      <c r="AD680" s="80" t="s">
        <v>4851</v>
      </c>
      <c r="AE680" s="86" t="s">
        <v>5714</v>
      </c>
      <c r="AF680" s="80">
        <v>206</v>
      </c>
      <c r="AG680" s="80">
        <v>108</v>
      </c>
      <c r="AH680" s="80">
        <v>286</v>
      </c>
      <c r="AI680" s="80">
        <v>2734</v>
      </c>
      <c r="AJ680" s="80"/>
      <c r="AK680" s="80" t="s">
        <v>6485</v>
      </c>
      <c r="AL680" s="80"/>
      <c r="AM680" s="80"/>
      <c r="AN680" s="80"/>
      <c r="AO680" s="82">
        <v>44341.253541666665</v>
      </c>
      <c r="AP680" s="84" t="str">
        <f>HYPERLINK("https://pbs.twimg.com/profile_banners/1397071135364161539/1629950116")</f>
        <v>https://pbs.twimg.com/profile_banners/1397071135364161539/1629950116</v>
      </c>
      <c r="AQ680" s="80" t="b">
        <v>1</v>
      </c>
      <c r="AR680" s="80" t="b">
        <v>0</v>
      </c>
      <c r="AS680" s="80" t="b">
        <v>0</v>
      </c>
      <c r="AT680" s="80"/>
      <c r="AU680" s="80">
        <v>0</v>
      </c>
      <c r="AV680" s="80"/>
      <c r="AW680" s="80" t="b">
        <v>0</v>
      </c>
      <c r="AX680" s="80" t="s">
        <v>7173</v>
      </c>
      <c r="AY680" s="84" t="str">
        <f>HYPERLINK("https://twitter.com/hatteeuu")</f>
        <v>https://twitter.com/hatteeuu</v>
      </c>
      <c r="AZ680" s="80" t="s">
        <v>66</v>
      </c>
      <c r="BA680" s="2"/>
      <c r="BB680" s="3"/>
      <c r="BC680" s="3"/>
      <c r="BD680" s="3"/>
      <c r="BE680" s="3"/>
    </row>
    <row r="681" spans="1:57" x14ac:dyDescent="0.35">
      <c r="A681" s="66" t="s">
        <v>766</v>
      </c>
      <c r="B681" s="67"/>
      <c r="C681" s="67"/>
      <c r="D681" s="68"/>
      <c r="E681" s="70"/>
      <c r="F681" s="106" t="str">
        <f>HYPERLINK("https://pbs.twimg.com/profile_images/1382233151401988100/6bMSstO0_normal.jpg")</f>
        <v>https://pbs.twimg.com/profile_images/1382233151401988100/6bMSstO0_normal.jpg</v>
      </c>
      <c r="G681" s="67"/>
      <c r="H681" s="71"/>
      <c r="I681" s="72"/>
      <c r="J681" s="72"/>
      <c r="K681" s="71" t="s">
        <v>7851</v>
      </c>
      <c r="L681" s="75"/>
      <c r="M681" s="76"/>
      <c r="N681" s="76"/>
      <c r="O681" s="77"/>
      <c r="P681" s="78"/>
      <c r="Q681" s="78"/>
      <c r="R681" s="90"/>
      <c r="S681" s="90"/>
      <c r="T681" s="90"/>
      <c r="U681" s="90"/>
      <c r="V681" s="52"/>
      <c r="W681" s="52"/>
      <c r="X681" s="52"/>
      <c r="Y681" s="52"/>
      <c r="Z681" s="51"/>
      <c r="AA681" s="73"/>
      <c r="AB681" s="73"/>
      <c r="AC681" s="74"/>
      <c r="AD681" s="80" t="s">
        <v>4852</v>
      </c>
      <c r="AE681" s="86" t="s">
        <v>5715</v>
      </c>
      <c r="AF681" s="80">
        <v>805</v>
      </c>
      <c r="AG681" s="80">
        <v>816</v>
      </c>
      <c r="AH681" s="80">
        <v>8728</v>
      </c>
      <c r="AI681" s="80">
        <v>1507</v>
      </c>
      <c r="AJ681" s="80"/>
      <c r="AK681" s="80" t="s">
        <v>6486</v>
      </c>
      <c r="AL681" s="80" t="s">
        <v>6773</v>
      </c>
      <c r="AM681" s="80"/>
      <c r="AN681" s="80"/>
      <c r="AO681" s="82">
        <v>40675.316446759258</v>
      </c>
      <c r="AP681" s="84" t="str">
        <f>HYPERLINK("https://pbs.twimg.com/profile_banners/297278854/1446384773")</f>
        <v>https://pbs.twimg.com/profile_banners/297278854/1446384773</v>
      </c>
      <c r="AQ681" s="80" t="b">
        <v>0</v>
      </c>
      <c r="AR681" s="80" t="b">
        <v>0</v>
      </c>
      <c r="AS681" s="80" t="b">
        <v>1</v>
      </c>
      <c r="AT681" s="80"/>
      <c r="AU681" s="80">
        <v>1</v>
      </c>
      <c r="AV681" s="84" t="str">
        <f>HYPERLINK("https://abs.twimg.com/images/themes/theme7/bg.gif")</f>
        <v>https://abs.twimg.com/images/themes/theme7/bg.gif</v>
      </c>
      <c r="AW681" s="80" t="b">
        <v>0</v>
      </c>
      <c r="AX681" s="80" t="s">
        <v>7173</v>
      </c>
      <c r="AY681" s="84" t="str">
        <f>HYPERLINK("https://twitter.com/imandangodaan")</f>
        <v>https://twitter.com/imandangodaan</v>
      </c>
      <c r="AZ681" s="80" t="s">
        <v>66</v>
      </c>
      <c r="BA681" s="2"/>
      <c r="BB681" s="3"/>
      <c r="BC681" s="3"/>
      <c r="BD681" s="3"/>
      <c r="BE681" s="3"/>
    </row>
    <row r="682" spans="1:57" x14ac:dyDescent="0.35">
      <c r="A682" s="66" t="s">
        <v>767</v>
      </c>
      <c r="B682" s="67"/>
      <c r="C682" s="67"/>
      <c r="D682" s="68"/>
      <c r="E682" s="70"/>
      <c r="F682" s="106" t="str">
        <f>HYPERLINK("https://pbs.twimg.com/profile_images/1440973987601797126/3LPJIhTv_normal.jpg")</f>
        <v>https://pbs.twimg.com/profile_images/1440973987601797126/3LPJIhTv_normal.jpg</v>
      </c>
      <c r="G682" s="67"/>
      <c r="H682" s="71"/>
      <c r="I682" s="72"/>
      <c r="J682" s="72"/>
      <c r="K682" s="71" t="s">
        <v>7852</v>
      </c>
      <c r="L682" s="75"/>
      <c r="M682" s="76"/>
      <c r="N682" s="76"/>
      <c r="O682" s="77"/>
      <c r="P682" s="78"/>
      <c r="Q682" s="78"/>
      <c r="R682" s="90"/>
      <c r="S682" s="90"/>
      <c r="T682" s="90"/>
      <c r="U682" s="90"/>
      <c r="V682" s="52"/>
      <c r="W682" s="52"/>
      <c r="X682" s="52"/>
      <c r="Y682" s="52"/>
      <c r="Z682" s="51"/>
      <c r="AA682" s="73"/>
      <c r="AB682" s="73"/>
      <c r="AC682" s="74"/>
      <c r="AD682" s="80" t="s">
        <v>4853</v>
      </c>
      <c r="AE682" s="86" t="s">
        <v>5716</v>
      </c>
      <c r="AF682" s="80">
        <v>175</v>
      </c>
      <c r="AG682" s="80">
        <v>17</v>
      </c>
      <c r="AH682" s="80">
        <v>2077</v>
      </c>
      <c r="AI682" s="80">
        <v>3448</v>
      </c>
      <c r="AJ682" s="80"/>
      <c r="AK682" s="80" t="s">
        <v>6487</v>
      </c>
      <c r="AL682" s="80" t="s">
        <v>7038</v>
      </c>
      <c r="AM682" s="80"/>
      <c r="AN682" s="80"/>
      <c r="AO682" s="82">
        <v>43368.975370370368</v>
      </c>
      <c r="AP682" s="84" t="str">
        <f>HYPERLINK("https://pbs.twimg.com/profile_banners/1044729392537075712/1632389902")</f>
        <v>https://pbs.twimg.com/profile_banners/1044729392537075712/1632389902</v>
      </c>
      <c r="AQ682" s="80" t="b">
        <v>1</v>
      </c>
      <c r="AR682" s="80" t="b">
        <v>0</v>
      </c>
      <c r="AS682" s="80" t="b">
        <v>0</v>
      </c>
      <c r="AT682" s="80"/>
      <c r="AU682" s="80">
        <v>0</v>
      </c>
      <c r="AV682" s="80"/>
      <c r="AW682" s="80" t="b">
        <v>0</v>
      </c>
      <c r="AX682" s="80" t="s">
        <v>7173</v>
      </c>
      <c r="AY682" s="84" t="str">
        <f>HYPERLINK("https://twitter.com/rapangkatdua")</f>
        <v>https://twitter.com/rapangkatdua</v>
      </c>
      <c r="AZ682" s="80" t="s">
        <v>66</v>
      </c>
      <c r="BA682" s="2"/>
      <c r="BB682" s="3"/>
      <c r="BC682" s="3"/>
      <c r="BD682" s="3"/>
      <c r="BE682" s="3"/>
    </row>
    <row r="683" spans="1:57" x14ac:dyDescent="0.35">
      <c r="A683" s="66" t="s">
        <v>768</v>
      </c>
      <c r="B683" s="67"/>
      <c r="C683" s="67"/>
      <c r="D683" s="68"/>
      <c r="E683" s="70"/>
      <c r="F683" s="106" t="str">
        <f>HYPERLINK("https://pbs.twimg.com/profile_images/1441916920471515138/f-K1bgCn_normal.png")</f>
        <v>https://pbs.twimg.com/profile_images/1441916920471515138/f-K1bgCn_normal.png</v>
      </c>
      <c r="G683" s="67"/>
      <c r="H683" s="71"/>
      <c r="I683" s="72"/>
      <c r="J683" s="72"/>
      <c r="K683" s="71" t="s">
        <v>7853</v>
      </c>
      <c r="L683" s="75"/>
      <c r="M683" s="76"/>
      <c r="N683" s="76"/>
      <c r="O683" s="77"/>
      <c r="P683" s="78"/>
      <c r="Q683" s="78"/>
      <c r="R683" s="90"/>
      <c r="S683" s="90"/>
      <c r="T683" s="90"/>
      <c r="U683" s="90"/>
      <c r="V683" s="52"/>
      <c r="W683" s="52"/>
      <c r="X683" s="52"/>
      <c r="Y683" s="52"/>
      <c r="Z683" s="51"/>
      <c r="AA683" s="73"/>
      <c r="AB683" s="73"/>
      <c r="AC683" s="74"/>
      <c r="AD683" s="80" t="s">
        <v>4854</v>
      </c>
      <c r="AE683" s="86" t="s">
        <v>5717</v>
      </c>
      <c r="AF683" s="80">
        <v>498</v>
      </c>
      <c r="AG683" s="80">
        <v>663</v>
      </c>
      <c r="AH683" s="80">
        <v>52576</v>
      </c>
      <c r="AI683" s="80">
        <v>5065</v>
      </c>
      <c r="AJ683" s="80"/>
      <c r="AK683" s="80" t="s">
        <v>6488</v>
      </c>
      <c r="AL683" s="80" t="s">
        <v>7039</v>
      </c>
      <c r="AM683" s="84" t="str">
        <f>HYPERLINK("https://t.co/YqKPls69SP")</f>
        <v>https://t.co/YqKPls69SP</v>
      </c>
      <c r="AN683" s="80"/>
      <c r="AO683" s="82">
        <v>43547.604872685188</v>
      </c>
      <c r="AP683" s="84" t="str">
        <f>HYPERLINK("https://pbs.twimg.com/profile_banners/1109462556425388033/1632614760")</f>
        <v>https://pbs.twimg.com/profile_banners/1109462556425388033/1632614760</v>
      </c>
      <c r="AQ683" s="80" t="b">
        <v>1</v>
      </c>
      <c r="AR683" s="80" t="b">
        <v>0</v>
      </c>
      <c r="AS683" s="80" t="b">
        <v>0</v>
      </c>
      <c r="AT683" s="80"/>
      <c r="AU683" s="80">
        <v>15</v>
      </c>
      <c r="AV683" s="80"/>
      <c r="AW683" s="80" t="b">
        <v>0</v>
      </c>
      <c r="AX683" s="80" t="s">
        <v>7173</v>
      </c>
      <c r="AY683" s="84" t="str">
        <f>HYPERLINK("https://twitter.com/clcyoojiin")</f>
        <v>https://twitter.com/clcyoojiin</v>
      </c>
      <c r="AZ683" s="80" t="s">
        <v>66</v>
      </c>
      <c r="BA683" s="2"/>
      <c r="BB683" s="3"/>
      <c r="BC683" s="3"/>
      <c r="BD683" s="3"/>
      <c r="BE683" s="3"/>
    </row>
    <row r="684" spans="1:57" x14ac:dyDescent="0.35">
      <c r="A684" s="66" t="s">
        <v>1118</v>
      </c>
      <c r="B684" s="67"/>
      <c r="C684" s="67"/>
      <c r="D684" s="68"/>
      <c r="E684" s="70"/>
      <c r="F684" s="106" t="str">
        <f>HYPERLINK("https://pbs.twimg.com/profile_images/1442526826564243464/2d1QIGhP_normal.jpg")</f>
        <v>https://pbs.twimg.com/profile_images/1442526826564243464/2d1QIGhP_normal.jpg</v>
      </c>
      <c r="G684" s="67"/>
      <c r="H684" s="71"/>
      <c r="I684" s="72"/>
      <c r="J684" s="72"/>
      <c r="K684" s="71" t="s">
        <v>7854</v>
      </c>
      <c r="L684" s="75"/>
      <c r="M684" s="76"/>
      <c r="N684" s="76"/>
      <c r="O684" s="77"/>
      <c r="P684" s="78"/>
      <c r="Q684" s="78"/>
      <c r="R684" s="90"/>
      <c r="S684" s="90"/>
      <c r="T684" s="90"/>
      <c r="U684" s="90"/>
      <c r="V684" s="52"/>
      <c r="W684" s="52"/>
      <c r="X684" s="52"/>
      <c r="Y684" s="52"/>
      <c r="Z684" s="51"/>
      <c r="AA684" s="73"/>
      <c r="AB684" s="73"/>
      <c r="AC684" s="74"/>
      <c r="AD684" s="80" t="s">
        <v>4855</v>
      </c>
      <c r="AE684" s="86" t="s">
        <v>3992</v>
      </c>
      <c r="AF684" s="80">
        <v>334</v>
      </c>
      <c r="AG684" s="80">
        <v>328</v>
      </c>
      <c r="AH684" s="80">
        <v>25049</v>
      </c>
      <c r="AI684" s="80">
        <v>109</v>
      </c>
      <c r="AJ684" s="80"/>
      <c r="AK684" s="80" t="s">
        <v>6489</v>
      </c>
      <c r="AL684" s="80" t="s">
        <v>7040</v>
      </c>
      <c r="AM684" s="84" t="str">
        <f>HYPERLINK("https://t.co/MPtSPorNIY")</f>
        <v>https://t.co/MPtSPorNIY</v>
      </c>
      <c r="AN684" s="80"/>
      <c r="AO684" s="82">
        <v>44340.215555555558</v>
      </c>
      <c r="AP684" s="84" t="str">
        <f>HYPERLINK("https://pbs.twimg.com/profile_banners/1396695009659789313/1632760169")</f>
        <v>https://pbs.twimg.com/profile_banners/1396695009659789313/1632760169</v>
      </c>
      <c r="AQ684" s="80" t="b">
        <v>1</v>
      </c>
      <c r="AR684" s="80" t="b">
        <v>0</v>
      </c>
      <c r="AS684" s="80" t="b">
        <v>0</v>
      </c>
      <c r="AT684" s="80"/>
      <c r="AU684" s="80">
        <v>13</v>
      </c>
      <c r="AV684" s="80"/>
      <c r="AW684" s="80" t="b">
        <v>0</v>
      </c>
      <c r="AX684" s="80" t="s">
        <v>7173</v>
      </c>
      <c r="AY684" s="84" t="str">
        <f>HYPERLINK("https://twitter.com/jiwon00fc")</f>
        <v>https://twitter.com/jiwon00fc</v>
      </c>
      <c r="AZ684" s="80" t="s">
        <v>65</v>
      </c>
      <c r="BA684" s="2"/>
      <c r="BB684" s="3"/>
      <c r="BC684" s="3"/>
      <c r="BD684" s="3"/>
      <c r="BE684" s="3"/>
    </row>
    <row r="685" spans="1:57" x14ac:dyDescent="0.35">
      <c r="A685" s="66" t="s">
        <v>769</v>
      </c>
      <c r="B685" s="67"/>
      <c r="C685" s="67"/>
      <c r="D685" s="68"/>
      <c r="E685" s="70"/>
      <c r="F685" s="106" t="str">
        <f>HYPERLINK("https://pbs.twimg.com/profile_images/1377329036452458496/MMiQiEWJ_normal.jpg")</f>
        <v>https://pbs.twimg.com/profile_images/1377329036452458496/MMiQiEWJ_normal.jpg</v>
      </c>
      <c r="G685" s="67"/>
      <c r="H685" s="71"/>
      <c r="I685" s="72"/>
      <c r="J685" s="72"/>
      <c r="K685" s="71" t="s">
        <v>7855</v>
      </c>
      <c r="L685" s="75"/>
      <c r="M685" s="76"/>
      <c r="N685" s="76"/>
      <c r="O685" s="77"/>
      <c r="P685" s="78"/>
      <c r="Q685" s="78"/>
      <c r="R685" s="90"/>
      <c r="S685" s="90"/>
      <c r="T685" s="90"/>
      <c r="U685" s="90"/>
      <c r="V685" s="52"/>
      <c r="W685" s="52"/>
      <c r="X685" s="52"/>
      <c r="Y685" s="52"/>
      <c r="Z685" s="51"/>
      <c r="AA685" s="73"/>
      <c r="AB685" s="73"/>
      <c r="AC685" s="74"/>
      <c r="AD685" s="80" t="s">
        <v>4856</v>
      </c>
      <c r="AE685" s="86" t="s">
        <v>5718</v>
      </c>
      <c r="AF685" s="80">
        <v>410</v>
      </c>
      <c r="AG685" s="80">
        <v>141</v>
      </c>
      <c r="AH685" s="80">
        <v>7954</v>
      </c>
      <c r="AI685" s="80">
        <v>1374</v>
      </c>
      <c r="AJ685" s="80"/>
      <c r="AK685" s="80" t="s">
        <v>6490</v>
      </c>
      <c r="AL685" s="80" t="s">
        <v>7041</v>
      </c>
      <c r="AM685" s="80"/>
      <c r="AN685" s="80"/>
      <c r="AO685" s="82">
        <v>43117.501354166663</v>
      </c>
      <c r="AP685" s="84" t="str">
        <f>HYPERLINK("https://pbs.twimg.com/profile_banners/953598262006595586/1631397487")</f>
        <v>https://pbs.twimg.com/profile_banners/953598262006595586/1631397487</v>
      </c>
      <c r="AQ685" s="80" t="b">
        <v>1</v>
      </c>
      <c r="AR685" s="80" t="b">
        <v>0</v>
      </c>
      <c r="AS685" s="80" t="b">
        <v>1</v>
      </c>
      <c r="AT685" s="80"/>
      <c r="AU685" s="80">
        <v>4</v>
      </c>
      <c r="AV685" s="80"/>
      <c r="AW685" s="80" t="b">
        <v>0</v>
      </c>
      <c r="AX685" s="80" t="s">
        <v>7173</v>
      </c>
      <c r="AY685" s="84" t="str">
        <f>HYPERLINK("https://twitter.com/vacantspice")</f>
        <v>https://twitter.com/vacantspice</v>
      </c>
      <c r="AZ685" s="80" t="s">
        <v>66</v>
      </c>
      <c r="BA685" s="2"/>
      <c r="BB685" s="3"/>
      <c r="BC685" s="3"/>
      <c r="BD685" s="3"/>
      <c r="BE685" s="3"/>
    </row>
    <row r="686" spans="1:57" x14ac:dyDescent="0.35">
      <c r="A686" s="66" t="s">
        <v>770</v>
      </c>
      <c r="B686" s="67"/>
      <c r="C686" s="67"/>
      <c r="D686" s="68"/>
      <c r="E686" s="70"/>
      <c r="F686" s="106" t="str">
        <f>HYPERLINK("https://pbs.twimg.com/profile_images/1174978753887272960/RJfxneDh_normal.jpg")</f>
        <v>https://pbs.twimg.com/profile_images/1174978753887272960/RJfxneDh_normal.jpg</v>
      </c>
      <c r="G686" s="67"/>
      <c r="H686" s="71"/>
      <c r="I686" s="72"/>
      <c r="J686" s="72"/>
      <c r="K686" s="71" t="s">
        <v>7856</v>
      </c>
      <c r="L686" s="75"/>
      <c r="M686" s="76"/>
      <c r="N686" s="76"/>
      <c r="O686" s="77"/>
      <c r="P686" s="78"/>
      <c r="Q686" s="78"/>
      <c r="R686" s="90"/>
      <c r="S686" s="90"/>
      <c r="T686" s="90"/>
      <c r="U686" s="90"/>
      <c r="V686" s="52"/>
      <c r="W686" s="52"/>
      <c r="X686" s="52"/>
      <c r="Y686" s="52"/>
      <c r="Z686" s="51"/>
      <c r="AA686" s="73"/>
      <c r="AB686" s="73"/>
      <c r="AC686" s="74"/>
      <c r="AD686" s="80" t="s">
        <v>4857</v>
      </c>
      <c r="AE686" s="86" t="s">
        <v>5719</v>
      </c>
      <c r="AF686" s="80">
        <v>365</v>
      </c>
      <c r="AG686" s="80">
        <v>354</v>
      </c>
      <c r="AH686" s="80">
        <v>1285</v>
      </c>
      <c r="AI686" s="80">
        <v>273</v>
      </c>
      <c r="AJ686" s="80"/>
      <c r="AK686" s="80" t="s">
        <v>6491</v>
      </c>
      <c r="AL686" s="80"/>
      <c r="AM686" s="80"/>
      <c r="AN686" s="80"/>
      <c r="AO686" s="82">
        <v>43099.481273148151</v>
      </c>
      <c r="AP686" s="84" t="str">
        <f>HYPERLINK("https://pbs.twimg.com/profile_banners/947068003450994688/1524296071")</f>
        <v>https://pbs.twimg.com/profile_banners/947068003450994688/1524296071</v>
      </c>
      <c r="AQ686" s="80" t="b">
        <v>0</v>
      </c>
      <c r="AR686" s="80" t="b">
        <v>0</v>
      </c>
      <c r="AS686" s="80" t="b">
        <v>0</v>
      </c>
      <c r="AT686" s="80"/>
      <c r="AU686" s="80">
        <v>3</v>
      </c>
      <c r="AV686" s="84" t="str">
        <f>HYPERLINK("https://abs.twimg.com/images/themes/theme1/bg.png")</f>
        <v>https://abs.twimg.com/images/themes/theme1/bg.png</v>
      </c>
      <c r="AW686" s="80" t="b">
        <v>0</v>
      </c>
      <c r="AX686" s="80" t="s">
        <v>7173</v>
      </c>
      <c r="AY686" s="84" t="str">
        <f>HYPERLINK("https://twitter.com/donita_xena")</f>
        <v>https://twitter.com/donita_xena</v>
      </c>
      <c r="AZ686" s="80" t="s">
        <v>66</v>
      </c>
      <c r="BA686" s="2"/>
      <c r="BB686" s="3"/>
      <c r="BC686" s="3"/>
      <c r="BD686" s="3"/>
      <c r="BE686" s="3"/>
    </row>
    <row r="687" spans="1:57" x14ac:dyDescent="0.35">
      <c r="A687" s="66" t="s">
        <v>1119</v>
      </c>
      <c r="B687" s="67"/>
      <c r="C687" s="67"/>
      <c r="D687" s="68"/>
      <c r="E687" s="70"/>
      <c r="F687" s="106" t="str">
        <f>HYPERLINK("https://pbs.twimg.com/profile_images/1435590509423054849/YGD3AuYD_normal.jpg")</f>
        <v>https://pbs.twimg.com/profile_images/1435590509423054849/YGD3AuYD_normal.jpg</v>
      </c>
      <c r="G687" s="67"/>
      <c r="H687" s="71"/>
      <c r="I687" s="72"/>
      <c r="J687" s="72"/>
      <c r="K687" s="71" t="s">
        <v>7857</v>
      </c>
      <c r="L687" s="75"/>
      <c r="M687" s="76"/>
      <c r="N687" s="76"/>
      <c r="O687" s="77"/>
      <c r="P687" s="78"/>
      <c r="Q687" s="78"/>
      <c r="R687" s="90"/>
      <c r="S687" s="90"/>
      <c r="T687" s="90"/>
      <c r="U687" s="90"/>
      <c r="V687" s="52"/>
      <c r="W687" s="52"/>
      <c r="X687" s="52"/>
      <c r="Y687" s="52"/>
      <c r="Z687" s="51"/>
      <c r="AA687" s="73"/>
      <c r="AB687" s="73"/>
      <c r="AC687" s="74"/>
      <c r="AD687" s="80" t="s">
        <v>4858</v>
      </c>
      <c r="AE687" s="86" t="s">
        <v>3993</v>
      </c>
      <c r="AF687" s="80">
        <v>18</v>
      </c>
      <c r="AG687" s="80">
        <v>6050</v>
      </c>
      <c r="AH687" s="80">
        <v>62</v>
      </c>
      <c r="AI687" s="80">
        <v>6</v>
      </c>
      <c r="AJ687" s="80"/>
      <c r="AK687" s="80" t="s">
        <v>6492</v>
      </c>
      <c r="AL687" s="80"/>
      <c r="AM687" s="80"/>
      <c r="AN687" s="80"/>
      <c r="AO687" s="82">
        <v>41068.185729166667</v>
      </c>
      <c r="AP687" s="84" t="str">
        <f>HYPERLINK("https://pbs.twimg.com/profile_banners/602538930/1631106423")</f>
        <v>https://pbs.twimg.com/profile_banners/602538930/1631106423</v>
      </c>
      <c r="AQ687" s="80" t="b">
        <v>0</v>
      </c>
      <c r="AR687" s="80" t="b">
        <v>0</v>
      </c>
      <c r="AS687" s="80" t="b">
        <v>0</v>
      </c>
      <c r="AT687" s="80"/>
      <c r="AU687" s="80">
        <v>1</v>
      </c>
      <c r="AV687" s="84" t="str">
        <f>HYPERLINK("https://abs.twimg.com/images/themes/theme1/bg.png")</f>
        <v>https://abs.twimg.com/images/themes/theme1/bg.png</v>
      </c>
      <c r="AW687" s="80" t="b">
        <v>0</v>
      </c>
      <c r="AX687" s="80" t="s">
        <v>7173</v>
      </c>
      <c r="AY687" s="84" t="str">
        <f>HYPERLINK("https://twitter.com/pospay_official")</f>
        <v>https://twitter.com/pospay_official</v>
      </c>
      <c r="AZ687" s="80" t="s">
        <v>65</v>
      </c>
      <c r="BA687" s="2"/>
      <c r="BB687" s="3"/>
      <c r="BC687" s="3"/>
      <c r="BD687" s="3"/>
      <c r="BE687" s="3"/>
    </row>
    <row r="688" spans="1:57" x14ac:dyDescent="0.35">
      <c r="A688" s="66" t="s">
        <v>771</v>
      </c>
      <c r="B688" s="67"/>
      <c r="C688" s="67"/>
      <c r="D688" s="68"/>
      <c r="E688" s="70"/>
      <c r="F688" s="106" t="str">
        <f>HYPERLINK("https://pbs.twimg.com/profile_images/1441780228473249795/lFfsDD-Z_normal.jpg")</f>
        <v>https://pbs.twimg.com/profile_images/1441780228473249795/lFfsDD-Z_normal.jpg</v>
      </c>
      <c r="G688" s="67"/>
      <c r="H688" s="71"/>
      <c r="I688" s="72"/>
      <c r="J688" s="72"/>
      <c r="K688" s="71" t="s">
        <v>7858</v>
      </c>
      <c r="L688" s="75"/>
      <c r="M688" s="76"/>
      <c r="N688" s="76"/>
      <c r="O688" s="77"/>
      <c r="P688" s="78"/>
      <c r="Q688" s="78"/>
      <c r="R688" s="90"/>
      <c r="S688" s="90"/>
      <c r="T688" s="90"/>
      <c r="U688" s="90"/>
      <c r="V688" s="52"/>
      <c r="W688" s="52"/>
      <c r="X688" s="52"/>
      <c r="Y688" s="52"/>
      <c r="Z688" s="51"/>
      <c r="AA688" s="73"/>
      <c r="AB688" s="73"/>
      <c r="AC688" s="74"/>
      <c r="AD688" s="80" t="s">
        <v>4859</v>
      </c>
      <c r="AE688" s="86" t="s">
        <v>5720</v>
      </c>
      <c r="AF688" s="80">
        <v>348</v>
      </c>
      <c r="AG688" s="80">
        <v>362</v>
      </c>
      <c r="AH688" s="80">
        <v>2751</v>
      </c>
      <c r="AI688" s="80">
        <v>581</v>
      </c>
      <c r="AJ688" s="80"/>
      <c r="AK688" s="80" t="s">
        <v>6493</v>
      </c>
      <c r="AL688" s="80" t="s">
        <v>7042</v>
      </c>
      <c r="AM688" s="80"/>
      <c r="AN688" s="80"/>
      <c r="AO688" s="82">
        <v>44134.12164351852</v>
      </c>
      <c r="AP688" s="84" t="str">
        <f>HYPERLINK("https://pbs.twimg.com/profile_banners/1322009046921011203/1632399003")</f>
        <v>https://pbs.twimg.com/profile_banners/1322009046921011203/1632399003</v>
      </c>
      <c r="AQ688" s="80" t="b">
        <v>1</v>
      </c>
      <c r="AR688" s="80" t="b">
        <v>0</v>
      </c>
      <c r="AS688" s="80" t="b">
        <v>0</v>
      </c>
      <c r="AT688" s="80"/>
      <c r="AU688" s="80">
        <v>0</v>
      </c>
      <c r="AV688" s="80"/>
      <c r="AW688" s="80" t="b">
        <v>0</v>
      </c>
      <c r="AX688" s="80" t="s">
        <v>7173</v>
      </c>
      <c r="AY688" s="84" t="str">
        <f>HYPERLINK("https://twitter.com/savaalesha")</f>
        <v>https://twitter.com/savaalesha</v>
      </c>
      <c r="AZ688" s="80" t="s">
        <v>66</v>
      </c>
      <c r="BA688" s="2"/>
      <c r="BB688" s="3"/>
      <c r="BC688" s="3"/>
      <c r="BD688" s="3"/>
      <c r="BE688" s="3"/>
    </row>
    <row r="689" spans="1:57" x14ac:dyDescent="0.35">
      <c r="A689" s="66" t="s">
        <v>1120</v>
      </c>
      <c r="B689" s="67"/>
      <c r="C689" s="67"/>
      <c r="D689" s="68"/>
      <c r="E689" s="70"/>
      <c r="F689" s="106" t="str">
        <f>HYPERLINK("https://pbs.twimg.com/profile_images/1418197430999257091/Y_Uq25r__normal.jpg")</f>
        <v>https://pbs.twimg.com/profile_images/1418197430999257091/Y_Uq25r__normal.jpg</v>
      </c>
      <c r="G689" s="67"/>
      <c r="H689" s="71"/>
      <c r="I689" s="72"/>
      <c r="J689" s="72"/>
      <c r="K689" s="71" t="s">
        <v>7859</v>
      </c>
      <c r="L689" s="75"/>
      <c r="M689" s="76"/>
      <c r="N689" s="76"/>
      <c r="O689" s="77"/>
      <c r="P689" s="78"/>
      <c r="Q689" s="78"/>
      <c r="R689" s="90"/>
      <c r="S689" s="90"/>
      <c r="T689" s="90"/>
      <c r="U689" s="90"/>
      <c r="V689" s="52"/>
      <c r="W689" s="52"/>
      <c r="X689" s="52"/>
      <c r="Y689" s="52"/>
      <c r="Z689" s="51"/>
      <c r="AA689" s="73"/>
      <c r="AB689" s="73"/>
      <c r="AC689" s="74"/>
      <c r="AD689" s="80" t="s">
        <v>4860</v>
      </c>
      <c r="AE689" s="86" t="s">
        <v>3994</v>
      </c>
      <c r="AF689" s="80">
        <v>3613</v>
      </c>
      <c r="AG689" s="80">
        <v>52485</v>
      </c>
      <c r="AH689" s="80">
        <v>77924</v>
      </c>
      <c r="AI689" s="80">
        <v>7</v>
      </c>
      <c r="AJ689" s="80"/>
      <c r="AK689" s="80" t="s">
        <v>6494</v>
      </c>
      <c r="AL689" s="80" t="s">
        <v>6827</v>
      </c>
      <c r="AM689" s="80"/>
      <c r="AN689" s="80"/>
      <c r="AO689" s="82">
        <v>43930.821805555555</v>
      </c>
      <c r="AP689" s="84" t="str">
        <f>HYPERLINK("https://pbs.twimg.com/profile_banners/1248335621988311041/1626943736")</f>
        <v>https://pbs.twimg.com/profile_banners/1248335621988311041/1626943736</v>
      </c>
      <c r="AQ689" s="80" t="b">
        <v>1</v>
      </c>
      <c r="AR689" s="80" t="b">
        <v>0</v>
      </c>
      <c r="AS689" s="80" t="b">
        <v>0</v>
      </c>
      <c r="AT689" s="80"/>
      <c r="AU689" s="80">
        <v>218</v>
      </c>
      <c r="AV689" s="80"/>
      <c r="AW689" s="80" t="b">
        <v>0</v>
      </c>
      <c r="AX689" s="80" t="s">
        <v>7173</v>
      </c>
      <c r="AY689" s="84" t="str">
        <f>HYPERLINK("https://twitter.com/bdngfess")</f>
        <v>https://twitter.com/bdngfess</v>
      </c>
      <c r="AZ689" s="80" t="s">
        <v>65</v>
      </c>
      <c r="BA689" s="2"/>
      <c r="BB689" s="3"/>
      <c r="BC689" s="3"/>
      <c r="BD689" s="3"/>
      <c r="BE689" s="3"/>
    </row>
    <row r="690" spans="1:57" x14ac:dyDescent="0.35">
      <c r="A690" s="66" t="s">
        <v>773</v>
      </c>
      <c r="B690" s="67"/>
      <c r="C690" s="67"/>
      <c r="D690" s="68"/>
      <c r="E690" s="70"/>
      <c r="F690" s="106" t="str">
        <f>HYPERLINK("https://pbs.twimg.com/profile_images/1280089413112918016/bJzp5Akl_normal.jpg")</f>
        <v>https://pbs.twimg.com/profile_images/1280089413112918016/bJzp5Akl_normal.jpg</v>
      </c>
      <c r="G690" s="67"/>
      <c r="H690" s="71"/>
      <c r="I690" s="72"/>
      <c r="J690" s="72"/>
      <c r="K690" s="71" t="s">
        <v>7860</v>
      </c>
      <c r="L690" s="75"/>
      <c r="M690" s="76"/>
      <c r="N690" s="76"/>
      <c r="O690" s="77"/>
      <c r="P690" s="78"/>
      <c r="Q690" s="78"/>
      <c r="R690" s="90"/>
      <c r="S690" s="90"/>
      <c r="T690" s="90"/>
      <c r="U690" s="90"/>
      <c r="V690" s="52"/>
      <c r="W690" s="52"/>
      <c r="X690" s="52"/>
      <c r="Y690" s="52"/>
      <c r="Z690" s="51"/>
      <c r="AA690" s="73"/>
      <c r="AB690" s="73"/>
      <c r="AC690" s="74"/>
      <c r="AD690" s="80" t="s">
        <v>4861</v>
      </c>
      <c r="AE690" s="86" t="s">
        <v>5721</v>
      </c>
      <c r="AF690" s="80">
        <v>205</v>
      </c>
      <c r="AG690" s="80">
        <v>103</v>
      </c>
      <c r="AH690" s="80">
        <v>2474</v>
      </c>
      <c r="AI690" s="80">
        <v>2024</v>
      </c>
      <c r="AJ690" s="80"/>
      <c r="AK690" s="80" t="s">
        <v>6495</v>
      </c>
      <c r="AL690" s="80" t="s">
        <v>6798</v>
      </c>
      <c r="AM690" s="80"/>
      <c r="AN690" s="80"/>
      <c r="AO690" s="82">
        <v>43261.387974537036</v>
      </c>
      <c r="AP690" s="84" t="str">
        <f>HYPERLINK("https://pbs.twimg.com/profile_banners/1005741026735079425/1619669297")</f>
        <v>https://pbs.twimg.com/profile_banners/1005741026735079425/1619669297</v>
      </c>
      <c r="AQ690" s="80" t="b">
        <v>1</v>
      </c>
      <c r="AR690" s="80" t="b">
        <v>0</v>
      </c>
      <c r="AS690" s="80" t="b">
        <v>1</v>
      </c>
      <c r="AT690" s="80"/>
      <c r="AU690" s="80">
        <v>0</v>
      </c>
      <c r="AV690" s="80"/>
      <c r="AW690" s="80" t="b">
        <v>0</v>
      </c>
      <c r="AX690" s="80" t="s">
        <v>7173</v>
      </c>
      <c r="AY690" s="84" t="str">
        <f>HYPERLINK("https://twitter.com/ardhiantopan")</f>
        <v>https://twitter.com/ardhiantopan</v>
      </c>
      <c r="AZ690" s="80" t="s">
        <v>66</v>
      </c>
      <c r="BA690" s="2"/>
      <c r="BB690" s="3"/>
      <c r="BC690" s="3"/>
      <c r="BD690" s="3"/>
      <c r="BE690" s="3"/>
    </row>
    <row r="691" spans="1:57" x14ac:dyDescent="0.35">
      <c r="A691" s="66" t="s">
        <v>1121</v>
      </c>
      <c r="B691" s="67"/>
      <c r="C691" s="67"/>
      <c r="D691" s="68"/>
      <c r="E691" s="70"/>
      <c r="F691" s="106" t="str">
        <f>HYPERLINK("https://pbs.twimg.com/profile_images/1271086023985041409/PGKeqz9z_normal.jpg")</f>
        <v>https://pbs.twimg.com/profile_images/1271086023985041409/PGKeqz9z_normal.jpg</v>
      </c>
      <c r="G691" s="67"/>
      <c r="H691" s="71"/>
      <c r="I691" s="72"/>
      <c r="J691" s="72"/>
      <c r="K691" s="71" t="s">
        <v>7861</v>
      </c>
      <c r="L691" s="75"/>
      <c r="M691" s="76"/>
      <c r="N691" s="76"/>
      <c r="O691" s="77"/>
      <c r="P691" s="78"/>
      <c r="Q691" s="78"/>
      <c r="R691" s="90"/>
      <c r="S691" s="90"/>
      <c r="T691" s="90"/>
      <c r="U691" s="90"/>
      <c r="V691" s="52"/>
      <c r="W691" s="52"/>
      <c r="X691" s="52"/>
      <c r="Y691" s="52"/>
      <c r="Z691" s="51"/>
      <c r="AA691" s="73"/>
      <c r="AB691" s="73"/>
      <c r="AC691" s="74"/>
      <c r="AD691" s="80" t="s">
        <v>4862</v>
      </c>
      <c r="AE691" s="86" t="s">
        <v>3995</v>
      </c>
      <c r="AF691" s="80">
        <v>607</v>
      </c>
      <c r="AG691" s="80">
        <v>5333</v>
      </c>
      <c r="AH691" s="80">
        <v>7154</v>
      </c>
      <c r="AI691" s="80">
        <v>8</v>
      </c>
      <c r="AJ691" s="80"/>
      <c r="AK691" s="80" t="s">
        <v>6496</v>
      </c>
      <c r="AL691" s="80" t="s">
        <v>6798</v>
      </c>
      <c r="AM691" s="80"/>
      <c r="AN691" s="80"/>
      <c r="AO691" s="82">
        <v>43993.123819444445</v>
      </c>
      <c r="AP691" s="84" t="str">
        <f>HYPERLINK("https://pbs.twimg.com/profile_banners/1270913038598598656/1591880160")</f>
        <v>https://pbs.twimg.com/profile_banners/1270913038598598656/1591880160</v>
      </c>
      <c r="AQ691" s="80" t="b">
        <v>1</v>
      </c>
      <c r="AR691" s="80" t="b">
        <v>0</v>
      </c>
      <c r="AS691" s="80" t="b">
        <v>0</v>
      </c>
      <c r="AT691" s="80"/>
      <c r="AU691" s="80">
        <v>12</v>
      </c>
      <c r="AV691" s="80"/>
      <c r="AW691" s="80" t="b">
        <v>0</v>
      </c>
      <c r="AX691" s="80" t="s">
        <v>7173</v>
      </c>
      <c r="AY691" s="84" t="str">
        <f>HYPERLINK("https://twitter.com/mglfess")</f>
        <v>https://twitter.com/mglfess</v>
      </c>
      <c r="AZ691" s="80" t="s">
        <v>65</v>
      </c>
      <c r="BA691" s="2"/>
      <c r="BB691" s="3"/>
      <c r="BC691" s="3"/>
      <c r="BD691" s="3"/>
      <c r="BE691" s="3"/>
    </row>
    <row r="692" spans="1:57" x14ac:dyDescent="0.35">
      <c r="A692" s="66" t="s">
        <v>774</v>
      </c>
      <c r="B692" s="67"/>
      <c r="C692" s="67"/>
      <c r="D692" s="68"/>
      <c r="E692" s="70"/>
      <c r="F692" s="106" t="str">
        <f>HYPERLINK("https://pbs.twimg.com/profile_images/1439121524447858688/PuMPorp-_normal.jpg")</f>
        <v>https://pbs.twimg.com/profile_images/1439121524447858688/PuMPorp-_normal.jpg</v>
      </c>
      <c r="G692" s="67"/>
      <c r="H692" s="71"/>
      <c r="I692" s="72"/>
      <c r="J692" s="72"/>
      <c r="K692" s="71" t="s">
        <v>7862</v>
      </c>
      <c r="L692" s="75"/>
      <c r="M692" s="76"/>
      <c r="N692" s="76"/>
      <c r="O692" s="77"/>
      <c r="P692" s="78"/>
      <c r="Q692" s="78"/>
      <c r="R692" s="90"/>
      <c r="S692" s="90"/>
      <c r="T692" s="90"/>
      <c r="U692" s="90"/>
      <c r="V692" s="52"/>
      <c r="W692" s="52"/>
      <c r="X692" s="52"/>
      <c r="Y692" s="52"/>
      <c r="Z692" s="51"/>
      <c r="AA692" s="73"/>
      <c r="AB692" s="73"/>
      <c r="AC692" s="74"/>
      <c r="AD692" s="80" t="s">
        <v>4863</v>
      </c>
      <c r="AE692" s="86" t="s">
        <v>5722</v>
      </c>
      <c r="AF692" s="80">
        <v>872</v>
      </c>
      <c r="AG692" s="80">
        <v>608</v>
      </c>
      <c r="AH692" s="80">
        <v>9561</v>
      </c>
      <c r="AI692" s="80">
        <v>16712</v>
      </c>
      <c r="AJ692" s="80"/>
      <c r="AK692" s="80" t="s">
        <v>6497</v>
      </c>
      <c r="AL692" s="80" t="s">
        <v>6798</v>
      </c>
      <c r="AM692" s="84" t="str">
        <f>HYPERLINK("https://t.co/xxWRY1JLa3")</f>
        <v>https://t.co/xxWRY1JLa3</v>
      </c>
      <c r="AN692" s="80"/>
      <c r="AO692" s="82">
        <v>42033.615127314813</v>
      </c>
      <c r="AP692" s="84" t="str">
        <f>HYPERLINK("https://pbs.twimg.com/profile_banners/3001433010/1614951140")</f>
        <v>https://pbs.twimg.com/profile_banners/3001433010/1614951140</v>
      </c>
      <c r="AQ692" s="80" t="b">
        <v>1</v>
      </c>
      <c r="AR692" s="80" t="b">
        <v>0</v>
      </c>
      <c r="AS692" s="80" t="b">
        <v>1</v>
      </c>
      <c r="AT692" s="80"/>
      <c r="AU692" s="80">
        <v>0</v>
      </c>
      <c r="AV692" s="84" t="str">
        <f>HYPERLINK("https://abs.twimg.com/images/themes/theme1/bg.png")</f>
        <v>https://abs.twimg.com/images/themes/theme1/bg.png</v>
      </c>
      <c r="AW692" s="80" t="b">
        <v>0</v>
      </c>
      <c r="AX692" s="80" t="s">
        <v>7173</v>
      </c>
      <c r="AY692" s="84" t="str">
        <f>HYPERLINK("https://twitter.com/zalorjal")</f>
        <v>https://twitter.com/zalorjal</v>
      </c>
      <c r="AZ692" s="80" t="s">
        <v>66</v>
      </c>
      <c r="BA692" s="2"/>
      <c r="BB692" s="3"/>
      <c r="BC692" s="3"/>
      <c r="BD692" s="3"/>
      <c r="BE692" s="3"/>
    </row>
    <row r="693" spans="1:57" x14ac:dyDescent="0.35">
      <c r="A693" s="66" t="s">
        <v>775</v>
      </c>
      <c r="B693" s="67"/>
      <c r="C693" s="67"/>
      <c r="D693" s="68"/>
      <c r="E693" s="70"/>
      <c r="F693" s="106" t="str">
        <f>HYPERLINK("https://pbs.twimg.com/profile_images/1434855294920658947/yENsY-yt_normal.jpg")</f>
        <v>https://pbs.twimg.com/profile_images/1434855294920658947/yENsY-yt_normal.jpg</v>
      </c>
      <c r="G693" s="67"/>
      <c r="H693" s="71"/>
      <c r="I693" s="72"/>
      <c r="J693" s="72"/>
      <c r="K693" s="71" t="s">
        <v>7863</v>
      </c>
      <c r="L693" s="75"/>
      <c r="M693" s="76"/>
      <c r="N693" s="76"/>
      <c r="O693" s="77"/>
      <c r="P693" s="78"/>
      <c r="Q693" s="78"/>
      <c r="R693" s="90"/>
      <c r="S693" s="90"/>
      <c r="T693" s="90"/>
      <c r="U693" s="90"/>
      <c r="V693" s="52"/>
      <c r="W693" s="52"/>
      <c r="X693" s="52"/>
      <c r="Y693" s="52"/>
      <c r="Z693" s="51"/>
      <c r="AA693" s="73"/>
      <c r="AB693" s="73"/>
      <c r="AC693" s="74"/>
      <c r="AD693" s="80" t="s">
        <v>4864</v>
      </c>
      <c r="AE693" s="86" t="s">
        <v>5723</v>
      </c>
      <c r="AF693" s="80">
        <v>114</v>
      </c>
      <c r="AG693" s="80">
        <v>3</v>
      </c>
      <c r="AH693" s="80">
        <v>471</v>
      </c>
      <c r="AI693" s="80">
        <v>534</v>
      </c>
      <c r="AJ693" s="80"/>
      <c r="AK693" s="80" t="s">
        <v>6498</v>
      </c>
      <c r="AL693" s="80" t="s">
        <v>7043</v>
      </c>
      <c r="AM693" s="80"/>
      <c r="AN693" s="80"/>
      <c r="AO693" s="82">
        <v>44406.692233796297</v>
      </c>
      <c r="AP693" s="84" t="str">
        <f>HYPERLINK("https://pbs.twimg.com/profile_banners/1420785344241274886/1629774655")</f>
        <v>https://pbs.twimg.com/profile_banners/1420785344241274886/1629774655</v>
      </c>
      <c r="AQ693" s="80" t="b">
        <v>1</v>
      </c>
      <c r="AR693" s="80" t="b">
        <v>0</v>
      </c>
      <c r="AS693" s="80" t="b">
        <v>1</v>
      </c>
      <c r="AT693" s="80"/>
      <c r="AU693" s="80">
        <v>0</v>
      </c>
      <c r="AV693" s="80"/>
      <c r="AW693" s="80" t="b">
        <v>0</v>
      </c>
      <c r="AX693" s="80" t="s">
        <v>7173</v>
      </c>
      <c r="AY693" s="84" t="str">
        <f>HYPERLINK("https://twitter.com/spwidii")</f>
        <v>https://twitter.com/spwidii</v>
      </c>
      <c r="AZ693" s="80" t="s">
        <v>66</v>
      </c>
      <c r="BA693" s="2"/>
      <c r="BB693" s="3"/>
      <c r="BC693" s="3"/>
      <c r="BD693" s="3"/>
      <c r="BE693" s="3"/>
    </row>
    <row r="694" spans="1:57" x14ac:dyDescent="0.35">
      <c r="A694" s="66" t="s">
        <v>776</v>
      </c>
      <c r="B694" s="67"/>
      <c r="C694" s="67"/>
      <c r="D694" s="68"/>
      <c r="E694" s="70"/>
      <c r="F694" s="106" t="str">
        <f>HYPERLINK("https://pbs.twimg.com/profile_images/1420975422670475265/Ty2J9DJk_normal.jpg")</f>
        <v>https://pbs.twimg.com/profile_images/1420975422670475265/Ty2J9DJk_normal.jpg</v>
      </c>
      <c r="G694" s="67"/>
      <c r="H694" s="71"/>
      <c r="I694" s="72"/>
      <c r="J694" s="72"/>
      <c r="K694" s="71" t="s">
        <v>7864</v>
      </c>
      <c r="L694" s="75"/>
      <c r="M694" s="76"/>
      <c r="N694" s="76"/>
      <c r="O694" s="77"/>
      <c r="P694" s="78"/>
      <c r="Q694" s="78"/>
      <c r="R694" s="90"/>
      <c r="S694" s="90"/>
      <c r="T694" s="90"/>
      <c r="U694" s="90"/>
      <c r="V694" s="52"/>
      <c r="W694" s="52"/>
      <c r="X694" s="52"/>
      <c r="Y694" s="52"/>
      <c r="Z694" s="51"/>
      <c r="AA694" s="73"/>
      <c r="AB694" s="73"/>
      <c r="AC694" s="74"/>
      <c r="AD694" s="80" t="s">
        <v>4865</v>
      </c>
      <c r="AE694" s="86" t="s">
        <v>5724</v>
      </c>
      <c r="AF694" s="80">
        <v>221</v>
      </c>
      <c r="AG694" s="80">
        <v>195</v>
      </c>
      <c r="AH694" s="80">
        <v>2886</v>
      </c>
      <c r="AI694" s="80">
        <v>2016</v>
      </c>
      <c r="AJ694" s="80"/>
      <c r="AK694" s="80" t="s">
        <v>6499</v>
      </c>
      <c r="AL694" s="80" t="s">
        <v>6798</v>
      </c>
      <c r="AM694" s="80"/>
      <c r="AN694" s="80"/>
      <c r="AO694" s="82">
        <v>43238.639733796299</v>
      </c>
      <c r="AP694" s="84" t="str">
        <f>HYPERLINK("https://pbs.twimg.com/profile_banners/997497340800860160/1546596449")</f>
        <v>https://pbs.twimg.com/profile_banners/997497340800860160/1546596449</v>
      </c>
      <c r="AQ694" s="80" t="b">
        <v>1</v>
      </c>
      <c r="AR694" s="80" t="b">
        <v>0</v>
      </c>
      <c r="AS694" s="80" t="b">
        <v>0</v>
      </c>
      <c r="AT694" s="80"/>
      <c r="AU694" s="80">
        <v>0</v>
      </c>
      <c r="AV694" s="80"/>
      <c r="AW694" s="80" t="b">
        <v>0</v>
      </c>
      <c r="AX694" s="80" t="s">
        <v>7173</v>
      </c>
      <c r="AY694" s="84" t="str">
        <f>HYPERLINK("https://twitter.com/ftsprm")</f>
        <v>https://twitter.com/ftsprm</v>
      </c>
      <c r="AZ694" s="80" t="s">
        <v>66</v>
      </c>
      <c r="BA694" s="2"/>
      <c r="BB694" s="3"/>
      <c r="BC694" s="3"/>
      <c r="BD694" s="3"/>
      <c r="BE694" s="3"/>
    </row>
    <row r="695" spans="1:57" x14ac:dyDescent="0.35">
      <c r="A695" s="66" t="s">
        <v>777</v>
      </c>
      <c r="B695" s="67"/>
      <c r="C695" s="67"/>
      <c r="D695" s="68"/>
      <c r="E695" s="70"/>
      <c r="F695" s="106" t="str">
        <f>HYPERLINK("https://pbs.twimg.com/profile_images/1272143326372745218/s_ABjr3g_normal.jpg")</f>
        <v>https://pbs.twimg.com/profile_images/1272143326372745218/s_ABjr3g_normal.jpg</v>
      </c>
      <c r="G695" s="67"/>
      <c r="H695" s="71"/>
      <c r="I695" s="72"/>
      <c r="J695" s="72"/>
      <c r="K695" s="71" t="s">
        <v>7865</v>
      </c>
      <c r="L695" s="75"/>
      <c r="M695" s="76"/>
      <c r="N695" s="76"/>
      <c r="O695" s="77"/>
      <c r="P695" s="78"/>
      <c r="Q695" s="78"/>
      <c r="R695" s="90"/>
      <c r="S695" s="90"/>
      <c r="T695" s="90"/>
      <c r="U695" s="90"/>
      <c r="V695" s="52"/>
      <c r="W695" s="52"/>
      <c r="X695" s="52"/>
      <c r="Y695" s="52"/>
      <c r="Z695" s="51"/>
      <c r="AA695" s="73"/>
      <c r="AB695" s="73"/>
      <c r="AC695" s="74"/>
      <c r="AD695" s="80" t="s">
        <v>777</v>
      </c>
      <c r="AE695" s="86" t="s">
        <v>5725</v>
      </c>
      <c r="AF695" s="80">
        <v>816</v>
      </c>
      <c r="AG695" s="80">
        <v>722</v>
      </c>
      <c r="AH695" s="80">
        <v>48813</v>
      </c>
      <c r="AI695" s="80">
        <v>3147</v>
      </c>
      <c r="AJ695" s="80"/>
      <c r="AK695" s="80" t="s">
        <v>6500</v>
      </c>
      <c r="AL695" s="80" t="s">
        <v>7044</v>
      </c>
      <c r="AM695" s="80"/>
      <c r="AN695" s="80"/>
      <c r="AO695" s="82">
        <v>39961.142141203702</v>
      </c>
      <c r="AP695" s="84" t="str">
        <f>HYPERLINK("https://pbs.twimg.com/profile_banners/43037226/1369696673")</f>
        <v>https://pbs.twimg.com/profile_banners/43037226/1369696673</v>
      </c>
      <c r="AQ695" s="80" t="b">
        <v>0</v>
      </c>
      <c r="AR695" s="80" t="b">
        <v>0</v>
      </c>
      <c r="AS695" s="80" t="b">
        <v>1</v>
      </c>
      <c r="AT695" s="80"/>
      <c r="AU695" s="80">
        <v>16</v>
      </c>
      <c r="AV695" s="84" t="str">
        <f>HYPERLINK("https://abs.twimg.com/images/themes/theme18/bg.gif")</f>
        <v>https://abs.twimg.com/images/themes/theme18/bg.gif</v>
      </c>
      <c r="AW695" s="80" t="b">
        <v>0</v>
      </c>
      <c r="AX695" s="80" t="s">
        <v>7173</v>
      </c>
      <c r="AY695" s="84" t="str">
        <f>HYPERLINK("https://twitter.com/ariemega")</f>
        <v>https://twitter.com/ariemega</v>
      </c>
      <c r="AZ695" s="80" t="s">
        <v>66</v>
      </c>
      <c r="BA695" s="2"/>
      <c r="BB695" s="3"/>
      <c r="BC695" s="3"/>
      <c r="BD695" s="3"/>
      <c r="BE695" s="3"/>
    </row>
    <row r="696" spans="1:57" x14ac:dyDescent="0.35">
      <c r="A696" s="66" t="s">
        <v>1122</v>
      </c>
      <c r="B696" s="67"/>
      <c r="C696" s="67"/>
      <c r="D696" s="68"/>
      <c r="E696" s="70"/>
      <c r="F696" s="106" t="str">
        <f>HYPERLINK("https://pbs.twimg.com/profile_images/1357163500963917826/HNJrM0r6_normal.jpg")</f>
        <v>https://pbs.twimg.com/profile_images/1357163500963917826/HNJrM0r6_normal.jpg</v>
      </c>
      <c r="G696" s="67"/>
      <c r="H696" s="71"/>
      <c r="I696" s="72"/>
      <c r="J696" s="72"/>
      <c r="K696" s="71" t="s">
        <v>7866</v>
      </c>
      <c r="L696" s="75"/>
      <c r="M696" s="76"/>
      <c r="N696" s="76"/>
      <c r="O696" s="77"/>
      <c r="P696" s="78"/>
      <c r="Q696" s="78"/>
      <c r="R696" s="90"/>
      <c r="S696" s="90"/>
      <c r="T696" s="90"/>
      <c r="U696" s="90"/>
      <c r="V696" s="52"/>
      <c r="W696" s="52"/>
      <c r="X696" s="52"/>
      <c r="Y696" s="52"/>
      <c r="Z696" s="51"/>
      <c r="AA696" s="73"/>
      <c r="AB696" s="73"/>
      <c r="AC696" s="74"/>
      <c r="AD696" s="80" t="s">
        <v>4866</v>
      </c>
      <c r="AE696" s="86" t="s">
        <v>5726</v>
      </c>
      <c r="AF696" s="80">
        <v>1750</v>
      </c>
      <c r="AG696" s="80">
        <v>94309</v>
      </c>
      <c r="AH696" s="80">
        <v>222464</v>
      </c>
      <c r="AI696" s="80">
        <v>53460</v>
      </c>
      <c r="AJ696" s="80"/>
      <c r="AK696" s="80" t="s">
        <v>6501</v>
      </c>
      <c r="AL696" s="80" t="s">
        <v>7045</v>
      </c>
      <c r="AM696" s="84" t="str">
        <f>HYPERLINK("https://t.co/UQ55VOU1Ah")</f>
        <v>https://t.co/UQ55VOU1Ah</v>
      </c>
      <c r="AN696" s="80"/>
      <c r="AO696" s="82">
        <v>39566.375798611109</v>
      </c>
      <c r="AP696" s="84" t="str">
        <f>HYPERLINK("https://pbs.twimg.com/profile_banners/14567197/1603308952")</f>
        <v>https://pbs.twimg.com/profile_banners/14567197/1603308952</v>
      </c>
      <c r="AQ696" s="80" t="b">
        <v>0</v>
      </c>
      <c r="AR696" s="80" t="b">
        <v>0</v>
      </c>
      <c r="AS696" s="80" t="b">
        <v>0</v>
      </c>
      <c r="AT696" s="80"/>
      <c r="AU696" s="80">
        <v>388</v>
      </c>
      <c r="AV696" s="84" t="str">
        <f>HYPERLINK("https://abs.twimg.com/images/themes/theme5/bg.gif")</f>
        <v>https://abs.twimg.com/images/themes/theme5/bg.gif</v>
      </c>
      <c r="AW696" s="80" t="b">
        <v>1</v>
      </c>
      <c r="AX696" s="80" t="s">
        <v>7173</v>
      </c>
      <c r="AY696" s="84" t="str">
        <f>HYPERLINK("https://twitter.com/miund")</f>
        <v>https://twitter.com/miund</v>
      </c>
      <c r="AZ696" s="80" t="s">
        <v>65</v>
      </c>
      <c r="BA696" s="2"/>
      <c r="BB696" s="3"/>
      <c r="BC696" s="3"/>
      <c r="BD696" s="3"/>
      <c r="BE696" s="3"/>
    </row>
    <row r="697" spans="1:57" x14ac:dyDescent="0.35">
      <c r="A697" s="66" t="s">
        <v>1123</v>
      </c>
      <c r="B697" s="67"/>
      <c r="C697" s="67"/>
      <c r="D697" s="68"/>
      <c r="E697" s="70"/>
      <c r="F697" s="106" t="str">
        <f>HYPERLINK("https://pbs.twimg.com/profile_images/1160907446707077122/Tpy_kG9S_normal.jpg")</f>
        <v>https://pbs.twimg.com/profile_images/1160907446707077122/Tpy_kG9S_normal.jpg</v>
      </c>
      <c r="G697" s="67"/>
      <c r="H697" s="71"/>
      <c r="I697" s="72"/>
      <c r="J697" s="72"/>
      <c r="K697" s="71" t="s">
        <v>7867</v>
      </c>
      <c r="L697" s="75"/>
      <c r="M697" s="76"/>
      <c r="N697" s="76"/>
      <c r="O697" s="77"/>
      <c r="P697" s="78"/>
      <c r="Q697" s="78"/>
      <c r="R697" s="90"/>
      <c r="S697" s="90"/>
      <c r="T697" s="90"/>
      <c r="U697" s="90"/>
      <c r="V697" s="52"/>
      <c r="W697" s="52"/>
      <c r="X697" s="52"/>
      <c r="Y697" s="52"/>
      <c r="Z697" s="51"/>
      <c r="AA697" s="73"/>
      <c r="AB697" s="73"/>
      <c r="AC697" s="74"/>
      <c r="AD697" s="80" t="s">
        <v>1123</v>
      </c>
      <c r="AE697" s="86" t="s">
        <v>3996</v>
      </c>
      <c r="AF697" s="80">
        <v>728</v>
      </c>
      <c r="AG697" s="80">
        <v>2266</v>
      </c>
      <c r="AH697" s="80">
        <v>104863</v>
      </c>
      <c r="AI697" s="80">
        <v>223</v>
      </c>
      <c r="AJ697" s="80"/>
      <c r="AK697" s="80" t="s">
        <v>6502</v>
      </c>
      <c r="AL697" s="80" t="s">
        <v>7046</v>
      </c>
      <c r="AM697" s="84" t="str">
        <f>HYPERLINK("https://t.co/nwEWd3MhWk")</f>
        <v>https://t.co/nwEWd3MhWk</v>
      </c>
      <c r="AN697" s="80"/>
      <c r="AO697" s="82">
        <v>39956.471134259256</v>
      </c>
      <c r="AP697" s="84" t="str">
        <f>HYPERLINK("https://pbs.twimg.com/profile_banners/42011367/1563720987")</f>
        <v>https://pbs.twimg.com/profile_banners/42011367/1563720987</v>
      </c>
      <c r="AQ697" s="80" t="b">
        <v>0</v>
      </c>
      <c r="AR697" s="80" t="b">
        <v>0</v>
      </c>
      <c r="AS697" s="80" t="b">
        <v>1</v>
      </c>
      <c r="AT697" s="80"/>
      <c r="AU697" s="80">
        <v>27</v>
      </c>
      <c r="AV697" s="84" t="str">
        <f>HYPERLINK("https://abs.twimg.com/images/themes/theme11/bg.gif")</f>
        <v>https://abs.twimg.com/images/themes/theme11/bg.gif</v>
      </c>
      <c r="AW697" s="80" t="b">
        <v>0</v>
      </c>
      <c r="AX697" s="80" t="s">
        <v>7173</v>
      </c>
      <c r="AY697" s="84" t="str">
        <f>HYPERLINK("https://twitter.com/ms_atiek")</f>
        <v>https://twitter.com/ms_atiek</v>
      </c>
      <c r="AZ697" s="80" t="s">
        <v>65</v>
      </c>
      <c r="BA697" s="2"/>
      <c r="BB697" s="3"/>
      <c r="BC697" s="3"/>
      <c r="BD697" s="3"/>
      <c r="BE697" s="3"/>
    </row>
    <row r="698" spans="1:57" x14ac:dyDescent="0.35">
      <c r="A698" s="66" t="s">
        <v>778</v>
      </c>
      <c r="B698" s="67"/>
      <c r="C698" s="67"/>
      <c r="D698" s="68"/>
      <c r="E698" s="70"/>
      <c r="F698" s="106" t="str">
        <f>HYPERLINK("https://pbs.twimg.com/profile_images/1167765565701705730/EpXvE45S_normal.jpg")</f>
        <v>https://pbs.twimg.com/profile_images/1167765565701705730/EpXvE45S_normal.jpg</v>
      </c>
      <c r="G698" s="67"/>
      <c r="H698" s="71"/>
      <c r="I698" s="72"/>
      <c r="J698" s="72"/>
      <c r="K698" s="71" t="s">
        <v>7868</v>
      </c>
      <c r="L698" s="75"/>
      <c r="M698" s="76"/>
      <c r="N698" s="76"/>
      <c r="O698" s="77"/>
      <c r="P698" s="78"/>
      <c r="Q698" s="78"/>
      <c r="R698" s="90"/>
      <c r="S698" s="90"/>
      <c r="T698" s="90"/>
      <c r="U698" s="90"/>
      <c r="V698" s="52"/>
      <c r="W698" s="52"/>
      <c r="X698" s="52"/>
      <c r="Y698" s="52"/>
      <c r="Z698" s="51"/>
      <c r="AA698" s="73"/>
      <c r="AB698" s="73"/>
      <c r="AC698" s="74"/>
      <c r="AD698" s="80" t="s">
        <v>4867</v>
      </c>
      <c r="AE698" s="86" t="s">
        <v>3997</v>
      </c>
      <c r="AF698" s="80">
        <v>483</v>
      </c>
      <c r="AG698" s="80">
        <v>166</v>
      </c>
      <c r="AH698" s="80">
        <v>1643</v>
      </c>
      <c r="AI698" s="80">
        <v>6137</v>
      </c>
      <c r="AJ698" s="80"/>
      <c r="AK698" s="80" t="s">
        <v>6503</v>
      </c>
      <c r="AL698" s="80"/>
      <c r="AM698" s="80"/>
      <c r="AN698" s="80"/>
      <c r="AO698" s="82">
        <v>41063.672233796293</v>
      </c>
      <c r="AP698" s="84" t="str">
        <f>HYPERLINK("https://pbs.twimg.com/profile_banners/598448908/1393082654")</f>
        <v>https://pbs.twimg.com/profile_banners/598448908/1393082654</v>
      </c>
      <c r="AQ698" s="80" t="b">
        <v>0</v>
      </c>
      <c r="AR698" s="80" t="b">
        <v>0</v>
      </c>
      <c r="AS698" s="80" t="b">
        <v>1</v>
      </c>
      <c r="AT698" s="80"/>
      <c r="AU698" s="80">
        <v>2</v>
      </c>
      <c r="AV698" s="84" t="str">
        <f>HYPERLINK("https://abs.twimg.com/images/themes/theme5/bg.gif")</f>
        <v>https://abs.twimg.com/images/themes/theme5/bg.gif</v>
      </c>
      <c r="AW698" s="80" t="b">
        <v>0</v>
      </c>
      <c r="AX698" s="80" t="s">
        <v>7173</v>
      </c>
      <c r="AY698" s="84" t="str">
        <f>HYPERLINK("https://twitter.com/karinaartie")</f>
        <v>https://twitter.com/karinaartie</v>
      </c>
      <c r="AZ698" s="80" t="s">
        <v>66</v>
      </c>
      <c r="BA698" s="2"/>
      <c r="BB698" s="3"/>
      <c r="BC698" s="3"/>
      <c r="BD698" s="3"/>
      <c r="BE698" s="3"/>
    </row>
    <row r="699" spans="1:57" x14ac:dyDescent="0.35">
      <c r="A699" s="66" t="s">
        <v>779</v>
      </c>
      <c r="B699" s="67"/>
      <c r="C699" s="67"/>
      <c r="D699" s="68"/>
      <c r="E699" s="70"/>
      <c r="F699" s="106" t="str">
        <f>HYPERLINK("https://pbs.twimg.com/profile_images/1439260906093830145/AVGDSZhq_normal.jpg")</f>
        <v>https://pbs.twimg.com/profile_images/1439260906093830145/AVGDSZhq_normal.jpg</v>
      </c>
      <c r="G699" s="67"/>
      <c r="H699" s="71"/>
      <c r="I699" s="72"/>
      <c r="J699" s="72"/>
      <c r="K699" s="71" t="s">
        <v>7869</v>
      </c>
      <c r="L699" s="75"/>
      <c r="M699" s="76"/>
      <c r="N699" s="76"/>
      <c r="O699" s="77"/>
      <c r="P699" s="78"/>
      <c r="Q699" s="78"/>
      <c r="R699" s="90"/>
      <c r="S699" s="90"/>
      <c r="T699" s="90"/>
      <c r="U699" s="90"/>
      <c r="V699" s="52"/>
      <c r="W699" s="52"/>
      <c r="X699" s="52"/>
      <c r="Y699" s="52"/>
      <c r="Z699" s="51"/>
      <c r="AA699" s="73"/>
      <c r="AB699" s="73"/>
      <c r="AC699" s="74"/>
      <c r="AD699" s="80" t="s">
        <v>4868</v>
      </c>
      <c r="AE699" s="86" t="s">
        <v>5727</v>
      </c>
      <c r="AF699" s="80">
        <v>610</v>
      </c>
      <c r="AG699" s="80">
        <v>806</v>
      </c>
      <c r="AH699" s="80">
        <v>50454</v>
      </c>
      <c r="AI699" s="80">
        <v>5772</v>
      </c>
      <c r="AJ699" s="80"/>
      <c r="AK699" s="80" t="s">
        <v>6504</v>
      </c>
      <c r="AL699" s="80" t="s">
        <v>7047</v>
      </c>
      <c r="AM699" s="80"/>
      <c r="AN699" s="80"/>
      <c r="AO699" s="82">
        <v>41484.114039351851</v>
      </c>
      <c r="AP699" s="84" t="str">
        <f>HYPERLINK("https://pbs.twimg.com/profile_banners/1629276300/1611726275")</f>
        <v>https://pbs.twimg.com/profile_banners/1629276300/1611726275</v>
      </c>
      <c r="AQ699" s="80" t="b">
        <v>0</v>
      </c>
      <c r="AR699" s="80" t="b">
        <v>0</v>
      </c>
      <c r="AS699" s="80" t="b">
        <v>1</v>
      </c>
      <c r="AT699" s="80"/>
      <c r="AU699" s="80">
        <v>2</v>
      </c>
      <c r="AV699" s="84" t="str">
        <f>HYPERLINK("https://abs.twimg.com/images/themes/theme1/bg.png")</f>
        <v>https://abs.twimg.com/images/themes/theme1/bg.png</v>
      </c>
      <c r="AW699" s="80" t="b">
        <v>0</v>
      </c>
      <c r="AX699" s="80" t="s">
        <v>7173</v>
      </c>
      <c r="AY699" s="84" t="str">
        <f>HYPERLINK("https://twitter.com/mavieestnoire")</f>
        <v>https://twitter.com/mavieestnoire</v>
      </c>
      <c r="AZ699" s="80" t="s">
        <v>66</v>
      </c>
      <c r="BA699" s="2"/>
      <c r="BB699" s="3"/>
      <c r="BC699" s="3"/>
      <c r="BD699" s="3"/>
      <c r="BE699" s="3"/>
    </row>
    <row r="700" spans="1:57" x14ac:dyDescent="0.35">
      <c r="A700" s="66" t="s">
        <v>780</v>
      </c>
      <c r="B700" s="67"/>
      <c r="C700" s="67"/>
      <c r="D700" s="68"/>
      <c r="E700" s="70"/>
      <c r="F700" s="106" t="str">
        <f>HYPERLINK("https://pbs.twimg.com/profile_images/1364050032450670592/EFdJQeeH_normal.jpg")</f>
        <v>https://pbs.twimg.com/profile_images/1364050032450670592/EFdJQeeH_normal.jpg</v>
      </c>
      <c r="G700" s="67"/>
      <c r="H700" s="71"/>
      <c r="I700" s="72"/>
      <c r="J700" s="72"/>
      <c r="K700" s="71" t="s">
        <v>7870</v>
      </c>
      <c r="L700" s="75"/>
      <c r="M700" s="76"/>
      <c r="N700" s="76"/>
      <c r="O700" s="77"/>
      <c r="P700" s="78"/>
      <c r="Q700" s="78"/>
      <c r="R700" s="90"/>
      <c r="S700" s="90"/>
      <c r="T700" s="90"/>
      <c r="U700" s="90"/>
      <c r="V700" s="52"/>
      <c r="W700" s="52"/>
      <c r="X700" s="52"/>
      <c r="Y700" s="52"/>
      <c r="Z700" s="51"/>
      <c r="AA700" s="73"/>
      <c r="AB700" s="73"/>
      <c r="AC700" s="74"/>
      <c r="AD700" s="80" t="s">
        <v>4869</v>
      </c>
      <c r="AE700" s="86" t="s">
        <v>5728</v>
      </c>
      <c r="AF700" s="80">
        <v>64</v>
      </c>
      <c r="AG700" s="80">
        <v>212</v>
      </c>
      <c r="AH700" s="80">
        <v>2079</v>
      </c>
      <c r="AI700" s="80">
        <v>138</v>
      </c>
      <c r="AJ700" s="80"/>
      <c r="AK700" s="80"/>
      <c r="AL700" s="80"/>
      <c r="AM700" s="80"/>
      <c r="AN700" s="80"/>
      <c r="AO700" s="82">
        <v>44222.282986111109</v>
      </c>
      <c r="AP700" s="80"/>
      <c r="AQ700" s="80" t="b">
        <v>1</v>
      </c>
      <c r="AR700" s="80" t="b">
        <v>0</v>
      </c>
      <c r="AS700" s="80" t="b">
        <v>0</v>
      </c>
      <c r="AT700" s="80"/>
      <c r="AU700" s="80">
        <v>1</v>
      </c>
      <c r="AV700" s="80"/>
      <c r="AW700" s="80" t="b">
        <v>0</v>
      </c>
      <c r="AX700" s="80" t="s">
        <v>7173</v>
      </c>
      <c r="AY700" s="84" t="str">
        <f>HYPERLINK("https://twitter.com/polsektinggi")</f>
        <v>https://twitter.com/polsektinggi</v>
      </c>
      <c r="AZ700" s="80" t="s">
        <v>66</v>
      </c>
      <c r="BA700" s="2"/>
      <c r="BB700" s="3"/>
      <c r="BC700" s="3"/>
      <c r="BD700" s="3"/>
      <c r="BE700" s="3"/>
    </row>
    <row r="701" spans="1:57" x14ac:dyDescent="0.35">
      <c r="A701" s="66" t="s">
        <v>781</v>
      </c>
      <c r="B701" s="67"/>
      <c r="C701" s="67"/>
      <c r="D701" s="68"/>
      <c r="E701" s="70"/>
      <c r="F701" s="106" t="str">
        <f>HYPERLINK("https://pbs.twimg.com/profile_images/1407642938197168132/Ri8ZozSZ_normal.jpg")</f>
        <v>https://pbs.twimg.com/profile_images/1407642938197168132/Ri8ZozSZ_normal.jpg</v>
      </c>
      <c r="G701" s="67"/>
      <c r="H701" s="71"/>
      <c r="I701" s="72"/>
      <c r="J701" s="72"/>
      <c r="K701" s="71" t="s">
        <v>7871</v>
      </c>
      <c r="L701" s="75"/>
      <c r="M701" s="76"/>
      <c r="N701" s="76"/>
      <c r="O701" s="77"/>
      <c r="P701" s="78"/>
      <c r="Q701" s="78"/>
      <c r="R701" s="90"/>
      <c r="S701" s="90"/>
      <c r="T701" s="90"/>
      <c r="U701" s="90"/>
      <c r="V701" s="52"/>
      <c r="W701" s="52"/>
      <c r="X701" s="52"/>
      <c r="Y701" s="52"/>
      <c r="Z701" s="51"/>
      <c r="AA701" s="73"/>
      <c r="AB701" s="73"/>
      <c r="AC701" s="74"/>
      <c r="AD701" s="80" t="s">
        <v>4870</v>
      </c>
      <c r="AE701" s="86" t="s">
        <v>5729</v>
      </c>
      <c r="AF701" s="80">
        <v>536</v>
      </c>
      <c r="AG701" s="80">
        <v>447</v>
      </c>
      <c r="AH701" s="80">
        <v>139</v>
      </c>
      <c r="AI701" s="80">
        <v>355</v>
      </c>
      <c r="AJ701" s="80"/>
      <c r="AK701" s="80" t="s">
        <v>6505</v>
      </c>
      <c r="AL701" s="80" t="s">
        <v>7048</v>
      </c>
      <c r="AM701" s="80"/>
      <c r="AN701" s="80"/>
      <c r="AO701" s="82">
        <v>44125.01054398148</v>
      </c>
      <c r="AP701" s="84" t="str">
        <f>HYPERLINK("https://pbs.twimg.com/profile_banners/1318707323842392066/1603923972")</f>
        <v>https://pbs.twimg.com/profile_banners/1318707323842392066/1603923972</v>
      </c>
      <c r="AQ701" s="80" t="b">
        <v>1</v>
      </c>
      <c r="AR701" s="80" t="b">
        <v>0</v>
      </c>
      <c r="AS701" s="80" t="b">
        <v>1</v>
      </c>
      <c r="AT701" s="80"/>
      <c r="AU701" s="80">
        <v>0</v>
      </c>
      <c r="AV701" s="80"/>
      <c r="AW701" s="80" t="b">
        <v>0</v>
      </c>
      <c r="AX701" s="80" t="s">
        <v>7173</v>
      </c>
      <c r="AY701" s="84" t="str">
        <f>HYPERLINK("https://twitter.com/dochil97")</f>
        <v>https://twitter.com/dochil97</v>
      </c>
      <c r="AZ701" s="80" t="s">
        <v>66</v>
      </c>
      <c r="BA701" s="2"/>
      <c r="BB701" s="3"/>
      <c r="BC701" s="3"/>
      <c r="BD701" s="3"/>
      <c r="BE701" s="3"/>
    </row>
    <row r="702" spans="1:57" x14ac:dyDescent="0.35">
      <c r="A702" s="66" t="s">
        <v>1124</v>
      </c>
      <c r="B702" s="67"/>
      <c r="C702" s="67"/>
      <c r="D702" s="68"/>
      <c r="E702" s="70"/>
      <c r="F702" s="106" t="str">
        <f>HYPERLINK("https://pbs.twimg.com/profile_images/1424689203523121154/XiA22o6e_normal.jpg")</f>
        <v>https://pbs.twimg.com/profile_images/1424689203523121154/XiA22o6e_normal.jpg</v>
      </c>
      <c r="G702" s="67"/>
      <c r="H702" s="71"/>
      <c r="I702" s="72"/>
      <c r="J702" s="72"/>
      <c r="K702" s="71" t="s">
        <v>7872</v>
      </c>
      <c r="L702" s="75"/>
      <c r="M702" s="76"/>
      <c r="N702" s="76"/>
      <c r="O702" s="77"/>
      <c r="P702" s="78"/>
      <c r="Q702" s="78"/>
      <c r="R702" s="90"/>
      <c r="S702" s="90"/>
      <c r="T702" s="90"/>
      <c r="U702" s="90"/>
      <c r="V702" s="52"/>
      <c r="W702" s="52"/>
      <c r="X702" s="52"/>
      <c r="Y702" s="52"/>
      <c r="Z702" s="51"/>
      <c r="AA702" s="73"/>
      <c r="AB702" s="73"/>
      <c r="AC702" s="74"/>
      <c r="AD702" s="80" t="s">
        <v>4871</v>
      </c>
      <c r="AE702" s="86" t="s">
        <v>3998</v>
      </c>
      <c r="AF702" s="80">
        <v>517</v>
      </c>
      <c r="AG702" s="80">
        <v>615</v>
      </c>
      <c r="AH702" s="80">
        <v>717</v>
      </c>
      <c r="AI702" s="80">
        <v>3301</v>
      </c>
      <c r="AJ702" s="80"/>
      <c r="AK702" s="80" t="s">
        <v>6506</v>
      </c>
      <c r="AL702" s="80"/>
      <c r="AM702" s="80"/>
      <c r="AN702" s="80"/>
      <c r="AO702" s="82">
        <v>44313.202222222222</v>
      </c>
      <c r="AP702" s="80"/>
      <c r="AQ702" s="80" t="b">
        <v>1</v>
      </c>
      <c r="AR702" s="80" t="b">
        <v>0</v>
      </c>
      <c r="AS702" s="80" t="b">
        <v>0</v>
      </c>
      <c r="AT702" s="80"/>
      <c r="AU702" s="80">
        <v>0</v>
      </c>
      <c r="AV702" s="80"/>
      <c r="AW702" s="80" t="b">
        <v>0</v>
      </c>
      <c r="AX702" s="80" t="s">
        <v>7173</v>
      </c>
      <c r="AY702" s="84" t="str">
        <f>HYPERLINK("https://twitter.com/vchristyano")</f>
        <v>https://twitter.com/vchristyano</v>
      </c>
      <c r="AZ702" s="80" t="s">
        <v>65</v>
      </c>
      <c r="BA702" s="2"/>
      <c r="BB702" s="3"/>
      <c r="BC702" s="3"/>
      <c r="BD702" s="3"/>
      <c r="BE702" s="3"/>
    </row>
    <row r="703" spans="1:57" x14ac:dyDescent="0.35">
      <c r="A703" s="66" t="s">
        <v>782</v>
      </c>
      <c r="B703" s="67"/>
      <c r="C703" s="67"/>
      <c r="D703" s="68"/>
      <c r="E703" s="70"/>
      <c r="F703" s="106" t="str">
        <f>HYPERLINK("https://abs.twimg.com/sticky/default_profile_images/default_profile_normal.png")</f>
        <v>https://abs.twimg.com/sticky/default_profile_images/default_profile_normal.png</v>
      </c>
      <c r="G703" s="67"/>
      <c r="H703" s="71"/>
      <c r="I703" s="72"/>
      <c r="J703" s="72"/>
      <c r="K703" s="71" t="s">
        <v>7873</v>
      </c>
      <c r="L703" s="75"/>
      <c r="M703" s="76"/>
      <c r="N703" s="76"/>
      <c r="O703" s="77"/>
      <c r="P703" s="78"/>
      <c r="Q703" s="78"/>
      <c r="R703" s="90"/>
      <c r="S703" s="90"/>
      <c r="T703" s="90"/>
      <c r="U703" s="90"/>
      <c r="V703" s="52"/>
      <c r="W703" s="52"/>
      <c r="X703" s="52"/>
      <c r="Y703" s="52"/>
      <c r="Z703" s="51"/>
      <c r="AA703" s="73"/>
      <c r="AB703" s="73"/>
      <c r="AC703" s="74"/>
      <c r="AD703" s="80" t="s">
        <v>4872</v>
      </c>
      <c r="AE703" s="86" t="s">
        <v>5730</v>
      </c>
      <c r="AF703" s="80">
        <v>7</v>
      </c>
      <c r="AG703" s="80">
        <v>1</v>
      </c>
      <c r="AH703" s="80">
        <v>467</v>
      </c>
      <c r="AI703" s="80">
        <v>32</v>
      </c>
      <c r="AJ703" s="80"/>
      <c r="AK703" s="80" t="s">
        <v>6507</v>
      </c>
      <c r="AL703" s="80"/>
      <c r="AM703" s="80"/>
      <c r="AN703" s="80"/>
      <c r="AO703" s="82">
        <v>44406.137129629627</v>
      </c>
      <c r="AP703" s="80"/>
      <c r="AQ703" s="80" t="b">
        <v>1</v>
      </c>
      <c r="AR703" s="80" t="b">
        <v>1</v>
      </c>
      <c r="AS703" s="80" t="b">
        <v>0</v>
      </c>
      <c r="AT703" s="80"/>
      <c r="AU703" s="80">
        <v>0</v>
      </c>
      <c r="AV703" s="80"/>
      <c r="AW703" s="80" t="b">
        <v>0</v>
      </c>
      <c r="AX703" s="80" t="s">
        <v>7173</v>
      </c>
      <c r="AY703" s="84" t="str">
        <f>HYPERLINK("https://twitter.com/humas_sipirok")</f>
        <v>https://twitter.com/humas_sipirok</v>
      </c>
      <c r="AZ703" s="80" t="s">
        <v>66</v>
      </c>
      <c r="BA703" s="2"/>
      <c r="BB703" s="3"/>
      <c r="BC703" s="3"/>
      <c r="BD703" s="3"/>
      <c r="BE703" s="3"/>
    </row>
    <row r="704" spans="1:57" x14ac:dyDescent="0.35">
      <c r="A704" s="66" t="s">
        <v>783</v>
      </c>
      <c r="B704" s="67"/>
      <c r="C704" s="67"/>
      <c r="D704" s="68"/>
      <c r="E704" s="70"/>
      <c r="F704" s="106" t="str">
        <f>HYPERLINK("https://pbs.twimg.com/profile_images/1345395692525637632/s2zFSLf9_normal.jpg")</f>
        <v>https://pbs.twimg.com/profile_images/1345395692525637632/s2zFSLf9_normal.jpg</v>
      </c>
      <c r="G704" s="67"/>
      <c r="H704" s="71"/>
      <c r="I704" s="72"/>
      <c r="J704" s="72"/>
      <c r="K704" s="71" t="s">
        <v>7874</v>
      </c>
      <c r="L704" s="75"/>
      <c r="M704" s="76"/>
      <c r="N704" s="76"/>
      <c r="O704" s="77"/>
      <c r="P704" s="78"/>
      <c r="Q704" s="78"/>
      <c r="R704" s="90"/>
      <c r="S704" s="90"/>
      <c r="T704" s="90"/>
      <c r="U704" s="90"/>
      <c r="V704" s="52"/>
      <c r="W704" s="52"/>
      <c r="X704" s="52"/>
      <c r="Y704" s="52"/>
      <c r="Z704" s="51"/>
      <c r="AA704" s="73"/>
      <c r="AB704" s="73"/>
      <c r="AC704" s="74"/>
      <c r="AD704" s="80" t="s">
        <v>4873</v>
      </c>
      <c r="AE704" s="86" t="s">
        <v>5731</v>
      </c>
      <c r="AF704" s="80">
        <v>102</v>
      </c>
      <c r="AG704" s="80">
        <v>214</v>
      </c>
      <c r="AH704" s="80">
        <v>39192</v>
      </c>
      <c r="AI704" s="80">
        <v>33</v>
      </c>
      <c r="AJ704" s="80"/>
      <c r="AK704" s="80"/>
      <c r="AL704" s="80" t="s">
        <v>7049</v>
      </c>
      <c r="AM704" s="84" t="str">
        <f>HYPERLINK("http://t.co/NNpZkSArA5")</f>
        <v>http://t.co/NNpZkSArA5</v>
      </c>
      <c r="AN704" s="80"/>
      <c r="AO704" s="82">
        <v>40371.431689814817</v>
      </c>
      <c r="AP704" s="84" t="str">
        <f>HYPERLINK("https://pbs.twimg.com/profile_banners/165715566/1408990418")</f>
        <v>https://pbs.twimg.com/profile_banners/165715566/1408990418</v>
      </c>
      <c r="AQ704" s="80" t="b">
        <v>0</v>
      </c>
      <c r="AR704" s="80" t="b">
        <v>0</v>
      </c>
      <c r="AS704" s="80" t="b">
        <v>1</v>
      </c>
      <c r="AT704" s="80"/>
      <c r="AU704" s="80">
        <v>0</v>
      </c>
      <c r="AV704" s="84" t="str">
        <f>HYPERLINK("https://abs.twimg.com/images/themes/theme1/bg.png")</f>
        <v>https://abs.twimg.com/images/themes/theme1/bg.png</v>
      </c>
      <c r="AW704" s="80" t="b">
        <v>0</v>
      </c>
      <c r="AX704" s="80" t="s">
        <v>7173</v>
      </c>
      <c r="AY704" s="84" t="str">
        <f>HYPERLINK("https://twitter.com/lutfimove")</f>
        <v>https://twitter.com/lutfimove</v>
      </c>
      <c r="AZ704" s="80" t="s">
        <v>66</v>
      </c>
      <c r="BA704" s="2"/>
      <c r="BB704" s="3"/>
      <c r="BC704" s="3"/>
      <c r="BD704" s="3"/>
      <c r="BE704" s="3"/>
    </row>
    <row r="705" spans="1:57" x14ac:dyDescent="0.35">
      <c r="A705" s="66" t="s">
        <v>784</v>
      </c>
      <c r="B705" s="67"/>
      <c r="C705" s="67"/>
      <c r="D705" s="68"/>
      <c r="E705" s="70"/>
      <c r="F705" s="106" t="str">
        <f>HYPERLINK("https://pbs.twimg.com/profile_images/999553338805899265/qGXo7Q0s_normal.jpg")</f>
        <v>https://pbs.twimg.com/profile_images/999553338805899265/qGXo7Q0s_normal.jpg</v>
      </c>
      <c r="G705" s="67"/>
      <c r="H705" s="71"/>
      <c r="I705" s="72"/>
      <c r="J705" s="72"/>
      <c r="K705" s="71" t="s">
        <v>7875</v>
      </c>
      <c r="L705" s="75"/>
      <c r="M705" s="76"/>
      <c r="N705" s="76"/>
      <c r="O705" s="77"/>
      <c r="P705" s="78"/>
      <c r="Q705" s="78"/>
      <c r="R705" s="90"/>
      <c r="S705" s="90"/>
      <c r="T705" s="90"/>
      <c r="U705" s="90"/>
      <c r="V705" s="52"/>
      <c r="W705" s="52"/>
      <c r="X705" s="52"/>
      <c r="Y705" s="52"/>
      <c r="Z705" s="51"/>
      <c r="AA705" s="73"/>
      <c r="AB705" s="73"/>
      <c r="AC705" s="74"/>
      <c r="AD705" s="80" t="s">
        <v>4874</v>
      </c>
      <c r="AE705" s="86" t="s">
        <v>5732</v>
      </c>
      <c r="AF705" s="80">
        <v>287</v>
      </c>
      <c r="AG705" s="80">
        <v>972</v>
      </c>
      <c r="AH705" s="80">
        <v>64915</v>
      </c>
      <c r="AI705" s="80">
        <v>839</v>
      </c>
      <c r="AJ705" s="80"/>
      <c r="AK705" s="80" t="s">
        <v>6508</v>
      </c>
      <c r="AL705" s="80" t="s">
        <v>7050</v>
      </c>
      <c r="AM705" s="80"/>
      <c r="AN705" s="80"/>
      <c r="AO705" s="82">
        <v>40301.53701388889</v>
      </c>
      <c r="AP705" s="84" t="str">
        <f>HYPERLINK("https://pbs.twimg.com/profile_banners/139709636/1516633434")</f>
        <v>https://pbs.twimg.com/profile_banners/139709636/1516633434</v>
      </c>
      <c r="AQ705" s="80" t="b">
        <v>0</v>
      </c>
      <c r="AR705" s="80" t="b">
        <v>0</v>
      </c>
      <c r="AS705" s="80" t="b">
        <v>1</v>
      </c>
      <c r="AT705" s="80"/>
      <c r="AU705" s="80">
        <v>10</v>
      </c>
      <c r="AV705" s="84" t="str">
        <f>HYPERLINK("https://abs.twimg.com/images/themes/theme18/bg.gif")</f>
        <v>https://abs.twimg.com/images/themes/theme18/bg.gif</v>
      </c>
      <c r="AW705" s="80" t="b">
        <v>0</v>
      </c>
      <c r="AX705" s="80" t="s">
        <v>7173</v>
      </c>
      <c r="AY705" s="84" t="str">
        <f>HYPERLINK("https://twitter.com/dickquake")</f>
        <v>https://twitter.com/dickquake</v>
      </c>
      <c r="AZ705" s="80" t="s">
        <v>66</v>
      </c>
      <c r="BA705" s="2"/>
      <c r="BB705" s="3"/>
      <c r="BC705" s="3"/>
      <c r="BD705" s="3"/>
      <c r="BE705" s="3"/>
    </row>
    <row r="706" spans="1:57" x14ac:dyDescent="0.35">
      <c r="A706" s="66" t="s">
        <v>1125</v>
      </c>
      <c r="B706" s="67"/>
      <c r="C706" s="67"/>
      <c r="D706" s="68"/>
      <c r="E706" s="70"/>
      <c r="F706" s="106" t="str">
        <f>HYPERLINK("https://pbs.twimg.com/profile_images/1426419874880901120/qkOmd30X_normal.jpg")</f>
        <v>https://pbs.twimg.com/profile_images/1426419874880901120/qkOmd30X_normal.jpg</v>
      </c>
      <c r="G706" s="67"/>
      <c r="H706" s="71"/>
      <c r="I706" s="72"/>
      <c r="J706" s="72"/>
      <c r="K706" s="71" t="s">
        <v>7876</v>
      </c>
      <c r="L706" s="75"/>
      <c r="M706" s="76"/>
      <c r="N706" s="76"/>
      <c r="O706" s="77"/>
      <c r="P706" s="78"/>
      <c r="Q706" s="78"/>
      <c r="R706" s="90"/>
      <c r="S706" s="90"/>
      <c r="T706" s="90"/>
      <c r="U706" s="90"/>
      <c r="V706" s="52"/>
      <c r="W706" s="52"/>
      <c r="X706" s="52"/>
      <c r="Y706" s="52"/>
      <c r="Z706" s="51"/>
      <c r="AA706" s="73"/>
      <c r="AB706" s="73"/>
      <c r="AC706" s="74"/>
      <c r="AD706" s="80" t="s">
        <v>4875</v>
      </c>
      <c r="AE706" s="86" t="s">
        <v>3999</v>
      </c>
      <c r="AF706" s="80">
        <v>965</v>
      </c>
      <c r="AG706" s="80">
        <v>2527</v>
      </c>
      <c r="AH706" s="80">
        <v>209146</v>
      </c>
      <c r="AI706" s="80">
        <v>6189</v>
      </c>
      <c r="AJ706" s="80"/>
      <c r="AK706" s="80" t="s">
        <v>6509</v>
      </c>
      <c r="AL706" s="80" t="s">
        <v>7051</v>
      </c>
      <c r="AM706" s="80"/>
      <c r="AN706" s="80"/>
      <c r="AO706" s="82">
        <v>40027.688067129631</v>
      </c>
      <c r="AP706" s="84" t="str">
        <f>HYPERLINK("https://pbs.twimg.com/profile_banners/62293005/1598977193")</f>
        <v>https://pbs.twimg.com/profile_banners/62293005/1598977193</v>
      </c>
      <c r="AQ706" s="80" t="b">
        <v>0</v>
      </c>
      <c r="AR706" s="80" t="b">
        <v>0</v>
      </c>
      <c r="AS706" s="80" t="b">
        <v>1</v>
      </c>
      <c r="AT706" s="80"/>
      <c r="AU706" s="80">
        <v>22</v>
      </c>
      <c r="AV706" s="84" t="str">
        <f>HYPERLINK("https://abs.twimg.com/images/themes/theme5/bg.gif")</f>
        <v>https://abs.twimg.com/images/themes/theme5/bg.gif</v>
      </c>
      <c r="AW706" s="80" t="b">
        <v>0</v>
      </c>
      <c r="AX706" s="80" t="s">
        <v>7173</v>
      </c>
      <c r="AY706" s="84" t="str">
        <f>HYPERLINK("https://twitter.com/daydaydonat")</f>
        <v>https://twitter.com/daydaydonat</v>
      </c>
      <c r="AZ706" s="80" t="s">
        <v>65</v>
      </c>
      <c r="BA706" s="2"/>
      <c r="BB706" s="3"/>
      <c r="BC706" s="3"/>
      <c r="BD706" s="3"/>
      <c r="BE706" s="3"/>
    </row>
    <row r="707" spans="1:57" x14ac:dyDescent="0.35">
      <c r="A707" s="66" t="s">
        <v>785</v>
      </c>
      <c r="B707" s="67"/>
      <c r="C707" s="67"/>
      <c r="D707" s="68"/>
      <c r="E707" s="70"/>
      <c r="F707" s="106" t="str">
        <f>HYPERLINK("https://pbs.twimg.com/profile_images/1101444835293032448/gjHFlNGV_normal.jpg")</f>
        <v>https://pbs.twimg.com/profile_images/1101444835293032448/gjHFlNGV_normal.jpg</v>
      </c>
      <c r="G707" s="67"/>
      <c r="H707" s="71"/>
      <c r="I707" s="72"/>
      <c r="J707" s="72"/>
      <c r="K707" s="71" t="s">
        <v>7877</v>
      </c>
      <c r="L707" s="75"/>
      <c r="M707" s="76"/>
      <c r="N707" s="76"/>
      <c r="O707" s="77"/>
      <c r="P707" s="78"/>
      <c r="Q707" s="78"/>
      <c r="R707" s="90"/>
      <c r="S707" s="90"/>
      <c r="T707" s="90"/>
      <c r="U707" s="90"/>
      <c r="V707" s="52"/>
      <c r="W707" s="52"/>
      <c r="X707" s="52"/>
      <c r="Y707" s="52"/>
      <c r="Z707" s="51"/>
      <c r="AA707" s="73"/>
      <c r="AB707" s="73"/>
      <c r="AC707" s="74"/>
      <c r="AD707" s="80" t="s">
        <v>4876</v>
      </c>
      <c r="AE707" s="86" t="s">
        <v>5733</v>
      </c>
      <c r="AF707" s="80">
        <v>125</v>
      </c>
      <c r="AG707" s="80">
        <v>213</v>
      </c>
      <c r="AH707" s="80">
        <v>815</v>
      </c>
      <c r="AI707" s="80">
        <v>31</v>
      </c>
      <c r="AJ707" s="80"/>
      <c r="AK707" s="80" t="s">
        <v>6510</v>
      </c>
      <c r="AL707" s="80" t="s">
        <v>7052</v>
      </c>
      <c r="AM707" s="84" t="str">
        <f>HYPERLINK("https://t.co/Trjmk6kiHU")</f>
        <v>https://t.co/Trjmk6kiHU</v>
      </c>
      <c r="AN707" s="80"/>
      <c r="AO707" s="82">
        <v>42956.385300925926</v>
      </c>
      <c r="AP707" s="84" t="str">
        <f>HYPERLINK("https://pbs.twimg.com/profile_banners/895211760327708672/1600221635")</f>
        <v>https://pbs.twimg.com/profile_banners/895211760327708672/1600221635</v>
      </c>
      <c r="AQ707" s="80" t="b">
        <v>0</v>
      </c>
      <c r="AR707" s="80" t="b">
        <v>0</v>
      </c>
      <c r="AS707" s="80" t="b">
        <v>1</v>
      </c>
      <c r="AT707" s="80"/>
      <c r="AU707" s="80">
        <v>0</v>
      </c>
      <c r="AV707" s="84" t="str">
        <f>HYPERLINK("https://abs.twimg.com/images/themes/theme1/bg.png")</f>
        <v>https://abs.twimg.com/images/themes/theme1/bg.png</v>
      </c>
      <c r="AW707" s="80" t="b">
        <v>0</v>
      </c>
      <c r="AX707" s="80" t="s">
        <v>7173</v>
      </c>
      <c r="AY707" s="84" t="str">
        <f>HYPERLINK("https://twitter.com/pajaklahat309")</f>
        <v>https://twitter.com/pajaklahat309</v>
      </c>
      <c r="AZ707" s="80" t="s">
        <v>66</v>
      </c>
      <c r="BA707" s="2"/>
      <c r="BB707" s="3"/>
      <c r="BC707" s="3"/>
      <c r="BD707" s="3"/>
      <c r="BE707" s="3"/>
    </row>
    <row r="708" spans="1:57" x14ac:dyDescent="0.35">
      <c r="A708" s="66" t="s">
        <v>786</v>
      </c>
      <c r="B708" s="67"/>
      <c r="C708" s="67"/>
      <c r="D708" s="68"/>
      <c r="E708" s="70"/>
      <c r="F708" s="106" t="str">
        <f>HYPERLINK("https://pbs.twimg.com/profile_images/1441270211475238917/xjo3yelm_normal.jpg")</f>
        <v>https://pbs.twimg.com/profile_images/1441270211475238917/xjo3yelm_normal.jpg</v>
      </c>
      <c r="G708" s="67"/>
      <c r="H708" s="71"/>
      <c r="I708" s="72"/>
      <c r="J708" s="72"/>
      <c r="K708" s="71" t="s">
        <v>7878</v>
      </c>
      <c r="L708" s="75"/>
      <c r="M708" s="76"/>
      <c r="N708" s="76"/>
      <c r="O708" s="77"/>
      <c r="P708" s="78"/>
      <c r="Q708" s="78"/>
      <c r="R708" s="90"/>
      <c r="S708" s="90"/>
      <c r="T708" s="90"/>
      <c r="U708" s="90"/>
      <c r="V708" s="52"/>
      <c r="W708" s="52"/>
      <c r="X708" s="52"/>
      <c r="Y708" s="52"/>
      <c r="Z708" s="51"/>
      <c r="AA708" s="73"/>
      <c r="AB708" s="73"/>
      <c r="AC708" s="74"/>
      <c r="AD708" s="80" t="s">
        <v>4877</v>
      </c>
      <c r="AE708" s="86" t="s">
        <v>5734</v>
      </c>
      <c r="AF708" s="80">
        <v>119</v>
      </c>
      <c r="AG708" s="80">
        <v>116</v>
      </c>
      <c r="AH708" s="80">
        <v>4247</v>
      </c>
      <c r="AI708" s="80">
        <v>4592</v>
      </c>
      <c r="AJ708" s="80"/>
      <c r="AK708" s="80" t="s">
        <v>6511</v>
      </c>
      <c r="AL708" s="80" t="s">
        <v>7053</v>
      </c>
      <c r="AM708" s="80"/>
      <c r="AN708" s="80"/>
      <c r="AO708" s="82">
        <v>44203.430798611109</v>
      </c>
      <c r="AP708" s="84" t="str">
        <f>HYPERLINK("https://pbs.twimg.com/profile_banners/1347125859769962496/1631545576")</f>
        <v>https://pbs.twimg.com/profile_banners/1347125859769962496/1631545576</v>
      </c>
      <c r="AQ708" s="80" t="b">
        <v>1</v>
      </c>
      <c r="AR708" s="80" t="b">
        <v>0</v>
      </c>
      <c r="AS708" s="80" t="b">
        <v>0</v>
      </c>
      <c r="AT708" s="80"/>
      <c r="AU708" s="80">
        <v>0</v>
      </c>
      <c r="AV708" s="80"/>
      <c r="AW708" s="80" t="b">
        <v>0</v>
      </c>
      <c r="AX708" s="80" t="s">
        <v>7173</v>
      </c>
      <c r="AY708" s="84" t="str">
        <f>HYPERLINK("https://twitter.com/jajan2311")</f>
        <v>https://twitter.com/jajan2311</v>
      </c>
      <c r="AZ708" s="80" t="s">
        <v>66</v>
      </c>
      <c r="BA708" s="2"/>
      <c r="BB708" s="3"/>
      <c r="BC708" s="3"/>
      <c r="BD708" s="3"/>
      <c r="BE708" s="3"/>
    </row>
    <row r="709" spans="1:57" x14ac:dyDescent="0.35">
      <c r="A709" s="66" t="s">
        <v>787</v>
      </c>
      <c r="B709" s="67"/>
      <c r="C709" s="67"/>
      <c r="D709" s="68"/>
      <c r="E709" s="70"/>
      <c r="F709" s="106" t="str">
        <f>HYPERLINK("https://pbs.twimg.com/profile_images/1441099902377869314/n_6YhSk6_normal.jpg")</f>
        <v>https://pbs.twimg.com/profile_images/1441099902377869314/n_6YhSk6_normal.jpg</v>
      </c>
      <c r="G709" s="67"/>
      <c r="H709" s="71"/>
      <c r="I709" s="72"/>
      <c r="J709" s="72"/>
      <c r="K709" s="71" t="s">
        <v>7879</v>
      </c>
      <c r="L709" s="75"/>
      <c r="M709" s="76"/>
      <c r="N709" s="76"/>
      <c r="O709" s="77"/>
      <c r="P709" s="78"/>
      <c r="Q709" s="78"/>
      <c r="R709" s="90"/>
      <c r="S709" s="90"/>
      <c r="T709" s="90"/>
      <c r="U709" s="90"/>
      <c r="V709" s="52"/>
      <c r="W709" s="52"/>
      <c r="X709" s="52"/>
      <c r="Y709" s="52"/>
      <c r="Z709" s="51"/>
      <c r="AA709" s="73"/>
      <c r="AB709" s="73"/>
      <c r="AC709" s="74"/>
      <c r="AD709" s="80" t="s">
        <v>4878</v>
      </c>
      <c r="AE709" s="86" t="s">
        <v>5735</v>
      </c>
      <c r="AF709" s="80">
        <v>353</v>
      </c>
      <c r="AG709" s="80">
        <v>116</v>
      </c>
      <c r="AH709" s="80">
        <v>30886</v>
      </c>
      <c r="AI709" s="80">
        <v>9514</v>
      </c>
      <c r="AJ709" s="80"/>
      <c r="AK709" s="80" t="s">
        <v>6512</v>
      </c>
      <c r="AL709" s="80"/>
      <c r="AM709" s="80"/>
      <c r="AN709" s="80"/>
      <c r="AO709" s="82">
        <v>41780.646770833337</v>
      </c>
      <c r="AP709" s="84" t="str">
        <f>HYPERLINK("https://pbs.twimg.com/profile_banners/2512889018/1632080901")</f>
        <v>https://pbs.twimg.com/profile_banners/2512889018/1632080901</v>
      </c>
      <c r="AQ709" s="80" t="b">
        <v>1</v>
      </c>
      <c r="AR709" s="80" t="b">
        <v>0</v>
      </c>
      <c r="AS709" s="80" t="b">
        <v>0</v>
      </c>
      <c r="AT709" s="80"/>
      <c r="AU709" s="80">
        <v>0</v>
      </c>
      <c r="AV709" s="84" t="str">
        <f>HYPERLINK("https://abs.twimg.com/images/themes/theme1/bg.png")</f>
        <v>https://abs.twimg.com/images/themes/theme1/bg.png</v>
      </c>
      <c r="AW709" s="80" t="b">
        <v>0</v>
      </c>
      <c r="AX709" s="80" t="s">
        <v>7173</v>
      </c>
      <c r="AY709" s="84" t="str">
        <f>HYPERLINK("https://twitter.com/sherlock_ed97")</f>
        <v>https://twitter.com/sherlock_ed97</v>
      </c>
      <c r="AZ709" s="80" t="s">
        <v>66</v>
      </c>
      <c r="BA709" s="2"/>
      <c r="BB709" s="3"/>
      <c r="BC709" s="3"/>
      <c r="BD709" s="3"/>
      <c r="BE709" s="3"/>
    </row>
    <row r="710" spans="1:57" x14ac:dyDescent="0.35">
      <c r="A710" s="66" t="s">
        <v>788</v>
      </c>
      <c r="B710" s="67"/>
      <c r="C710" s="67"/>
      <c r="D710" s="68"/>
      <c r="E710" s="70"/>
      <c r="F710" s="106" t="str">
        <f>HYPERLINK("https://pbs.twimg.com/profile_images/1361188086282035203/5ryJXheX_normal.jpg")</f>
        <v>https://pbs.twimg.com/profile_images/1361188086282035203/5ryJXheX_normal.jpg</v>
      </c>
      <c r="G710" s="67"/>
      <c r="H710" s="71"/>
      <c r="I710" s="72"/>
      <c r="J710" s="72"/>
      <c r="K710" s="71" t="s">
        <v>7880</v>
      </c>
      <c r="L710" s="75"/>
      <c r="M710" s="76"/>
      <c r="N710" s="76"/>
      <c r="O710" s="77"/>
      <c r="P710" s="78"/>
      <c r="Q710" s="78"/>
      <c r="R710" s="90"/>
      <c r="S710" s="90"/>
      <c r="T710" s="90"/>
      <c r="U710" s="90"/>
      <c r="V710" s="52"/>
      <c r="W710" s="52"/>
      <c r="X710" s="52"/>
      <c r="Y710" s="52"/>
      <c r="Z710" s="51"/>
      <c r="AA710" s="73"/>
      <c r="AB710" s="73"/>
      <c r="AC710" s="74"/>
      <c r="AD710" s="80" t="s">
        <v>4879</v>
      </c>
      <c r="AE710" s="86" t="s">
        <v>5736</v>
      </c>
      <c r="AF710" s="80">
        <v>64</v>
      </c>
      <c r="AG710" s="80">
        <v>47</v>
      </c>
      <c r="AH710" s="80">
        <v>2704</v>
      </c>
      <c r="AI710" s="80">
        <v>4914</v>
      </c>
      <c r="AJ710" s="80"/>
      <c r="AK710" s="80"/>
      <c r="AL710" s="80"/>
      <c r="AM710" s="80"/>
      <c r="AN710" s="80"/>
      <c r="AO710" s="82">
        <v>41996.204085648147</v>
      </c>
      <c r="AP710" s="84" t="str">
        <f>HYPERLINK("https://pbs.twimg.com/profile_banners/2937905079/1631083468")</f>
        <v>https://pbs.twimg.com/profile_banners/2937905079/1631083468</v>
      </c>
      <c r="AQ710" s="80" t="b">
        <v>0</v>
      </c>
      <c r="AR710" s="80" t="b">
        <v>0</v>
      </c>
      <c r="AS710" s="80" t="b">
        <v>1</v>
      </c>
      <c r="AT710" s="80"/>
      <c r="AU710" s="80">
        <v>0</v>
      </c>
      <c r="AV710" s="84" t="str">
        <f>HYPERLINK("https://abs.twimg.com/images/themes/theme1/bg.png")</f>
        <v>https://abs.twimg.com/images/themes/theme1/bg.png</v>
      </c>
      <c r="AW710" s="80" t="b">
        <v>0</v>
      </c>
      <c r="AX710" s="80" t="s">
        <v>7173</v>
      </c>
      <c r="AY710" s="84" t="str">
        <f>HYPERLINK("https://twitter.com/bon_amicf")</f>
        <v>https://twitter.com/bon_amicf</v>
      </c>
      <c r="AZ710" s="80" t="s">
        <v>66</v>
      </c>
      <c r="BA710" s="2"/>
      <c r="BB710" s="3"/>
      <c r="BC710" s="3"/>
      <c r="BD710" s="3"/>
      <c r="BE710" s="3"/>
    </row>
    <row r="711" spans="1:57" x14ac:dyDescent="0.35">
      <c r="A711" s="66" t="s">
        <v>789</v>
      </c>
      <c r="B711" s="67"/>
      <c r="C711" s="67"/>
      <c r="D711" s="68"/>
      <c r="E711" s="70"/>
      <c r="F711" s="106" t="str">
        <f>HYPERLINK("https://pbs.twimg.com/profile_images/1438382977726095360/RWDUipdk_normal.jpg")</f>
        <v>https://pbs.twimg.com/profile_images/1438382977726095360/RWDUipdk_normal.jpg</v>
      </c>
      <c r="G711" s="67"/>
      <c r="H711" s="71"/>
      <c r="I711" s="72"/>
      <c r="J711" s="72"/>
      <c r="K711" s="71" t="s">
        <v>7881</v>
      </c>
      <c r="L711" s="75"/>
      <c r="M711" s="76"/>
      <c r="N711" s="76"/>
      <c r="O711" s="77"/>
      <c r="P711" s="78"/>
      <c r="Q711" s="78"/>
      <c r="R711" s="90"/>
      <c r="S711" s="90"/>
      <c r="T711" s="90"/>
      <c r="U711" s="90"/>
      <c r="V711" s="52"/>
      <c r="W711" s="52"/>
      <c r="X711" s="52"/>
      <c r="Y711" s="52"/>
      <c r="Z711" s="51"/>
      <c r="AA711" s="73"/>
      <c r="AB711" s="73"/>
      <c r="AC711" s="74"/>
      <c r="AD711" s="80" t="s">
        <v>4880</v>
      </c>
      <c r="AE711" s="86" t="s">
        <v>5737</v>
      </c>
      <c r="AF711" s="80">
        <v>245</v>
      </c>
      <c r="AG711" s="80">
        <v>257</v>
      </c>
      <c r="AH711" s="80">
        <v>5934</v>
      </c>
      <c r="AI711" s="80">
        <v>3588</v>
      </c>
      <c r="AJ711" s="80"/>
      <c r="AK711" s="80" t="s">
        <v>6513</v>
      </c>
      <c r="AL711" s="80"/>
      <c r="AM711" s="80"/>
      <c r="AN711" s="80"/>
      <c r="AO711" s="82">
        <v>44273.380370370367</v>
      </c>
      <c r="AP711" s="84" t="str">
        <f>HYPERLINK("https://pbs.twimg.com/profile_banners/1372474748819570689/1628065316")</f>
        <v>https://pbs.twimg.com/profile_banners/1372474748819570689/1628065316</v>
      </c>
      <c r="AQ711" s="80" t="b">
        <v>1</v>
      </c>
      <c r="AR711" s="80" t="b">
        <v>0</v>
      </c>
      <c r="AS711" s="80" t="b">
        <v>0</v>
      </c>
      <c r="AT711" s="80"/>
      <c r="AU711" s="80">
        <v>1</v>
      </c>
      <c r="AV711" s="80"/>
      <c r="AW711" s="80" t="b">
        <v>0</v>
      </c>
      <c r="AX711" s="80" t="s">
        <v>7173</v>
      </c>
      <c r="AY711" s="84" t="str">
        <f>HYPERLINK("https://twitter.com/httpjeyu")</f>
        <v>https://twitter.com/httpjeyu</v>
      </c>
      <c r="AZ711" s="80" t="s">
        <v>66</v>
      </c>
      <c r="BA711" s="2"/>
      <c r="BB711" s="3"/>
      <c r="BC711" s="3"/>
      <c r="BD711" s="3"/>
      <c r="BE711" s="3"/>
    </row>
    <row r="712" spans="1:57" x14ac:dyDescent="0.35">
      <c r="A712" s="66" t="s">
        <v>790</v>
      </c>
      <c r="B712" s="67"/>
      <c r="C712" s="67"/>
      <c r="D712" s="68"/>
      <c r="E712" s="70"/>
      <c r="F712" s="106" t="str">
        <f>HYPERLINK("https://pbs.twimg.com/profile_images/1197352427495641089/uBR_D0G3_normal.jpg")</f>
        <v>https://pbs.twimg.com/profile_images/1197352427495641089/uBR_D0G3_normal.jpg</v>
      </c>
      <c r="G712" s="67"/>
      <c r="H712" s="71"/>
      <c r="I712" s="72"/>
      <c r="J712" s="72"/>
      <c r="K712" s="71" t="s">
        <v>7882</v>
      </c>
      <c r="L712" s="75"/>
      <c r="M712" s="76"/>
      <c r="N712" s="76"/>
      <c r="O712" s="77"/>
      <c r="P712" s="78"/>
      <c r="Q712" s="78"/>
      <c r="R712" s="90"/>
      <c r="S712" s="90"/>
      <c r="T712" s="90"/>
      <c r="U712" s="90"/>
      <c r="V712" s="52"/>
      <c r="W712" s="52"/>
      <c r="X712" s="52"/>
      <c r="Y712" s="52"/>
      <c r="Z712" s="51"/>
      <c r="AA712" s="73"/>
      <c r="AB712" s="73"/>
      <c r="AC712" s="74"/>
      <c r="AD712" s="80" t="s">
        <v>4881</v>
      </c>
      <c r="AE712" s="86" t="s">
        <v>5738</v>
      </c>
      <c r="AF712" s="80">
        <v>8</v>
      </c>
      <c r="AG712" s="80">
        <v>24</v>
      </c>
      <c r="AH712" s="80">
        <v>1522</v>
      </c>
      <c r="AI712" s="80">
        <v>5</v>
      </c>
      <c r="AJ712" s="80"/>
      <c r="AK712" s="80" t="s">
        <v>6514</v>
      </c>
      <c r="AL712" s="80"/>
      <c r="AM712" s="80"/>
      <c r="AN712" s="80"/>
      <c r="AO712" s="82">
        <v>43790.131944444445</v>
      </c>
      <c r="AP712" s="80"/>
      <c r="AQ712" s="80" t="b">
        <v>1</v>
      </c>
      <c r="AR712" s="80" t="b">
        <v>0</v>
      </c>
      <c r="AS712" s="80" t="b">
        <v>0</v>
      </c>
      <c r="AT712" s="80"/>
      <c r="AU712" s="80">
        <v>0</v>
      </c>
      <c r="AV712" s="80"/>
      <c r="AW712" s="80" t="b">
        <v>0</v>
      </c>
      <c r="AX712" s="80" t="s">
        <v>7173</v>
      </c>
      <c r="AY712" s="84" t="str">
        <f>HYPERLINK("https://twitter.com/polantastaput")</f>
        <v>https://twitter.com/polantastaput</v>
      </c>
      <c r="AZ712" s="80" t="s">
        <v>66</v>
      </c>
      <c r="BA712" s="2"/>
      <c r="BB712" s="3"/>
      <c r="BC712" s="3"/>
      <c r="BD712" s="3"/>
      <c r="BE712" s="3"/>
    </row>
    <row r="713" spans="1:57" x14ac:dyDescent="0.35">
      <c r="A713" s="66" t="s">
        <v>791</v>
      </c>
      <c r="B713" s="67"/>
      <c r="C713" s="67"/>
      <c r="D713" s="68"/>
      <c r="E713" s="70"/>
      <c r="F713" s="106" t="str">
        <f>HYPERLINK("https://pbs.twimg.com/profile_images/1441627351675129858/S-cHD1kx_normal.png")</f>
        <v>https://pbs.twimg.com/profile_images/1441627351675129858/S-cHD1kx_normal.png</v>
      </c>
      <c r="G713" s="67"/>
      <c r="H713" s="71"/>
      <c r="I713" s="72"/>
      <c r="J713" s="72"/>
      <c r="K713" s="71" t="s">
        <v>7883</v>
      </c>
      <c r="L713" s="75"/>
      <c r="M713" s="76"/>
      <c r="N713" s="76"/>
      <c r="O713" s="77"/>
      <c r="P713" s="78"/>
      <c r="Q713" s="78"/>
      <c r="R713" s="90"/>
      <c r="S713" s="90"/>
      <c r="T713" s="90"/>
      <c r="U713" s="90"/>
      <c r="V713" s="52"/>
      <c r="W713" s="52"/>
      <c r="X713" s="52"/>
      <c r="Y713" s="52"/>
      <c r="Z713" s="51"/>
      <c r="AA713" s="73"/>
      <c r="AB713" s="73"/>
      <c r="AC713" s="74"/>
      <c r="AD713" s="80" t="s">
        <v>4882</v>
      </c>
      <c r="AE713" s="86" t="s">
        <v>5739</v>
      </c>
      <c r="AF713" s="80">
        <v>2599</v>
      </c>
      <c r="AG713" s="80">
        <v>2956</v>
      </c>
      <c r="AH713" s="80">
        <v>22621</v>
      </c>
      <c r="AI713" s="80">
        <v>503</v>
      </c>
      <c r="AJ713" s="80"/>
      <c r="AK713" s="80" t="s">
        <v>6515</v>
      </c>
      <c r="AL713" s="80" t="s">
        <v>7054</v>
      </c>
      <c r="AM713" s="84" t="str">
        <f>HYPERLINK("https://t.co/LRf9C6sHLG")</f>
        <v>https://t.co/LRf9C6sHLG</v>
      </c>
      <c r="AN713" s="80"/>
      <c r="AO713" s="82">
        <v>40656.767951388887</v>
      </c>
      <c r="AP713" s="84" t="str">
        <f>HYPERLINK("https://pbs.twimg.com/profile_banners/286796683/1632545721")</f>
        <v>https://pbs.twimg.com/profile_banners/286796683/1632545721</v>
      </c>
      <c r="AQ713" s="80" t="b">
        <v>0</v>
      </c>
      <c r="AR713" s="80" t="b">
        <v>0</v>
      </c>
      <c r="AS713" s="80" t="b">
        <v>0</v>
      </c>
      <c r="AT713" s="80"/>
      <c r="AU713" s="80">
        <v>0</v>
      </c>
      <c r="AV713" s="84" t="str">
        <f>HYPERLINK("https://abs.twimg.com/images/themes/theme1/bg.png")</f>
        <v>https://abs.twimg.com/images/themes/theme1/bg.png</v>
      </c>
      <c r="AW713" s="80" t="b">
        <v>0</v>
      </c>
      <c r="AX713" s="80" t="s">
        <v>7173</v>
      </c>
      <c r="AY713" s="84" t="str">
        <f>HYPERLINK("https://twitter.com/przesdir")</f>
        <v>https://twitter.com/przesdir</v>
      </c>
      <c r="AZ713" s="80" t="s">
        <v>66</v>
      </c>
      <c r="BA713" s="2"/>
      <c r="BB713" s="3"/>
      <c r="BC713" s="3"/>
      <c r="BD713" s="3"/>
      <c r="BE713" s="3"/>
    </row>
    <row r="714" spans="1:57" x14ac:dyDescent="0.35">
      <c r="A714" s="66" t="s">
        <v>1126</v>
      </c>
      <c r="B714" s="67"/>
      <c r="C714" s="67"/>
      <c r="D714" s="68"/>
      <c r="E714" s="70"/>
      <c r="F714" s="106" t="str">
        <f>HYPERLINK("https://pbs.twimg.com/profile_images/1441388801599836172/Yx77Fp3f_normal.jpg")</f>
        <v>https://pbs.twimg.com/profile_images/1441388801599836172/Yx77Fp3f_normal.jpg</v>
      </c>
      <c r="G714" s="67"/>
      <c r="H714" s="71"/>
      <c r="I714" s="72"/>
      <c r="J714" s="72"/>
      <c r="K714" s="71" t="s">
        <v>7884</v>
      </c>
      <c r="L714" s="75"/>
      <c r="M714" s="76"/>
      <c r="N714" s="76"/>
      <c r="O714" s="77"/>
      <c r="P714" s="78"/>
      <c r="Q714" s="78"/>
      <c r="R714" s="90"/>
      <c r="S714" s="90"/>
      <c r="T714" s="90"/>
      <c r="U714" s="90"/>
      <c r="V714" s="52"/>
      <c r="W714" s="52"/>
      <c r="X714" s="52"/>
      <c r="Y714" s="52"/>
      <c r="Z714" s="51"/>
      <c r="AA714" s="73"/>
      <c r="AB714" s="73"/>
      <c r="AC714" s="74"/>
      <c r="AD714" s="80" t="s">
        <v>4883</v>
      </c>
      <c r="AE714" s="86" t="s">
        <v>4000</v>
      </c>
      <c r="AF714" s="80">
        <v>972</v>
      </c>
      <c r="AG714" s="80">
        <v>1034</v>
      </c>
      <c r="AH714" s="80">
        <v>7157</v>
      </c>
      <c r="AI714" s="80">
        <v>26283</v>
      </c>
      <c r="AJ714" s="80"/>
      <c r="AK714" s="80" t="s">
        <v>6516</v>
      </c>
      <c r="AL714" s="80"/>
      <c r="AM714" s="80"/>
      <c r="AN714" s="80"/>
      <c r="AO714" s="82">
        <v>43944.207881944443</v>
      </c>
      <c r="AP714" s="84" t="str">
        <f>HYPERLINK("https://pbs.twimg.com/profile_banners/1253186636268986368/1632488792")</f>
        <v>https://pbs.twimg.com/profile_banners/1253186636268986368/1632488792</v>
      </c>
      <c r="AQ714" s="80" t="b">
        <v>1</v>
      </c>
      <c r="AR714" s="80" t="b">
        <v>0</v>
      </c>
      <c r="AS714" s="80" t="b">
        <v>1</v>
      </c>
      <c r="AT714" s="80"/>
      <c r="AU714" s="80">
        <v>0</v>
      </c>
      <c r="AV714" s="80"/>
      <c r="AW714" s="80" t="b">
        <v>0</v>
      </c>
      <c r="AX714" s="80" t="s">
        <v>7173</v>
      </c>
      <c r="AY714" s="84" t="str">
        <f>HYPERLINK("https://twitter.com/whitefwine")</f>
        <v>https://twitter.com/whitefwine</v>
      </c>
      <c r="AZ714" s="80" t="s">
        <v>65</v>
      </c>
      <c r="BA714" s="2"/>
      <c r="BB714" s="3"/>
      <c r="BC714" s="3"/>
      <c r="BD714" s="3"/>
      <c r="BE714" s="3"/>
    </row>
    <row r="715" spans="1:57" x14ac:dyDescent="0.35">
      <c r="A715" s="66" t="s">
        <v>792</v>
      </c>
      <c r="B715" s="67"/>
      <c r="C715" s="67"/>
      <c r="D715" s="68"/>
      <c r="E715" s="70"/>
      <c r="F715" s="106" t="str">
        <f>HYPERLINK("https://pbs.twimg.com/profile_images/1091001834414567424/dSCs8N1n_normal.jpg")</f>
        <v>https://pbs.twimg.com/profile_images/1091001834414567424/dSCs8N1n_normal.jpg</v>
      </c>
      <c r="G715" s="67"/>
      <c r="H715" s="71"/>
      <c r="I715" s="72"/>
      <c r="J715" s="72"/>
      <c r="K715" s="71" t="s">
        <v>7885</v>
      </c>
      <c r="L715" s="75"/>
      <c r="M715" s="76"/>
      <c r="N715" s="76"/>
      <c r="O715" s="77"/>
      <c r="P715" s="78"/>
      <c r="Q715" s="78"/>
      <c r="R715" s="90"/>
      <c r="S715" s="90"/>
      <c r="T715" s="90"/>
      <c r="U715" s="90"/>
      <c r="V715" s="52"/>
      <c r="W715" s="52"/>
      <c r="X715" s="52"/>
      <c r="Y715" s="52"/>
      <c r="Z715" s="51"/>
      <c r="AA715" s="73"/>
      <c r="AB715" s="73"/>
      <c r="AC715" s="74"/>
      <c r="AD715" s="80" t="s">
        <v>4884</v>
      </c>
      <c r="AE715" s="86" t="s">
        <v>4001</v>
      </c>
      <c r="AF715" s="80">
        <v>140</v>
      </c>
      <c r="AG715" s="80">
        <v>166</v>
      </c>
      <c r="AH715" s="80">
        <v>1403</v>
      </c>
      <c r="AI715" s="80">
        <v>46</v>
      </c>
      <c r="AJ715" s="80"/>
      <c r="AK715" s="80" t="s">
        <v>6517</v>
      </c>
      <c r="AL715" s="80"/>
      <c r="AM715" s="84" t="str">
        <f>HYPERLINK("https://t.co/BnbjoUBy9V")</f>
        <v>https://t.co/BnbjoUBy9V</v>
      </c>
      <c r="AN715" s="80"/>
      <c r="AO715" s="82">
        <v>41071.1172337963</v>
      </c>
      <c r="AP715" s="84" t="str">
        <f>HYPERLINK("https://pbs.twimg.com/profile_banners/605048711/1549098913")</f>
        <v>https://pbs.twimg.com/profile_banners/605048711/1549098913</v>
      </c>
      <c r="AQ715" s="80" t="b">
        <v>0</v>
      </c>
      <c r="AR715" s="80" t="b">
        <v>0</v>
      </c>
      <c r="AS715" s="80" t="b">
        <v>1</v>
      </c>
      <c r="AT715" s="80"/>
      <c r="AU715" s="80">
        <v>1</v>
      </c>
      <c r="AV715" s="84" t="str">
        <f>HYPERLINK("https://abs.twimg.com/images/themes/theme13/bg.gif")</f>
        <v>https://abs.twimg.com/images/themes/theme13/bg.gif</v>
      </c>
      <c r="AW715" s="80" t="b">
        <v>0</v>
      </c>
      <c r="AX715" s="80" t="s">
        <v>7173</v>
      </c>
      <c r="AY715" s="84" t="str">
        <f>HYPERLINK("https://twitter.com/faiznaputri")</f>
        <v>https://twitter.com/faiznaputri</v>
      </c>
      <c r="AZ715" s="80" t="s">
        <v>66</v>
      </c>
      <c r="BA715" s="2"/>
      <c r="BB715" s="3"/>
      <c r="BC715" s="3"/>
      <c r="BD715" s="3"/>
      <c r="BE715" s="3"/>
    </row>
    <row r="716" spans="1:57" x14ac:dyDescent="0.35">
      <c r="A716" s="66" t="s">
        <v>793</v>
      </c>
      <c r="B716" s="67"/>
      <c r="C716" s="67"/>
      <c r="D716" s="68"/>
      <c r="E716" s="70"/>
      <c r="F716" s="106" t="str">
        <f>HYPERLINK("https://pbs.twimg.com/profile_images/1440971112947486720/9qlGF_9q_normal.jpg")</f>
        <v>https://pbs.twimg.com/profile_images/1440971112947486720/9qlGF_9q_normal.jpg</v>
      </c>
      <c r="G716" s="67"/>
      <c r="H716" s="71"/>
      <c r="I716" s="72"/>
      <c r="J716" s="72"/>
      <c r="K716" s="71" t="s">
        <v>7886</v>
      </c>
      <c r="L716" s="75"/>
      <c r="M716" s="76"/>
      <c r="N716" s="76"/>
      <c r="O716" s="77"/>
      <c r="P716" s="78"/>
      <c r="Q716" s="78"/>
      <c r="R716" s="90"/>
      <c r="S716" s="90"/>
      <c r="T716" s="90"/>
      <c r="U716" s="90"/>
      <c r="V716" s="52"/>
      <c r="W716" s="52"/>
      <c r="X716" s="52"/>
      <c r="Y716" s="52"/>
      <c r="Z716" s="51"/>
      <c r="AA716" s="73"/>
      <c r="AB716" s="73"/>
      <c r="AC716" s="74"/>
      <c r="AD716" s="80" t="s">
        <v>4885</v>
      </c>
      <c r="AE716" s="86" t="s">
        <v>5740</v>
      </c>
      <c r="AF716" s="80">
        <v>485</v>
      </c>
      <c r="AG716" s="80">
        <v>340</v>
      </c>
      <c r="AH716" s="80">
        <v>27476</v>
      </c>
      <c r="AI716" s="80">
        <v>33144</v>
      </c>
      <c r="AJ716" s="80"/>
      <c r="AK716" s="80" t="s">
        <v>6518</v>
      </c>
      <c r="AL716" s="80" t="s">
        <v>7055</v>
      </c>
      <c r="AM716" s="84" t="str">
        <f>HYPERLINK("https://t.co/RkwBptDCua")</f>
        <v>https://t.co/RkwBptDCua</v>
      </c>
      <c r="AN716" s="80"/>
      <c r="AO716" s="82">
        <v>40656.254027777781</v>
      </c>
      <c r="AP716" s="84" t="str">
        <f>HYPERLINK("https://pbs.twimg.com/profile_banners/286541504/1610427837")</f>
        <v>https://pbs.twimg.com/profile_banners/286541504/1610427837</v>
      </c>
      <c r="AQ716" s="80" t="b">
        <v>0</v>
      </c>
      <c r="AR716" s="80" t="b">
        <v>0</v>
      </c>
      <c r="AS716" s="80" t="b">
        <v>1</v>
      </c>
      <c r="AT716" s="80"/>
      <c r="AU716" s="80">
        <v>0</v>
      </c>
      <c r="AV716" s="84" t="str">
        <f>HYPERLINK("https://abs.twimg.com/images/themes/theme13/bg.gif")</f>
        <v>https://abs.twimg.com/images/themes/theme13/bg.gif</v>
      </c>
      <c r="AW716" s="80" t="b">
        <v>0</v>
      </c>
      <c r="AX716" s="80" t="s">
        <v>7173</v>
      </c>
      <c r="AY716" s="84" t="str">
        <f>HYPERLINK("https://twitter.com/ichihoony")</f>
        <v>https://twitter.com/ichihoony</v>
      </c>
      <c r="AZ716" s="80" t="s">
        <v>66</v>
      </c>
      <c r="BA716" s="2"/>
      <c r="BB716" s="3"/>
      <c r="BC716" s="3"/>
      <c r="BD716" s="3"/>
      <c r="BE716" s="3"/>
    </row>
    <row r="717" spans="1:57" x14ac:dyDescent="0.35">
      <c r="A717" s="66" t="s">
        <v>1127</v>
      </c>
      <c r="B717" s="67"/>
      <c r="C717" s="67"/>
      <c r="D717" s="68"/>
      <c r="E717" s="70"/>
      <c r="F717" s="106" t="str">
        <f>HYPERLINK("https://pbs.twimg.com/profile_images/1074955938895781888/M5aLXePY_normal.jpg")</f>
        <v>https://pbs.twimg.com/profile_images/1074955938895781888/M5aLXePY_normal.jpg</v>
      </c>
      <c r="G717" s="67"/>
      <c r="H717" s="71"/>
      <c r="I717" s="72"/>
      <c r="J717" s="72"/>
      <c r="K717" s="71" t="s">
        <v>7887</v>
      </c>
      <c r="L717" s="75"/>
      <c r="M717" s="76"/>
      <c r="N717" s="76"/>
      <c r="O717" s="77"/>
      <c r="P717" s="78"/>
      <c r="Q717" s="78"/>
      <c r="R717" s="90"/>
      <c r="S717" s="90"/>
      <c r="T717" s="90"/>
      <c r="U717" s="90"/>
      <c r="V717" s="52"/>
      <c r="W717" s="52"/>
      <c r="X717" s="52"/>
      <c r="Y717" s="52"/>
      <c r="Z717" s="51"/>
      <c r="AA717" s="73"/>
      <c r="AB717" s="73"/>
      <c r="AC717" s="74"/>
      <c r="AD717" s="80" t="s">
        <v>4886</v>
      </c>
      <c r="AE717" s="86" t="s">
        <v>4002</v>
      </c>
      <c r="AF717" s="80">
        <v>110</v>
      </c>
      <c r="AG717" s="80">
        <v>3052</v>
      </c>
      <c r="AH717" s="80">
        <v>7797</v>
      </c>
      <c r="AI717" s="80">
        <v>289</v>
      </c>
      <c r="AJ717" s="80"/>
      <c r="AK717" s="80" t="s">
        <v>6519</v>
      </c>
      <c r="AL717" s="80" t="s">
        <v>7056</v>
      </c>
      <c r="AM717" s="84" t="str">
        <f>HYPERLINK("http://t.co/Y8QEWuBv64")</f>
        <v>http://t.co/Y8QEWuBv64</v>
      </c>
      <c r="AN717" s="80"/>
      <c r="AO717" s="82">
        <v>41673.261435185188</v>
      </c>
      <c r="AP717" s="84" t="str">
        <f>HYPERLINK("https://pbs.twimg.com/profile_banners/2324943812/1579228965")</f>
        <v>https://pbs.twimg.com/profile_banners/2324943812/1579228965</v>
      </c>
      <c r="AQ717" s="80" t="b">
        <v>0</v>
      </c>
      <c r="AR717" s="80" t="b">
        <v>0</v>
      </c>
      <c r="AS717" s="80" t="b">
        <v>0</v>
      </c>
      <c r="AT717" s="80"/>
      <c r="AU717" s="80">
        <v>3</v>
      </c>
      <c r="AV717" s="84" t="str">
        <f>HYPERLINK("https://abs.twimg.com/images/themes/theme6/bg.gif")</f>
        <v>https://abs.twimg.com/images/themes/theme6/bg.gif</v>
      </c>
      <c r="AW717" s="80" t="b">
        <v>0</v>
      </c>
      <c r="AX717" s="80" t="s">
        <v>7173</v>
      </c>
      <c r="AY717" s="84" t="str">
        <f>HYPERLINK("https://twitter.com/bcpasarbaru")</f>
        <v>https://twitter.com/bcpasarbaru</v>
      </c>
      <c r="AZ717" s="80" t="s">
        <v>65</v>
      </c>
      <c r="BA717" s="2"/>
      <c r="BB717" s="3"/>
      <c r="BC717" s="3"/>
      <c r="BD717" s="3"/>
      <c r="BE717" s="3"/>
    </row>
    <row r="718" spans="1:57" x14ac:dyDescent="0.35">
      <c r="A718" s="66" t="s">
        <v>972</v>
      </c>
      <c r="B718" s="67"/>
      <c r="C718" s="67"/>
      <c r="D718" s="68"/>
      <c r="E718" s="70"/>
      <c r="F718" s="106" t="str">
        <f>HYPERLINK("https://pbs.twimg.com/profile_images/813703989061558273/pSVNdrgA_normal.jpg")</f>
        <v>https://pbs.twimg.com/profile_images/813703989061558273/pSVNdrgA_normal.jpg</v>
      </c>
      <c r="G718" s="67"/>
      <c r="H718" s="71"/>
      <c r="I718" s="72"/>
      <c r="J718" s="72"/>
      <c r="K718" s="71" t="s">
        <v>7888</v>
      </c>
      <c r="L718" s="75"/>
      <c r="M718" s="76"/>
      <c r="N718" s="76"/>
      <c r="O718" s="77"/>
      <c r="P718" s="78"/>
      <c r="Q718" s="78"/>
      <c r="R718" s="90"/>
      <c r="S718" s="90"/>
      <c r="T718" s="90"/>
      <c r="U718" s="90"/>
      <c r="V718" s="52"/>
      <c r="W718" s="52"/>
      <c r="X718" s="52"/>
      <c r="Y718" s="52"/>
      <c r="Z718" s="51"/>
      <c r="AA718" s="73"/>
      <c r="AB718" s="73"/>
      <c r="AC718" s="74"/>
      <c r="AD718" s="80" t="s">
        <v>4887</v>
      </c>
      <c r="AE718" s="86" t="s">
        <v>4081</v>
      </c>
      <c r="AF718" s="80">
        <v>61</v>
      </c>
      <c r="AG718" s="80">
        <v>19147</v>
      </c>
      <c r="AH718" s="80">
        <v>46693</v>
      </c>
      <c r="AI718" s="80">
        <v>671</v>
      </c>
      <c r="AJ718" s="80"/>
      <c r="AK718" s="80" t="s">
        <v>6520</v>
      </c>
      <c r="AL718" s="80" t="s">
        <v>6785</v>
      </c>
      <c r="AM718" s="84" t="str">
        <f>HYPERLINK("https://t.co/GrrnTkZJP2")</f>
        <v>https://t.co/GrrnTkZJP2</v>
      </c>
      <c r="AN718" s="80"/>
      <c r="AO718" s="82">
        <v>41899.337453703702</v>
      </c>
      <c r="AP718" s="84" t="str">
        <f>HYPERLINK("https://pbs.twimg.com/profile_banners/2814445920/1507606905")</f>
        <v>https://pbs.twimg.com/profile_banners/2814445920/1507606905</v>
      </c>
      <c r="AQ718" s="80" t="b">
        <v>0</v>
      </c>
      <c r="AR718" s="80" t="b">
        <v>0</v>
      </c>
      <c r="AS718" s="80" t="b">
        <v>1</v>
      </c>
      <c r="AT718" s="80"/>
      <c r="AU718" s="80">
        <v>18</v>
      </c>
      <c r="AV718" s="84" t="str">
        <f>HYPERLINK("https://abs.twimg.com/images/themes/theme1/bg.png")</f>
        <v>https://abs.twimg.com/images/themes/theme1/bg.png</v>
      </c>
      <c r="AW718" s="80" t="b">
        <v>1</v>
      </c>
      <c r="AX718" s="80" t="s">
        <v>7173</v>
      </c>
      <c r="AY718" s="84" t="str">
        <f>HYPERLINK("https://twitter.com/bravobeacukai")</f>
        <v>https://twitter.com/bravobeacukai</v>
      </c>
      <c r="AZ718" s="80" t="s">
        <v>66</v>
      </c>
      <c r="BA718" s="2"/>
      <c r="BB718" s="3"/>
      <c r="BC718" s="3"/>
      <c r="BD718" s="3"/>
      <c r="BE718" s="3"/>
    </row>
    <row r="719" spans="1:57" x14ac:dyDescent="0.35">
      <c r="A719" s="66" t="s">
        <v>794</v>
      </c>
      <c r="B719" s="67"/>
      <c r="C719" s="67"/>
      <c r="D719" s="68"/>
      <c r="E719" s="70"/>
      <c r="F719" s="106" t="str">
        <f>HYPERLINK("https://pbs.twimg.com/profile_images/1282239055334264833/JLrwNvRX_normal.jpg")</f>
        <v>https://pbs.twimg.com/profile_images/1282239055334264833/JLrwNvRX_normal.jpg</v>
      </c>
      <c r="G719" s="67"/>
      <c r="H719" s="71"/>
      <c r="I719" s="72"/>
      <c r="J719" s="72"/>
      <c r="K719" s="71" t="s">
        <v>7889</v>
      </c>
      <c r="L719" s="75"/>
      <c r="M719" s="76"/>
      <c r="N719" s="76"/>
      <c r="O719" s="77"/>
      <c r="P719" s="78"/>
      <c r="Q719" s="78"/>
      <c r="R719" s="90"/>
      <c r="S719" s="90"/>
      <c r="T719" s="90"/>
      <c r="U719" s="90"/>
      <c r="V719" s="52"/>
      <c r="W719" s="52"/>
      <c r="X719" s="52"/>
      <c r="Y719" s="52"/>
      <c r="Z719" s="51"/>
      <c r="AA719" s="73"/>
      <c r="AB719" s="73"/>
      <c r="AC719" s="74"/>
      <c r="AD719" s="80" t="s">
        <v>4888</v>
      </c>
      <c r="AE719" s="86" t="s">
        <v>5741</v>
      </c>
      <c r="AF719" s="80">
        <v>38</v>
      </c>
      <c r="AG719" s="80">
        <v>37200</v>
      </c>
      <c r="AH719" s="80">
        <v>7368</v>
      </c>
      <c r="AI719" s="80">
        <v>333</v>
      </c>
      <c r="AJ719" s="80"/>
      <c r="AK719" s="80" t="s">
        <v>6521</v>
      </c>
      <c r="AL719" s="80" t="s">
        <v>4145</v>
      </c>
      <c r="AM719" s="84" t="str">
        <f>HYPERLINK("https://t.co/n8o5V5qPhn")</f>
        <v>https://t.co/n8o5V5qPhn</v>
      </c>
      <c r="AN719" s="80"/>
      <c r="AO719" s="82">
        <v>42119.143703703703</v>
      </c>
      <c r="AP719" s="84" t="str">
        <f>HYPERLINK("https://pbs.twimg.com/profile_banners/3171520362/1614228829")</f>
        <v>https://pbs.twimg.com/profile_banners/3171520362/1614228829</v>
      </c>
      <c r="AQ719" s="80" t="b">
        <v>1</v>
      </c>
      <c r="AR719" s="80" t="b">
        <v>0</v>
      </c>
      <c r="AS719" s="80" t="b">
        <v>0</v>
      </c>
      <c r="AT719" s="80"/>
      <c r="AU719" s="80">
        <v>4</v>
      </c>
      <c r="AV719" s="84" t="str">
        <f>HYPERLINK("https://abs.twimg.com/images/themes/theme1/bg.png")</f>
        <v>https://abs.twimg.com/images/themes/theme1/bg.png</v>
      </c>
      <c r="AW719" s="80" t="b">
        <v>0</v>
      </c>
      <c r="AX719" s="80" t="s">
        <v>7173</v>
      </c>
      <c r="AY719" s="84" t="str">
        <f>HYPERLINK("https://twitter.com/_pln_id")</f>
        <v>https://twitter.com/_pln_id</v>
      </c>
      <c r="AZ719" s="80" t="s">
        <v>66</v>
      </c>
      <c r="BA719" s="2"/>
      <c r="BB719" s="3"/>
      <c r="BC719" s="3"/>
      <c r="BD719" s="3"/>
      <c r="BE719" s="3"/>
    </row>
    <row r="720" spans="1:57" x14ac:dyDescent="0.35">
      <c r="A720" s="66" t="s">
        <v>1128</v>
      </c>
      <c r="B720" s="67"/>
      <c r="C720" s="67"/>
      <c r="D720" s="68"/>
      <c r="E720" s="70"/>
      <c r="F720" s="106" t="str">
        <f>HYPERLINK("https://pbs.twimg.com/profile_images/931422837876834304/WyB7dg28_normal.jpg")</f>
        <v>https://pbs.twimg.com/profile_images/931422837876834304/WyB7dg28_normal.jpg</v>
      </c>
      <c r="G720" s="67"/>
      <c r="H720" s="71"/>
      <c r="I720" s="72"/>
      <c r="J720" s="72"/>
      <c r="K720" s="71" t="s">
        <v>7890</v>
      </c>
      <c r="L720" s="75"/>
      <c r="M720" s="76"/>
      <c r="N720" s="76"/>
      <c r="O720" s="77"/>
      <c r="P720" s="78"/>
      <c r="Q720" s="78"/>
      <c r="R720" s="90"/>
      <c r="S720" s="90"/>
      <c r="T720" s="90"/>
      <c r="U720" s="90"/>
      <c r="V720" s="52"/>
      <c r="W720" s="52"/>
      <c r="X720" s="52"/>
      <c r="Y720" s="52"/>
      <c r="Z720" s="51"/>
      <c r="AA720" s="73"/>
      <c r="AB720" s="73"/>
      <c r="AC720" s="74"/>
      <c r="AD720" s="80" t="s">
        <v>4889</v>
      </c>
      <c r="AE720" s="86" t="s">
        <v>5742</v>
      </c>
      <c r="AF720" s="80">
        <v>145</v>
      </c>
      <c r="AG720" s="80">
        <v>11598</v>
      </c>
      <c r="AH720" s="80">
        <v>4576</v>
      </c>
      <c r="AI720" s="80">
        <v>450</v>
      </c>
      <c r="AJ720" s="80"/>
      <c r="AK720" s="80" t="s">
        <v>6522</v>
      </c>
      <c r="AL720" s="80" t="s">
        <v>7057</v>
      </c>
      <c r="AM720" s="84" t="str">
        <f>HYPERLINK("http://t.co/EF9RkwXx7s")</f>
        <v>http://t.co/EF9RkwXx7s</v>
      </c>
      <c r="AN720" s="80"/>
      <c r="AO720" s="82">
        <v>40815.531145833331</v>
      </c>
      <c r="AP720" s="84" t="str">
        <f>HYPERLINK("https://pbs.twimg.com/profile_banners/382065654/1510903561")</f>
        <v>https://pbs.twimg.com/profile_banners/382065654/1510903561</v>
      </c>
      <c r="AQ720" s="80" t="b">
        <v>0</v>
      </c>
      <c r="AR720" s="80" t="b">
        <v>0</v>
      </c>
      <c r="AS720" s="80" t="b">
        <v>1</v>
      </c>
      <c r="AT720" s="80"/>
      <c r="AU720" s="80">
        <v>28</v>
      </c>
      <c r="AV720" s="84" t="str">
        <f>HYPERLINK("https://abs.twimg.com/images/themes/theme19/bg.gif")</f>
        <v>https://abs.twimg.com/images/themes/theme19/bg.gif</v>
      </c>
      <c r="AW720" s="80" t="b">
        <v>0</v>
      </c>
      <c r="AX720" s="80" t="s">
        <v>7173</v>
      </c>
      <c r="AY720" s="84" t="str">
        <f>HYPERLINK("https://twitter.com/bright_plnbatam")</f>
        <v>https://twitter.com/bright_plnbatam</v>
      </c>
      <c r="AZ720" s="80" t="s">
        <v>65</v>
      </c>
      <c r="BA720" s="2"/>
      <c r="BB720" s="3"/>
      <c r="BC720" s="3"/>
      <c r="BD720" s="3"/>
      <c r="BE720" s="3"/>
    </row>
    <row r="721" spans="1:57" x14ac:dyDescent="0.35">
      <c r="A721" s="66" t="s">
        <v>795</v>
      </c>
      <c r="B721" s="67"/>
      <c r="C721" s="67"/>
      <c r="D721" s="68"/>
      <c r="E721" s="70"/>
      <c r="F721" s="106" t="str">
        <f>HYPERLINK("https://pbs.twimg.com/profile_images/1436515921678323714/pcJnlKZ4_normal.jpg")</f>
        <v>https://pbs.twimg.com/profile_images/1436515921678323714/pcJnlKZ4_normal.jpg</v>
      </c>
      <c r="G721" s="67"/>
      <c r="H721" s="71"/>
      <c r="I721" s="72"/>
      <c r="J721" s="72"/>
      <c r="K721" s="71" t="s">
        <v>7891</v>
      </c>
      <c r="L721" s="75"/>
      <c r="M721" s="76"/>
      <c r="N721" s="76"/>
      <c r="O721" s="77"/>
      <c r="P721" s="78"/>
      <c r="Q721" s="78"/>
      <c r="R721" s="90"/>
      <c r="S721" s="90"/>
      <c r="T721" s="90"/>
      <c r="U721" s="90"/>
      <c r="V721" s="52"/>
      <c r="W721" s="52"/>
      <c r="X721" s="52"/>
      <c r="Y721" s="52"/>
      <c r="Z721" s="51"/>
      <c r="AA721" s="73"/>
      <c r="AB721" s="73"/>
      <c r="AC721" s="74"/>
      <c r="AD721" s="80" t="s">
        <v>4890</v>
      </c>
      <c r="AE721" s="86" t="s">
        <v>5743</v>
      </c>
      <c r="AF721" s="80">
        <v>63</v>
      </c>
      <c r="AG721" s="80">
        <v>0</v>
      </c>
      <c r="AH721" s="80">
        <v>81</v>
      </c>
      <c r="AI721" s="80">
        <v>85</v>
      </c>
      <c r="AJ721" s="80"/>
      <c r="AK721" s="80" t="s">
        <v>6523</v>
      </c>
      <c r="AL721" s="80"/>
      <c r="AM721" s="80"/>
      <c r="AN721" s="80"/>
      <c r="AO721" s="82">
        <v>44450.087789351855</v>
      </c>
      <c r="AP721" s="80"/>
      <c r="AQ721" s="80" t="b">
        <v>1</v>
      </c>
      <c r="AR721" s="80" t="b">
        <v>0</v>
      </c>
      <c r="AS721" s="80" t="b">
        <v>0</v>
      </c>
      <c r="AT721" s="80"/>
      <c r="AU721" s="80">
        <v>0</v>
      </c>
      <c r="AV721" s="80"/>
      <c r="AW721" s="80" t="b">
        <v>0</v>
      </c>
      <c r="AX721" s="80" t="s">
        <v>7173</v>
      </c>
      <c r="AY721" s="84" t="str">
        <f>HYPERLINK("https://twitter.com/bennyhutabarat_")</f>
        <v>https://twitter.com/bennyhutabarat_</v>
      </c>
      <c r="AZ721" s="80" t="s">
        <v>66</v>
      </c>
      <c r="BA721" s="2"/>
      <c r="BB721" s="3"/>
      <c r="BC721" s="3"/>
      <c r="BD721" s="3"/>
      <c r="BE721" s="3"/>
    </row>
    <row r="722" spans="1:57" x14ac:dyDescent="0.35">
      <c r="A722" s="66" t="s">
        <v>796</v>
      </c>
      <c r="B722" s="67"/>
      <c r="C722" s="67"/>
      <c r="D722" s="68"/>
      <c r="E722" s="70"/>
      <c r="F722" s="106" t="str">
        <f>HYPERLINK("https://pbs.twimg.com/profile_images/1438130504784498693/_uEGGcrC_normal.jpg")</f>
        <v>https://pbs.twimg.com/profile_images/1438130504784498693/_uEGGcrC_normal.jpg</v>
      </c>
      <c r="G722" s="67"/>
      <c r="H722" s="71"/>
      <c r="I722" s="72"/>
      <c r="J722" s="72"/>
      <c r="K722" s="71" t="s">
        <v>7892</v>
      </c>
      <c r="L722" s="75"/>
      <c r="M722" s="76"/>
      <c r="N722" s="76"/>
      <c r="O722" s="77"/>
      <c r="P722" s="78"/>
      <c r="Q722" s="78"/>
      <c r="R722" s="90"/>
      <c r="S722" s="90"/>
      <c r="T722" s="90"/>
      <c r="U722" s="90"/>
      <c r="V722" s="52"/>
      <c r="W722" s="52"/>
      <c r="X722" s="52"/>
      <c r="Y722" s="52"/>
      <c r="Z722" s="51"/>
      <c r="AA722" s="73"/>
      <c r="AB722" s="73"/>
      <c r="AC722" s="74"/>
      <c r="AD722" s="80" t="s">
        <v>4891</v>
      </c>
      <c r="AE722" s="86" t="s">
        <v>5744</v>
      </c>
      <c r="AF722" s="80">
        <v>112</v>
      </c>
      <c r="AG722" s="80">
        <v>34</v>
      </c>
      <c r="AH722" s="80">
        <v>18214</v>
      </c>
      <c r="AI722" s="80">
        <v>2517</v>
      </c>
      <c r="AJ722" s="80"/>
      <c r="AK722" s="80" t="s">
        <v>6524</v>
      </c>
      <c r="AL722" s="80"/>
      <c r="AM722" s="80"/>
      <c r="AN722" s="80"/>
      <c r="AO722" s="82">
        <v>44010.572233796294</v>
      </c>
      <c r="AP722" s="84" t="str">
        <f>HYPERLINK("https://pbs.twimg.com/profile_banners/1277236269991391232/1595083581")</f>
        <v>https://pbs.twimg.com/profile_banners/1277236269991391232/1595083581</v>
      </c>
      <c r="AQ722" s="80" t="b">
        <v>1</v>
      </c>
      <c r="AR722" s="80" t="b">
        <v>0</v>
      </c>
      <c r="AS722" s="80" t="b">
        <v>0</v>
      </c>
      <c r="AT722" s="80"/>
      <c r="AU722" s="80">
        <v>0</v>
      </c>
      <c r="AV722" s="80"/>
      <c r="AW722" s="80" t="b">
        <v>0</v>
      </c>
      <c r="AX722" s="80" t="s">
        <v>7173</v>
      </c>
      <c r="AY722" s="84" t="str">
        <f>HYPERLINK("https://twitter.com/sellysellycat")</f>
        <v>https://twitter.com/sellysellycat</v>
      </c>
      <c r="AZ722" s="80" t="s">
        <v>66</v>
      </c>
      <c r="BA722" s="2"/>
      <c r="BB722" s="3"/>
      <c r="BC722" s="3"/>
      <c r="BD722" s="3"/>
      <c r="BE722" s="3"/>
    </row>
    <row r="723" spans="1:57" x14ac:dyDescent="0.35">
      <c r="A723" s="66" t="s">
        <v>1129</v>
      </c>
      <c r="B723" s="67"/>
      <c r="C723" s="67"/>
      <c r="D723" s="68"/>
      <c r="E723" s="70"/>
      <c r="F723" s="106" t="str">
        <f>HYPERLINK("https://pbs.twimg.com/profile_images/1439841874026455043/ZRYkHAC7_normal.jpg")</f>
        <v>https://pbs.twimg.com/profile_images/1439841874026455043/ZRYkHAC7_normal.jpg</v>
      </c>
      <c r="G723" s="67"/>
      <c r="H723" s="71"/>
      <c r="I723" s="72"/>
      <c r="J723" s="72"/>
      <c r="K723" s="71" t="s">
        <v>7893</v>
      </c>
      <c r="L723" s="75"/>
      <c r="M723" s="76"/>
      <c r="N723" s="76"/>
      <c r="O723" s="77"/>
      <c r="P723" s="78"/>
      <c r="Q723" s="78"/>
      <c r="R723" s="90"/>
      <c r="S723" s="90"/>
      <c r="T723" s="90"/>
      <c r="U723" s="90"/>
      <c r="V723" s="52"/>
      <c r="W723" s="52"/>
      <c r="X723" s="52"/>
      <c r="Y723" s="52"/>
      <c r="Z723" s="51"/>
      <c r="AA723" s="73"/>
      <c r="AB723" s="73"/>
      <c r="AC723" s="74"/>
      <c r="AD723" s="80" t="s">
        <v>4892</v>
      </c>
      <c r="AE723" s="86" t="s">
        <v>5745</v>
      </c>
      <c r="AF723" s="80">
        <v>7</v>
      </c>
      <c r="AG723" s="80">
        <v>939761</v>
      </c>
      <c r="AH723" s="80">
        <v>45653</v>
      </c>
      <c r="AI723" s="80">
        <v>625</v>
      </c>
      <c r="AJ723" s="80"/>
      <c r="AK723" s="80" t="s">
        <v>6525</v>
      </c>
      <c r="AL723" s="80"/>
      <c r="AM723" s="84" t="str">
        <f>HYPERLINK("https://t.co/ORejnlJ2Wc")</f>
        <v>https://t.co/ORejnlJ2Wc</v>
      </c>
      <c r="AN723" s="80"/>
      <c r="AO723" s="82">
        <v>40063.605046296296</v>
      </c>
      <c r="AP723" s="84" t="str">
        <f>HYPERLINK("https://pbs.twimg.com/profile_banners/72293042/1630464114")</f>
        <v>https://pbs.twimg.com/profile_banners/72293042/1630464114</v>
      </c>
      <c r="AQ723" s="80" t="b">
        <v>0</v>
      </c>
      <c r="AR723" s="80" t="b">
        <v>0</v>
      </c>
      <c r="AS723" s="80" t="b">
        <v>1</v>
      </c>
      <c r="AT723" s="80"/>
      <c r="AU723" s="80">
        <v>522</v>
      </c>
      <c r="AV723" s="84" t="str">
        <f>HYPERLINK("https://abs.twimg.com/images/themes/theme1/bg.png")</f>
        <v>https://abs.twimg.com/images/themes/theme1/bg.png</v>
      </c>
      <c r="AW723" s="80" t="b">
        <v>1</v>
      </c>
      <c r="AX723" s="80" t="s">
        <v>7173</v>
      </c>
      <c r="AY723" s="84" t="str">
        <f>HYPERLINK("https://twitter.com/tokopedia")</f>
        <v>https://twitter.com/tokopedia</v>
      </c>
      <c r="AZ723" s="80" t="s">
        <v>65</v>
      </c>
      <c r="BA723" s="2"/>
      <c r="BB723" s="3"/>
      <c r="BC723" s="3"/>
      <c r="BD723" s="3"/>
      <c r="BE723" s="3"/>
    </row>
    <row r="724" spans="1:57" x14ac:dyDescent="0.35">
      <c r="A724" s="66" t="s">
        <v>1130</v>
      </c>
      <c r="B724" s="67"/>
      <c r="C724" s="67"/>
      <c r="D724" s="68"/>
      <c r="E724" s="70"/>
      <c r="F724" s="106" t="str">
        <f>HYPERLINK("https://pbs.twimg.com/profile_images/1433789988022276105/sWid7twd_normal.jpg")</f>
        <v>https://pbs.twimg.com/profile_images/1433789988022276105/sWid7twd_normal.jpg</v>
      </c>
      <c r="G724" s="67"/>
      <c r="H724" s="71"/>
      <c r="I724" s="72"/>
      <c r="J724" s="72"/>
      <c r="K724" s="71" t="s">
        <v>7894</v>
      </c>
      <c r="L724" s="75"/>
      <c r="M724" s="76"/>
      <c r="N724" s="76"/>
      <c r="O724" s="77"/>
      <c r="P724" s="78"/>
      <c r="Q724" s="78"/>
      <c r="R724" s="90"/>
      <c r="S724" s="90"/>
      <c r="T724" s="90"/>
      <c r="U724" s="90"/>
      <c r="V724" s="52"/>
      <c r="W724" s="52"/>
      <c r="X724" s="52"/>
      <c r="Y724" s="52"/>
      <c r="Z724" s="51"/>
      <c r="AA724" s="73"/>
      <c r="AB724" s="73"/>
      <c r="AC724" s="74"/>
      <c r="AD724" s="80" t="s">
        <v>4893</v>
      </c>
      <c r="AE724" s="86" t="s">
        <v>5746</v>
      </c>
      <c r="AF724" s="80">
        <v>260</v>
      </c>
      <c r="AG724" s="80">
        <v>69</v>
      </c>
      <c r="AH724" s="80">
        <v>8202</v>
      </c>
      <c r="AI724" s="80">
        <v>26805</v>
      </c>
      <c r="AJ724" s="80"/>
      <c r="AK724" s="80" t="s">
        <v>6526</v>
      </c>
      <c r="AL724" s="80" t="s">
        <v>4145</v>
      </c>
      <c r="AM724" s="80"/>
      <c r="AN724" s="80"/>
      <c r="AO724" s="82">
        <v>43292.175462962965</v>
      </c>
      <c r="AP724" s="84" t="str">
        <f>HYPERLINK("https://pbs.twimg.com/profile_banners/1016898041205280768/1630677049")</f>
        <v>https://pbs.twimg.com/profile_banners/1016898041205280768/1630677049</v>
      </c>
      <c r="AQ724" s="80" t="b">
        <v>1</v>
      </c>
      <c r="AR724" s="80" t="b">
        <v>0</v>
      </c>
      <c r="AS724" s="80" t="b">
        <v>0</v>
      </c>
      <c r="AT724" s="80"/>
      <c r="AU724" s="80">
        <v>0</v>
      </c>
      <c r="AV724" s="80"/>
      <c r="AW724" s="80" t="b">
        <v>0</v>
      </c>
      <c r="AX724" s="80" t="s">
        <v>7173</v>
      </c>
      <c r="AY724" s="84" t="str">
        <f>HYPERLINK("https://twitter.com/luvmyxjm")</f>
        <v>https://twitter.com/luvmyxjm</v>
      </c>
      <c r="AZ724" s="80" t="s">
        <v>65</v>
      </c>
      <c r="BA724" s="2"/>
      <c r="BB724" s="3"/>
      <c r="BC724" s="3"/>
      <c r="BD724" s="3"/>
      <c r="BE724" s="3"/>
    </row>
    <row r="725" spans="1:57" x14ac:dyDescent="0.35">
      <c r="A725" s="66" t="s">
        <v>1131</v>
      </c>
      <c r="B725" s="67"/>
      <c r="C725" s="67"/>
      <c r="D725" s="68"/>
      <c r="E725" s="70"/>
      <c r="F725" s="106" t="str">
        <f>HYPERLINK("https://pbs.twimg.com/profile_images/1440463196297392135/VN0TQdGV_normal.jpg")</f>
        <v>https://pbs.twimg.com/profile_images/1440463196297392135/VN0TQdGV_normal.jpg</v>
      </c>
      <c r="G725" s="67"/>
      <c r="H725" s="71"/>
      <c r="I725" s="72"/>
      <c r="J725" s="72"/>
      <c r="K725" s="71" t="s">
        <v>7895</v>
      </c>
      <c r="L725" s="75"/>
      <c r="M725" s="76"/>
      <c r="N725" s="76"/>
      <c r="O725" s="77"/>
      <c r="P725" s="78"/>
      <c r="Q725" s="78"/>
      <c r="R725" s="90"/>
      <c r="S725" s="90"/>
      <c r="T725" s="90"/>
      <c r="U725" s="90"/>
      <c r="V725" s="52"/>
      <c r="W725" s="52"/>
      <c r="X725" s="52"/>
      <c r="Y725" s="52"/>
      <c r="Z725" s="51"/>
      <c r="AA725" s="73"/>
      <c r="AB725" s="73"/>
      <c r="AC725" s="74"/>
      <c r="AD725" s="80" t="s">
        <v>4894</v>
      </c>
      <c r="AE725" s="86" t="s">
        <v>5747</v>
      </c>
      <c r="AF725" s="80">
        <v>455</v>
      </c>
      <c r="AG725" s="80">
        <v>459</v>
      </c>
      <c r="AH725" s="80">
        <v>36832</v>
      </c>
      <c r="AI725" s="80">
        <v>27057</v>
      </c>
      <c r="AJ725" s="80"/>
      <c r="AK725" s="80" t="s">
        <v>6527</v>
      </c>
      <c r="AL725" s="80" t="s">
        <v>7058</v>
      </c>
      <c r="AM725" s="80"/>
      <c r="AN725" s="80"/>
      <c r="AO725" s="82">
        <v>44038.427349537036</v>
      </c>
      <c r="AP725" s="84" t="str">
        <f>HYPERLINK("https://pbs.twimg.com/profile_banners/1287330624043278337/1632190376")</f>
        <v>https://pbs.twimg.com/profile_banners/1287330624043278337/1632190376</v>
      </c>
      <c r="AQ725" s="80" t="b">
        <v>1</v>
      </c>
      <c r="AR725" s="80" t="b">
        <v>0</v>
      </c>
      <c r="AS725" s="80" t="b">
        <v>0</v>
      </c>
      <c r="AT725" s="80"/>
      <c r="AU725" s="80">
        <v>9</v>
      </c>
      <c r="AV725" s="80"/>
      <c r="AW725" s="80" t="b">
        <v>0</v>
      </c>
      <c r="AX725" s="80" t="s">
        <v>7173</v>
      </c>
      <c r="AY725" s="84" t="str">
        <f>HYPERLINK("https://twitter.com/pipelpotatotae")</f>
        <v>https://twitter.com/pipelpotatotae</v>
      </c>
      <c r="AZ725" s="80" t="s">
        <v>65</v>
      </c>
      <c r="BA725" s="2"/>
      <c r="BB725" s="3"/>
      <c r="BC725" s="3"/>
      <c r="BD725" s="3"/>
      <c r="BE725" s="3"/>
    </row>
    <row r="726" spans="1:57" x14ac:dyDescent="0.35">
      <c r="A726" s="66" t="s">
        <v>1132</v>
      </c>
      <c r="B726" s="67"/>
      <c r="C726" s="67"/>
      <c r="D726" s="68"/>
      <c r="E726" s="70"/>
      <c r="F726" s="106" t="str">
        <f>HYPERLINK("https://pbs.twimg.com/profile_images/1434742702990512133/NlaTBVxb_normal.jpg")</f>
        <v>https://pbs.twimg.com/profile_images/1434742702990512133/NlaTBVxb_normal.jpg</v>
      </c>
      <c r="G726" s="67"/>
      <c r="H726" s="71"/>
      <c r="I726" s="72"/>
      <c r="J726" s="72"/>
      <c r="K726" s="71" t="s">
        <v>7896</v>
      </c>
      <c r="L726" s="75"/>
      <c r="M726" s="76"/>
      <c r="N726" s="76"/>
      <c r="O726" s="77"/>
      <c r="P726" s="78"/>
      <c r="Q726" s="78"/>
      <c r="R726" s="90"/>
      <c r="S726" s="90"/>
      <c r="T726" s="90"/>
      <c r="U726" s="90"/>
      <c r="V726" s="52"/>
      <c r="W726" s="52"/>
      <c r="X726" s="52"/>
      <c r="Y726" s="52"/>
      <c r="Z726" s="51"/>
      <c r="AA726" s="73"/>
      <c r="AB726" s="73"/>
      <c r="AC726" s="74"/>
      <c r="AD726" s="80" t="s">
        <v>4895</v>
      </c>
      <c r="AE726" s="86" t="s">
        <v>4003</v>
      </c>
      <c r="AF726" s="80">
        <v>13</v>
      </c>
      <c r="AG726" s="80">
        <v>0</v>
      </c>
      <c r="AH726" s="80">
        <v>52</v>
      </c>
      <c r="AI726" s="80">
        <v>641</v>
      </c>
      <c r="AJ726" s="80"/>
      <c r="AK726" s="80"/>
      <c r="AL726" s="80"/>
      <c r="AM726" s="80"/>
      <c r="AN726" s="80"/>
      <c r="AO726" s="82">
        <v>44246.117222222223</v>
      </c>
      <c r="AP726" s="80"/>
      <c r="AQ726" s="80" t="b">
        <v>1</v>
      </c>
      <c r="AR726" s="80" t="b">
        <v>0</v>
      </c>
      <c r="AS726" s="80" t="b">
        <v>0</v>
      </c>
      <c r="AT726" s="80"/>
      <c r="AU726" s="80">
        <v>0</v>
      </c>
      <c r="AV726" s="80"/>
      <c r="AW726" s="80" t="b">
        <v>0</v>
      </c>
      <c r="AX726" s="80" t="s">
        <v>7173</v>
      </c>
      <c r="AY726" s="84" t="str">
        <f>HYPERLINK("https://twitter.com/kim073008")</f>
        <v>https://twitter.com/kim073008</v>
      </c>
      <c r="AZ726" s="80" t="s">
        <v>65</v>
      </c>
      <c r="BA726" s="2"/>
      <c r="BB726" s="3"/>
      <c r="BC726" s="3"/>
      <c r="BD726" s="3"/>
      <c r="BE726" s="3"/>
    </row>
    <row r="727" spans="1:57" x14ac:dyDescent="0.35">
      <c r="A727" s="66" t="s">
        <v>797</v>
      </c>
      <c r="B727" s="67"/>
      <c r="C727" s="67"/>
      <c r="D727" s="68"/>
      <c r="E727" s="70"/>
      <c r="F727" s="106" t="str">
        <f>HYPERLINK("https://pbs.twimg.com/profile_images/1361100945770246147/c29546Kl_normal.jpg")</f>
        <v>https://pbs.twimg.com/profile_images/1361100945770246147/c29546Kl_normal.jpg</v>
      </c>
      <c r="G727" s="67"/>
      <c r="H727" s="71"/>
      <c r="I727" s="72"/>
      <c r="J727" s="72"/>
      <c r="K727" s="71" t="s">
        <v>7897</v>
      </c>
      <c r="L727" s="75"/>
      <c r="M727" s="76"/>
      <c r="N727" s="76"/>
      <c r="O727" s="77"/>
      <c r="P727" s="78"/>
      <c r="Q727" s="78"/>
      <c r="R727" s="90"/>
      <c r="S727" s="90"/>
      <c r="T727" s="90"/>
      <c r="U727" s="90"/>
      <c r="V727" s="52"/>
      <c r="W727" s="52"/>
      <c r="X727" s="52"/>
      <c r="Y727" s="52"/>
      <c r="Z727" s="51"/>
      <c r="AA727" s="73"/>
      <c r="AB727" s="73"/>
      <c r="AC727" s="74"/>
      <c r="AD727" s="80" t="s">
        <v>4896</v>
      </c>
      <c r="AE727" s="86" t="s">
        <v>4004</v>
      </c>
      <c r="AF727" s="80">
        <v>130</v>
      </c>
      <c r="AG727" s="80">
        <v>113</v>
      </c>
      <c r="AH727" s="80">
        <v>2096</v>
      </c>
      <c r="AI727" s="80">
        <v>297</v>
      </c>
      <c r="AJ727" s="80"/>
      <c r="AK727" s="80" t="s">
        <v>6528</v>
      </c>
      <c r="AL727" s="80" t="s">
        <v>7059</v>
      </c>
      <c r="AM727" s="80"/>
      <c r="AN727" s="80"/>
      <c r="AO727" s="82">
        <v>44075.960856481484</v>
      </c>
      <c r="AP727" s="84" t="str">
        <f>HYPERLINK("https://pbs.twimg.com/profile_banners/1300932270593773568/1630316663")</f>
        <v>https://pbs.twimg.com/profile_banners/1300932270593773568/1630316663</v>
      </c>
      <c r="AQ727" s="80" t="b">
        <v>1</v>
      </c>
      <c r="AR727" s="80" t="b">
        <v>0</v>
      </c>
      <c r="AS727" s="80" t="b">
        <v>0</v>
      </c>
      <c r="AT727" s="80"/>
      <c r="AU727" s="80">
        <v>0</v>
      </c>
      <c r="AV727" s="80"/>
      <c r="AW727" s="80" t="b">
        <v>0</v>
      </c>
      <c r="AX727" s="80" t="s">
        <v>7173</v>
      </c>
      <c r="AY727" s="84" t="str">
        <f>HYPERLINK("https://twitter.com/innieino")</f>
        <v>https://twitter.com/innieino</v>
      </c>
      <c r="AZ727" s="80" t="s">
        <v>66</v>
      </c>
      <c r="BA727" s="2"/>
      <c r="BB727" s="3"/>
      <c r="BC727" s="3"/>
      <c r="BD727" s="3"/>
      <c r="BE727" s="3"/>
    </row>
    <row r="728" spans="1:57" x14ac:dyDescent="0.35">
      <c r="A728" s="66" t="s">
        <v>798</v>
      </c>
      <c r="B728" s="67"/>
      <c r="C728" s="67"/>
      <c r="D728" s="68"/>
      <c r="E728" s="70"/>
      <c r="F728" s="106" t="str">
        <f>HYPERLINK("https://pbs.twimg.com/profile_images/1331139434444558343/pStZTKq9_normal.png")</f>
        <v>https://pbs.twimg.com/profile_images/1331139434444558343/pStZTKq9_normal.png</v>
      </c>
      <c r="G728" s="67"/>
      <c r="H728" s="71"/>
      <c r="I728" s="72"/>
      <c r="J728" s="72"/>
      <c r="K728" s="71" t="s">
        <v>7898</v>
      </c>
      <c r="L728" s="75"/>
      <c r="M728" s="76"/>
      <c r="N728" s="76"/>
      <c r="O728" s="77"/>
      <c r="P728" s="78"/>
      <c r="Q728" s="78"/>
      <c r="R728" s="90"/>
      <c r="S728" s="90"/>
      <c r="T728" s="90"/>
      <c r="U728" s="90"/>
      <c r="V728" s="52"/>
      <c r="W728" s="52"/>
      <c r="X728" s="52"/>
      <c r="Y728" s="52"/>
      <c r="Z728" s="51"/>
      <c r="AA728" s="73"/>
      <c r="AB728" s="73"/>
      <c r="AC728" s="74"/>
      <c r="AD728" s="80" t="s">
        <v>4897</v>
      </c>
      <c r="AE728" s="86" t="s">
        <v>5748</v>
      </c>
      <c r="AF728" s="80">
        <v>832</v>
      </c>
      <c r="AG728" s="80">
        <v>686</v>
      </c>
      <c r="AH728" s="80">
        <v>2756</v>
      </c>
      <c r="AI728" s="80">
        <v>1216</v>
      </c>
      <c r="AJ728" s="80"/>
      <c r="AK728" s="80"/>
      <c r="AL728" s="80"/>
      <c r="AM728" s="80"/>
      <c r="AN728" s="80"/>
      <c r="AO728" s="82">
        <v>43956.37296296296</v>
      </c>
      <c r="AP728" s="84" t="str">
        <f>HYPERLINK("https://pbs.twimg.com/profile_banners/1257595106200150016/1604640455")</f>
        <v>https://pbs.twimg.com/profile_banners/1257595106200150016/1604640455</v>
      </c>
      <c r="AQ728" s="80" t="b">
        <v>1</v>
      </c>
      <c r="AR728" s="80" t="b">
        <v>0</v>
      </c>
      <c r="AS728" s="80" t="b">
        <v>0</v>
      </c>
      <c r="AT728" s="80"/>
      <c r="AU728" s="80">
        <v>1</v>
      </c>
      <c r="AV728" s="80"/>
      <c r="AW728" s="80" t="b">
        <v>0</v>
      </c>
      <c r="AX728" s="80" t="s">
        <v>7173</v>
      </c>
      <c r="AY728" s="84" t="str">
        <f>HYPERLINK("https://twitter.com/lilboyhongjoong")</f>
        <v>https://twitter.com/lilboyhongjoong</v>
      </c>
      <c r="AZ728" s="80" t="s">
        <v>66</v>
      </c>
      <c r="BA728" s="2"/>
      <c r="BB728" s="3"/>
      <c r="BC728" s="3"/>
      <c r="BD728" s="3"/>
      <c r="BE728" s="3"/>
    </row>
    <row r="729" spans="1:57" x14ac:dyDescent="0.35">
      <c r="A729" s="66" t="s">
        <v>799</v>
      </c>
      <c r="B729" s="67"/>
      <c r="C729" s="67"/>
      <c r="D729" s="68"/>
      <c r="E729" s="70"/>
      <c r="F729" s="106" t="str">
        <f>HYPERLINK("https://pbs.twimg.com/profile_images/1279956579417088000/Eu1W4pnG_normal.jpg")</f>
        <v>https://pbs.twimg.com/profile_images/1279956579417088000/Eu1W4pnG_normal.jpg</v>
      </c>
      <c r="G729" s="67"/>
      <c r="H729" s="71"/>
      <c r="I729" s="72"/>
      <c r="J729" s="72"/>
      <c r="K729" s="71" t="s">
        <v>7899</v>
      </c>
      <c r="L729" s="75"/>
      <c r="M729" s="76"/>
      <c r="N729" s="76"/>
      <c r="O729" s="77"/>
      <c r="P729" s="78"/>
      <c r="Q729" s="78"/>
      <c r="R729" s="90"/>
      <c r="S729" s="90"/>
      <c r="T729" s="90"/>
      <c r="U729" s="90"/>
      <c r="V729" s="52"/>
      <c r="W729" s="52"/>
      <c r="X729" s="52"/>
      <c r="Y729" s="52"/>
      <c r="Z729" s="51"/>
      <c r="AA729" s="73"/>
      <c r="AB729" s="73"/>
      <c r="AC729" s="74"/>
      <c r="AD729" s="80" t="s">
        <v>4898</v>
      </c>
      <c r="AE729" s="86" t="s">
        <v>5749</v>
      </c>
      <c r="AF729" s="80">
        <v>2</v>
      </c>
      <c r="AG729" s="80">
        <v>27</v>
      </c>
      <c r="AH729" s="80">
        <v>311</v>
      </c>
      <c r="AI729" s="80">
        <v>0</v>
      </c>
      <c r="AJ729" s="80"/>
      <c r="AK729" s="80"/>
      <c r="AL729" s="80" t="s">
        <v>7060</v>
      </c>
      <c r="AM729" s="80"/>
      <c r="AN729" s="80"/>
      <c r="AO729" s="82">
        <v>42837.116840277777</v>
      </c>
      <c r="AP729" s="84" t="str">
        <f>HYPERLINK("https://pbs.twimg.com/profile_banners/851990316337029120/1594000404")</f>
        <v>https://pbs.twimg.com/profile_banners/851990316337029120/1594000404</v>
      </c>
      <c r="AQ729" s="80" t="b">
        <v>1</v>
      </c>
      <c r="AR729" s="80" t="b">
        <v>0</v>
      </c>
      <c r="AS729" s="80" t="b">
        <v>0</v>
      </c>
      <c r="AT729" s="80"/>
      <c r="AU729" s="80">
        <v>0</v>
      </c>
      <c r="AV729" s="80"/>
      <c r="AW729" s="80" t="b">
        <v>0</v>
      </c>
      <c r="AX729" s="80" t="s">
        <v>7173</v>
      </c>
      <c r="AY729" s="84" t="str">
        <f>HYPERLINK("https://twitter.com/bpkp_bengkulu")</f>
        <v>https://twitter.com/bpkp_bengkulu</v>
      </c>
      <c r="AZ729" s="80" t="s">
        <v>66</v>
      </c>
      <c r="BA729" s="2"/>
      <c r="BB729" s="3"/>
      <c r="BC729" s="3"/>
      <c r="BD729" s="3"/>
      <c r="BE729" s="3"/>
    </row>
    <row r="730" spans="1:57" x14ac:dyDescent="0.35">
      <c r="A730" s="66" t="s">
        <v>800</v>
      </c>
      <c r="B730" s="67"/>
      <c r="C730" s="67"/>
      <c r="D730" s="68"/>
      <c r="E730" s="70"/>
      <c r="F730" s="106" t="str">
        <f>HYPERLINK("https://pbs.twimg.com/profile_images/820245652755988480/2tpCQfKW_normal.jpg")</f>
        <v>https://pbs.twimg.com/profile_images/820245652755988480/2tpCQfKW_normal.jpg</v>
      </c>
      <c r="G730" s="67"/>
      <c r="H730" s="71"/>
      <c r="I730" s="72"/>
      <c r="J730" s="72"/>
      <c r="K730" s="71" t="s">
        <v>7900</v>
      </c>
      <c r="L730" s="75"/>
      <c r="M730" s="76"/>
      <c r="N730" s="76"/>
      <c r="O730" s="77"/>
      <c r="P730" s="78"/>
      <c r="Q730" s="78"/>
      <c r="R730" s="90"/>
      <c r="S730" s="90"/>
      <c r="T730" s="90"/>
      <c r="U730" s="90"/>
      <c r="V730" s="52"/>
      <c r="W730" s="52"/>
      <c r="X730" s="52"/>
      <c r="Y730" s="52"/>
      <c r="Z730" s="51"/>
      <c r="AA730" s="73"/>
      <c r="AB730" s="73"/>
      <c r="AC730" s="74"/>
      <c r="AD730" s="80" t="s">
        <v>4899</v>
      </c>
      <c r="AE730" s="86" t="s">
        <v>5750</v>
      </c>
      <c r="AF730" s="80">
        <v>624</v>
      </c>
      <c r="AG730" s="80">
        <v>7741</v>
      </c>
      <c r="AH730" s="80">
        <v>11849</v>
      </c>
      <c r="AI730" s="80">
        <v>10577</v>
      </c>
      <c r="AJ730" s="80"/>
      <c r="AK730" s="80" t="s">
        <v>6529</v>
      </c>
      <c r="AL730" s="80" t="s">
        <v>7061</v>
      </c>
      <c r="AM730" s="84" t="str">
        <f>HYPERLINK("https://t.co/mOT4xcXzB4")</f>
        <v>https://t.co/mOT4xcXzB4</v>
      </c>
      <c r="AN730" s="80"/>
      <c r="AO730" s="82">
        <v>42748.363298611112</v>
      </c>
      <c r="AP730" s="84" t="str">
        <f>HYPERLINK("https://pbs.twimg.com/profile_banners/819827111406010368/1560692505")</f>
        <v>https://pbs.twimg.com/profile_banners/819827111406010368/1560692505</v>
      </c>
      <c r="AQ730" s="80" t="b">
        <v>1</v>
      </c>
      <c r="AR730" s="80" t="b">
        <v>0</v>
      </c>
      <c r="AS730" s="80" t="b">
        <v>1</v>
      </c>
      <c r="AT730" s="80"/>
      <c r="AU730" s="80">
        <v>7</v>
      </c>
      <c r="AV730" s="80"/>
      <c r="AW730" s="80" t="b">
        <v>1</v>
      </c>
      <c r="AX730" s="80" t="s">
        <v>7173</v>
      </c>
      <c r="AY730" s="84" t="str">
        <f>HYPERLINK("https://twitter.com/distanbunjateng")</f>
        <v>https://twitter.com/distanbunjateng</v>
      </c>
      <c r="AZ730" s="80" t="s">
        <v>66</v>
      </c>
      <c r="BA730" s="2"/>
      <c r="BB730" s="3"/>
      <c r="BC730" s="3"/>
      <c r="BD730" s="3"/>
      <c r="BE730" s="3"/>
    </row>
    <row r="731" spans="1:57" x14ac:dyDescent="0.35">
      <c r="A731" s="66" t="s">
        <v>1133</v>
      </c>
      <c r="B731" s="67"/>
      <c r="C731" s="67"/>
      <c r="D731" s="68"/>
      <c r="E731" s="70"/>
      <c r="F731" s="106" t="str">
        <f>HYPERLINK("https://pbs.twimg.com/profile_images/1298910382912765952/T8eDAIgs_normal.jpg")</f>
        <v>https://pbs.twimg.com/profile_images/1298910382912765952/T8eDAIgs_normal.jpg</v>
      </c>
      <c r="G731" s="67"/>
      <c r="H731" s="71"/>
      <c r="I731" s="72"/>
      <c r="J731" s="72"/>
      <c r="K731" s="71" t="s">
        <v>7901</v>
      </c>
      <c r="L731" s="75"/>
      <c r="M731" s="76"/>
      <c r="N731" s="76"/>
      <c r="O731" s="77"/>
      <c r="P731" s="78"/>
      <c r="Q731" s="78"/>
      <c r="R731" s="90"/>
      <c r="S731" s="90"/>
      <c r="T731" s="90"/>
      <c r="U731" s="90"/>
      <c r="V731" s="52"/>
      <c r="W731" s="52"/>
      <c r="X731" s="52"/>
      <c r="Y731" s="52"/>
      <c r="Z731" s="51"/>
      <c r="AA731" s="73"/>
      <c r="AB731" s="73"/>
      <c r="AC731" s="74"/>
      <c r="AD731" s="80" t="s">
        <v>4900</v>
      </c>
      <c r="AE731" s="86" t="s">
        <v>5751</v>
      </c>
      <c r="AF731" s="80">
        <v>651</v>
      </c>
      <c r="AG731" s="80">
        <v>23447</v>
      </c>
      <c r="AH731" s="80">
        <v>2189</v>
      </c>
      <c r="AI731" s="80">
        <v>1315</v>
      </c>
      <c r="AJ731" s="80"/>
      <c r="AK731" s="80" t="s">
        <v>6530</v>
      </c>
      <c r="AL731" s="80" t="s">
        <v>7062</v>
      </c>
      <c r="AM731" s="80"/>
      <c r="AN731" s="80"/>
      <c r="AO731" s="82">
        <v>43151.609594907408</v>
      </c>
      <c r="AP731" s="84" t="str">
        <f>HYPERLINK("https://pbs.twimg.com/profile_banners/965958672797978629/1611224894")</f>
        <v>https://pbs.twimg.com/profile_banners/965958672797978629/1611224894</v>
      </c>
      <c r="AQ731" s="80" t="b">
        <v>1</v>
      </c>
      <c r="AR731" s="80" t="b">
        <v>0</v>
      </c>
      <c r="AS731" s="80" t="b">
        <v>0</v>
      </c>
      <c r="AT731" s="80"/>
      <c r="AU731" s="80">
        <v>6</v>
      </c>
      <c r="AV731" s="80"/>
      <c r="AW731" s="80" t="b">
        <v>0</v>
      </c>
      <c r="AX731" s="80" t="s">
        <v>7173</v>
      </c>
      <c r="AY731" s="84" t="str">
        <f>HYPERLINK("https://twitter.com/tajyasinmz")</f>
        <v>https://twitter.com/tajyasinmz</v>
      </c>
      <c r="AZ731" s="80" t="s">
        <v>65</v>
      </c>
      <c r="BA731" s="2"/>
      <c r="BB731" s="3"/>
      <c r="BC731" s="3"/>
      <c r="BD731" s="3"/>
      <c r="BE731" s="3"/>
    </row>
    <row r="732" spans="1:57" x14ac:dyDescent="0.35">
      <c r="A732" s="66" t="s">
        <v>1134</v>
      </c>
      <c r="B732" s="67"/>
      <c r="C732" s="67"/>
      <c r="D732" s="68"/>
      <c r="E732" s="70"/>
      <c r="F732" s="106" t="str">
        <f>HYPERLINK("https://pbs.twimg.com/profile_images/1273216959153229824/9WejN99A_normal.jpg")</f>
        <v>https://pbs.twimg.com/profile_images/1273216959153229824/9WejN99A_normal.jpg</v>
      </c>
      <c r="G732" s="67"/>
      <c r="H732" s="71"/>
      <c r="I732" s="72"/>
      <c r="J732" s="72"/>
      <c r="K732" s="71" t="s">
        <v>7902</v>
      </c>
      <c r="L732" s="75"/>
      <c r="M732" s="76"/>
      <c r="N732" s="76"/>
      <c r="O732" s="77"/>
      <c r="P732" s="78"/>
      <c r="Q732" s="78"/>
      <c r="R732" s="90"/>
      <c r="S732" s="90"/>
      <c r="T732" s="90"/>
      <c r="U732" s="90"/>
      <c r="V732" s="52"/>
      <c r="W732" s="52"/>
      <c r="X732" s="52"/>
      <c r="Y732" s="52"/>
      <c r="Z732" s="51"/>
      <c r="AA732" s="73"/>
      <c r="AB732" s="73"/>
      <c r="AC732" s="74"/>
      <c r="AD732" s="80" t="s">
        <v>4901</v>
      </c>
      <c r="AE732" s="86" t="s">
        <v>5752</v>
      </c>
      <c r="AF732" s="80">
        <v>3674</v>
      </c>
      <c r="AG732" s="80">
        <v>2131056</v>
      </c>
      <c r="AH732" s="80">
        <v>143455</v>
      </c>
      <c r="AI732" s="80">
        <v>1</v>
      </c>
      <c r="AJ732" s="80"/>
      <c r="AK732" s="80" t="s">
        <v>6531</v>
      </c>
      <c r="AL732" s="80" t="s">
        <v>7063</v>
      </c>
      <c r="AM732" s="84" t="str">
        <f>HYPERLINK("https://t.co/a4KxwhIxJw")</f>
        <v>https://t.co/a4KxwhIxJw</v>
      </c>
      <c r="AN732" s="80"/>
      <c r="AO732" s="82">
        <v>40208.20579861111</v>
      </c>
      <c r="AP732" s="84" t="str">
        <f>HYPERLINK("https://pbs.twimg.com/profile_banners/109762193/1564334924")</f>
        <v>https://pbs.twimg.com/profile_banners/109762193/1564334924</v>
      </c>
      <c r="AQ732" s="80" t="b">
        <v>1</v>
      </c>
      <c r="AR732" s="80" t="b">
        <v>0</v>
      </c>
      <c r="AS732" s="80" t="b">
        <v>1</v>
      </c>
      <c r="AT732" s="80"/>
      <c r="AU732" s="80">
        <v>748</v>
      </c>
      <c r="AV732" s="84" t="str">
        <f>HYPERLINK("https://abs.twimg.com/images/themes/theme1/bg.png")</f>
        <v>https://abs.twimg.com/images/themes/theme1/bg.png</v>
      </c>
      <c r="AW732" s="80" t="b">
        <v>1</v>
      </c>
      <c r="AX732" s="80" t="s">
        <v>7173</v>
      </c>
      <c r="AY732" s="84" t="str">
        <f>HYPERLINK("https://twitter.com/ganjarpranowo")</f>
        <v>https://twitter.com/ganjarpranowo</v>
      </c>
      <c r="AZ732" s="80" t="s">
        <v>65</v>
      </c>
      <c r="BA732" s="2"/>
      <c r="BB732" s="3"/>
      <c r="BC732" s="3"/>
      <c r="BD732" s="3"/>
      <c r="BE732" s="3"/>
    </row>
    <row r="733" spans="1:57" x14ac:dyDescent="0.35">
      <c r="A733" s="66" t="s">
        <v>1135</v>
      </c>
      <c r="B733" s="67"/>
      <c r="C733" s="67"/>
      <c r="D733" s="68"/>
      <c r="E733" s="70"/>
      <c r="F733" s="106" t="str">
        <f>HYPERLINK("https://pbs.twimg.com/profile_images/1373925606258208771/LbV6MBlS_normal.jpg")</f>
        <v>https://pbs.twimg.com/profile_images/1373925606258208771/LbV6MBlS_normal.jpg</v>
      </c>
      <c r="G733" s="67"/>
      <c r="H733" s="71"/>
      <c r="I733" s="72"/>
      <c r="J733" s="72"/>
      <c r="K733" s="71" t="s">
        <v>7903</v>
      </c>
      <c r="L733" s="75"/>
      <c r="M733" s="76"/>
      <c r="N733" s="76"/>
      <c r="O733" s="77"/>
      <c r="P733" s="78"/>
      <c r="Q733" s="78"/>
      <c r="R733" s="90"/>
      <c r="S733" s="90"/>
      <c r="T733" s="90"/>
      <c r="U733" s="90"/>
      <c r="V733" s="52"/>
      <c r="W733" s="52"/>
      <c r="X733" s="52"/>
      <c r="Y733" s="52"/>
      <c r="Z733" s="51"/>
      <c r="AA733" s="73"/>
      <c r="AB733" s="73"/>
      <c r="AC733" s="74"/>
      <c r="AD733" s="80" t="s">
        <v>4902</v>
      </c>
      <c r="AE733" s="86" t="s">
        <v>5753</v>
      </c>
      <c r="AF733" s="80">
        <v>991</v>
      </c>
      <c r="AG733" s="80">
        <v>63689</v>
      </c>
      <c r="AH733" s="80">
        <v>57842</v>
      </c>
      <c r="AI733" s="80">
        <v>22138</v>
      </c>
      <c r="AJ733" s="80"/>
      <c r="AK733" s="80" t="s">
        <v>6532</v>
      </c>
      <c r="AL733" s="80" t="s">
        <v>7008</v>
      </c>
      <c r="AM733" s="84" t="str">
        <f>HYPERLINK("https://t.co/BULMJQSeRo")</f>
        <v>https://t.co/BULMJQSeRo</v>
      </c>
      <c r="AN733" s="80"/>
      <c r="AO733" s="82">
        <v>42803.636041666665</v>
      </c>
      <c r="AP733" s="84" t="str">
        <f>HYPERLINK("https://pbs.twimg.com/profile_banners/839857283400024064/1616568908")</f>
        <v>https://pbs.twimg.com/profile_banners/839857283400024064/1616568908</v>
      </c>
      <c r="AQ733" s="80" t="b">
        <v>1</v>
      </c>
      <c r="AR733" s="80" t="b">
        <v>0</v>
      </c>
      <c r="AS733" s="80" t="b">
        <v>1</v>
      </c>
      <c r="AT733" s="80"/>
      <c r="AU733" s="80">
        <v>32</v>
      </c>
      <c r="AV733" s="80"/>
      <c r="AW733" s="80" t="b">
        <v>1</v>
      </c>
      <c r="AX733" s="80" t="s">
        <v>7173</v>
      </c>
      <c r="AY733" s="84" t="str">
        <f>HYPERLINK("https://twitter.com/provjateng")</f>
        <v>https://twitter.com/provjateng</v>
      </c>
      <c r="AZ733" s="80" t="s">
        <v>65</v>
      </c>
      <c r="BA733" s="2"/>
      <c r="BB733" s="3"/>
      <c r="BC733" s="3"/>
      <c r="BD733" s="3"/>
      <c r="BE733" s="3"/>
    </row>
    <row r="734" spans="1:57" x14ac:dyDescent="0.35">
      <c r="A734" s="66" t="s">
        <v>1136</v>
      </c>
      <c r="B734" s="67"/>
      <c r="C734" s="67"/>
      <c r="D734" s="68"/>
      <c r="E734" s="70"/>
      <c r="F734" s="106" t="str">
        <f>HYPERLINK("https://pbs.twimg.com/profile_images/719513051087548422/AaErqj97_normal.jpg")</f>
        <v>https://pbs.twimg.com/profile_images/719513051087548422/AaErqj97_normal.jpg</v>
      </c>
      <c r="G734" s="67"/>
      <c r="H734" s="71"/>
      <c r="I734" s="72"/>
      <c r="J734" s="72"/>
      <c r="K734" s="71" t="s">
        <v>7904</v>
      </c>
      <c r="L734" s="75"/>
      <c r="M734" s="76"/>
      <c r="N734" s="76"/>
      <c r="O734" s="77"/>
      <c r="P734" s="78"/>
      <c r="Q734" s="78"/>
      <c r="R734" s="90"/>
      <c r="S734" s="90"/>
      <c r="T734" s="90"/>
      <c r="U734" s="90"/>
      <c r="V734" s="52"/>
      <c r="W734" s="52"/>
      <c r="X734" s="52"/>
      <c r="Y734" s="52"/>
      <c r="Z734" s="51"/>
      <c r="AA734" s="73"/>
      <c r="AB734" s="73"/>
      <c r="AC734" s="74"/>
      <c r="AD734" s="80" t="s">
        <v>4903</v>
      </c>
      <c r="AE734" s="86" t="s">
        <v>4005</v>
      </c>
      <c r="AF734" s="80">
        <v>115</v>
      </c>
      <c r="AG734" s="80">
        <v>134</v>
      </c>
      <c r="AH734" s="80">
        <v>800</v>
      </c>
      <c r="AI734" s="80">
        <v>591</v>
      </c>
      <c r="AJ734" s="80"/>
      <c r="AK734" s="80"/>
      <c r="AL734" s="80"/>
      <c r="AM734" s="80"/>
      <c r="AN734" s="80"/>
      <c r="AO734" s="82">
        <v>41398.55636574074</v>
      </c>
      <c r="AP734" s="84" t="str">
        <f>HYPERLINK("https://pbs.twimg.com/profile_banners/1402318520/1454931601")</f>
        <v>https://pbs.twimg.com/profile_banners/1402318520/1454931601</v>
      </c>
      <c r="AQ734" s="80" t="b">
        <v>1</v>
      </c>
      <c r="AR734" s="80" t="b">
        <v>0</v>
      </c>
      <c r="AS734" s="80" t="b">
        <v>1</v>
      </c>
      <c r="AT734" s="80"/>
      <c r="AU734" s="80">
        <v>0</v>
      </c>
      <c r="AV734" s="84" t="str">
        <f>HYPERLINK("https://abs.twimg.com/images/themes/theme1/bg.png")</f>
        <v>https://abs.twimg.com/images/themes/theme1/bg.png</v>
      </c>
      <c r="AW734" s="80" t="b">
        <v>0</v>
      </c>
      <c r="AX734" s="80" t="s">
        <v>7173</v>
      </c>
      <c r="AY734" s="84" t="str">
        <f>HYPERLINK("https://twitter.com/elhajjmunir")</f>
        <v>https://twitter.com/elhajjmunir</v>
      </c>
      <c r="AZ734" s="80" t="s">
        <v>65</v>
      </c>
      <c r="BA734" s="2"/>
      <c r="BB734" s="3"/>
      <c r="BC734" s="3"/>
      <c r="BD734" s="3"/>
      <c r="BE734" s="3"/>
    </row>
    <row r="735" spans="1:57" x14ac:dyDescent="0.35">
      <c r="A735" s="66" t="s">
        <v>801</v>
      </c>
      <c r="B735" s="67"/>
      <c r="C735" s="67"/>
      <c r="D735" s="68"/>
      <c r="E735" s="70"/>
      <c r="F735" s="106" t="str">
        <f>HYPERLINK("https://pbs.twimg.com/profile_images/1054268447566159874/_ZzoCesR_normal.jpg")</f>
        <v>https://pbs.twimg.com/profile_images/1054268447566159874/_ZzoCesR_normal.jpg</v>
      </c>
      <c r="G735" s="67"/>
      <c r="H735" s="71"/>
      <c r="I735" s="72"/>
      <c r="J735" s="72"/>
      <c r="K735" s="71" t="s">
        <v>7905</v>
      </c>
      <c r="L735" s="75"/>
      <c r="M735" s="76"/>
      <c r="N735" s="76"/>
      <c r="O735" s="77"/>
      <c r="P735" s="78"/>
      <c r="Q735" s="78"/>
      <c r="R735" s="90"/>
      <c r="S735" s="90"/>
      <c r="T735" s="90"/>
      <c r="U735" s="90"/>
      <c r="V735" s="52"/>
      <c r="W735" s="52"/>
      <c r="X735" s="52"/>
      <c r="Y735" s="52"/>
      <c r="Z735" s="51"/>
      <c r="AA735" s="73"/>
      <c r="AB735" s="73"/>
      <c r="AC735" s="74"/>
      <c r="AD735" s="80" t="s">
        <v>4904</v>
      </c>
      <c r="AE735" s="86" t="s">
        <v>5754</v>
      </c>
      <c r="AF735" s="80">
        <v>118</v>
      </c>
      <c r="AG735" s="80">
        <v>25</v>
      </c>
      <c r="AH735" s="80">
        <v>5259</v>
      </c>
      <c r="AI735" s="80">
        <v>2678</v>
      </c>
      <c r="AJ735" s="80"/>
      <c r="AK735" s="80" t="s">
        <v>6533</v>
      </c>
      <c r="AL735" s="80" t="s">
        <v>6762</v>
      </c>
      <c r="AM735" s="80"/>
      <c r="AN735" s="80"/>
      <c r="AO735" s="82">
        <v>43390.691921296297</v>
      </c>
      <c r="AP735" s="84" t="str">
        <f>HYPERLINK("https://pbs.twimg.com/profile_banners/1052599208870432769/1622200510")</f>
        <v>https://pbs.twimg.com/profile_banners/1052599208870432769/1622200510</v>
      </c>
      <c r="AQ735" s="80" t="b">
        <v>1</v>
      </c>
      <c r="AR735" s="80" t="b">
        <v>0</v>
      </c>
      <c r="AS735" s="80" t="b">
        <v>1</v>
      </c>
      <c r="AT735" s="80"/>
      <c r="AU735" s="80">
        <v>0</v>
      </c>
      <c r="AV735" s="80"/>
      <c r="AW735" s="80" t="b">
        <v>0</v>
      </c>
      <c r="AX735" s="80" t="s">
        <v>7173</v>
      </c>
      <c r="AY735" s="84" t="str">
        <f>HYPERLINK("https://twitter.com/hafizsp2")</f>
        <v>https://twitter.com/hafizsp2</v>
      </c>
      <c r="AZ735" s="80" t="s">
        <v>66</v>
      </c>
      <c r="BA735" s="2"/>
      <c r="BB735" s="3"/>
      <c r="BC735" s="3"/>
      <c r="BD735" s="3"/>
      <c r="BE735" s="3"/>
    </row>
    <row r="736" spans="1:57" x14ac:dyDescent="0.35">
      <c r="A736" s="66" t="s">
        <v>1137</v>
      </c>
      <c r="B736" s="67"/>
      <c r="C736" s="67"/>
      <c r="D736" s="68"/>
      <c r="E736" s="70"/>
      <c r="F736" s="106" t="str">
        <f>HYPERLINK("https://pbs.twimg.com/profile_images/1271630575221092352/Z5P_cVHq_normal.jpg")</f>
        <v>https://pbs.twimg.com/profile_images/1271630575221092352/Z5P_cVHq_normal.jpg</v>
      </c>
      <c r="G736" s="67"/>
      <c r="H736" s="71"/>
      <c r="I736" s="72"/>
      <c r="J736" s="72"/>
      <c r="K736" s="71" t="s">
        <v>7906</v>
      </c>
      <c r="L736" s="75"/>
      <c r="M736" s="76"/>
      <c r="N736" s="76"/>
      <c r="O736" s="77"/>
      <c r="P736" s="78"/>
      <c r="Q736" s="78"/>
      <c r="R736" s="90"/>
      <c r="S736" s="90"/>
      <c r="T736" s="90"/>
      <c r="U736" s="90"/>
      <c r="V736" s="52"/>
      <c r="W736" s="52"/>
      <c r="X736" s="52"/>
      <c r="Y736" s="52"/>
      <c r="Z736" s="51"/>
      <c r="AA736" s="73"/>
      <c r="AB736" s="73"/>
      <c r="AC736" s="74"/>
      <c r="AD736" s="80" t="s">
        <v>4905</v>
      </c>
      <c r="AE736" s="86" t="s">
        <v>4006</v>
      </c>
      <c r="AF736" s="80">
        <v>1312</v>
      </c>
      <c r="AG736" s="80">
        <v>57908</v>
      </c>
      <c r="AH736" s="80">
        <v>101173</v>
      </c>
      <c r="AI736" s="80">
        <v>5253</v>
      </c>
      <c r="AJ736" s="80"/>
      <c r="AK736" s="80" t="s">
        <v>6534</v>
      </c>
      <c r="AL736" s="80" t="s">
        <v>7064</v>
      </c>
      <c r="AM736" s="80"/>
      <c r="AN736" s="80"/>
      <c r="AO736" s="82">
        <v>40220.503645833334</v>
      </c>
      <c r="AP736" s="84" t="str">
        <f>HYPERLINK("https://pbs.twimg.com/profile_banners/113328047/1574820134")</f>
        <v>https://pbs.twimg.com/profile_banners/113328047/1574820134</v>
      </c>
      <c r="AQ736" s="80" t="b">
        <v>0</v>
      </c>
      <c r="AR736" s="80" t="b">
        <v>0</v>
      </c>
      <c r="AS736" s="80" t="b">
        <v>1</v>
      </c>
      <c r="AT736" s="80"/>
      <c r="AU736" s="80">
        <v>70</v>
      </c>
      <c r="AV736" s="84" t="str">
        <f>HYPERLINK("https://abs.twimg.com/images/themes/theme16/bg.gif")</f>
        <v>https://abs.twimg.com/images/themes/theme16/bg.gif</v>
      </c>
      <c r="AW736" s="80" t="b">
        <v>0</v>
      </c>
      <c r="AX736" s="80" t="s">
        <v>7173</v>
      </c>
      <c r="AY736" s="84" t="str">
        <f>HYPERLINK("https://twitter.com/tsuroiya")</f>
        <v>https://twitter.com/tsuroiya</v>
      </c>
      <c r="AZ736" s="80" t="s">
        <v>65</v>
      </c>
      <c r="BA736" s="2"/>
      <c r="BB736" s="3"/>
      <c r="BC736" s="3"/>
      <c r="BD736" s="3"/>
      <c r="BE736" s="3"/>
    </row>
    <row r="737" spans="1:57" x14ac:dyDescent="0.35">
      <c r="A737" s="66" t="s">
        <v>802</v>
      </c>
      <c r="B737" s="67"/>
      <c r="C737" s="67"/>
      <c r="D737" s="68"/>
      <c r="E737" s="70"/>
      <c r="F737" s="106" t="str">
        <f>HYPERLINK("https://pbs.twimg.com/profile_images/1096681408255283207/WVV2PXzj_normal.jpg")</f>
        <v>https://pbs.twimg.com/profile_images/1096681408255283207/WVV2PXzj_normal.jpg</v>
      </c>
      <c r="G737" s="67"/>
      <c r="H737" s="71"/>
      <c r="I737" s="72"/>
      <c r="J737" s="72"/>
      <c r="K737" s="71" t="s">
        <v>7907</v>
      </c>
      <c r="L737" s="75"/>
      <c r="M737" s="76"/>
      <c r="N737" s="76"/>
      <c r="O737" s="77"/>
      <c r="P737" s="78"/>
      <c r="Q737" s="78"/>
      <c r="R737" s="90"/>
      <c r="S737" s="90"/>
      <c r="T737" s="90"/>
      <c r="U737" s="90"/>
      <c r="V737" s="52"/>
      <c r="W737" s="52"/>
      <c r="X737" s="52"/>
      <c r="Y737" s="52"/>
      <c r="Z737" s="51"/>
      <c r="AA737" s="73"/>
      <c r="AB737" s="73"/>
      <c r="AC737" s="74"/>
      <c r="AD737" s="80" t="s">
        <v>4906</v>
      </c>
      <c r="AE737" s="86" t="s">
        <v>5755</v>
      </c>
      <c r="AF737" s="80">
        <v>1411</v>
      </c>
      <c r="AG737" s="80">
        <v>872</v>
      </c>
      <c r="AH737" s="80">
        <v>1746</v>
      </c>
      <c r="AI737" s="80">
        <v>2423</v>
      </c>
      <c r="AJ737" s="80"/>
      <c r="AK737" s="80" t="s">
        <v>6535</v>
      </c>
      <c r="AL737" s="80"/>
      <c r="AM737" s="80"/>
      <c r="AN737" s="80"/>
      <c r="AO737" s="82">
        <v>43512.16505787037</v>
      </c>
      <c r="AP737" s="80"/>
      <c r="AQ737" s="80" t="b">
        <v>1</v>
      </c>
      <c r="AR737" s="80" t="b">
        <v>0</v>
      </c>
      <c r="AS737" s="80" t="b">
        <v>0</v>
      </c>
      <c r="AT737" s="80"/>
      <c r="AU737" s="80">
        <v>0</v>
      </c>
      <c r="AV737" s="80"/>
      <c r="AW737" s="80" t="b">
        <v>0</v>
      </c>
      <c r="AX737" s="80" t="s">
        <v>7173</v>
      </c>
      <c r="AY737" s="84" t="str">
        <f>HYPERLINK("https://twitter.com/akukula3")</f>
        <v>https://twitter.com/akukula3</v>
      </c>
      <c r="AZ737" s="80" t="s">
        <v>66</v>
      </c>
      <c r="BA737" s="2"/>
      <c r="BB737" s="3"/>
      <c r="BC737" s="3"/>
      <c r="BD737" s="3"/>
      <c r="BE737" s="3"/>
    </row>
    <row r="738" spans="1:57" x14ac:dyDescent="0.35">
      <c r="A738" s="66" t="s">
        <v>1138</v>
      </c>
      <c r="B738" s="67"/>
      <c r="C738" s="67"/>
      <c r="D738" s="68"/>
      <c r="E738" s="70"/>
      <c r="F738" s="106" t="str">
        <f>HYPERLINK("https://pbs.twimg.com/profile_images/770443674945589252/RAQ_NcQP_normal.jpg")</f>
        <v>https://pbs.twimg.com/profile_images/770443674945589252/RAQ_NcQP_normal.jpg</v>
      </c>
      <c r="G738" s="67"/>
      <c r="H738" s="71"/>
      <c r="I738" s="72"/>
      <c r="J738" s="72"/>
      <c r="K738" s="71" t="s">
        <v>7908</v>
      </c>
      <c r="L738" s="75"/>
      <c r="M738" s="76"/>
      <c r="N738" s="76"/>
      <c r="O738" s="77"/>
      <c r="P738" s="78"/>
      <c r="Q738" s="78"/>
      <c r="R738" s="90"/>
      <c r="S738" s="90"/>
      <c r="T738" s="90"/>
      <c r="U738" s="90"/>
      <c r="V738" s="52"/>
      <c r="W738" s="52"/>
      <c r="X738" s="52"/>
      <c r="Y738" s="52"/>
      <c r="Z738" s="51"/>
      <c r="AA738" s="73"/>
      <c r="AB738" s="73"/>
      <c r="AC738" s="74"/>
      <c r="AD738" s="80" t="s">
        <v>4907</v>
      </c>
      <c r="AE738" s="86" t="s">
        <v>5756</v>
      </c>
      <c r="AF738" s="80">
        <v>7</v>
      </c>
      <c r="AG738" s="80">
        <v>1672567</v>
      </c>
      <c r="AH738" s="80">
        <v>67590</v>
      </c>
      <c r="AI738" s="80">
        <v>3179</v>
      </c>
      <c r="AJ738" s="80"/>
      <c r="AK738" s="80" t="s">
        <v>6536</v>
      </c>
      <c r="AL738" s="80"/>
      <c r="AM738" s="84" t="str">
        <f>HYPERLINK("https://t.co/QfFpuMyAxv")</f>
        <v>https://t.co/QfFpuMyAxv</v>
      </c>
      <c r="AN738" s="80"/>
      <c r="AO738" s="82">
        <v>40297.169652777775</v>
      </c>
      <c r="AP738" s="84" t="str">
        <f>HYPERLINK("https://pbs.twimg.com/profile_banners/138290629/1632567662")</f>
        <v>https://pbs.twimg.com/profile_banners/138290629/1632567662</v>
      </c>
      <c r="AQ738" s="80" t="b">
        <v>0</v>
      </c>
      <c r="AR738" s="80" t="b">
        <v>0</v>
      </c>
      <c r="AS738" s="80" t="b">
        <v>1</v>
      </c>
      <c r="AT738" s="80"/>
      <c r="AU738" s="80">
        <v>765</v>
      </c>
      <c r="AV738" s="84" t="str">
        <f>HYPERLINK("https://abs.twimg.com/images/themes/theme1/bg.png")</f>
        <v>https://abs.twimg.com/images/themes/theme1/bg.png</v>
      </c>
      <c r="AW738" s="80" t="b">
        <v>1</v>
      </c>
      <c r="AX738" s="80" t="s">
        <v>7173</v>
      </c>
      <c r="AY738" s="84" t="str">
        <f>HYPERLINK("https://twitter.com/divhumas_polri")</f>
        <v>https://twitter.com/divhumas_polri</v>
      </c>
      <c r="AZ738" s="80" t="s">
        <v>65</v>
      </c>
      <c r="BA738" s="2"/>
      <c r="BB738" s="3"/>
      <c r="BC738" s="3"/>
      <c r="BD738" s="3"/>
      <c r="BE738" s="3"/>
    </row>
    <row r="739" spans="1:57" x14ac:dyDescent="0.35">
      <c r="A739" s="66" t="s">
        <v>1139</v>
      </c>
      <c r="B739" s="67"/>
      <c r="C739" s="67"/>
      <c r="D739" s="68"/>
      <c r="E739" s="70"/>
      <c r="F739" s="106" t="str">
        <f>HYPERLINK("https://pbs.twimg.com/profile_images/1440258315150266378/pAcvni3m_normal.jpg")</f>
        <v>https://pbs.twimg.com/profile_images/1440258315150266378/pAcvni3m_normal.jpg</v>
      </c>
      <c r="G739" s="67"/>
      <c r="H739" s="71"/>
      <c r="I739" s="72"/>
      <c r="J739" s="72"/>
      <c r="K739" s="71" t="s">
        <v>7909</v>
      </c>
      <c r="L739" s="75"/>
      <c r="M739" s="76"/>
      <c r="N739" s="76"/>
      <c r="O739" s="77"/>
      <c r="P739" s="78"/>
      <c r="Q739" s="78"/>
      <c r="R739" s="90"/>
      <c r="S739" s="90"/>
      <c r="T739" s="90"/>
      <c r="U739" s="90"/>
      <c r="V739" s="52"/>
      <c r="W739" s="52"/>
      <c r="X739" s="52"/>
      <c r="Y739" s="52"/>
      <c r="Z739" s="51"/>
      <c r="AA739" s="73"/>
      <c r="AB739" s="73"/>
      <c r="AC739" s="74"/>
      <c r="AD739" s="80" t="s">
        <v>4908</v>
      </c>
      <c r="AE739" s="86" t="s">
        <v>4007</v>
      </c>
      <c r="AF739" s="80">
        <v>2007</v>
      </c>
      <c r="AG739" s="80">
        <v>13322</v>
      </c>
      <c r="AH739" s="80">
        <v>8169</v>
      </c>
      <c r="AI739" s="80">
        <v>10825</v>
      </c>
      <c r="AJ739" s="80"/>
      <c r="AK739" s="80" t="s">
        <v>6537</v>
      </c>
      <c r="AL739" s="80"/>
      <c r="AM739" s="80"/>
      <c r="AN739" s="80"/>
      <c r="AO739" s="82">
        <v>44395.586481481485</v>
      </c>
      <c r="AP739" s="84" t="str">
        <f>HYPERLINK("https://pbs.twimg.com/profile_banners/1416760714132217856/1626622166")</f>
        <v>https://pbs.twimg.com/profile_banners/1416760714132217856/1626622166</v>
      </c>
      <c r="AQ739" s="80" t="b">
        <v>1</v>
      </c>
      <c r="AR739" s="80" t="b">
        <v>0</v>
      </c>
      <c r="AS739" s="80" t="b">
        <v>1</v>
      </c>
      <c r="AT739" s="80"/>
      <c r="AU739" s="80">
        <v>5</v>
      </c>
      <c r="AV739" s="80"/>
      <c r="AW739" s="80" t="b">
        <v>0</v>
      </c>
      <c r="AX739" s="80" t="s">
        <v>7173</v>
      </c>
      <c r="AY739" s="84" t="str">
        <f>HYPERLINK("https://twitter.com/mei2namaku")</f>
        <v>https://twitter.com/mei2namaku</v>
      </c>
      <c r="AZ739" s="80" t="s">
        <v>65</v>
      </c>
      <c r="BA739" s="2"/>
      <c r="BB739" s="3"/>
      <c r="BC739" s="3"/>
      <c r="BD739" s="3"/>
      <c r="BE739" s="3"/>
    </row>
    <row r="740" spans="1:57" x14ac:dyDescent="0.35">
      <c r="A740" s="66" t="s">
        <v>803</v>
      </c>
      <c r="B740" s="67"/>
      <c r="C740" s="67"/>
      <c r="D740" s="68"/>
      <c r="E740" s="70"/>
      <c r="F740" s="106" t="str">
        <f>HYPERLINK("https://pbs.twimg.com/profile_images/1442298972748480513/i09MkoG8_normal.jpg")</f>
        <v>https://pbs.twimg.com/profile_images/1442298972748480513/i09MkoG8_normal.jpg</v>
      </c>
      <c r="G740" s="67"/>
      <c r="H740" s="71"/>
      <c r="I740" s="72"/>
      <c r="J740" s="72"/>
      <c r="K740" s="71" t="s">
        <v>7910</v>
      </c>
      <c r="L740" s="75"/>
      <c r="M740" s="76"/>
      <c r="N740" s="76"/>
      <c r="O740" s="77"/>
      <c r="P740" s="78"/>
      <c r="Q740" s="78"/>
      <c r="R740" s="90"/>
      <c r="S740" s="90"/>
      <c r="T740" s="90"/>
      <c r="U740" s="90"/>
      <c r="V740" s="52"/>
      <c r="W740" s="52"/>
      <c r="X740" s="52"/>
      <c r="Y740" s="52"/>
      <c r="Z740" s="51"/>
      <c r="AA740" s="73"/>
      <c r="AB740" s="73"/>
      <c r="AC740" s="74"/>
      <c r="AD740" s="80" t="s">
        <v>4909</v>
      </c>
      <c r="AE740" s="86" t="s">
        <v>5757</v>
      </c>
      <c r="AF740" s="80">
        <v>450</v>
      </c>
      <c r="AG740" s="80">
        <v>447</v>
      </c>
      <c r="AH740" s="80">
        <v>42159</v>
      </c>
      <c r="AI740" s="80">
        <v>16608</v>
      </c>
      <c r="AJ740" s="80"/>
      <c r="AK740" s="80"/>
      <c r="AL740" s="80"/>
      <c r="AM740" s="80"/>
      <c r="AN740" s="80"/>
      <c r="AO740" s="82">
        <v>43424.692916666667</v>
      </c>
      <c r="AP740" s="84" t="str">
        <f>HYPERLINK("https://pbs.twimg.com/profile_banners/1064920757656932352/1632422343")</f>
        <v>https://pbs.twimg.com/profile_banners/1064920757656932352/1632422343</v>
      </c>
      <c r="AQ740" s="80" t="b">
        <v>1</v>
      </c>
      <c r="AR740" s="80" t="b">
        <v>0</v>
      </c>
      <c r="AS740" s="80" t="b">
        <v>1</v>
      </c>
      <c r="AT740" s="80"/>
      <c r="AU740" s="80">
        <v>0</v>
      </c>
      <c r="AV740" s="80"/>
      <c r="AW740" s="80" t="b">
        <v>0</v>
      </c>
      <c r="AX740" s="80" t="s">
        <v>7173</v>
      </c>
      <c r="AY740" s="84" t="str">
        <f>HYPERLINK("https://twitter.com/rizwiky")</f>
        <v>https://twitter.com/rizwiky</v>
      </c>
      <c r="AZ740" s="80" t="s">
        <v>66</v>
      </c>
      <c r="BA740" s="2"/>
      <c r="BB740" s="3"/>
      <c r="BC740" s="3"/>
      <c r="BD740" s="3"/>
      <c r="BE740" s="3"/>
    </row>
    <row r="741" spans="1:57" x14ac:dyDescent="0.35">
      <c r="A741" s="66" t="s">
        <v>1140</v>
      </c>
      <c r="B741" s="67"/>
      <c r="C741" s="67"/>
      <c r="D741" s="68"/>
      <c r="E741" s="70"/>
      <c r="F741" s="106" t="str">
        <f>HYPERLINK("https://pbs.twimg.com/profile_images/1425912330643075072/GWYqkCVE_normal.jpg")</f>
        <v>https://pbs.twimg.com/profile_images/1425912330643075072/GWYqkCVE_normal.jpg</v>
      </c>
      <c r="G741" s="67"/>
      <c r="H741" s="71"/>
      <c r="I741" s="72"/>
      <c r="J741" s="72"/>
      <c r="K741" s="71" t="s">
        <v>7911</v>
      </c>
      <c r="L741" s="75"/>
      <c r="M741" s="76"/>
      <c r="N741" s="76"/>
      <c r="O741" s="77"/>
      <c r="P741" s="78"/>
      <c r="Q741" s="78"/>
      <c r="R741" s="90"/>
      <c r="S741" s="90"/>
      <c r="T741" s="90"/>
      <c r="U741" s="90"/>
      <c r="V741" s="52"/>
      <c r="W741" s="52"/>
      <c r="X741" s="52"/>
      <c r="Y741" s="52"/>
      <c r="Z741" s="51"/>
      <c r="AA741" s="73"/>
      <c r="AB741" s="73"/>
      <c r="AC741" s="74"/>
      <c r="AD741" s="80" t="s">
        <v>4910</v>
      </c>
      <c r="AE741" s="86" t="s">
        <v>4008</v>
      </c>
      <c r="AF741" s="80">
        <v>264</v>
      </c>
      <c r="AG741" s="80">
        <v>3163</v>
      </c>
      <c r="AH741" s="80">
        <v>34933</v>
      </c>
      <c r="AI741" s="80">
        <v>2006</v>
      </c>
      <c r="AJ741" s="80"/>
      <c r="AK741" s="80" t="s">
        <v>6538</v>
      </c>
      <c r="AL741" s="80"/>
      <c r="AM741" s="80"/>
      <c r="AN741" s="80"/>
      <c r="AO741" s="82">
        <v>41377.495486111111</v>
      </c>
      <c r="AP741" s="84" t="str">
        <f>HYPERLINK("https://pbs.twimg.com/profile_banners/1349032056/1632674327")</f>
        <v>https://pbs.twimg.com/profile_banners/1349032056/1632674327</v>
      </c>
      <c r="AQ741" s="80" t="b">
        <v>0</v>
      </c>
      <c r="AR741" s="80" t="b">
        <v>0</v>
      </c>
      <c r="AS741" s="80" t="b">
        <v>1</v>
      </c>
      <c r="AT741" s="80"/>
      <c r="AU741" s="80">
        <v>9</v>
      </c>
      <c r="AV741" s="84" t="str">
        <f>HYPERLINK("https://abs.twimg.com/images/themes/theme1/bg.png")</f>
        <v>https://abs.twimg.com/images/themes/theme1/bg.png</v>
      </c>
      <c r="AW741" s="80" t="b">
        <v>0</v>
      </c>
      <c r="AX741" s="80" t="s">
        <v>7173</v>
      </c>
      <c r="AY741" s="84" t="str">
        <f>HYPERLINK("https://twitter.com/akunbermanfaat")</f>
        <v>https://twitter.com/akunbermanfaat</v>
      </c>
      <c r="AZ741" s="80" t="s">
        <v>65</v>
      </c>
      <c r="BA741" s="2"/>
      <c r="BB741" s="3"/>
      <c r="BC741" s="3"/>
      <c r="BD741" s="3"/>
      <c r="BE741" s="3"/>
    </row>
    <row r="742" spans="1:57" x14ac:dyDescent="0.35">
      <c r="A742" s="66" t="s">
        <v>804</v>
      </c>
      <c r="B742" s="67"/>
      <c r="C742" s="67"/>
      <c r="D742" s="68"/>
      <c r="E742" s="70"/>
      <c r="F742" s="106" t="str">
        <f>HYPERLINK("https://pbs.twimg.com/profile_images/1384133161106362370/Xs7k_08W_normal.jpg")</f>
        <v>https://pbs.twimg.com/profile_images/1384133161106362370/Xs7k_08W_normal.jpg</v>
      </c>
      <c r="G742" s="67"/>
      <c r="H742" s="71"/>
      <c r="I742" s="72"/>
      <c r="J742" s="72"/>
      <c r="K742" s="71" t="s">
        <v>7912</v>
      </c>
      <c r="L742" s="75"/>
      <c r="M742" s="76"/>
      <c r="N742" s="76"/>
      <c r="O742" s="77"/>
      <c r="P742" s="78"/>
      <c r="Q742" s="78"/>
      <c r="R742" s="90"/>
      <c r="S742" s="90"/>
      <c r="T742" s="90"/>
      <c r="U742" s="90"/>
      <c r="V742" s="52"/>
      <c r="W742" s="52"/>
      <c r="X742" s="52"/>
      <c r="Y742" s="52"/>
      <c r="Z742" s="51"/>
      <c r="AA742" s="73"/>
      <c r="AB742" s="73"/>
      <c r="AC742" s="74"/>
      <c r="AD742" s="80" t="s">
        <v>4911</v>
      </c>
      <c r="AE742" s="86" t="s">
        <v>5758</v>
      </c>
      <c r="AF742" s="80">
        <v>78</v>
      </c>
      <c r="AG742" s="80">
        <v>478</v>
      </c>
      <c r="AH742" s="80">
        <v>3964</v>
      </c>
      <c r="AI742" s="80">
        <v>39</v>
      </c>
      <c r="AJ742" s="80"/>
      <c r="AK742" s="80" t="s">
        <v>6539</v>
      </c>
      <c r="AL742" s="80" t="s">
        <v>4145</v>
      </c>
      <c r="AM742" s="84" t="str">
        <f>HYPERLINK("https://t.co/jElTJZZrWE")</f>
        <v>https://t.co/jElTJZZrWE</v>
      </c>
      <c r="AN742" s="80"/>
      <c r="AO742" s="82">
        <v>44101.515798611108</v>
      </c>
      <c r="AP742" s="84" t="str">
        <f>HYPERLINK("https://pbs.twimg.com/profile_banners/1310193120609357825/1601664702")</f>
        <v>https://pbs.twimg.com/profile_banners/1310193120609357825/1601664702</v>
      </c>
      <c r="AQ742" s="80" t="b">
        <v>1</v>
      </c>
      <c r="AR742" s="80" t="b">
        <v>0</v>
      </c>
      <c r="AS742" s="80" t="b">
        <v>0</v>
      </c>
      <c r="AT742" s="80"/>
      <c r="AU742" s="80">
        <v>2</v>
      </c>
      <c r="AV742" s="80"/>
      <c r="AW742" s="80" t="b">
        <v>0</v>
      </c>
      <c r="AX742" s="80" t="s">
        <v>7173</v>
      </c>
      <c r="AY742" s="84" t="str">
        <f>HYPERLINK("https://twitter.com/insarinwetrust")</f>
        <v>https://twitter.com/insarinwetrust</v>
      </c>
      <c r="AZ742" s="80" t="s">
        <v>66</v>
      </c>
      <c r="BA742" s="2"/>
      <c r="BB742" s="3"/>
      <c r="BC742" s="3"/>
      <c r="BD742" s="3"/>
      <c r="BE742" s="3"/>
    </row>
    <row r="743" spans="1:57" x14ac:dyDescent="0.35">
      <c r="A743" s="66" t="s">
        <v>805</v>
      </c>
      <c r="B743" s="67"/>
      <c r="C743" s="67"/>
      <c r="D743" s="68"/>
      <c r="E743" s="70"/>
      <c r="F743" s="106" t="str">
        <f>HYPERLINK("https://pbs.twimg.com/profile_images/378800000267748051/4900e343887e13d035eb421a678ff0f5_normal.jpeg")</f>
        <v>https://pbs.twimg.com/profile_images/378800000267748051/4900e343887e13d035eb421a678ff0f5_normal.jpeg</v>
      </c>
      <c r="G743" s="67"/>
      <c r="H743" s="71"/>
      <c r="I743" s="72"/>
      <c r="J743" s="72"/>
      <c r="K743" s="71" t="s">
        <v>7913</v>
      </c>
      <c r="L743" s="75"/>
      <c r="M743" s="76"/>
      <c r="N743" s="76"/>
      <c r="O743" s="77"/>
      <c r="P743" s="78"/>
      <c r="Q743" s="78"/>
      <c r="R743" s="90"/>
      <c r="S743" s="90"/>
      <c r="T743" s="90"/>
      <c r="U743" s="90"/>
      <c r="V743" s="52"/>
      <c r="W743" s="52"/>
      <c r="X743" s="52"/>
      <c r="Y743" s="52"/>
      <c r="Z743" s="51"/>
      <c r="AA743" s="73"/>
      <c r="AB743" s="73"/>
      <c r="AC743" s="74"/>
      <c r="AD743" s="80" t="s">
        <v>4912</v>
      </c>
      <c r="AE743" s="86" t="s">
        <v>5759</v>
      </c>
      <c r="AF743" s="80">
        <v>485</v>
      </c>
      <c r="AG743" s="80">
        <v>157</v>
      </c>
      <c r="AH743" s="80">
        <v>6001</v>
      </c>
      <c r="AI743" s="80">
        <v>56638</v>
      </c>
      <c r="AJ743" s="80"/>
      <c r="AK743" s="80" t="s">
        <v>6540</v>
      </c>
      <c r="AL743" s="80" t="s">
        <v>7065</v>
      </c>
      <c r="AM743" s="80"/>
      <c r="AN743" s="80"/>
      <c r="AO743" s="82">
        <v>41055.252685185187</v>
      </c>
      <c r="AP743" s="84" t="str">
        <f>HYPERLINK("https://pbs.twimg.com/profile_banners/590728065/1378140396")</f>
        <v>https://pbs.twimg.com/profile_banners/590728065/1378140396</v>
      </c>
      <c r="AQ743" s="80" t="b">
        <v>1</v>
      </c>
      <c r="AR743" s="80" t="b">
        <v>0</v>
      </c>
      <c r="AS743" s="80" t="b">
        <v>0</v>
      </c>
      <c r="AT743" s="80"/>
      <c r="AU743" s="80">
        <v>0</v>
      </c>
      <c r="AV743" s="84" t="str">
        <f>HYPERLINK("https://abs.twimg.com/images/themes/theme1/bg.png")</f>
        <v>https://abs.twimg.com/images/themes/theme1/bg.png</v>
      </c>
      <c r="AW743" s="80" t="b">
        <v>0</v>
      </c>
      <c r="AX743" s="80" t="s">
        <v>7173</v>
      </c>
      <c r="AY743" s="84" t="str">
        <f>HYPERLINK("https://twitter.com/a_wuri")</f>
        <v>https://twitter.com/a_wuri</v>
      </c>
      <c r="AZ743" s="80" t="s">
        <v>66</v>
      </c>
      <c r="BA743" s="2"/>
      <c r="BB743" s="3"/>
      <c r="BC743" s="3"/>
      <c r="BD743" s="3"/>
      <c r="BE743" s="3"/>
    </row>
    <row r="744" spans="1:57" x14ac:dyDescent="0.35">
      <c r="A744" s="66" t="s">
        <v>807</v>
      </c>
      <c r="B744" s="67"/>
      <c r="C744" s="67"/>
      <c r="D744" s="68"/>
      <c r="E744" s="70"/>
      <c r="F744" s="106" t="str">
        <f>HYPERLINK("https://pbs.twimg.com/profile_images/1060045077291053056/CFyaEhac_normal.jpg")</f>
        <v>https://pbs.twimg.com/profile_images/1060045077291053056/CFyaEhac_normal.jpg</v>
      </c>
      <c r="G744" s="67"/>
      <c r="H744" s="71"/>
      <c r="I744" s="72"/>
      <c r="J744" s="72"/>
      <c r="K744" s="71" t="s">
        <v>7914</v>
      </c>
      <c r="L744" s="75"/>
      <c r="M744" s="76"/>
      <c r="N744" s="76"/>
      <c r="O744" s="77"/>
      <c r="P744" s="78"/>
      <c r="Q744" s="78"/>
      <c r="R744" s="90"/>
      <c r="S744" s="90"/>
      <c r="T744" s="90"/>
      <c r="U744" s="90"/>
      <c r="V744" s="52"/>
      <c r="W744" s="52"/>
      <c r="X744" s="52"/>
      <c r="Y744" s="52"/>
      <c r="Z744" s="51"/>
      <c r="AA744" s="73"/>
      <c r="AB744" s="73"/>
      <c r="AC744" s="74"/>
      <c r="AD744" s="80" t="s">
        <v>4913</v>
      </c>
      <c r="AE744" s="86" t="s">
        <v>4010</v>
      </c>
      <c r="AF744" s="80">
        <v>408</v>
      </c>
      <c r="AG744" s="80">
        <v>172289</v>
      </c>
      <c r="AH744" s="80">
        <v>26614</v>
      </c>
      <c r="AI744" s="80">
        <v>3023</v>
      </c>
      <c r="AJ744" s="80"/>
      <c r="AK744" s="80" t="s">
        <v>6541</v>
      </c>
      <c r="AL744" s="80" t="s">
        <v>7066</v>
      </c>
      <c r="AM744" s="84" t="str">
        <f>HYPERLINK("https://t.co/sY5kkKOre1")</f>
        <v>https://t.co/sY5kkKOre1</v>
      </c>
      <c r="AN744" s="80"/>
      <c r="AO744" s="82">
        <v>41374.228738425925</v>
      </c>
      <c r="AP744" s="84" t="str">
        <f>HYPERLINK("https://pbs.twimg.com/profile_banners/1341084188/1618373244")</f>
        <v>https://pbs.twimg.com/profile_banners/1341084188/1618373244</v>
      </c>
      <c r="AQ744" s="80" t="b">
        <v>0</v>
      </c>
      <c r="AR744" s="80" t="b">
        <v>0</v>
      </c>
      <c r="AS744" s="80" t="b">
        <v>1</v>
      </c>
      <c r="AT744" s="80"/>
      <c r="AU744" s="80">
        <v>227</v>
      </c>
      <c r="AV744" s="84" t="str">
        <f>HYPERLINK("https://abs.twimg.com/images/themes/theme1/bg.png")</f>
        <v>https://abs.twimg.com/images/themes/theme1/bg.png</v>
      </c>
      <c r="AW744" s="80" t="b">
        <v>1</v>
      </c>
      <c r="AX744" s="80" t="s">
        <v>7173</v>
      </c>
      <c r="AY744" s="84" t="str">
        <f>HYPERLINK("https://twitter.com/bpptkg")</f>
        <v>https://twitter.com/bpptkg</v>
      </c>
      <c r="AZ744" s="80" t="s">
        <v>66</v>
      </c>
      <c r="BA744" s="2"/>
      <c r="BB744" s="3"/>
      <c r="BC744" s="3"/>
      <c r="BD744" s="3"/>
      <c r="BE744" s="3"/>
    </row>
    <row r="745" spans="1:57" x14ac:dyDescent="0.35">
      <c r="A745" s="66" t="s">
        <v>806</v>
      </c>
      <c r="B745" s="67"/>
      <c r="C745" s="67"/>
      <c r="D745" s="68"/>
      <c r="E745" s="70"/>
      <c r="F745" s="106" t="str">
        <f>HYPERLINK("https://pbs.twimg.com/profile_images/1395315193224122369/dFageMt1_normal.jpg")</f>
        <v>https://pbs.twimg.com/profile_images/1395315193224122369/dFageMt1_normal.jpg</v>
      </c>
      <c r="G745" s="67"/>
      <c r="H745" s="71"/>
      <c r="I745" s="72"/>
      <c r="J745" s="72"/>
      <c r="K745" s="71" t="s">
        <v>7915</v>
      </c>
      <c r="L745" s="75"/>
      <c r="M745" s="76"/>
      <c r="N745" s="76"/>
      <c r="O745" s="77"/>
      <c r="P745" s="78"/>
      <c r="Q745" s="78"/>
      <c r="R745" s="90"/>
      <c r="S745" s="90"/>
      <c r="T745" s="90"/>
      <c r="U745" s="90"/>
      <c r="V745" s="52"/>
      <c r="W745" s="52"/>
      <c r="X745" s="52"/>
      <c r="Y745" s="52"/>
      <c r="Z745" s="51"/>
      <c r="AA745" s="73"/>
      <c r="AB745" s="73"/>
      <c r="AC745" s="74"/>
      <c r="AD745" s="80" t="s">
        <v>4914</v>
      </c>
      <c r="AE745" s="86" t="s">
        <v>5760</v>
      </c>
      <c r="AF745" s="80">
        <v>202</v>
      </c>
      <c r="AG745" s="80">
        <v>5</v>
      </c>
      <c r="AH745" s="80">
        <v>6606</v>
      </c>
      <c r="AI745" s="80">
        <v>1127</v>
      </c>
      <c r="AJ745" s="80"/>
      <c r="AK745" s="80" t="s">
        <v>6542</v>
      </c>
      <c r="AL745" s="80" t="s">
        <v>7067</v>
      </c>
      <c r="AM745" s="80"/>
      <c r="AN745" s="80"/>
      <c r="AO745" s="82">
        <v>40845.492534722223</v>
      </c>
      <c r="AP745" s="84" t="str">
        <f>HYPERLINK("https://pbs.twimg.com/profile_banners/400668661/1629480727")</f>
        <v>https://pbs.twimg.com/profile_banners/400668661/1629480727</v>
      </c>
      <c r="AQ745" s="80" t="b">
        <v>1</v>
      </c>
      <c r="AR745" s="80" t="b">
        <v>0</v>
      </c>
      <c r="AS745" s="80" t="b">
        <v>0</v>
      </c>
      <c r="AT745" s="80"/>
      <c r="AU745" s="80">
        <v>0</v>
      </c>
      <c r="AV745" s="84" t="str">
        <f>HYPERLINK("https://abs.twimg.com/images/themes/theme1/bg.png")</f>
        <v>https://abs.twimg.com/images/themes/theme1/bg.png</v>
      </c>
      <c r="AW745" s="80" t="b">
        <v>0</v>
      </c>
      <c r="AX745" s="80" t="s">
        <v>7173</v>
      </c>
      <c r="AY745" s="84" t="str">
        <f>HYPERLINK("https://twitter.com/yesbutwhyyy")</f>
        <v>https://twitter.com/yesbutwhyyy</v>
      </c>
      <c r="AZ745" s="80" t="s">
        <v>66</v>
      </c>
      <c r="BA745" s="2"/>
      <c r="BB745" s="3"/>
      <c r="BC745" s="3"/>
      <c r="BD745" s="3"/>
      <c r="BE745" s="3"/>
    </row>
    <row r="746" spans="1:57" x14ac:dyDescent="0.35">
      <c r="A746" s="66" t="s">
        <v>1141</v>
      </c>
      <c r="B746" s="67"/>
      <c r="C746" s="67"/>
      <c r="D746" s="68"/>
      <c r="E746" s="70"/>
      <c r="F746" s="106" t="str">
        <f>HYPERLINK("https://pbs.twimg.com/profile_images/1414446991820562439/zO9ehv13_normal.jpg")</f>
        <v>https://pbs.twimg.com/profile_images/1414446991820562439/zO9ehv13_normal.jpg</v>
      </c>
      <c r="G746" s="67"/>
      <c r="H746" s="71"/>
      <c r="I746" s="72"/>
      <c r="J746" s="72"/>
      <c r="K746" s="71" t="s">
        <v>7916</v>
      </c>
      <c r="L746" s="75"/>
      <c r="M746" s="76"/>
      <c r="N746" s="76"/>
      <c r="O746" s="77"/>
      <c r="P746" s="78"/>
      <c r="Q746" s="78"/>
      <c r="R746" s="90"/>
      <c r="S746" s="90"/>
      <c r="T746" s="90"/>
      <c r="U746" s="90"/>
      <c r="V746" s="52"/>
      <c r="W746" s="52"/>
      <c r="X746" s="52"/>
      <c r="Y746" s="52"/>
      <c r="Z746" s="51"/>
      <c r="AA746" s="73"/>
      <c r="AB746" s="73"/>
      <c r="AC746" s="74"/>
      <c r="AD746" s="80" t="s">
        <v>4915</v>
      </c>
      <c r="AE746" s="86" t="s">
        <v>4009</v>
      </c>
      <c r="AF746" s="80">
        <v>464</v>
      </c>
      <c r="AG746" s="80">
        <v>42</v>
      </c>
      <c r="AH746" s="80">
        <v>13458</v>
      </c>
      <c r="AI746" s="80">
        <v>1466</v>
      </c>
      <c r="AJ746" s="80"/>
      <c r="AK746" s="80" t="s">
        <v>6543</v>
      </c>
      <c r="AL746" s="80"/>
      <c r="AM746" s="80"/>
      <c r="AN746" s="80"/>
      <c r="AO746" s="82">
        <v>43169.397337962961</v>
      </c>
      <c r="AP746" s="84" t="str">
        <f>HYPERLINK("https://pbs.twimg.com/profile_banners/972404735092277250/1605930078")</f>
        <v>https://pbs.twimg.com/profile_banners/972404735092277250/1605930078</v>
      </c>
      <c r="AQ746" s="80" t="b">
        <v>1</v>
      </c>
      <c r="AR746" s="80" t="b">
        <v>0</v>
      </c>
      <c r="AS746" s="80" t="b">
        <v>0</v>
      </c>
      <c r="AT746" s="80"/>
      <c r="AU746" s="80">
        <v>0</v>
      </c>
      <c r="AV746" s="80"/>
      <c r="AW746" s="80" t="b">
        <v>0</v>
      </c>
      <c r="AX746" s="80" t="s">
        <v>7173</v>
      </c>
      <c r="AY746" s="84" t="str">
        <f>HYPERLINK("https://twitter.com/niuwvbs")</f>
        <v>https://twitter.com/niuwvbs</v>
      </c>
      <c r="AZ746" s="80" t="s">
        <v>65</v>
      </c>
      <c r="BA746" s="2"/>
      <c r="BB746" s="3"/>
      <c r="BC746" s="3"/>
      <c r="BD746" s="3"/>
      <c r="BE746" s="3"/>
    </row>
    <row r="747" spans="1:57" x14ac:dyDescent="0.35">
      <c r="A747" s="66" t="s">
        <v>808</v>
      </c>
      <c r="B747" s="67"/>
      <c r="C747" s="67"/>
      <c r="D747" s="68"/>
      <c r="E747" s="70"/>
      <c r="F747" s="106" t="str">
        <f>HYPERLINK("https://pbs.twimg.com/profile_images/1424236706308399107/uSQwuQeM_normal.jpg")</f>
        <v>https://pbs.twimg.com/profile_images/1424236706308399107/uSQwuQeM_normal.jpg</v>
      </c>
      <c r="G747" s="67"/>
      <c r="H747" s="71"/>
      <c r="I747" s="72"/>
      <c r="J747" s="72"/>
      <c r="K747" s="71" t="s">
        <v>7917</v>
      </c>
      <c r="L747" s="75"/>
      <c r="M747" s="76"/>
      <c r="N747" s="76"/>
      <c r="O747" s="77"/>
      <c r="P747" s="78"/>
      <c r="Q747" s="78"/>
      <c r="R747" s="90"/>
      <c r="S747" s="90"/>
      <c r="T747" s="90"/>
      <c r="U747" s="90"/>
      <c r="V747" s="52"/>
      <c r="W747" s="52"/>
      <c r="X747" s="52"/>
      <c r="Y747" s="52"/>
      <c r="Z747" s="51"/>
      <c r="AA747" s="73"/>
      <c r="AB747" s="73"/>
      <c r="AC747" s="74"/>
      <c r="AD747" s="80" t="s">
        <v>4916</v>
      </c>
      <c r="AE747" s="86" t="s">
        <v>5761</v>
      </c>
      <c r="AF747" s="80">
        <v>452</v>
      </c>
      <c r="AG747" s="80">
        <v>189</v>
      </c>
      <c r="AH747" s="80">
        <v>12490</v>
      </c>
      <c r="AI747" s="80">
        <v>21440</v>
      </c>
      <c r="AJ747" s="80"/>
      <c r="AK747" s="80" t="s">
        <v>6544</v>
      </c>
      <c r="AL747" s="80" t="s">
        <v>6762</v>
      </c>
      <c r="AM747" s="80"/>
      <c r="AN747" s="80"/>
      <c r="AO747" s="82">
        <v>42368.053715277776</v>
      </c>
      <c r="AP747" s="84" t="str">
        <f>HYPERLINK("https://pbs.twimg.com/profile_banners/4675565540/1561080021")</f>
        <v>https://pbs.twimg.com/profile_banners/4675565540/1561080021</v>
      </c>
      <c r="AQ747" s="80" t="b">
        <v>1</v>
      </c>
      <c r="AR747" s="80" t="b">
        <v>0</v>
      </c>
      <c r="AS747" s="80" t="b">
        <v>1</v>
      </c>
      <c r="AT747" s="80"/>
      <c r="AU747" s="80">
        <v>0</v>
      </c>
      <c r="AV747" s="80"/>
      <c r="AW747" s="80" t="b">
        <v>0</v>
      </c>
      <c r="AX747" s="80" t="s">
        <v>7173</v>
      </c>
      <c r="AY747" s="84" t="str">
        <f>HYPERLINK("https://twitter.com/felixsandian")</f>
        <v>https://twitter.com/felixsandian</v>
      </c>
      <c r="AZ747" s="80" t="s">
        <v>66</v>
      </c>
      <c r="BA747" s="2"/>
      <c r="BB747" s="3"/>
      <c r="BC747" s="3"/>
      <c r="BD747" s="3"/>
      <c r="BE747" s="3"/>
    </row>
    <row r="748" spans="1:57" x14ac:dyDescent="0.35">
      <c r="A748" s="66" t="s">
        <v>809</v>
      </c>
      <c r="B748" s="67"/>
      <c r="C748" s="67"/>
      <c r="D748" s="68"/>
      <c r="E748" s="70"/>
      <c r="F748" s="106" t="str">
        <f>HYPERLINK("https://pbs.twimg.com/profile_images/1347197714543464449/eFlyMd2c_normal.jpg")</f>
        <v>https://pbs.twimg.com/profile_images/1347197714543464449/eFlyMd2c_normal.jpg</v>
      </c>
      <c r="G748" s="67"/>
      <c r="H748" s="71"/>
      <c r="I748" s="72"/>
      <c r="J748" s="72"/>
      <c r="K748" s="71" t="s">
        <v>7918</v>
      </c>
      <c r="L748" s="75"/>
      <c r="M748" s="76"/>
      <c r="N748" s="76"/>
      <c r="O748" s="77"/>
      <c r="P748" s="78"/>
      <c r="Q748" s="78"/>
      <c r="R748" s="90"/>
      <c r="S748" s="90"/>
      <c r="T748" s="90"/>
      <c r="U748" s="90"/>
      <c r="V748" s="52"/>
      <c r="W748" s="52"/>
      <c r="X748" s="52"/>
      <c r="Y748" s="52"/>
      <c r="Z748" s="51"/>
      <c r="AA748" s="73"/>
      <c r="AB748" s="73"/>
      <c r="AC748" s="74"/>
      <c r="AD748" s="80" t="s">
        <v>4917</v>
      </c>
      <c r="AE748" s="86" t="s">
        <v>5762</v>
      </c>
      <c r="AF748" s="80">
        <v>111</v>
      </c>
      <c r="AG748" s="80">
        <v>20</v>
      </c>
      <c r="AH748" s="80">
        <v>3080</v>
      </c>
      <c r="AI748" s="80">
        <v>327</v>
      </c>
      <c r="AJ748" s="80"/>
      <c r="AK748" s="80" t="s">
        <v>6545</v>
      </c>
      <c r="AL748" s="80" t="s">
        <v>7068</v>
      </c>
      <c r="AM748" s="80"/>
      <c r="AN748" s="80"/>
      <c r="AO748" s="82">
        <v>43938.934988425928</v>
      </c>
      <c r="AP748" s="84" t="str">
        <f>HYPERLINK("https://pbs.twimg.com/profile_banners/1251275802047475712/1587164190")</f>
        <v>https://pbs.twimg.com/profile_banners/1251275802047475712/1587164190</v>
      </c>
      <c r="AQ748" s="80" t="b">
        <v>1</v>
      </c>
      <c r="AR748" s="80" t="b">
        <v>0</v>
      </c>
      <c r="AS748" s="80" t="b">
        <v>0</v>
      </c>
      <c r="AT748" s="80"/>
      <c r="AU748" s="80">
        <v>0</v>
      </c>
      <c r="AV748" s="80"/>
      <c r="AW748" s="80" t="b">
        <v>0</v>
      </c>
      <c r="AX748" s="80" t="s">
        <v>7173</v>
      </c>
      <c r="AY748" s="84" t="str">
        <f>HYPERLINK("https://twitter.com/maswah_")</f>
        <v>https://twitter.com/maswah_</v>
      </c>
      <c r="AZ748" s="80" t="s">
        <v>66</v>
      </c>
      <c r="BA748" s="2"/>
      <c r="BB748" s="3"/>
      <c r="BC748" s="3"/>
      <c r="BD748" s="3"/>
      <c r="BE748" s="3"/>
    </row>
    <row r="749" spans="1:57" x14ac:dyDescent="0.35">
      <c r="A749" s="66" t="s">
        <v>1142</v>
      </c>
      <c r="B749" s="67"/>
      <c r="C749" s="67"/>
      <c r="D749" s="68"/>
      <c r="E749" s="70"/>
      <c r="F749" s="106" t="str">
        <f>HYPERLINK("https://pbs.twimg.com/profile_images/1438151000850718722/kon3VF-L_normal.jpg")</f>
        <v>https://pbs.twimg.com/profile_images/1438151000850718722/kon3VF-L_normal.jpg</v>
      </c>
      <c r="G749" s="67"/>
      <c r="H749" s="71"/>
      <c r="I749" s="72"/>
      <c r="J749" s="72"/>
      <c r="K749" s="71" t="s">
        <v>7919</v>
      </c>
      <c r="L749" s="75"/>
      <c r="M749" s="76"/>
      <c r="N749" s="76"/>
      <c r="O749" s="77"/>
      <c r="P749" s="78"/>
      <c r="Q749" s="78"/>
      <c r="R749" s="90"/>
      <c r="S749" s="90"/>
      <c r="T749" s="90"/>
      <c r="U749" s="90"/>
      <c r="V749" s="52"/>
      <c r="W749" s="52"/>
      <c r="X749" s="52"/>
      <c r="Y749" s="52"/>
      <c r="Z749" s="51"/>
      <c r="AA749" s="73"/>
      <c r="AB749" s="73"/>
      <c r="AC749" s="74"/>
      <c r="AD749" s="80" t="s">
        <v>4918</v>
      </c>
      <c r="AE749" s="86" t="s">
        <v>5763</v>
      </c>
      <c r="AF749" s="80">
        <v>2334</v>
      </c>
      <c r="AG749" s="80">
        <v>2185</v>
      </c>
      <c r="AH749" s="80">
        <v>25263</v>
      </c>
      <c r="AI749" s="80">
        <v>10463</v>
      </c>
      <c r="AJ749" s="80"/>
      <c r="AK749" s="80" t="s">
        <v>6546</v>
      </c>
      <c r="AL749" s="80" t="s">
        <v>6915</v>
      </c>
      <c r="AM749" s="84" t="str">
        <f>HYPERLINK("https://t.co/69nJkpuvQz")</f>
        <v>https://t.co/69nJkpuvQz</v>
      </c>
      <c r="AN749" s="80"/>
      <c r="AO749" s="82">
        <v>43873.540821759256</v>
      </c>
      <c r="AP749" s="84" t="str">
        <f>HYPERLINK("https://pbs.twimg.com/profile_banners/1227577752988946437/1629548612")</f>
        <v>https://pbs.twimg.com/profile_banners/1227577752988946437/1629548612</v>
      </c>
      <c r="AQ749" s="80" t="b">
        <v>1</v>
      </c>
      <c r="AR749" s="80" t="b">
        <v>0</v>
      </c>
      <c r="AS749" s="80" t="b">
        <v>1</v>
      </c>
      <c r="AT749" s="80"/>
      <c r="AU749" s="80">
        <v>1</v>
      </c>
      <c r="AV749" s="80"/>
      <c r="AW749" s="80" t="b">
        <v>0</v>
      </c>
      <c r="AX749" s="80" t="s">
        <v>7173</v>
      </c>
      <c r="AY749" s="84" t="str">
        <f>HYPERLINK("https://twitter.com/naaangggg")</f>
        <v>https://twitter.com/naaangggg</v>
      </c>
      <c r="AZ749" s="80" t="s">
        <v>65</v>
      </c>
      <c r="BA749" s="2"/>
      <c r="BB749" s="3"/>
      <c r="BC749" s="3"/>
      <c r="BD749" s="3"/>
      <c r="BE749" s="3"/>
    </row>
    <row r="750" spans="1:57" x14ac:dyDescent="0.35">
      <c r="A750" s="66" t="s">
        <v>1143</v>
      </c>
      <c r="B750" s="67"/>
      <c r="C750" s="67"/>
      <c r="D750" s="68"/>
      <c r="E750" s="70"/>
      <c r="F750" s="106" t="str">
        <f>HYPERLINK("https://pbs.twimg.com/profile_images/1304717994551992321/fbn79Duz_normal.jpg")</f>
        <v>https://pbs.twimg.com/profile_images/1304717994551992321/fbn79Duz_normal.jpg</v>
      </c>
      <c r="G750" s="67"/>
      <c r="H750" s="71"/>
      <c r="I750" s="72"/>
      <c r="J750" s="72"/>
      <c r="K750" s="71" t="s">
        <v>7920</v>
      </c>
      <c r="L750" s="75"/>
      <c r="M750" s="76"/>
      <c r="N750" s="76"/>
      <c r="O750" s="77"/>
      <c r="P750" s="78"/>
      <c r="Q750" s="78"/>
      <c r="R750" s="90"/>
      <c r="S750" s="90"/>
      <c r="T750" s="90"/>
      <c r="U750" s="90"/>
      <c r="V750" s="52"/>
      <c r="W750" s="52"/>
      <c r="X750" s="52"/>
      <c r="Y750" s="52"/>
      <c r="Z750" s="51"/>
      <c r="AA750" s="73"/>
      <c r="AB750" s="73"/>
      <c r="AC750" s="74"/>
      <c r="AD750" s="80" t="s">
        <v>4919</v>
      </c>
      <c r="AE750" s="86" t="s">
        <v>4011</v>
      </c>
      <c r="AF750" s="80">
        <v>166</v>
      </c>
      <c r="AG750" s="80">
        <v>53</v>
      </c>
      <c r="AH750" s="80">
        <v>2038</v>
      </c>
      <c r="AI750" s="80">
        <v>142</v>
      </c>
      <c r="AJ750" s="80"/>
      <c r="AK750" s="80"/>
      <c r="AL750" s="80"/>
      <c r="AM750" s="80"/>
      <c r="AN750" s="80"/>
      <c r="AO750" s="82">
        <v>43803.627314814818</v>
      </c>
      <c r="AP750" s="80"/>
      <c r="AQ750" s="80" t="b">
        <v>1</v>
      </c>
      <c r="AR750" s="80" t="b">
        <v>0</v>
      </c>
      <c r="AS750" s="80" t="b">
        <v>0</v>
      </c>
      <c r="AT750" s="80"/>
      <c r="AU750" s="80">
        <v>0</v>
      </c>
      <c r="AV750" s="80"/>
      <c r="AW750" s="80" t="b">
        <v>0</v>
      </c>
      <c r="AX750" s="80" t="s">
        <v>7173</v>
      </c>
      <c r="AY750" s="84" t="str">
        <f>HYPERLINK("https://twitter.com/fo108x")</f>
        <v>https://twitter.com/fo108x</v>
      </c>
      <c r="AZ750" s="80" t="s">
        <v>65</v>
      </c>
      <c r="BA750" s="2"/>
      <c r="BB750" s="3"/>
      <c r="BC750" s="3"/>
      <c r="BD750" s="3"/>
      <c r="BE750" s="3"/>
    </row>
    <row r="751" spans="1:57" x14ac:dyDescent="0.35">
      <c r="A751" s="66" t="s">
        <v>1144</v>
      </c>
      <c r="B751" s="67"/>
      <c r="C751" s="67"/>
      <c r="D751" s="68"/>
      <c r="E751" s="70"/>
      <c r="F751" s="106" t="str">
        <f>HYPERLINK("https://pbs.twimg.com/profile_images/1191628691421327361/iobplr4d_normal.jpg")</f>
        <v>https://pbs.twimg.com/profile_images/1191628691421327361/iobplr4d_normal.jpg</v>
      </c>
      <c r="G751" s="67"/>
      <c r="H751" s="71"/>
      <c r="I751" s="72"/>
      <c r="J751" s="72"/>
      <c r="K751" s="71" t="s">
        <v>7921</v>
      </c>
      <c r="L751" s="75"/>
      <c r="M751" s="76"/>
      <c r="N751" s="76"/>
      <c r="O751" s="77"/>
      <c r="P751" s="78"/>
      <c r="Q751" s="78"/>
      <c r="R751" s="90"/>
      <c r="S751" s="90"/>
      <c r="T751" s="90"/>
      <c r="U751" s="90"/>
      <c r="V751" s="52"/>
      <c r="W751" s="52"/>
      <c r="X751" s="52"/>
      <c r="Y751" s="52"/>
      <c r="Z751" s="51"/>
      <c r="AA751" s="73"/>
      <c r="AB751" s="73"/>
      <c r="AC751" s="74"/>
      <c r="AD751" s="80" t="s">
        <v>4920</v>
      </c>
      <c r="AE751" s="86" t="s">
        <v>5764</v>
      </c>
      <c r="AF751" s="80">
        <v>4468</v>
      </c>
      <c r="AG751" s="80">
        <v>1233215</v>
      </c>
      <c r="AH751" s="80">
        <v>44869</v>
      </c>
      <c r="AI751" s="80">
        <v>21</v>
      </c>
      <c r="AJ751" s="80"/>
      <c r="AK751" s="80" t="s">
        <v>6547</v>
      </c>
      <c r="AL751" s="80" t="s">
        <v>7046</v>
      </c>
      <c r="AM751" s="84" t="str">
        <f>HYPERLINK("https://t.co/yeT0cD4ZK2")</f>
        <v>https://t.co/yeT0cD4ZK2</v>
      </c>
      <c r="AN751" s="80"/>
      <c r="AO751" s="82">
        <v>43047.715289351851</v>
      </c>
      <c r="AP751" s="84" t="str">
        <f>HYPERLINK("https://pbs.twimg.com/profile_banners/928308639315648512/1591911337")</f>
        <v>https://pbs.twimg.com/profile_banners/928308639315648512/1591911337</v>
      </c>
      <c r="AQ751" s="80" t="b">
        <v>1</v>
      </c>
      <c r="AR751" s="80" t="b">
        <v>0</v>
      </c>
      <c r="AS751" s="80" t="b">
        <v>1</v>
      </c>
      <c r="AT751" s="80"/>
      <c r="AU751" s="80">
        <v>3087</v>
      </c>
      <c r="AV751" s="80"/>
      <c r="AW751" s="80" t="b">
        <v>1</v>
      </c>
      <c r="AX751" s="80" t="s">
        <v>7173</v>
      </c>
      <c r="AY751" s="84" t="str">
        <f>HYPERLINK("https://twitter.com/areajulid")</f>
        <v>https://twitter.com/areajulid</v>
      </c>
      <c r="AZ751" s="80" t="s">
        <v>65</v>
      </c>
      <c r="BA751" s="2"/>
      <c r="BB751" s="3"/>
      <c r="BC751" s="3"/>
      <c r="BD751" s="3"/>
      <c r="BE751" s="3"/>
    </row>
    <row r="752" spans="1:57" x14ac:dyDescent="0.35">
      <c r="A752" s="66" t="s">
        <v>810</v>
      </c>
      <c r="B752" s="67"/>
      <c r="C752" s="67"/>
      <c r="D752" s="68"/>
      <c r="E752" s="70"/>
      <c r="F752" s="106" t="str">
        <f>HYPERLINK("https://pbs.twimg.com/profile_images/1277205916161421312/xoGCTSgL_normal.jpg")</f>
        <v>https://pbs.twimg.com/profile_images/1277205916161421312/xoGCTSgL_normal.jpg</v>
      </c>
      <c r="G752" s="67"/>
      <c r="H752" s="71"/>
      <c r="I752" s="72"/>
      <c r="J752" s="72"/>
      <c r="K752" s="71" t="s">
        <v>7922</v>
      </c>
      <c r="L752" s="75"/>
      <c r="M752" s="76"/>
      <c r="N752" s="76"/>
      <c r="O752" s="77"/>
      <c r="P752" s="78"/>
      <c r="Q752" s="78"/>
      <c r="R752" s="90"/>
      <c r="S752" s="90"/>
      <c r="T752" s="90"/>
      <c r="U752" s="90"/>
      <c r="V752" s="52"/>
      <c r="W752" s="52"/>
      <c r="X752" s="52"/>
      <c r="Y752" s="52"/>
      <c r="Z752" s="51"/>
      <c r="AA752" s="73"/>
      <c r="AB752" s="73"/>
      <c r="AC752" s="74"/>
      <c r="AD752" s="80" t="s">
        <v>4921</v>
      </c>
      <c r="AE752" s="86" t="s">
        <v>4012</v>
      </c>
      <c r="AF752" s="80">
        <v>1492</v>
      </c>
      <c r="AG752" s="80">
        <v>4850</v>
      </c>
      <c r="AH752" s="80">
        <v>25243</v>
      </c>
      <c r="AI752" s="80">
        <v>2048</v>
      </c>
      <c r="AJ752" s="80"/>
      <c r="AK752" s="80" t="s">
        <v>6548</v>
      </c>
      <c r="AL752" s="80"/>
      <c r="AM752" s="80"/>
      <c r="AN752" s="80"/>
      <c r="AO752" s="82">
        <v>41394.601956018516</v>
      </c>
      <c r="AP752" s="80"/>
      <c r="AQ752" s="80" t="b">
        <v>1</v>
      </c>
      <c r="AR752" s="80" t="b">
        <v>0</v>
      </c>
      <c r="AS752" s="80" t="b">
        <v>1</v>
      </c>
      <c r="AT752" s="80"/>
      <c r="AU752" s="80">
        <v>0</v>
      </c>
      <c r="AV752" s="84" t="str">
        <f>HYPERLINK("https://abs.twimg.com/images/themes/theme1/bg.png")</f>
        <v>https://abs.twimg.com/images/themes/theme1/bg.png</v>
      </c>
      <c r="AW752" s="80" t="b">
        <v>0</v>
      </c>
      <c r="AX752" s="80" t="s">
        <v>7173</v>
      </c>
      <c r="AY752" s="84" t="str">
        <f>HYPERLINK("https://twitter.com/greyzone9")</f>
        <v>https://twitter.com/greyzone9</v>
      </c>
      <c r="AZ752" s="80" t="s">
        <v>66</v>
      </c>
      <c r="BA752" s="2"/>
      <c r="BB752" s="3"/>
      <c r="BC752" s="3"/>
      <c r="BD752" s="3"/>
      <c r="BE752" s="3"/>
    </row>
    <row r="753" spans="1:57" x14ac:dyDescent="0.35">
      <c r="A753" s="66" t="s">
        <v>1145</v>
      </c>
      <c r="B753" s="67"/>
      <c r="C753" s="67"/>
      <c r="D753" s="68"/>
      <c r="E753" s="70"/>
      <c r="F753" s="106" t="str">
        <f>HYPERLINK("https://pbs.twimg.com/profile_images/1262067331053674496/LGPJwClK_normal.jpg")</f>
        <v>https://pbs.twimg.com/profile_images/1262067331053674496/LGPJwClK_normal.jpg</v>
      </c>
      <c r="G753" s="67"/>
      <c r="H753" s="71"/>
      <c r="I753" s="72"/>
      <c r="J753" s="72"/>
      <c r="K753" s="71" t="s">
        <v>7923</v>
      </c>
      <c r="L753" s="75"/>
      <c r="M753" s="76"/>
      <c r="N753" s="76"/>
      <c r="O753" s="77"/>
      <c r="P753" s="78"/>
      <c r="Q753" s="78"/>
      <c r="R753" s="90"/>
      <c r="S753" s="90"/>
      <c r="T753" s="90"/>
      <c r="U753" s="90"/>
      <c r="V753" s="52"/>
      <c r="W753" s="52"/>
      <c r="X753" s="52"/>
      <c r="Y753" s="52"/>
      <c r="Z753" s="51"/>
      <c r="AA753" s="73"/>
      <c r="AB753" s="73"/>
      <c r="AC753" s="74"/>
      <c r="AD753" s="80" t="s">
        <v>1145</v>
      </c>
      <c r="AE753" s="86" t="s">
        <v>5765</v>
      </c>
      <c r="AF753" s="80">
        <v>96</v>
      </c>
      <c r="AG753" s="80">
        <v>180</v>
      </c>
      <c r="AH753" s="80">
        <v>19404</v>
      </c>
      <c r="AI753" s="80">
        <v>136</v>
      </c>
      <c r="AJ753" s="80"/>
      <c r="AK753" s="80" t="s">
        <v>6549</v>
      </c>
      <c r="AL753" s="80" t="s">
        <v>7069</v>
      </c>
      <c r="AM753" s="80"/>
      <c r="AN753" s="80"/>
      <c r="AO753" s="82">
        <v>39942.614814814813</v>
      </c>
      <c r="AP753" s="84" t="str">
        <f>HYPERLINK("https://pbs.twimg.com/profile_banners/38863671/1550630964")</f>
        <v>https://pbs.twimg.com/profile_banners/38863671/1550630964</v>
      </c>
      <c r="AQ753" s="80" t="b">
        <v>1</v>
      </c>
      <c r="AR753" s="80" t="b">
        <v>0</v>
      </c>
      <c r="AS753" s="80" t="b">
        <v>1</v>
      </c>
      <c r="AT753" s="80"/>
      <c r="AU753" s="80">
        <v>0</v>
      </c>
      <c r="AV753" s="84" t="str">
        <f>HYPERLINK("https://abs.twimg.com/images/themes/theme1/bg.png")</f>
        <v>https://abs.twimg.com/images/themes/theme1/bg.png</v>
      </c>
      <c r="AW753" s="80" t="b">
        <v>0</v>
      </c>
      <c r="AX753" s="80" t="s">
        <v>7173</v>
      </c>
      <c r="AY753" s="84" t="str">
        <f>HYPERLINK("https://twitter.com/soerja")</f>
        <v>https://twitter.com/soerja</v>
      </c>
      <c r="AZ753" s="80" t="s">
        <v>65</v>
      </c>
      <c r="BA753" s="2"/>
      <c r="BB753" s="3"/>
      <c r="BC753" s="3"/>
      <c r="BD753" s="3"/>
      <c r="BE753" s="3"/>
    </row>
    <row r="754" spans="1:57" x14ac:dyDescent="0.35">
      <c r="A754" s="66" t="s">
        <v>1146</v>
      </c>
      <c r="B754" s="67"/>
      <c r="C754" s="67"/>
      <c r="D754" s="68"/>
      <c r="E754" s="70"/>
      <c r="F754" s="106" t="str">
        <f>HYPERLINK("https://pbs.twimg.com/profile_images/1131797387763019776/Pkk854DR_normal.jpg")</f>
        <v>https://pbs.twimg.com/profile_images/1131797387763019776/Pkk854DR_normal.jpg</v>
      </c>
      <c r="G754" s="67"/>
      <c r="H754" s="71"/>
      <c r="I754" s="72"/>
      <c r="J754" s="72"/>
      <c r="K754" s="71" t="s">
        <v>7924</v>
      </c>
      <c r="L754" s="75"/>
      <c r="M754" s="76"/>
      <c r="N754" s="76"/>
      <c r="O754" s="77"/>
      <c r="P754" s="78"/>
      <c r="Q754" s="78"/>
      <c r="R754" s="90"/>
      <c r="S754" s="90"/>
      <c r="T754" s="90"/>
      <c r="U754" s="90"/>
      <c r="V754" s="52"/>
      <c r="W754" s="52"/>
      <c r="X754" s="52"/>
      <c r="Y754" s="52"/>
      <c r="Z754" s="51"/>
      <c r="AA754" s="73"/>
      <c r="AB754" s="73"/>
      <c r="AC754" s="74"/>
      <c r="AD754" s="80" t="s">
        <v>4922</v>
      </c>
      <c r="AE754" s="86" t="s">
        <v>4013</v>
      </c>
      <c r="AF754" s="80">
        <v>173</v>
      </c>
      <c r="AG754" s="80">
        <v>1147</v>
      </c>
      <c r="AH754" s="80">
        <v>9122</v>
      </c>
      <c r="AI754" s="80">
        <v>601</v>
      </c>
      <c r="AJ754" s="80"/>
      <c r="AK754" s="80"/>
      <c r="AL754" s="80" t="s">
        <v>7070</v>
      </c>
      <c r="AM754" s="80"/>
      <c r="AN754" s="80"/>
      <c r="AO754" s="82">
        <v>41654.022986111115</v>
      </c>
      <c r="AP754" s="84" t="str">
        <f>HYPERLINK("https://pbs.twimg.com/profile_banners/2291898810/1401778380")</f>
        <v>https://pbs.twimg.com/profile_banners/2291898810/1401778380</v>
      </c>
      <c r="AQ754" s="80" t="b">
        <v>1</v>
      </c>
      <c r="AR754" s="80" t="b">
        <v>0</v>
      </c>
      <c r="AS754" s="80" t="b">
        <v>1</v>
      </c>
      <c r="AT754" s="80"/>
      <c r="AU754" s="80">
        <v>1</v>
      </c>
      <c r="AV754" s="84" t="str">
        <f>HYPERLINK("https://abs.twimg.com/images/themes/theme1/bg.png")</f>
        <v>https://abs.twimg.com/images/themes/theme1/bg.png</v>
      </c>
      <c r="AW754" s="80" t="b">
        <v>0</v>
      </c>
      <c r="AX754" s="80" t="s">
        <v>7173</v>
      </c>
      <c r="AY754" s="84" t="str">
        <f>HYPERLINK("https://twitter.com/augtocab")</f>
        <v>https://twitter.com/augtocab</v>
      </c>
      <c r="AZ754" s="80" t="s">
        <v>65</v>
      </c>
      <c r="BA754" s="2"/>
      <c r="BB754" s="3"/>
      <c r="BC754" s="3"/>
      <c r="BD754" s="3"/>
      <c r="BE754" s="3"/>
    </row>
    <row r="755" spans="1:57" x14ac:dyDescent="0.35">
      <c r="A755" s="66" t="s">
        <v>811</v>
      </c>
      <c r="B755" s="67"/>
      <c r="C755" s="67"/>
      <c r="D755" s="68"/>
      <c r="E755" s="70"/>
      <c r="F755" s="106" t="str">
        <f>HYPERLINK("https://pbs.twimg.com/profile_images/1429846038429396994/fhRMMGwd_normal.jpg")</f>
        <v>https://pbs.twimg.com/profile_images/1429846038429396994/fhRMMGwd_normal.jpg</v>
      </c>
      <c r="G755" s="67"/>
      <c r="H755" s="71"/>
      <c r="I755" s="72"/>
      <c r="J755" s="72"/>
      <c r="K755" s="71" t="s">
        <v>7925</v>
      </c>
      <c r="L755" s="75"/>
      <c r="M755" s="76"/>
      <c r="N755" s="76"/>
      <c r="O755" s="77"/>
      <c r="P755" s="78"/>
      <c r="Q755" s="78"/>
      <c r="R755" s="90"/>
      <c r="S755" s="90"/>
      <c r="T755" s="90"/>
      <c r="U755" s="90"/>
      <c r="V755" s="52"/>
      <c r="W755" s="52"/>
      <c r="X755" s="52"/>
      <c r="Y755" s="52"/>
      <c r="Z755" s="51"/>
      <c r="AA755" s="73"/>
      <c r="AB755" s="73"/>
      <c r="AC755" s="74"/>
      <c r="AD755" s="80" t="s">
        <v>4923</v>
      </c>
      <c r="AE755" s="86" t="s">
        <v>5766</v>
      </c>
      <c r="AF755" s="80">
        <v>32</v>
      </c>
      <c r="AG755" s="80">
        <v>16</v>
      </c>
      <c r="AH755" s="80">
        <v>920</v>
      </c>
      <c r="AI755" s="80">
        <v>188</v>
      </c>
      <c r="AJ755" s="80"/>
      <c r="AK755" s="80" t="s">
        <v>6550</v>
      </c>
      <c r="AL755" s="80"/>
      <c r="AM755" s="80"/>
      <c r="AN755" s="80"/>
      <c r="AO755" s="82">
        <v>44287.624837962961</v>
      </c>
      <c r="AP755" s="80"/>
      <c r="AQ755" s="80" t="b">
        <v>1</v>
      </c>
      <c r="AR755" s="80" t="b">
        <v>0</v>
      </c>
      <c r="AS755" s="80" t="b">
        <v>1</v>
      </c>
      <c r="AT755" s="80"/>
      <c r="AU755" s="80">
        <v>0</v>
      </c>
      <c r="AV755" s="80"/>
      <c r="AW755" s="80" t="b">
        <v>0</v>
      </c>
      <c r="AX755" s="80" t="s">
        <v>7173</v>
      </c>
      <c r="AY755" s="84" t="str">
        <f>HYPERLINK("https://twitter.com/chancethegrain")</f>
        <v>https://twitter.com/chancethegrain</v>
      </c>
      <c r="AZ755" s="80" t="s">
        <v>66</v>
      </c>
      <c r="BA755" s="2"/>
      <c r="BB755" s="3"/>
      <c r="BC755" s="3"/>
      <c r="BD755" s="3"/>
      <c r="BE755" s="3"/>
    </row>
    <row r="756" spans="1:57" x14ac:dyDescent="0.35">
      <c r="A756" s="66" t="s">
        <v>1147</v>
      </c>
      <c r="B756" s="67"/>
      <c r="C756" s="67"/>
      <c r="D756" s="68"/>
      <c r="E756" s="70"/>
      <c r="F756" s="106" t="str">
        <f>HYPERLINK("https://pbs.twimg.com/profile_images/1436529353613926403/8vq25GPj_normal.jpg")</f>
        <v>https://pbs.twimg.com/profile_images/1436529353613926403/8vq25GPj_normal.jpg</v>
      </c>
      <c r="G756" s="67"/>
      <c r="H756" s="71"/>
      <c r="I756" s="72"/>
      <c r="J756" s="72"/>
      <c r="K756" s="71" t="s">
        <v>7926</v>
      </c>
      <c r="L756" s="75"/>
      <c r="M756" s="76"/>
      <c r="N756" s="76"/>
      <c r="O756" s="77"/>
      <c r="P756" s="78"/>
      <c r="Q756" s="78"/>
      <c r="R756" s="90"/>
      <c r="S756" s="90"/>
      <c r="T756" s="90"/>
      <c r="U756" s="90"/>
      <c r="V756" s="52"/>
      <c r="W756" s="52"/>
      <c r="X756" s="52"/>
      <c r="Y756" s="52"/>
      <c r="Z756" s="51"/>
      <c r="AA756" s="73"/>
      <c r="AB756" s="73"/>
      <c r="AC756" s="74"/>
      <c r="AD756" s="80" t="s">
        <v>4924</v>
      </c>
      <c r="AE756" s="86" t="s">
        <v>4014</v>
      </c>
      <c r="AF756" s="80">
        <v>1797</v>
      </c>
      <c r="AG756" s="80">
        <v>3474</v>
      </c>
      <c r="AH756" s="80">
        <v>28462</v>
      </c>
      <c r="AI756" s="80">
        <v>21337</v>
      </c>
      <c r="AJ756" s="80"/>
      <c r="AK756" s="80" t="s">
        <v>6551</v>
      </c>
      <c r="AL756" s="80" t="s">
        <v>6762</v>
      </c>
      <c r="AM756" s="84" t="str">
        <f>HYPERLINK("https://t.co/ppjq1atJsT")</f>
        <v>https://t.co/ppjq1atJsT</v>
      </c>
      <c r="AN756" s="80"/>
      <c r="AO756" s="82">
        <v>40849.457777777781</v>
      </c>
      <c r="AP756" s="84" t="str">
        <f>HYPERLINK("https://pbs.twimg.com/profile_banners/403338853/1623810180")</f>
        <v>https://pbs.twimg.com/profile_banners/403338853/1623810180</v>
      </c>
      <c r="AQ756" s="80" t="b">
        <v>0</v>
      </c>
      <c r="AR756" s="80" t="b">
        <v>0</v>
      </c>
      <c r="AS756" s="80" t="b">
        <v>1</v>
      </c>
      <c r="AT756" s="80"/>
      <c r="AU756" s="80">
        <v>10</v>
      </c>
      <c r="AV756" s="84" t="str">
        <f>HYPERLINK("https://abs.twimg.com/images/themes/theme9/bg.gif")</f>
        <v>https://abs.twimg.com/images/themes/theme9/bg.gif</v>
      </c>
      <c r="AW756" s="80" t="b">
        <v>0</v>
      </c>
      <c r="AX756" s="80" t="s">
        <v>7173</v>
      </c>
      <c r="AY756" s="84" t="str">
        <f>HYPERLINK("https://twitter.com/alvchrist")</f>
        <v>https://twitter.com/alvchrist</v>
      </c>
      <c r="AZ756" s="80" t="s">
        <v>65</v>
      </c>
      <c r="BA756" s="2"/>
      <c r="BB756" s="3"/>
      <c r="BC756" s="3"/>
      <c r="BD756" s="3"/>
      <c r="BE756" s="3"/>
    </row>
    <row r="757" spans="1:57" x14ac:dyDescent="0.35">
      <c r="A757" s="66" t="s">
        <v>812</v>
      </c>
      <c r="B757" s="67"/>
      <c r="C757" s="67"/>
      <c r="D757" s="68"/>
      <c r="E757" s="70"/>
      <c r="F757" s="106" t="str">
        <f>HYPERLINK("https://pbs.twimg.com/profile_images/1360206918065639430/pKu6BvKB_normal.jpg")</f>
        <v>https://pbs.twimg.com/profile_images/1360206918065639430/pKu6BvKB_normal.jpg</v>
      </c>
      <c r="G757" s="67"/>
      <c r="H757" s="71"/>
      <c r="I757" s="72"/>
      <c r="J757" s="72"/>
      <c r="K757" s="71" t="s">
        <v>7927</v>
      </c>
      <c r="L757" s="75"/>
      <c r="M757" s="76"/>
      <c r="N757" s="76"/>
      <c r="O757" s="77"/>
      <c r="P757" s="78"/>
      <c r="Q757" s="78"/>
      <c r="R757" s="90"/>
      <c r="S757" s="90"/>
      <c r="T757" s="90"/>
      <c r="U757" s="90"/>
      <c r="V757" s="52"/>
      <c r="W757" s="52"/>
      <c r="X757" s="52"/>
      <c r="Y757" s="52"/>
      <c r="Z757" s="51"/>
      <c r="AA757" s="73"/>
      <c r="AB757" s="73"/>
      <c r="AC757" s="74"/>
      <c r="AD757" s="80" t="s">
        <v>4925</v>
      </c>
      <c r="AE757" s="86" t="s">
        <v>5767</v>
      </c>
      <c r="AF757" s="80">
        <v>4982</v>
      </c>
      <c r="AG757" s="80">
        <v>3886</v>
      </c>
      <c r="AH757" s="80">
        <v>69099</v>
      </c>
      <c r="AI757" s="80">
        <v>106708</v>
      </c>
      <c r="AJ757" s="80"/>
      <c r="AK757" s="80"/>
      <c r="AL757" s="80" t="s">
        <v>4145</v>
      </c>
      <c r="AM757" s="80"/>
      <c r="AN757" s="80"/>
      <c r="AO757" s="82">
        <v>40064.26489583333</v>
      </c>
      <c r="AP757" s="84" t="str">
        <f>HYPERLINK("https://pbs.twimg.com/profile_banners/72488008/1613133606")</f>
        <v>https://pbs.twimg.com/profile_banners/72488008/1613133606</v>
      </c>
      <c r="AQ757" s="80" t="b">
        <v>1</v>
      </c>
      <c r="AR757" s="80" t="b">
        <v>0</v>
      </c>
      <c r="AS757" s="80" t="b">
        <v>1</v>
      </c>
      <c r="AT757" s="80"/>
      <c r="AU757" s="80">
        <v>1</v>
      </c>
      <c r="AV757" s="84" t="str">
        <f>HYPERLINK("https://abs.twimg.com/images/themes/theme1/bg.png")</f>
        <v>https://abs.twimg.com/images/themes/theme1/bg.png</v>
      </c>
      <c r="AW757" s="80" t="b">
        <v>0</v>
      </c>
      <c r="AX757" s="80" t="s">
        <v>7173</v>
      </c>
      <c r="AY757" s="84" t="str">
        <f>HYPERLINK("https://twitter.com/nius77")</f>
        <v>https://twitter.com/nius77</v>
      </c>
      <c r="AZ757" s="80" t="s">
        <v>66</v>
      </c>
      <c r="BA757" s="2"/>
      <c r="BB757" s="3"/>
      <c r="BC757" s="3"/>
      <c r="BD757" s="3"/>
      <c r="BE757" s="3"/>
    </row>
    <row r="758" spans="1:57" x14ac:dyDescent="0.35">
      <c r="A758" s="66" t="s">
        <v>813</v>
      </c>
      <c r="B758" s="67"/>
      <c r="C758" s="67"/>
      <c r="D758" s="68"/>
      <c r="E758" s="70"/>
      <c r="F758" s="106" t="str">
        <f>HYPERLINK("https://pbs.twimg.com/profile_images/1436344957531422725/OMveXNEZ_normal.jpg")</f>
        <v>https://pbs.twimg.com/profile_images/1436344957531422725/OMveXNEZ_normal.jpg</v>
      </c>
      <c r="G758" s="67"/>
      <c r="H758" s="71"/>
      <c r="I758" s="72"/>
      <c r="J758" s="72"/>
      <c r="K758" s="71" t="s">
        <v>7928</v>
      </c>
      <c r="L758" s="75"/>
      <c r="M758" s="76"/>
      <c r="N758" s="76"/>
      <c r="O758" s="77"/>
      <c r="P758" s="78"/>
      <c r="Q758" s="78"/>
      <c r="R758" s="90"/>
      <c r="S758" s="90"/>
      <c r="T758" s="90"/>
      <c r="U758" s="90"/>
      <c r="V758" s="52"/>
      <c r="W758" s="52"/>
      <c r="X758" s="52"/>
      <c r="Y758" s="52"/>
      <c r="Z758" s="51"/>
      <c r="AA758" s="73"/>
      <c r="AB758" s="73"/>
      <c r="AC758" s="74"/>
      <c r="AD758" s="80" t="s">
        <v>4926</v>
      </c>
      <c r="AE758" s="86" t="s">
        <v>5768</v>
      </c>
      <c r="AF758" s="80">
        <v>2919</v>
      </c>
      <c r="AG758" s="80">
        <v>2908</v>
      </c>
      <c r="AH758" s="80">
        <v>7950</v>
      </c>
      <c r="AI758" s="80">
        <v>13392</v>
      </c>
      <c r="AJ758" s="80"/>
      <c r="AK758" s="80" t="s">
        <v>6552</v>
      </c>
      <c r="AL758" s="80" t="s">
        <v>4145</v>
      </c>
      <c r="AM758" s="80"/>
      <c r="AN758" s="80"/>
      <c r="AO758" s="82">
        <v>43193.643738425926</v>
      </c>
      <c r="AP758" s="84" t="str">
        <f>HYPERLINK("https://pbs.twimg.com/profile_banners/981191339596398592/1610100907")</f>
        <v>https://pbs.twimg.com/profile_banners/981191339596398592/1610100907</v>
      </c>
      <c r="AQ758" s="80" t="b">
        <v>1</v>
      </c>
      <c r="AR758" s="80" t="b">
        <v>0</v>
      </c>
      <c r="AS758" s="80" t="b">
        <v>0</v>
      </c>
      <c r="AT758" s="80"/>
      <c r="AU758" s="80">
        <v>0</v>
      </c>
      <c r="AV758" s="80"/>
      <c r="AW758" s="80" t="b">
        <v>0</v>
      </c>
      <c r="AX758" s="80" t="s">
        <v>7173</v>
      </c>
      <c r="AY758" s="84" t="str">
        <f>HYPERLINK("https://twitter.com/petarung_0404")</f>
        <v>https://twitter.com/petarung_0404</v>
      </c>
      <c r="AZ758" s="80" t="s">
        <v>66</v>
      </c>
      <c r="BA758" s="2"/>
      <c r="BB758" s="3"/>
      <c r="BC758" s="3"/>
      <c r="BD758" s="3"/>
      <c r="BE758" s="3"/>
    </row>
    <row r="759" spans="1:57" x14ac:dyDescent="0.35">
      <c r="A759" s="66" t="s">
        <v>1148</v>
      </c>
      <c r="B759" s="67"/>
      <c r="C759" s="67"/>
      <c r="D759" s="68"/>
      <c r="E759" s="70"/>
      <c r="F759" s="106" t="str">
        <f>HYPERLINK("https://pbs.twimg.com/profile_images/1415988523757228037/GOp2Z9wA_normal.jpg")</f>
        <v>https://pbs.twimg.com/profile_images/1415988523757228037/GOp2Z9wA_normal.jpg</v>
      </c>
      <c r="G759" s="67"/>
      <c r="H759" s="71"/>
      <c r="I759" s="72"/>
      <c r="J759" s="72"/>
      <c r="K759" s="71" t="s">
        <v>7929</v>
      </c>
      <c r="L759" s="75"/>
      <c r="M759" s="76"/>
      <c r="N759" s="76"/>
      <c r="O759" s="77"/>
      <c r="P759" s="78"/>
      <c r="Q759" s="78"/>
      <c r="R759" s="90"/>
      <c r="S759" s="90"/>
      <c r="T759" s="90"/>
      <c r="U759" s="90"/>
      <c r="V759" s="52"/>
      <c r="W759" s="52"/>
      <c r="X759" s="52"/>
      <c r="Y759" s="52"/>
      <c r="Z759" s="51"/>
      <c r="AA759" s="73"/>
      <c r="AB759" s="73"/>
      <c r="AC759" s="74"/>
      <c r="AD759" s="80" t="s">
        <v>4927</v>
      </c>
      <c r="AE759" s="86" t="s">
        <v>5769</v>
      </c>
      <c r="AF759" s="80">
        <v>7281</v>
      </c>
      <c r="AG759" s="80">
        <v>97412</v>
      </c>
      <c r="AH759" s="80">
        <v>36069</v>
      </c>
      <c r="AI759" s="80">
        <v>40221</v>
      </c>
      <c r="AJ759" s="80"/>
      <c r="AK759" s="80" t="s">
        <v>6553</v>
      </c>
      <c r="AL759" s="80"/>
      <c r="AM759" s="80"/>
      <c r="AN759" s="80"/>
      <c r="AO759" s="82">
        <v>43291.155787037038</v>
      </c>
      <c r="AP759" s="84" t="str">
        <f>HYPERLINK("https://pbs.twimg.com/profile_banners/1016528521705881600/1593395024")</f>
        <v>https://pbs.twimg.com/profile_banners/1016528521705881600/1593395024</v>
      </c>
      <c r="AQ759" s="80" t="b">
        <v>1</v>
      </c>
      <c r="AR759" s="80" t="b">
        <v>0</v>
      </c>
      <c r="AS759" s="80" t="b">
        <v>1</v>
      </c>
      <c r="AT759" s="80"/>
      <c r="AU759" s="80">
        <v>20</v>
      </c>
      <c r="AV759" s="80"/>
      <c r="AW759" s="80" t="b">
        <v>0</v>
      </c>
      <c r="AX759" s="80" t="s">
        <v>7173</v>
      </c>
      <c r="AY759" s="84" t="str">
        <f>HYPERLINK("https://twitter.com/stevaniehuangg")</f>
        <v>https://twitter.com/stevaniehuangg</v>
      </c>
      <c r="AZ759" s="80" t="s">
        <v>65</v>
      </c>
      <c r="BA759" s="2"/>
      <c r="BB759" s="3"/>
      <c r="BC759" s="3"/>
      <c r="BD759" s="3"/>
      <c r="BE759" s="3"/>
    </row>
    <row r="760" spans="1:57" x14ac:dyDescent="0.35">
      <c r="A760" s="66" t="s">
        <v>1149</v>
      </c>
      <c r="B760" s="67"/>
      <c r="C760" s="67"/>
      <c r="D760" s="68"/>
      <c r="E760" s="70"/>
      <c r="F760" s="106" t="str">
        <f>HYPERLINK("https://pbs.twimg.com/profile_images/1428940144170569730/zBpYi6bb_normal.jpg")</f>
        <v>https://pbs.twimg.com/profile_images/1428940144170569730/zBpYi6bb_normal.jpg</v>
      </c>
      <c r="G760" s="67"/>
      <c r="H760" s="71"/>
      <c r="I760" s="72"/>
      <c r="J760" s="72"/>
      <c r="K760" s="71" t="s">
        <v>7930</v>
      </c>
      <c r="L760" s="75"/>
      <c r="M760" s="76"/>
      <c r="N760" s="76"/>
      <c r="O760" s="77"/>
      <c r="P760" s="78"/>
      <c r="Q760" s="78"/>
      <c r="R760" s="90"/>
      <c r="S760" s="90"/>
      <c r="T760" s="90"/>
      <c r="U760" s="90"/>
      <c r="V760" s="52"/>
      <c r="W760" s="52"/>
      <c r="X760" s="52"/>
      <c r="Y760" s="52"/>
      <c r="Z760" s="51"/>
      <c r="AA760" s="73"/>
      <c r="AB760" s="73"/>
      <c r="AC760" s="74"/>
      <c r="AD760" s="80" t="s">
        <v>4928</v>
      </c>
      <c r="AE760" s="86" t="s">
        <v>4015</v>
      </c>
      <c r="AF760" s="80">
        <v>286</v>
      </c>
      <c r="AG760" s="80">
        <v>373</v>
      </c>
      <c r="AH760" s="80">
        <v>14918</v>
      </c>
      <c r="AI760" s="80">
        <v>34196</v>
      </c>
      <c r="AJ760" s="80"/>
      <c r="AK760" s="80" t="s">
        <v>6554</v>
      </c>
      <c r="AL760" s="80" t="s">
        <v>6795</v>
      </c>
      <c r="AM760" s="80"/>
      <c r="AN760" s="80"/>
      <c r="AO760" s="82">
        <v>40433.857997685183</v>
      </c>
      <c r="AP760" s="84" t="str">
        <f>HYPERLINK("https://pbs.twimg.com/profile_banners/190002562/1610376337")</f>
        <v>https://pbs.twimg.com/profile_banners/190002562/1610376337</v>
      </c>
      <c r="AQ760" s="80" t="b">
        <v>1</v>
      </c>
      <c r="AR760" s="80" t="b">
        <v>0</v>
      </c>
      <c r="AS760" s="80" t="b">
        <v>0</v>
      </c>
      <c r="AT760" s="80"/>
      <c r="AU760" s="80">
        <v>1</v>
      </c>
      <c r="AV760" s="84" t="str">
        <f>HYPERLINK("https://abs.twimg.com/images/themes/theme1/bg.png")</f>
        <v>https://abs.twimg.com/images/themes/theme1/bg.png</v>
      </c>
      <c r="AW760" s="80" t="b">
        <v>0</v>
      </c>
      <c r="AX760" s="80" t="s">
        <v>7173</v>
      </c>
      <c r="AY760" s="84" t="str">
        <f>HYPERLINK("https://twitter.com/basalemax")</f>
        <v>https://twitter.com/basalemax</v>
      </c>
      <c r="AZ760" s="80" t="s">
        <v>65</v>
      </c>
      <c r="BA760" s="2"/>
      <c r="BB760" s="3"/>
      <c r="BC760" s="3"/>
      <c r="BD760" s="3"/>
      <c r="BE760" s="3"/>
    </row>
    <row r="761" spans="1:57" x14ac:dyDescent="0.35">
      <c r="A761" s="66" t="s">
        <v>814</v>
      </c>
      <c r="B761" s="67"/>
      <c r="C761" s="67"/>
      <c r="D761" s="68"/>
      <c r="E761" s="70"/>
      <c r="F761" s="106" t="str">
        <f>HYPERLINK("https://pbs.twimg.com/profile_images/1417886106280816646/3km-ibhB_normal.jpg")</f>
        <v>https://pbs.twimg.com/profile_images/1417886106280816646/3km-ibhB_normal.jpg</v>
      </c>
      <c r="G761" s="67"/>
      <c r="H761" s="71"/>
      <c r="I761" s="72"/>
      <c r="J761" s="72"/>
      <c r="K761" s="71" t="s">
        <v>7931</v>
      </c>
      <c r="L761" s="75"/>
      <c r="M761" s="76"/>
      <c r="N761" s="76"/>
      <c r="O761" s="77"/>
      <c r="P761" s="78"/>
      <c r="Q761" s="78"/>
      <c r="R761" s="90"/>
      <c r="S761" s="90"/>
      <c r="T761" s="90"/>
      <c r="U761" s="90"/>
      <c r="V761" s="52"/>
      <c r="W761" s="52"/>
      <c r="X761" s="52"/>
      <c r="Y761" s="52"/>
      <c r="Z761" s="51"/>
      <c r="AA761" s="73"/>
      <c r="AB761" s="73"/>
      <c r="AC761" s="74"/>
      <c r="AD761" s="80" t="s">
        <v>4929</v>
      </c>
      <c r="AE761" s="86" t="s">
        <v>5770</v>
      </c>
      <c r="AF761" s="80">
        <v>229</v>
      </c>
      <c r="AG761" s="80">
        <v>102</v>
      </c>
      <c r="AH761" s="80">
        <v>8338</v>
      </c>
      <c r="AI761" s="80">
        <v>2830</v>
      </c>
      <c r="AJ761" s="80"/>
      <c r="AK761" s="80" t="s">
        <v>6555</v>
      </c>
      <c r="AL761" s="80"/>
      <c r="AM761" s="80"/>
      <c r="AN761" s="80"/>
      <c r="AO761" s="82">
        <v>43723.264490740738</v>
      </c>
      <c r="AP761" s="84" t="str">
        <f>HYPERLINK("https://pbs.twimg.com/profile_banners/1173119399516987397/1603885226")</f>
        <v>https://pbs.twimg.com/profile_banners/1173119399516987397/1603885226</v>
      </c>
      <c r="AQ761" s="80" t="b">
        <v>1</v>
      </c>
      <c r="AR761" s="80" t="b">
        <v>0</v>
      </c>
      <c r="AS761" s="80" t="b">
        <v>0</v>
      </c>
      <c r="AT761" s="80"/>
      <c r="AU761" s="80">
        <v>0</v>
      </c>
      <c r="AV761" s="80"/>
      <c r="AW761" s="80" t="b">
        <v>0</v>
      </c>
      <c r="AX761" s="80" t="s">
        <v>7173</v>
      </c>
      <c r="AY761" s="84" t="str">
        <f>HYPERLINK("https://twitter.com/ajussideul_exe")</f>
        <v>https://twitter.com/ajussideul_exe</v>
      </c>
      <c r="AZ761" s="80" t="s">
        <v>66</v>
      </c>
      <c r="BA761" s="2"/>
      <c r="BB761" s="3"/>
      <c r="BC761" s="3"/>
      <c r="BD761" s="3"/>
      <c r="BE761" s="3"/>
    </row>
    <row r="762" spans="1:57" x14ac:dyDescent="0.35">
      <c r="A762" s="66" t="s">
        <v>815</v>
      </c>
      <c r="B762" s="67"/>
      <c r="C762" s="67"/>
      <c r="D762" s="68"/>
      <c r="E762" s="70"/>
      <c r="F762" s="106" t="str">
        <f>HYPERLINK("https://pbs.twimg.com/profile_images/1397741769761067009/VvSLnQy-_normal.jpg")</f>
        <v>https://pbs.twimg.com/profile_images/1397741769761067009/VvSLnQy-_normal.jpg</v>
      </c>
      <c r="G762" s="67"/>
      <c r="H762" s="71"/>
      <c r="I762" s="72"/>
      <c r="J762" s="72"/>
      <c r="K762" s="71" t="s">
        <v>7932</v>
      </c>
      <c r="L762" s="75"/>
      <c r="M762" s="76"/>
      <c r="N762" s="76"/>
      <c r="O762" s="77"/>
      <c r="P762" s="78"/>
      <c r="Q762" s="78"/>
      <c r="R762" s="90"/>
      <c r="S762" s="90"/>
      <c r="T762" s="90"/>
      <c r="U762" s="90"/>
      <c r="V762" s="52"/>
      <c r="W762" s="52"/>
      <c r="X762" s="52"/>
      <c r="Y762" s="52"/>
      <c r="Z762" s="51"/>
      <c r="AA762" s="73"/>
      <c r="AB762" s="73"/>
      <c r="AC762" s="74"/>
      <c r="AD762" s="80" t="s">
        <v>4930</v>
      </c>
      <c r="AE762" s="86" t="s">
        <v>5771</v>
      </c>
      <c r="AF762" s="80">
        <v>153</v>
      </c>
      <c r="AG762" s="80">
        <v>35</v>
      </c>
      <c r="AH762" s="80">
        <v>884</v>
      </c>
      <c r="AI762" s="80">
        <v>2208</v>
      </c>
      <c r="AJ762" s="80"/>
      <c r="AK762" s="80" t="s">
        <v>6556</v>
      </c>
      <c r="AL762" s="80" t="s">
        <v>7071</v>
      </c>
      <c r="AM762" s="80"/>
      <c r="AN762" s="80"/>
      <c r="AO762" s="82">
        <v>44291.237476851849</v>
      </c>
      <c r="AP762" s="84" t="str">
        <f>HYPERLINK("https://pbs.twimg.com/profile_banners/1378945965399240705/1617601916")</f>
        <v>https://pbs.twimg.com/profile_banners/1378945965399240705/1617601916</v>
      </c>
      <c r="AQ762" s="80" t="b">
        <v>1</v>
      </c>
      <c r="AR762" s="80" t="b">
        <v>0</v>
      </c>
      <c r="AS762" s="80" t="b">
        <v>0</v>
      </c>
      <c r="AT762" s="80"/>
      <c r="AU762" s="80">
        <v>0</v>
      </c>
      <c r="AV762" s="80"/>
      <c r="AW762" s="80" t="b">
        <v>0</v>
      </c>
      <c r="AX762" s="80" t="s">
        <v>7173</v>
      </c>
      <c r="AY762" s="84" t="str">
        <f>HYPERLINK("https://twitter.com/ayramyoui")</f>
        <v>https://twitter.com/ayramyoui</v>
      </c>
      <c r="AZ762" s="80" t="s">
        <v>66</v>
      </c>
      <c r="BA762" s="2"/>
      <c r="BB762" s="3"/>
      <c r="BC762" s="3"/>
      <c r="BD762" s="3"/>
      <c r="BE762" s="3"/>
    </row>
    <row r="763" spans="1:57" x14ac:dyDescent="0.35">
      <c r="A763" s="66" t="s">
        <v>1150</v>
      </c>
      <c r="B763" s="67"/>
      <c r="C763" s="67"/>
      <c r="D763" s="68"/>
      <c r="E763" s="70"/>
      <c r="F763" s="106" t="str">
        <f>HYPERLINK("https://pbs.twimg.com/profile_images/1434823528029642755/cgF2pGcn_normal.jpg")</f>
        <v>https://pbs.twimg.com/profile_images/1434823528029642755/cgF2pGcn_normal.jpg</v>
      </c>
      <c r="G763" s="67"/>
      <c r="H763" s="71"/>
      <c r="I763" s="72"/>
      <c r="J763" s="72"/>
      <c r="K763" s="71" t="s">
        <v>7933</v>
      </c>
      <c r="L763" s="75"/>
      <c r="M763" s="76"/>
      <c r="N763" s="76"/>
      <c r="O763" s="77"/>
      <c r="P763" s="78"/>
      <c r="Q763" s="78"/>
      <c r="R763" s="90"/>
      <c r="S763" s="90"/>
      <c r="T763" s="90"/>
      <c r="U763" s="90"/>
      <c r="V763" s="52"/>
      <c r="W763" s="52"/>
      <c r="X763" s="52"/>
      <c r="Y763" s="52"/>
      <c r="Z763" s="51"/>
      <c r="AA763" s="73"/>
      <c r="AB763" s="73"/>
      <c r="AC763" s="74"/>
      <c r="AD763" s="80" t="s">
        <v>4931</v>
      </c>
      <c r="AE763" s="86" t="s">
        <v>4016</v>
      </c>
      <c r="AF763" s="80">
        <v>359</v>
      </c>
      <c r="AG763" s="80">
        <v>1775</v>
      </c>
      <c r="AH763" s="80">
        <v>4478</v>
      </c>
      <c r="AI763" s="80">
        <v>5266</v>
      </c>
      <c r="AJ763" s="80"/>
      <c r="AK763" s="80" t="s">
        <v>6557</v>
      </c>
      <c r="AL763" s="80" t="s">
        <v>4145</v>
      </c>
      <c r="AM763" s="84" t="str">
        <f>HYPERLINK("https://t.co/rs2ICPTUo7")</f>
        <v>https://t.co/rs2ICPTUo7</v>
      </c>
      <c r="AN763" s="80"/>
      <c r="AO763" s="82">
        <v>43952.524386574078</v>
      </c>
      <c r="AP763" s="84" t="str">
        <f>HYPERLINK("https://pbs.twimg.com/profile_banners/1256200353399230464/1621449020")</f>
        <v>https://pbs.twimg.com/profile_banners/1256200353399230464/1621449020</v>
      </c>
      <c r="AQ763" s="80" t="b">
        <v>1</v>
      </c>
      <c r="AR763" s="80" t="b">
        <v>0</v>
      </c>
      <c r="AS763" s="80" t="b">
        <v>0</v>
      </c>
      <c r="AT763" s="80"/>
      <c r="AU763" s="80">
        <v>12</v>
      </c>
      <c r="AV763" s="80"/>
      <c r="AW763" s="80" t="b">
        <v>0</v>
      </c>
      <c r="AX763" s="80" t="s">
        <v>7173</v>
      </c>
      <c r="AY763" s="84" t="str">
        <f>HYPERLINK("https://twitter.com/minerose_id")</f>
        <v>https://twitter.com/minerose_id</v>
      </c>
      <c r="AZ763" s="80" t="s">
        <v>65</v>
      </c>
      <c r="BA763" s="2"/>
      <c r="BB763" s="3"/>
      <c r="BC763" s="3"/>
      <c r="BD763" s="3"/>
      <c r="BE763" s="3"/>
    </row>
    <row r="764" spans="1:57" x14ac:dyDescent="0.35">
      <c r="A764" s="66" t="s">
        <v>816</v>
      </c>
      <c r="B764" s="67"/>
      <c r="C764" s="67"/>
      <c r="D764" s="68"/>
      <c r="E764" s="70"/>
      <c r="F764" s="106" t="str">
        <f>HYPERLINK("https://pbs.twimg.com/profile_images/1417894126788308993/hd3CLPPl_normal.jpg")</f>
        <v>https://pbs.twimg.com/profile_images/1417894126788308993/hd3CLPPl_normal.jpg</v>
      </c>
      <c r="G764" s="67"/>
      <c r="H764" s="71"/>
      <c r="I764" s="72"/>
      <c r="J764" s="72"/>
      <c r="K764" s="71" t="s">
        <v>7934</v>
      </c>
      <c r="L764" s="75"/>
      <c r="M764" s="76"/>
      <c r="N764" s="76"/>
      <c r="O764" s="77"/>
      <c r="P764" s="78"/>
      <c r="Q764" s="78"/>
      <c r="R764" s="90"/>
      <c r="S764" s="90"/>
      <c r="T764" s="90"/>
      <c r="U764" s="90"/>
      <c r="V764" s="52"/>
      <c r="W764" s="52"/>
      <c r="X764" s="52"/>
      <c r="Y764" s="52"/>
      <c r="Z764" s="51"/>
      <c r="AA764" s="73"/>
      <c r="AB764" s="73"/>
      <c r="AC764" s="74"/>
      <c r="AD764" s="80" t="s">
        <v>4932</v>
      </c>
      <c r="AE764" s="86" t="s">
        <v>5772</v>
      </c>
      <c r="AF764" s="80">
        <v>28</v>
      </c>
      <c r="AG764" s="80">
        <v>4</v>
      </c>
      <c r="AH764" s="80">
        <v>9</v>
      </c>
      <c r="AI764" s="80">
        <v>72</v>
      </c>
      <c r="AJ764" s="80"/>
      <c r="AK764" s="80" t="s">
        <v>6558</v>
      </c>
      <c r="AL764" s="80" t="s">
        <v>7072</v>
      </c>
      <c r="AM764" s="80"/>
      <c r="AN764" s="80"/>
      <c r="AO764" s="82">
        <v>43844.785439814812</v>
      </c>
      <c r="AP764" s="84" t="str">
        <f>HYPERLINK("https://pbs.twimg.com/profile_banners/1217157136486035456/1626887278")</f>
        <v>https://pbs.twimg.com/profile_banners/1217157136486035456/1626887278</v>
      </c>
      <c r="AQ764" s="80" t="b">
        <v>1</v>
      </c>
      <c r="AR764" s="80" t="b">
        <v>0</v>
      </c>
      <c r="AS764" s="80" t="b">
        <v>0</v>
      </c>
      <c r="AT764" s="80"/>
      <c r="AU764" s="80">
        <v>0</v>
      </c>
      <c r="AV764" s="80"/>
      <c r="AW764" s="80" t="b">
        <v>0</v>
      </c>
      <c r="AX764" s="80" t="s">
        <v>7173</v>
      </c>
      <c r="AY764" s="84" t="str">
        <f>HYPERLINK("https://twitter.com/mantulbarang")</f>
        <v>https://twitter.com/mantulbarang</v>
      </c>
      <c r="AZ764" s="80" t="s">
        <v>66</v>
      </c>
      <c r="BA764" s="2"/>
      <c r="BB764" s="3"/>
      <c r="BC764" s="3"/>
      <c r="BD764" s="3"/>
      <c r="BE764" s="3"/>
    </row>
    <row r="765" spans="1:57" x14ac:dyDescent="0.35">
      <c r="A765" s="66" t="s">
        <v>1151</v>
      </c>
      <c r="B765" s="67"/>
      <c r="C765" s="67"/>
      <c r="D765" s="68"/>
      <c r="E765" s="70"/>
      <c r="F765" s="106" t="str">
        <f>HYPERLINK("https://pbs.twimg.com/profile_images/1426278295209869313/alNZBH2p_normal.jpg")</f>
        <v>https://pbs.twimg.com/profile_images/1426278295209869313/alNZBH2p_normal.jpg</v>
      </c>
      <c r="G765" s="67"/>
      <c r="H765" s="71"/>
      <c r="I765" s="72"/>
      <c r="J765" s="72"/>
      <c r="K765" s="71" t="s">
        <v>7935</v>
      </c>
      <c r="L765" s="75"/>
      <c r="M765" s="76"/>
      <c r="N765" s="76"/>
      <c r="O765" s="77"/>
      <c r="P765" s="78"/>
      <c r="Q765" s="78"/>
      <c r="R765" s="90"/>
      <c r="S765" s="90"/>
      <c r="T765" s="90"/>
      <c r="U765" s="90"/>
      <c r="V765" s="52"/>
      <c r="W765" s="52"/>
      <c r="X765" s="52"/>
      <c r="Y765" s="52"/>
      <c r="Z765" s="51"/>
      <c r="AA765" s="73"/>
      <c r="AB765" s="73"/>
      <c r="AC765" s="74"/>
      <c r="AD765" s="80" t="s">
        <v>4933</v>
      </c>
      <c r="AE765" s="86" t="s">
        <v>5773</v>
      </c>
      <c r="AF765" s="80">
        <v>372</v>
      </c>
      <c r="AG765" s="80">
        <v>87</v>
      </c>
      <c r="AH765" s="80">
        <v>98</v>
      </c>
      <c r="AI765" s="80">
        <v>72</v>
      </c>
      <c r="AJ765" s="80"/>
      <c r="AK765" s="80" t="s">
        <v>6559</v>
      </c>
      <c r="AL765" s="80" t="s">
        <v>7073</v>
      </c>
      <c r="AM765" s="80"/>
      <c r="AN765" s="80"/>
      <c r="AO765" s="82">
        <v>44063.845601851855</v>
      </c>
      <c r="AP765" s="84" t="str">
        <f>HYPERLINK("https://pbs.twimg.com/profile_banners/1296541814246092800/1629096910")</f>
        <v>https://pbs.twimg.com/profile_banners/1296541814246092800/1629096910</v>
      </c>
      <c r="AQ765" s="80" t="b">
        <v>1</v>
      </c>
      <c r="AR765" s="80" t="b">
        <v>0</v>
      </c>
      <c r="AS765" s="80" t="b">
        <v>0</v>
      </c>
      <c r="AT765" s="80"/>
      <c r="AU765" s="80">
        <v>0</v>
      </c>
      <c r="AV765" s="80"/>
      <c r="AW765" s="80" t="b">
        <v>0</v>
      </c>
      <c r="AX765" s="80" t="s">
        <v>7173</v>
      </c>
      <c r="AY765" s="84" t="str">
        <f>HYPERLINK("https://twitter.com/ggggggilang")</f>
        <v>https://twitter.com/ggggggilang</v>
      </c>
      <c r="AZ765" s="80" t="s">
        <v>65</v>
      </c>
      <c r="BA765" s="2"/>
      <c r="BB765" s="3"/>
      <c r="BC765" s="3"/>
      <c r="BD765" s="3"/>
      <c r="BE765" s="3"/>
    </row>
    <row r="766" spans="1:57" x14ac:dyDescent="0.35">
      <c r="A766" s="66" t="s">
        <v>1152</v>
      </c>
      <c r="B766" s="67"/>
      <c r="C766" s="67"/>
      <c r="D766" s="68"/>
      <c r="E766" s="70"/>
      <c r="F766" s="106" t="str">
        <f>HYPERLINK("https://pbs.twimg.com/profile_images/1439632312338030602/0uJZlBci_normal.jpg")</f>
        <v>https://pbs.twimg.com/profile_images/1439632312338030602/0uJZlBci_normal.jpg</v>
      </c>
      <c r="G766" s="67"/>
      <c r="H766" s="71"/>
      <c r="I766" s="72"/>
      <c r="J766" s="72"/>
      <c r="K766" s="71" t="s">
        <v>7936</v>
      </c>
      <c r="L766" s="75"/>
      <c r="M766" s="76"/>
      <c r="N766" s="76"/>
      <c r="O766" s="77"/>
      <c r="P766" s="78"/>
      <c r="Q766" s="78"/>
      <c r="R766" s="90"/>
      <c r="S766" s="90"/>
      <c r="T766" s="90"/>
      <c r="U766" s="90"/>
      <c r="V766" s="52"/>
      <c r="W766" s="52"/>
      <c r="X766" s="52"/>
      <c r="Y766" s="52"/>
      <c r="Z766" s="51"/>
      <c r="AA766" s="73"/>
      <c r="AB766" s="73"/>
      <c r="AC766" s="74"/>
      <c r="AD766" s="80" t="s">
        <v>4934</v>
      </c>
      <c r="AE766" s="86" t="s">
        <v>4017</v>
      </c>
      <c r="AF766" s="80">
        <v>1306</v>
      </c>
      <c r="AG766" s="80">
        <v>2312</v>
      </c>
      <c r="AH766" s="80">
        <v>2019</v>
      </c>
      <c r="AI766" s="80">
        <v>47</v>
      </c>
      <c r="AJ766" s="80"/>
      <c r="AK766" s="80" t="s">
        <v>6560</v>
      </c>
      <c r="AL766" s="80" t="s">
        <v>6915</v>
      </c>
      <c r="AM766" s="84" t="str">
        <f>HYPERLINK("https://t.co/fATBtPMBVe")</f>
        <v>https://t.co/fATBtPMBVe</v>
      </c>
      <c r="AN766" s="80"/>
      <c r="AO766" s="82">
        <v>44404.756805555553</v>
      </c>
      <c r="AP766" s="84" t="str">
        <f>HYPERLINK("https://pbs.twimg.com/profile_banners/1420083957345918979/1628174996")</f>
        <v>https://pbs.twimg.com/profile_banners/1420083957345918979/1628174996</v>
      </c>
      <c r="AQ766" s="80" t="b">
        <v>1</v>
      </c>
      <c r="AR766" s="80" t="b">
        <v>0</v>
      </c>
      <c r="AS766" s="80" t="b">
        <v>0</v>
      </c>
      <c r="AT766" s="80"/>
      <c r="AU766" s="80">
        <v>1</v>
      </c>
      <c r="AV766" s="80"/>
      <c r="AW766" s="80" t="b">
        <v>0</v>
      </c>
      <c r="AX766" s="80" t="s">
        <v>7173</v>
      </c>
      <c r="AY766" s="84" t="str">
        <f>HYPERLINK("https://twitter.com/godsdraken")</f>
        <v>https://twitter.com/godsdraken</v>
      </c>
      <c r="AZ766" s="80" t="s">
        <v>65</v>
      </c>
      <c r="BA766" s="2"/>
      <c r="BB766" s="3"/>
      <c r="BC766" s="3"/>
      <c r="BD766" s="3"/>
      <c r="BE766" s="3"/>
    </row>
    <row r="767" spans="1:57" x14ac:dyDescent="0.35">
      <c r="A767" s="66" t="s">
        <v>817</v>
      </c>
      <c r="B767" s="67"/>
      <c r="C767" s="67"/>
      <c r="D767" s="68"/>
      <c r="E767" s="70"/>
      <c r="F767" s="106" t="str">
        <f>HYPERLINK("https://pbs.twimg.com/profile_images/1902946648/250150_215895385097436_100000309270949_695913_8217835_n_normal.jpg")</f>
        <v>https://pbs.twimg.com/profile_images/1902946648/250150_215895385097436_100000309270949_695913_8217835_n_normal.jpg</v>
      </c>
      <c r="G767" s="67"/>
      <c r="H767" s="71"/>
      <c r="I767" s="72"/>
      <c r="J767" s="72"/>
      <c r="K767" s="71" t="s">
        <v>7937</v>
      </c>
      <c r="L767" s="75"/>
      <c r="M767" s="76"/>
      <c r="N767" s="76"/>
      <c r="O767" s="77"/>
      <c r="P767" s="78"/>
      <c r="Q767" s="78"/>
      <c r="R767" s="90"/>
      <c r="S767" s="90"/>
      <c r="T767" s="90"/>
      <c r="U767" s="90"/>
      <c r="V767" s="52"/>
      <c r="W767" s="52"/>
      <c r="X767" s="52"/>
      <c r="Y767" s="52"/>
      <c r="Z767" s="51"/>
      <c r="AA767" s="73"/>
      <c r="AB767" s="73"/>
      <c r="AC767" s="74"/>
      <c r="AD767" s="80" t="s">
        <v>4935</v>
      </c>
      <c r="AE767" s="86" t="s">
        <v>4018</v>
      </c>
      <c r="AF767" s="80">
        <v>107</v>
      </c>
      <c r="AG767" s="80">
        <v>88</v>
      </c>
      <c r="AH767" s="80">
        <v>44</v>
      </c>
      <c r="AI767" s="80">
        <v>12</v>
      </c>
      <c r="AJ767" s="80"/>
      <c r="AK767" s="80" t="s">
        <v>6561</v>
      </c>
      <c r="AL767" s="80"/>
      <c r="AM767" s="80"/>
      <c r="AN767" s="80"/>
      <c r="AO767" s="82">
        <v>40190.392384259256</v>
      </c>
      <c r="AP767" s="84" t="str">
        <f>HYPERLINK("https://pbs.twimg.com/profile_banners/104116822/1621501187")</f>
        <v>https://pbs.twimg.com/profile_banners/104116822/1621501187</v>
      </c>
      <c r="AQ767" s="80" t="b">
        <v>0</v>
      </c>
      <c r="AR767" s="80" t="b">
        <v>0</v>
      </c>
      <c r="AS767" s="80" t="b">
        <v>1</v>
      </c>
      <c r="AT767" s="80"/>
      <c r="AU767" s="80">
        <v>0</v>
      </c>
      <c r="AV767" s="84" t="str">
        <f>HYPERLINK("https://abs.twimg.com/images/themes/theme1/bg.png")</f>
        <v>https://abs.twimg.com/images/themes/theme1/bg.png</v>
      </c>
      <c r="AW767" s="80" t="b">
        <v>0</v>
      </c>
      <c r="AX767" s="80" t="s">
        <v>7173</v>
      </c>
      <c r="AY767" s="84" t="str">
        <f>HYPERLINK("https://twitter.com/yutas_yosa")</f>
        <v>https://twitter.com/yutas_yosa</v>
      </c>
      <c r="AZ767" s="80" t="s">
        <v>66</v>
      </c>
      <c r="BA767" s="2"/>
      <c r="BB767" s="3"/>
      <c r="BC767" s="3"/>
      <c r="BD767" s="3"/>
      <c r="BE767" s="3"/>
    </row>
    <row r="768" spans="1:57" x14ac:dyDescent="0.35">
      <c r="A768" s="66" t="s">
        <v>1153</v>
      </c>
      <c r="B768" s="67"/>
      <c r="C768" s="67"/>
      <c r="D768" s="68"/>
      <c r="E768" s="70"/>
      <c r="F768" s="106" t="str">
        <f>HYPERLINK("https://pbs.twimg.com/profile_images/1398201444856078336/H0U5zfWq_normal.jpg")</f>
        <v>https://pbs.twimg.com/profile_images/1398201444856078336/H0U5zfWq_normal.jpg</v>
      </c>
      <c r="G768" s="67"/>
      <c r="H768" s="71"/>
      <c r="I768" s="72"/>
      <c r="J768" s="72"/>
      <c r="K768" s="71" t="s">
        <v>7938</v>
      </c>
      <c r="L768" s="75"/>
      <c r="M768" s="76"/>
      <c r="N768" s="76"/>
      <c r="O768" s="77"/>
      <c r="P768" s="78"/>
      <c r="Q768" s="78"/>
      <c r="R768" s="90"/>
      <c r="S768" s="90"/>
      <c r="T768" s="90"/>
      <c r="U768" s="90"/>
      <c r="V768" s="52"/>
      <c r="W768" s="52"/>
      <c r="X768" s="52"/>
      <c r="Y768" s="52"/>
      <c r="Z768" s="51"/>
      <c r="AA768" s="73"/>
      <c r="AB768" s="73"/>
      <c r="AC768" s="74"/>
      <c r="AD768" s="80" t="s">
        <v>4936</v>
      </c>
      <c r="AE768" s="86" t="s">
        <v>5774</v>
      </c>
      <c r="AF768" s="80">
        <v>104</v>
      </c>
      <c r="AG768" s="80">
        <v>3576</v>
      </c>
      <c r="AH768" s="80">
        <v>1157</v>
      </c>
      <c r="AI768" s="80">
        <v>799</v>
      </c>
      <c r="AJ768" s="80"/>
      <c r="AK768" s="80" t="s">
        <v>6562</v>
      </c>
      <c r="AL768" s="80" t="s">
        <v>7074</v>
      </c>
      <c r="AM768" s="80"/>
      <c r="AN768" s="80"/>
      <c r="AO768" s="82">
        <v>41922.14503472222</v>
      </c>
      <c r="AP768" s="84" t="str">
        <f>HYPERLINK("https://pbs.twimg.com/profile_banners/2849577974/1631474848")</f>
        <v>https://pbs.twimg.com/profile_banners/2849577974/1631474848</v>
      </c>
      <c r="AQ768" s="80" t="b">
        <v>1</v>
      </c>
      <c r="AR768" s="80" t="b">
        <v>0</v>
      </c>
      <c r="AS768" s="80" t="b">
        <v>1</v>
      </c>
      <c r="AT768" s="80"/>
      <c r="AU768" s="80">
        <v>3</v>
      </c>
      <c r="AV768" s="84" t="str">
        <f>HYPERLINK("https://abs.twimg.com/images/themes/theme1/bg.png")</f>
        <v>https://abs.twimg.com/images/themes/theme1/bg.png</v>
      </c>
      <c r="AW768" s="80" t="b">
        <v>0</v>
      </c>
      <c r="AX768" s="80" t="s">
        <v>7173</v>
      </c>
      <c r="AY768" s="84" t="str">
        <f>HYPERLINK("https://twitter.com/deatjehers")</f>
        <v>https://twitter.com/deatjehers</v>
      </c>
      <c r="AZ768" s="80" t="s">
        <v>65</v>
      </c>
      <c r="BA768" s="2"/>
      <c r="BB768" s="3"/>
      <c r="BC768" s="3"/>
      <c r="BD768" s="3"/>
      <c r="BE768" s="3"/>
    </row>
    <row r="769" spans="1:57" x14ac:dyDescent="0.35">
      <c r="A769" s="66" t="s">
        <v>818</v>
      </c>
      <c r="B769" s="67"/>
      <c r="C769" s="67"/>
      <c r="D769" s="68"/>
      <c r="E769" s="70"/>
      <c r="F769" s="106" t="str">
        <f>HYPERLINK("https://pbs.twimg.com/profile_images/1161807725094768640/rJZfyoha_normal.jpg")</f>
        <v>https://pbs.twimg.com/profile_images/1161807725094768640/rJZfyoha_normal.jpg</v>
      </c>
      <c r="G769" s="67"/>
      <c r="H769" s="71"/>
      <c r="I769" s="72"/>
      <c r="J769" s="72"/>
      <c r="K769" s="71" t="s">
        <v>7939</v>
      </c>
      <c r="L769" s="75"/>
      <c r="M769" s="76"/>
      <c r="N769" s="76"/>
      <c r="O769" s="77"/>
      <c r="P769" s="78"/>
      <c r="Q769" s="78"/>
      <c r="R769" s="90"/>
      <c r="S769" s="90"/>
      <c r="T769" s="90"/>
      <c r="U769" s="90"/>
      <c r="V769" s="52"/>
      <c r="W769" s="52"/>
      <c r="X769" s="52"/>
      <c r="Y769" s="52"/>
      <c r="Z769" s="51"/>
      <c r="AA769" s="73"/>
      <c r="AB769" s="73"/>
      <c r="AC769" s="74"/>
      <c r="AD769" s="80" t="s">
        <v>4937</v>
      </c>
      <c r="AE769" s="86" t="s">
        <v>5775</v>
      </c>
      <c r="AF769" s="80">
        <v>1740</v>
      </c>
      <c r="AG769" s="80">
        <v>1260</v>
      </c>
      <c r="AH769" s="80">
        <v>11642</v>
      </c>
      <c r="AI769" s="80">
        <v>62212</v>
      </c>
      <c r="AJ769" s="80"/>
      <c r="AK769" s="80" t="s">
        <v>6563</v>
      </c>
      <c r="AL769" s="80"/>
      <c r="AM769" s="80"/>
      <c r="AN769" s="80"/>
      <c r="AO769" s="82">
        <v>43692.048958333333</v>
      </c>
      <c r="AP769" s="84" t="str">
        <f>HYPERLINK("https://pbs.twimg.com/profile_banners/1161807341919977472/1623232480")</f>
        <v>https://pbs.twimg.com/profile_banners/1161807341919977472/1623232480</v>
      </c>
      <c r="AQ769" s="80" t="b">
        <v>1</v>
      </c>
      <c r="AR769" s="80" t="b">
        <v>0</v>
      </c>
      <c r="AS769" s="80" t="b">
        <v>1</v>
      </c>
      <c r="AT769" s="80"/>
      <c r="AU769" s="80">
        <v>0</v>
      </c>
      <c r="AV769" s="80"/>
      <c r="AW769" s="80" t="b">
        <v>0</v>
      </c>
      <c r="AX769" s="80" t="s">
        <v>7173</v>
      </c>
      <c r="AY769" s="84" t="str">
        <f>HYPERLINK("https://twitter.com/broari6")</f>
        <v>https://twitter.com/broari6</v>
      </c>
      <c r="AZ769" s="80" t="s">
        <v>66</v>
      </c>
      <c r="BA769" s="2"/>
      <c r="BB769" s="3"/>
      <c r="BC769" s="3"/>
      <c r="BD769" s="3"/>
      <c r="BE769" s="3"/>
    </row>
    <row r="770" spans="1:57" x14ac:dyDescent="0.35">
      <c r="A770" s="66" t="s">
        <v>819</v>
      </c>
      <c r="B770" s="67"/>
      <c r="C770" s="67"/>
      <c r="D770" s="68"/>
      <c r="E770" s="70"/>
      <c r="F770" s="106" t="str">
        <f>HYPERLINK("https://pbs.twimg.com/profile_images/1419634100210520070/5dUXLCxW_normal.jpg")</f>
        <v>https://pbs.twimg.com/profile_images/1419634100210520070/5dUXLCxW_normal.jpg</v>
      </c>
      <c r="G770" s="67"/>
      <c r="H770" s="71"/>
      <c r="I770" s="72"/>
      <c r="J770" s="72"/>
      <c r="K770" s="71" t="s">
        <v>7940</v>
      </c>
      <c r="L770" s="75"/>
      <c r="M770" s="76"/>
      <c r="N770" s="76"/>
      <c r="O770" s="77"/>
      <c r="P770" s="78"/>
      <c r="Q770" s="78"/>
      <c r="R770" s="90"/>
      <c r="S770" s="90"/>
      <c r="T770" s="90"/>
      <c r="U770" s="90"/>
      <c r="V770" s="52"/>
      <c r="W770" s="52"/>
      <c r="X770" s="52"/>
      <c r="Y770" s="52"/>
      <c r="Z770" s="51"/>
      <c r="AA770" s="73"/>
      <c r="AB770" s="73"/>
      <c r="AC770" s="74"/>
      <c r="AD770" s="80" t="s">
        <v>4938</v>
      </c>
      <c r="AE770" s="86" t="s">
        <v>5776</v>
      </c>
      <c r="AF770" s="80">
        <v>4532</v>
      </c>
      <c r="AG770" s="80">
        <v>4564</v>
      </c>
      <c r="AH770" s="80">
        <v>3329</v>
      </c>
      <c r="AI770" s="80">
        <v>1227</v>
      </c>
      <c r="AJ770" s="80"/>
      <c r="AK770" s="80" t="s">
        <v>6564</v>
      </c>
      <c r="AL770" s="80"/>
      <c r="AM770" s="80"/>
      <c r="AN770" s="80"/>
      <c r="AO770" s="82">
        <v>42676.595081018517</v>
      </c>
      <c r="AP770" s="84" t="str">
        <f>HYPERLINK("https://pbs.twimg.com/profile_banners/793819177563803648/1630109958")</f>
        <v>https://pbs.twimg.com/profile_banners/793819177563803648/1630109958</v>
      </c>
      <c r="AQ770" s="80" t="b">
        <v>1</v>
      </c>
      <c r="AR770" s="80" t="b">
        <v>0</v>
      </c>
      <c r="AS770" s="80" t="b">
        <v>0</v>
      </c>
      <c r="AT770" s="80"/>
      <c r="AU770" s="80">
        <v>0</v>
      </c>
      <c r="AV770" s="80"/>
      <c r="AW770" s="80" t="b">
        <v>0</v>
      </c>
      <c r="AX770" s="80" t="s">
        <v>7173</v>
      </c>
      <c r="AY770" s="84" t="str">
        <f>HYPERLINK("https://twitter.com/gandrick50")</f>
        <v>https://twitter.com/gandrick50</v>
      </c>
      <c r="AZ770" s="80" t="s">
        <v>66</v>
      </c>
      <c r="BA770" s="2"/>
      <c r="BB770" s="3"/>
      <c r="BC770" s="3"/>
      <c r="BD770" s="3"/>
      <c r="BE770" s="3"/>
    </row>
    <row r="771" spans="1:57" x14ac:dyDescent="0.35">
      <c r="A771" s="66" t="s">
        <v>1154</v>
      </c>
      <c r="B771" s="67"/>
      <c r="C771" s="67"/>
      <c r="D771" s="68"/>
      <c r="E771" s="70"/>
      <c r="F771" s="106" t="str">
        <f>HYPERLINK("https://pbs.twimg.com/profile_images/1442584792768208898/zbwO6TIe_normal.jpg")</f>
        <v>https://pbs.twimg.com/profile_images/1442584792768208898/zbwO6TIe_normal.jpg</v>
      </c>
      <c r="G771" s="67"/>
      <c r="H771" s="71"/>
      <c r="I771" s="72"/>
      <c r="J771" s="72"/>
      <c r="K771" s="71" t="s">
        <v>7941</v>
      </c>
      <c r="L771" s="75"/>
      <c r="M771" s="76"/>
      <c r="N771" s="76"/>
      <c r="O771" s="77"/>
      <c r="P771" s="78"/>
      <c r="Q771" s="78"/>
      <c r="R771" s="90"/>
      <c r="S771" s="90"/>
      <c r="T771" s="90"/>
      <c r="U771" s="90"/>
      <c r="V771" s="52"/>
      <c r="W771" s="52"/>
      <c r="X771" s="52"/>
      <c r="Y771" s="52"/>
      <c r="Z771" s="51"/>
      <c r="AA771" s="73"/>
      <c r="AB771" s="73"/>
      <c r="AC771" s="74"/>
      <c r="AD771" s="80" t="s">
        <v>4939</v>
      </c>
      <c r="AE771" s="86" t="s">
        <v>4019</v>
      </c>
      <c r="AF771" s="80">
        <v>591</v>
      </c>
      <c r="AG771" s="80">
        <v>602</v>
      </c>
      <c r="AH771" s="80">
        <v>211</v>
      </c>
      <c r="AI771" s="80">
        <v>564</v>
      </c>
      <c r="AJ771" s="80"/>
      <c r="AK771" s="80"/>
      <c r="AL771" s="80"/>
      <c r="AM771" s="80"/>
      <c r="AN771" s="80"/>
      <c r="AO771" s="82">
        <v>44451.477361111109</v>
      </c>
      <c r="AP771" s="84" t="str">
        <f>HYPERLINK("https://pbs.twimg.com/profile_banners/1437014917299638274/1631912816")</f>
        <v>https://pbs.twimg.com/profile_banners/1437014917299638274/1631912816</v>
      </c>
      <c r="AQ771" s="80" t="b">
        <v>1</v>
      </c>
      <c r="AR771" s="80" t="b">
        <v>0</v>
      </c>
      <c r="AS771" s="80" t="b">
        <v>0</v>
      </c>
      <c r="AT771" s="80"/>
      <c r="AU771" s="80">
        <v>0</v>
      </c>
      <c r="AV771" s="80"/>
      <c r="AW771" s="80" t="b">
        <v>0</v>
      </c>
      <c r="AX771" s="80" t="s">
        <v>7173</v>
      </c>
      <c r="AY771" s="84" t="str">
        <f>HYPERLINK("https://twitter.com/cahyowibb")</f>
        <v>https://twitter.com/cahyowibb</v>
      </c>
      <c r="AZ771" s="80" t="s">
        <v>65</v>
      </c>
      <c r="BA771" s="2"/>
      <c r="BB771" s="3"/>
      <c r="BC771" s="3"/>
      <c r="BD771" s="3"/>
      <c r="BE771" s="3"/>
    </row>
    <row r="772" spans="1:57" x14ac:dyDescent="0.35">
      <c r="A772" s="66" t="s">
        <v>820</v>
      </c>
      <c r="B772" s="67"/>
      <c r="C772" s="67"/>
      <c r="D772" s="68"/>
      <c r="E772" s="70"/>
      <c r="F772" s="106" t="str">
        <f>HYPERLINK("https://pbs.twimg.com/profile_images/1432840244726951936/Y12WqPCe_normal.jpg")</f>
        <v>https://pbs.twimg.com/profile_images/1432840244726951936/Y12WqPCe_normal.jpg</v>
      </c>
      <c r="G772" s="67"/>
      <c r="H772" s="71"/>
      <c r="I772" s="72"/>
      <c r="J772" s="72"/>
      <c r="K772" s="71" t="s">
        <v>7942</v>
      </c>
      <c r="L772" s="75"/>
      <c r="M772" s="76"/>
      <c r="N772" s="76"/>
      <c r="O772" s="77"/>
      <c r="P772" s="78"/>
      <c r="Q772" s="78"/>
      <c r="R772" s="90"/>
      <c r="S772" s="90"/>
      <c r="T772" s="90"/>
      <c r="U772" s="90"/>
      <c r="V772" s="52"/>
      <c r="W772" s="52"/>
      <c r="X772" s="52"/>
      <c r="Y772" s="52"/>
      <c r="Z772" s="51"/>
      <c r="AA772" s="73"/>
      <c r="AB772" s="73"/>
      <c r="AC772" s="74"/>
      <c r="AD772" s="80" t="s">
        <v>4940</v>
      </c>
      <c r="AE772" s="86" t="s">
        <v>5777</v>
      </c>
      <c r="AF772" s="80">
        <v>17</v>
      </c>
      <c r="AG772" s="80">
        <v>0</v>
      </c>
      <c r="AH772" s="80">
        <v>150</v>
      </c>
      <c r="AI772" s="80">
        <v>283</v>
      </c>
      <c r="AJ772" s="80"/>
      <c r="AK772" s="80" t="s">
        <v>6565</v>
      </c>
      <c r="AL772" s="80"/>
      <c r="AM772" s="80"/>
      <c r="AN772" s="80"/>
      <c r="AO772" s="82">
        <v>44434.276145833333</v>
      </c>
      <c r="AP772" s="84" t="str">
        <f>HYPERLINK("https://pbs.twimg.com/profile_banners/1430781308406427649/1629960495")</f>
        <v>https://pbs.twimg.com/profile_banners/1430781308406427649/1629960495</v>
      </c>
      <c r="AQ772" s="80" t="b">
        <v>1</v>
      </c>
      <c r="AR772" s="80" t="b">
        <v>0</v>
      </c>
      <c r="AS772" s="80" t="b">
        <v>0</v>
      </c>
      <c r="AT772" s="80"/>
      <c r="AU772" s="80">
        <v>0</v>
      </c>
      <c r="AV772" s="80"/>
      <c r="AW772" s="80" t="b">
        <v>0</v>
      </c>
      <c r="AX772" s="80" t="s">
        <v>7173</v>
      </c>
      <c r="AY772" s="84" t="str">
        <f>HYPERLINK("https://twitter.com/mopoek")</f>
        <v>https://twitter.com/mopoek</v>
      </c>
      <c r="AZ772" s="80" t="s">
        <v>66</v>
      </c>
      <c r="BA772" s="2"/>
      <c r="BB772" s="3"/>
      <c r="BC772" s="3"/>
      <c r="BD772" s="3"/>
      <c r="BE772" s="3"/>
    </row>
    <row r="773" spans="1:57" x14ac:dyDescent="0.35">
      <c r="A773" s="66" t="s">
        <v>1155</v>
      </c>
      <c r="B773" s="67"/>
      <c r="C773" s="67"/>
      <c r="D773" s="68"/>
      <c r="E773" s="70"/>
      <c r="F773" s="106" t="str">
        <f>HYPERLINK("https://pbs.twimg.com/profile_images/1354329625728491522/uqOpxni3_normal.jpg")</f>
        <v>https://pbs.twimg.com/profile_images/1354329625728491522/uqOpxni3_normal.jpg</v>
      </c>
      <c r="G773" s="67"/>
      <c r="H773" s="71"/>
      <c r="I773" s="72"/>
      <c r="J773" s="72"/>
      <c r="K773" s="71" t="s">
        <v>7943</v>
      </c>
      <c r="L773" s="75"/>
      <c r="M773" s="76"/>
      <c r="N773" s="76"/>
      <c r="O773" s="77"/>
      <c r="P773" s="78"/>
      <c r="Q773" s="78"/>
      <c r="R773" s="90"/>
      <c r="S773" s="90"/>
      <c r="T773" s="90"/>
      <c r="U773" s="90"/>
      <c r="V773" s="52"/>
      <c r="W773" s="52"/>
      <c r="X773" s="52"/>
      <c r="Y773" s="52"/>
      <c r="Z773" s="51"/>
      <c r="AA773" s="73"/>
      <c r="AB773" s="73"/>
      <c r="AC773" s="74"/>
      <c r="AD773" s="80" t="s">
        <v>4941</v>
      </c>
      <c r="AE773" s="86" t="s">
        <v>4020</v>
      </c>
      <c r="AF773" s="80">
        <v>3193</v>
      </c>
      <c r="AG773" s="80">
        <v>265415</v>
      </c>
      <c r="AH773" s="80">
        <v>691742</v>
      </c>
      <c r="AI773" s="80">
        <v>12596</v>
      </c>
      <c r="AJ773" s="80"/>
      <c r="AK773" s="80" t="s">
        <v>6566</v>
      </c>
      <c r="AL773" s="80" t="s">
        <v>7075</v>
      </c>
      <c r="AM773" s="84" t="str">
        <f>HYPERLINK("https://t.co/zFO8Ypot9g")</f>
        <v>https://t.co/zFO8Ypot9g</v>
      </c>
      <c r="AN773" s="80"/>
      <c r="AO773" s="82">
        <v>40330.390127314815</v>
      </c>
      <c r="AP773" s="84" t="str">
        <f>HYPERLINK("https://pbs.twimg.com/profile_banners/150589950/1602649236")</f>
        <v>https://pbs.twimg.com/profile_banners/150589950/1602649236</v>
      </c>
      <c r="AQ773" s="80" t="b">
        <v>0</v>
      </c>
      <c r="AR773" s="80" t="b">
        <v>0</v>
      </c>
      <c r="AS773" s="80" t="b">
        <v>1</v>
      </c>
      <c r="AT773" s="80"/>
      <c r="AU773" s="80">
        <v>396</v>
      </c>
      <c r="AV773" s="84" t="str">
        <f>HYPERLINK("https://abs.twimg.com/images/themes/theme17/bg.gif")</f>
        <v>https://abs.twimg.com/images/themes/theme17/bg.gif</v>
      </c>
      <c r="AW773" s="80" t="b">
        <v>0</v>
      </c>
      <c r="AX773" s="80" t="s">
        <v>7173</v>
      </c>
      <c r="AY773" s="84" t="str">
        <f>HYPERLINK("https://twitter.com/prfmnews")</f>
        <v>https://twitter.com/prfmnews</v>
      </c>
      <c r="AZ773" s="80" t="s">
        <v>65</v>
      </c>
      <c r="BA773" s="2"/>
      <c r="BB773" s="3"/>
      <c r="BC773" s="3"/>
      <c r="BD773" s="3"/>
      <c r="BE773" s="3"/>
    </row>
    <row r="774" spans="1:57" x14ac:dyDescent="0.35">
      <c r="A774" s="66" t="s">
        <v>821</v>
      </c>
      <c r="B774" s="67"/>
      <c r="C774" s="67"/>
      <c r="D774" s="68"/>
      <c r="E774" s="70"/>
      <c r="F774" s="106" t="str">
        <f>HYPERLINK("https://pbs.twimg.com/profile_images/1437349290502868993/P4pKdIpI_normal.jpg")</f>
        <v>https://pbs.twimg.com/profile_images/1437349290502868993/P4pKdIpI_normal.jpg</v>
      </c>
      <c r="G774" s="67"/>
      <c r="H774" s="71"/>
      <c r="I774" s="72"/>
      <c r="J774" s="72"/>
      <c r="K774" s="71" t="s">
        <v>7944</v>
      </c>
      <c r="L774" s="75"/>
      <c r="M774" s="76"/>
      <c r="N774" s="76"/>
      <c r="O774" s="77"/>
      <c r="P774" s="78"/>
      <c r="Q774" s="78"/>
      <c r="R774" s="90"/>
      <c r="S774" s="90"/>
      <c r="T774" s="90"/>
      <c r="U774" s="90"/>
      <c r="V774" s="52"/>
      <c r="W774" s="52"/>
      <c r="X774" s="52"/>
      <c r="Y774" s="52"/>
      <c r="Z774" s="51"/>
      <c r="AA774" s="73"/>
      <c r="AB774" s="73"/>
      <c r="AC774" s="74"/>
      <c r="AD774" s="80" t="s">
        <v>4942</v>
      </c>
      <c r="AE774" s="86" t="s">
        <v>4021</v>
      </c>
      <c r="AF774" s="80">
        <v>25</v>
      </c>
      <c r="AG774" s="80">
        <v>5081</v>
      </c>
      <c r="AH774" s="80">
        <v>18166</v>
      </c>
      <c r="AI774" s="80">
        <v>1</v>
      </c>
      <c r="AJ774" s="80"/>
      <c r="AK774" s="80" t="s">
        <v>6567</v>
      </c>
      <c r="AL774" s="80" t="s">
        <v>7076</v>
      </c>
      <c r="AM774" s="84" t="str">
        <f>HYPERLINK("https://t.co/KEcINQ4LC0")</f>
        <v>https://t.co/KEcINQ4LC0</v>
      </c>
      <c r="AN774" s="80"/>
      <c r="AO774" s="82">
        <v>43922.182696759257</v>
      </c>
      <c r="AP774" s="84" t="str">
        <f>HYPERLINK("https://pbs.twimg.com/profile_banners/1245204982086774786/1631442319")</f>
        <v>https://pbs.twimg.com/profile_banners/1245204982086774786/1631442319</v>
      </c>
      <c r="AQ774" s="80" t="b">
        <v>1</v>
      </c>
      <c r="AR774" s="80" t="b">
        <v>0</v>
      </c>
      <c r="AS774" s="80" t="b">
        <v>0</v>
      </c>
      <c r="AT774" s="80"/>
      <c r="AU774" s="80">
        <v>40</v>
      </c>
      <c r="AV774" s="80"/>
      <c r="AW774" s="80" t="b">
        <v>0</v>
      </c>
      <c r="AX774" s="80" t="s">
        <v>7173</v>
      </c>
      <c r="AY774" s="84" t="str">
        <f>HYPERLINK("https://twitter.com/dagangkr")</f>
        <v>https://twitter.com/dagangkr</v>
      </c>
      <c r="AZ774" s="80" t="s">
        <v>66</v>
      </c>
      <c r="BA774" s="2"/>
      <c r="BB774" s="3"/>
      <c r="BC774" s="3"/>
      <c r="BD774" s="3"/>
      <c r="BE774" s="3"/>
    </row>
    <row r="775" spans="1:57" x14ac:dyDescent="0.35">
      <c r="A775" s="66" t="s">
        <v>822</v>
      </c>
      <c r="B775" s="67"/>
      <c r="C775" s="67"/>
      <c r="D775" s="68"/>
      <c r="E775" s="70"/>
      <c r="F775" s="106" t="str">
        <f>HYPERLINK("https://pbs.twimg.com/profile_images/1440190947699036162/_2NmAles_normal.jpg")</f>
        <v>https://pbs.twimg.com/profile_images/1440190947699036162/_2NmAles_normal.jpg</v>
      </c>
      <c r="G775" s="67"/>
      <c r="H775" s="71"/>
      <c r="I775" s="72"/>
      <c r="J775" s="72"/>
      <c r="K775" s="71" t="s">
        <v>7945</v>
      </c>
      <c r="L775" s="75"/>
      <c r="M775" s="76"/>
      <c r="N775" s="76"/>
      <c r="O775" s="77"/>
      <c r="P775" s="78"/>
      <c r="Q775" s="78"/>
      <c r="R775" s="90"/>
      <c r="S775" s="90"/>
      <c r="T775" s="90"/>
      <c r="U775" s="90"/>
      <c r="V775" s="52"/>
      <c r="W775" s="52"/>
      <c r="X775" s="52"/>
      <c r="Y775" s="52"/>
      <c r="Z775" s="51"/>
      <c r="AA775" s="73"/>
      <c r="AB775" s="73"/>
      <c r="AC775" s="74"/>
      <c r="AD775" s="80" t="s">
        <v>4943</v>
      </c>
      <c r="AE775" s="86" t="s">
        <v>5778</v>
      </c>
      <c r="AF775" s="80">
        <v>84</v>
      </c>
      <c r="AG775" s="80">
        <v>281</v>
      </c>
      <c r="AH775" s="80">
        <v>424</v>
      </c>
      <c r="AI775" s="80">
        <v>248</v>
      </c>
      <c r="AJ775" s="80"/>
      <c r="AK775" s="84" t="str">
        <f>HYPERLINK("https://t.co/yyuxXOKswC")</f>
        <v>https://t.co/yyuxXOKswC</v>
      </c>
      <c r="AL775" s="80"/>
      <c r="AM775" s="80"/>
      <c r="AN775" s="80"/>
      <c r="AO775" s="82">
        <v>44375.049756944441</v>
      </c>
      <c r="AP775" s="84" t="str">
        <f>HYPERLINK("https://pbs.twimg.com/profile_banners/1409318493174976513/1632203407")</f>
        <v>https://pbs.twimg.com/profile_banners/1409318493174976513/1632203407</v>
      </c>
      <c r="AQ775" s="80" t="b">
        <v>1</v>
      </c>
      <c r="AR775" s="80" t="b">
        <v>0</v>
      </c>
      <c r="AS775" s="80" t="b">
        <v>0</v>
      </c>
      <c r="AT775" s="80"/>
      <c r="AU775" s="80">
        <v>0</v>
      </c>
      <c r="AV775" s="80"/>
      <c r="AW775" s="80" t="b">
        <v>0</v>
      </c>
      <c r="AX775" s="80" t="s">
        <v>7173</v>
      </c>
      <c r="AY775" s="84" t="str">
        <f>HYPERLINK("https://twitter.com/bubblegumroyals")</f>
        <v>https://twitter.com/bubblegumroyals</v>
      </c>
      <c r="AZ775" s="80" t="s">
        <v>66</v>
      </c>
      <c r="BA775" s="2"/>
      <c r="BB775" s="3"/>
      <c r="BC775" s="3"/>
      <c r="BD775" s="3"/>
      <c r="BE775" s="3"/>
    </row>
    <row r="776" spans="1:57" x14ac:dyDescent="0.35">
      <c r="A776" s="66" t="s">
        <v>823</v>
      </c>
      <c r="B776" s="67"/>
      <c r="C776" s="67"/>
      <c r="D776" s="68"/>
      <c r="E776" s="70"/>
      <c r="F776" s="106" t="str">
        <f>HYPERLINK("https://pbs.twimg.com/profile_images/1438126010550030342/bKE1Sg6v_normal.jpg")</f>
        <v>https://pbs.twimg.com/profile_images/1438126010550030342/bKE1Sg6v_normal.jpg</v>
      </c>
      <c r="G776" s="67"/>
      <c r="H776" s="71"/>
      <c r="I776" s="72"/>
      <c r="J776" s="72"/>
      <c r="K776" s="71" t="s">
        <v>7946</v>
      </c>
      <c r="L776" s="75"/>
      <c r="M776" s="76"/>
      <c r="N776" s="76"/>
      <c r="O776" s="77"/>
      <c r="P776" s="78"/>
      <c r="Q776" s="78"/>
      <c r="R776" s="90"/>
      <c r="S776" s="90"/>
      <c r="T776" s="90"/>
      <c r="U776" s="90"/>
      <c r="V776" s="52"/>
      <c r="W776" s="52"/>
      <c r="X776" s="52"/>
      <c r="Y776" s="52"/>
      <c r="Z776" s="51"/>
      <c r="AA776" s="73"/>
      <c r="AB776" s="73"/>
      <c r="AC776" s="74"/>
      <c r="AD776" s="80" t="s">
        <v>4944</v>
      </c>
      <c r="AE776" s="86" t="s">
        <v>5779</v>
      </c>
      <c r="AF776" s="80">
        <v>209</v>
      </c>
      <c r="AG776" s="80">
        <v>0</v>
      </c>
      <c r="AH776" s="80">
        <v>4741</v>
      </c>
      <c r="AI776" s="80">
        <v>1943</v>
      </c>
      <c r="AJ776" s="80"/>
      <c r="AK776" s="80" t="s">
        <v>6568</v>
      </c>
      <c r="AL776" s="80" t="s">
        <v>7077</v>
      </c>
      <c r="AM776" s="80"/>
      <c r="AN776" s="80"/>
      <c r="AO776" s="82">
        <v>44030.440208333333</v>
      </c>
      <c r="AP776" s="84" t="str">
        <f>HYPERLINK("https://pbs.twimg.com/profile_banners/1284436147486068737/1629872195")</f>
        <v>https://pbs.twimg.com/profile_banners/1284436147486068737/1629872195</v>
      </c>
      <c r="AQ776" s="80" t="b">
        <v>1</v>
      </c>
      <c r="AR776" s="80" t="b">
        <v>0</v>
      </c>
      <c r="AS776" s="80" t="b">
        <v>0</v>
      </c>
      <c r="AT776" s="80"/>
      <c r="AU776" s="80">
        <v>0</v>
      </c>
      <c r="AV776" s="80"/>
      <c r="AW776" s="80" t="b">
        <v>0</v>
      </c>
      <c r="AX776" s="80" t="s">
        <v>7173</v>
      </c>
      <c r="AY776" s="84" t="str">
        <f>HYPERLINK("https://twitter.com/chocosve")</f>
        <v>https://twitter.com/chocosve</v>
      </c>
      <c r="AZ776" s="80" t="s">
        <v>66</v>
      </c>
      <c r="BA776" s="2"/>
      <c r="BB776" s="3"/>
      <c r="BC776" s="3"/>
      <c r="BD776" s="3"/>
      <c r="BE776" s="3"/>
    </row>
    <row r="777" spans="1:57" x14ac:dyDescent="0.35">
      <c r="A777" s="66" t="s">
        <v>824</v>
      </c>
      <c r="B777" s="67"/>
      <c r="C777" s="67"/>
      <c r="D777" s="68"/>
      <c r="E777" s="70"/>
      <c r="F777" s="106" t="str">
        <f>HYPERLINK("https://pbs.twimg.com/profile_images/1440351707385323530/v2gIIMJu_normal.jpg")</f>
        <v>https://pbs.twimg.com/profile_images/1440351707385323530/v2gIIMJu_normal.jpg</v>
      </c>
      <c r="G777" s="67"/>
      <c r="H777" s="71"/>
      <c r="I777" s="72"/>
      <c r="J777" s="72"/>
      <c r="K777" s="71" t="s">
        <v>7947</v>
      </c>
      <c r="L777" s="75"/>
      <c r="M777" s="76"/>
      <c r="N777" s="76"/>
      <c r="O777" s="77"/>
      <c r="P777" s="78"/>
      <c r="Q777" s="78"/>
      <c r="R777" s="90"/>
      <c r="S777" s="90"/>
      <c r="T777" s="90"/>
      <c r="U777" s="90"/>
      <c r="V777" s="52"/>
      <c r="W777" s="52"/>
      <c r="X777" s="52"/>
      <c r="Y777" s="52"/>
      <c r="Z777" s="51"/>
      <c r="AA777" s="73"/>
      <c r="AB777" s="73"/>
      <c r="AC777" s="74"/>
      <c r="AD777" s="80" t="s">
        <v>4945</v>
      </c>
      <c r="AE777" s="86" t="s">
        <v>5780</v>
      </c>
      <c r="AF777" s="80">
        <v>287</v>
      </c>
      <c r="AG777" s="80">
        <v>449</v>
      </c>
      <c r="AH777" s="80">
        <v>65467</v>
      </c>
      <c r="AI777" s="80">
        <v>11630</v>
      </c>
      <c r="AJ777" s="80"/>
      <c r="AK777" s="80" t="s">
        <v>6569</v>
      </c>
      <c r="AL777" s="80" t="s">
        <v>4145</v>
      </c>
      <c r="AM777" s="84" t="str">
        <f>HYPERLINK("https://t.co/P8tnw9wR4T")</f>
        <v>https://t.co/P8tnw9wR4T</v>
      </c>
      <c r="AN777" s="80"/>
      <c r="AO777" s="82">
        <v>40045.699537037035</v>
      </c>
      <c r="AP777" s="84" t="str">
        <f>HYPERLINK("https://pbs.twimg.com/profile_banners/67357765/1628834271")</f>
        <v>https://pbs.twimg.com/profile_banners/67357765/1628834271</v>
      </c>
      <c r="AQ777" s="80" t="b">
        <v>0</v>
      </c>
      <c r="AR777" s="80" t="b">
        <v>0</v>
      </c>
      <c r="AS777" s="80" t="b">
        <v>1</v>
      </c>
      <c r="AT777" s="80"/>
      <c r="AU777" s="80">
        <v>1</v>
      </c>
      <c r="AV777" s="84" t="str">
        <f>HYPERLINK("https://abs.twimg.com/images/themes/theme5/bg.gif")</f>
        <v>https://abs.twimg.com/images/themes/theme5/bg.gif</v>
      </c>
      <c r="AW777" s="80" t="b">
        <v>0</v>
      </c>
      <c r="AX777" s="80" t="s">
        <v>7173</v>
      </c>
      <c r="AY777" s="84" t="str">
        <f>HYPERLINK("https://twitter.com/eisiou")</f>
        <v>https://twitter.com/eisiou</v>
      </c>
      <c r="AZ777" s="80" t="s">
        <v>66</v>
      </c>
      <c r="BA777" s="2"/>
      <c r="BB777" s="3"/>
      <c r="BC777" s="3"/>
      <c r="BD777" s="3"/>
      <c r="BE777" s="3"/>
    </row>
    <row r="778" spans="1:57" x14ac:dyDescent="0.35">
      <c r="A778" s="66" t="s">
        <v>825</v>
      </c>
      <c r="B778" s="67"/>
      <c r="C778" s="67"/>
      <c r="D778" s="68"/>
      <c r="E778" s="70"/>
      <c r="F778" s="106" t="str">
        <f>HYPERLINK("https://pbs.twimg.com/profile_images/967375241633611776/Pmt3E-5e_normal.jpg")</f>
        <v>https://pbs.twimg.com/profile_images/967375241633611776/Pmt3E-5e_normal.jpg</v>
      </c>
      <c r="G778" s="67"/>
      <c r="H778" s="71"/>
      <c r="I778" s="72"/>
      <c r="J778" s="72"/>
      <c r="K778" s="71" t="s">
        <v>7948</v>
      </c>
      <c r="L778" s="75"/>
      <c r="M778" s="76"/>
      <c r="N778" s="76"/>
      <c r="O778" s="77"/>
      <c r="P778" s="78"/>
      <c r="Q778" s="78"/>
      <c r="R778" s="90"/>
      <c r="S778" s="90"/>
      <c r="T778" s="90"/>
      <c r="U778" s="90"/>
      <c r="V778" s="52"/>
      <c r="W778" s="52"/>
      <c r="X778" s="52"/>
      <c r="Y778" s="52"/>
      <c r="Z778" s="51"/>
      <c r="AA778" s="73"/>
      <c r="AB778" s="73"/>
      <c r="AC778" s="74"/>
      <c r="AD778" s="80" t="s">
        <v>4946</v>
      </c>
      <c r="AE778" s="86" t="s">
        <v>5781</v>
      </c>
      <c r="AF778" s="80">
        <v>533</v>
      </c>
      <c r="AG778" s="80">
        <v>327</v>
      </c>
      <c r="AH778" s="80">
        <v>22610</v>
      </c>
      <c r="AI778" s="80">
        <v>615</v>
      </c>
      <c r="AJ778" s="80"/>
      <c r="AK778" s="80" t="s">
        <v>6570</v>
      </c>
      <c r="AL778" s="80" t="s">
        <v>6767</v>
      </c>
      <c r="AM778" s="84" t="str">
        <f>HYPERLINK("https://t.co/agOdRnLZMk")</f>
        <v>https://t.co/agOdRnLZMk</v>
      </c>
      <c r="AN778" s="80"/>
      <c r="AO778" s="82">
        <v>40242.062280092592</v>
      </c>
      <c r="AP778" s="84" t="str">
        <f>HYPERLINK("https://pbs.twimg.com/profile_banners/119950276/1519475204")</f>
        <v>https://pbs.twimg.com/profile_banners/119950276/1519475204</v>
      </c>
      <c r="AQ778" s="80" t="b">
        <v>0</v>
      </c>
      <c r="AR778" s="80" t="b">
        <v>0</v>
      </c>
      <c r="AS778" s="80" t="b">
        <v>1</v>
      </c>
      <c r="AT778" s="80"/>
      <c r="AU778" s="80">
        <v>3</v>
      </c>
      <c r="AV778" s="84" t="str">
        <f>HYPERLINK("https://abs.twimg.com/images/themes/theme2/bg.gif")</f>
        <v>https://abs.twimg.com/images/themes/theme2/bg.gif</v>
      </c>
      <c r="AW778" s="80" t="b">
        <v>0</v>
      </c>
      <c r="AX778" s="80" t="s">
        <v>7173</v>
      </c>
      <c r="AY778" s="84" t="str">
        <f>HYPERLINK("https://twitter.com/mahdia_89")</f>
        <v>https://twitter.com/mahdia_89</v>
      </c>
      <c r="AZ778" s="80" t="s">
        <v>66</v>
      </c>
      <c r="BA778" s="2"/>
      <c r="BB778" s="3"/>
      <c r="BC778" s="3"/>
      <c r="BD778" s="3"/>
      <c r="BE778" s="3"/>
    </row>
    <row r="779" spans="1:57" x14ac:dyDescent="0.35">
      <c r="A779" s="66" t="s">
        <v>1156</v>
      </c>
      <c r="B779" s="67"/>
      <c r="C779" s="67"/>
      <c r="D779" s="68"/>
      <c r="E779" s="70"/>
      <c r="F779" s="106" t="str">
        <f>HYPERLINK("https://pbs.twimg.com/profile_images/1098571061161975808/yd3I7dlO_normal.png")</f>
        <v>https://pbs.twimg.com/profile_images/1098571061161975808/yd3I7dlO_normal.png</v>
      </c>
      <c r="G779" s="67"/>
      <c r="H779" s="71"/>
      <c r="I779" s="72"/>
      <c r="J779" s="72"/>
      <c r="K779" s="71" t="s">
        <v>7949</v>
      </c>
      <c r="L779" s="75"/>
      <c r="M779" s="76"/>
      <c r="N779" s="76"/>
      <c r="O779" s="77"/>
      <c r="P779" s="78"/>
      <c r="Q779" s="78"/>
      <c r="R779" s="90"/>
      <c r="S779" s="90"/>
      <c r="T779" s="90"/>
      <c r="U779" s="90"/>
      <c r="V779" s="52"/>
      <c r="W779" s="52"/>
      <c r="X779" s="52"/>
      <c r="Y779" s="52"/>
      <c r="Z779" s="51"/>
      <c r="AA779" s="73"/>
      <c r="AB779" s="73"/>
      <c r="AC779" s="74"/>
      <c r="AD779" s="80" t="s">
        <v>4947</v>
      </c>
      <c r="AE779" s="86" t="s">
        <v>4022</v>
      </c>
      <c r="AF779" s="80">
        <v>12</v>
      </c>
      <c r="AG779" s="80">
        <v>111033</v>
      </c>
      <c r="AH779" s="80">
        <v>79194</v>
      </c>
      <c r="AI779" s="80">
        <v>1173</v>
      </c>
      <c r="AJ779" s="80"/>
      <c r="AK779" s="80" t="s">
        <v>6571</v>
      </c>
      <c r="AL779" s="80"/>
      <c r="AM779" s="84" t="str">
        <f>HYPERLINK("https://t.co/IphLRBrpjW")</f>
        <v>https://t.co/IphLRBrpjW</v>
      </c>
      <c r="AN779" s="80"/>
      <c r="AO779" s="82">
        <v>42139.257453703707</v>
      </c>
      <c r="AP779" s="84" t="str">
        <f>HYPERLINK("https://pbs.twimg.com/profile_banners/3195998996/1625135904")</f>
        <v>https://pbs.twimg.com/profile_banners/3195998996/1625135904</v>
      </c>
      <c r="AQ779" s="80" t="b">
        <v>1</v>
      </c>
      <c r="AR779" s="80" t="b">
        <v>0</v>
      </c>
      <c r="AS779" s="80" t="b">
        <v>1</v>
      </c>
      <c r="AT779" s="80"/>
      <c r="AU779" s="80">
        <v>86</v>
      </c>
      <c r="AV779" s="84" t="str">
        <f>HYPERLINK("https://abs.twimg.com/images/themes/theme1/bg.png")</f>
        <v>https://abs.twimg.com/images/themes/theme1/bg.png</v>
      </c>
      <c r="AW779" s="80" t="b">
        <v>1</v>
      </c>
      <c r="AX779" s="80" t="s">
        <v>7173</v>
      </c>
      <c r="AY779" s="84" t="str">
        <f>HYPERLINK("https://twitter.com/linkaja")</f>
        <v>https://twitter.com/linkaja</v>
      </c>
      <c r="AZ779" s="80" t="s">
        <v>65</v>
      </c>
      <c r="BA779" s="2"/>
      <c r="BB779" s="3"/>
      <c r="BC779" s="3"/>
      <c r="BD779" s="3"/>
      <c r="BE779" s="3"/>
    </row>
    <row r="780" spans="1:57" x14ac:dyDescent="0.35">
      <c r="A780" s="66" t="s">
        <v>826</v>
      </c>
      <c r="B780" s="67"/>
      <c r="C780" s="67"/>
      <c r="D780" s="68"/>
      <c r="E780" s="70"/>
      <c r="F780" s="106" t="str">
        <f>HYPERLINK("https://pbs.twimg.com/profile_images/1432542816224174083/E3p693d5_normal.jpg")</f>
        <v>https://pbs.twimg.com/profile_images/1432542816224174083/E3p693d5_normal.jpg</v>
      </c>
      <c r="G780" s="67"/>
      <c r="H780" s="71"/>
      <c r="I780" s="72"/>
      <c r="J780" s="72"/>
      <c r="K780" s="71" t="s">
        <v>7950</v>
      </c>
      <c r="L780" s="75"/>
      <c r="M780" s="76"/>
      <c r="N780" s="76"/>
      <c r="O780" s="77"/>
      <c r="P780" s="78"/>
      <c r="Q780" s="78"/>
      <c r="R780" s="90"/>
      <c r="S780" s="90"/>
      <c r="T780" s="90"/>
      <c r="U780" s="90"/>
      <c r="V780" s="52"/>
      <c r="W780" s="52"/>
      <c r="X780" s="52"/>
      <c r="Y780" s="52"/>
      <c r="Z780" s="51"/>
      <c r="AA780" s="73"/>
      <c r="AB780" s="73"/>
      <c r="AC780" s="74"/>
      <c r="AD780" s="80" t="s">
        <v>4948</v>
      </c>
      <c r="AE780" s="86" t="s">
        <v>4023</v>
      </c>
      <c r="AF780" s="80">
        <v>43</v>
      </c>
      <c r="AG780" s="80">
        <v>104</v>
      </c>
      <c r="AH780" s="80">
        <v>382</v>
      </c>
      <c r="AI780" s="80">
        <v>49</v>
      </c>
      <c r="AJ780" s="80"/>
      <c r="AK780" s="80" t="s">
        <v>6572</v>
      </c>
      <c r="AL780" s="80" t="s">
        <v>7078</v>
      </c>
      <c r="AM780" s="84" t="str">
        <f>HYPERLINK("https://t.co/47p1CZV8qY")</f>
        <v>https://t.co/47p1CZV8qY</v>
      </c>
      <c r="AN780" s="80"/>
      <c r="AO780" s="82">
        <v>43595.129120370373</v>
      </c>
      <c r="AP780" s="80"/>
      <c r="AQ780" s="80" t="b">
        <v>1</v>
      </c>
      <c r="AR780" s="80" t="b">
        <v>0</v>
      </c>
      <c r="AS780" s="80" t="b">
        <v>0</v>
      </c>
      <c r="AT780" s="80"/>
      <c r="AU780" s="80">
        <v>0</v>
      </c>
      <c r="AV780" s="80"/>
      <c r="AW780" s="80" t="b">
        <v>0</v>
      </c>
      <c r="AX780" s="80" t="s">
        <v>7173</v>
      </c>
      <c r="AY780" s="84" t="str">
        <f>HYPERLINK("https://twitter.com/datatempo")</f>
        <v>https://twitter.com/datatempo</v>
      </c>
      <c r="AZ780" s="80" t="s">
        <v>66</v>
      </c>
      <c r="BA780" s="2"/>
      <c r="BB780" s="3"/>
      <c r="BC780" s="3"/>
      <c r="BD780" s="3"/>
      <c r="BE780" s="3"/>
    </row>
    <row r="781" spans="1:57" x14ac:dyDescent="0.35">
      <c r="A781" s="66" t="s">
        <v>827</v>
      </c>
      <c r="B781" s="67"/>
      <c r="C781" s="67"/>
      <c r="D781" s="68"/>
      <c r="E781" s="70"/>
      <c r="F781" s="106" t="str">
        <f>HYPERLINK("https://pbs.twimg.com/profile_images/1437078542324355074/ZwTjVIHo_normal.jpg")</f>
        <v>https://pbs.twimg.com/profile_images/1437078542324355074/ZwTjVIHo_normal.jpg</v>
      </c>
      <c r="G781" s="67"/>
      <c r="H781" s="71"/>
      <c r="I781" s="72"/>
      <c r="J781" s="72"/>
      <c r="K781" s="71" t="s">
        <v>7951</v>
      </c>
      <c r="L781" s="75"/>
      <c r="M781" s="76"/>
      <c r="N781" s="76"/>
      <c r="O781" s="77"/>
      <c r="P781" s="78"/>
      <c r="Q781" s="78"/>
      <c r="R781" s="90"/>
      <c r="S781" s="90"/>
      <c r="T781" s="90"/>
      <c r="U781" s="90"/>
      <c r="V781" s="52"/>
      <c r="W781" s="52"/>
      <c r="X781" s="52"/>
      <c r="Y781" s="52"/>
      <c r="Z781" s="51"/>
      <c r="AA781" s="73"/>
      <c r="AB781" s="73"/>
      <c r="AC781" s="74"/>
      <c r="AD781" s="80" t="s">
        <v>4949</v>
      </c>
      <c r="AE781" s="86" t="s">
        <v>4024</v>
      </c>
      <c r="AF781" s="80">
        <v>421</v>
      </c>
      <c r="AG781" s="80">
        <v>4214</v>
      </c>
      <c r="AH781" s="80">
        <v>54579</v>
      </c>
      <c r="AI781" s="80">
        <v>2283</v>
      </c>
      <c r="AJ781" s="80"/>
      <c r="AK781" s="80" t="s">
        <v>6573</v>
      </c>
      <c r="AL781" s="80" t="s">
        <v>7079</v>
      </c>
      <c r="AM781" s="84" t="str">
        <f>HYPERLINK("https://t.co/4mZek0jILO")</f>
        <v>https://t.co/4mZek0jILO</v>
      </c>
      <c r="AN781" s="80"/>
      <c r="AO781" s="82">
        <v>40073.155474537038</v>
      </c>
      <c r="AP781" s="84" t="str">
        <f>HYPERLINK("https://pbs.twimg.com/profile_banners/74924948/1595927485")</f>
        <v>https://pbs.twimg.com/profile_banners/74924948/1595927485</v>
      </c>
      <c r="AQ781" s="80" t="b">
        <v>0</v>
      </c>
      <c r="AR781" s="80" t="b">
        <v>0</v>
      </c>
      <c r="AS781" s="80" t="b">
        <v>1</v>
      </c>
      <c r="AT781" s="80"/>
      <c r="AU781" s="80">
        <v>5</v>
      </c>
      <c r="AV781" s="84" t="str">
        <f>HYPERLINK("https://abs.twimg.com/images/themes/theme1/bg.png")</f>
        <v>https://abs.twimg.com/images/themes/theme1/bg.png</v>
      </c>
      <c r="AW781" s="80" t="b">
        <v>0</v>
      </c>
      <c r="AX781" s="80" t="s">
        <v>7173</v>
      </c>
      <c r="AY781" s="84" t="str">
        <f>HYPERLINK("https://twitter.com/roobiatul")</f>
        <v>https://twitter.com/roobiatul</v>
      </c>
      <c r="AZ781" s="80" t="s">
        <v>66</v>
      </c>
      <c r="BA781" s="2"/>
      <c r="BB781" s="3"/>
      <c r="BC781" s="3"/>
      <c r="BD781" s="3"/>
      <c r="BE781" s="3"/>
    </row>
    <row r="782" spans="1:57" x14ac:dyDescent="0.35">
      <c r="A782" s="66" t="s">
        <v>1157</v>
      </c>
      <c r="B782" s="67"/>
      <c r="C782" s="67"/>
      <c r="D782" s="68"/>
      <c r="E782" s="70"/>
      <c r="F782" s="106" t="str">
        <f>HYPERLINK("https://pbs.twimg.com/profile_images/1436282443972022273/tl7mtGQ0_normal.jpg")</f>
        <v>https://pbs.twimg.com/profile_images/1436282443972022273/tl7mtGQ0_normal.jpg</v>
      </c>
      <c r="G782" s="67"/>
      <c r="H782" s="71"/>
      <c r="I782" s="72"/>
      <c r="J782" s="72"/>
      <c r="K782" s="71" t="s">
        <v>7952</v>
      </c>
      <c r="L782" s="75"/>
      <c r="M782" s="76"/>
      <c r="N782" s="76"/>
      <c r="O782" s="77"/>
      <c r="P782" s="78"/>
      <c r="Q782" s="78"/>
      <c r="R782" s="90"/>
      <c r="S782" s="90"/>
      <c r="T782" s="90"/>
      <c r="U782" s="90"/>
      <c r="V782" s="52"/>
      <c r="W782" s="52"/>
      <c r="X782" s="52"/>
      <c r="Y782" s="52"/>
      <c r="Z782" s="51"/>
      <c r="AA782" s="73"/>
      <c r="AB782" s="73"/>
      <c r="AC782" s="74"/>
      <c r="AD782" s="80" t="s">
        <v>4950</v>
      </c>
      <c r="AE782" s="86" t="s">
        <v>5782</v>
      </c>
      <c r="AF782" s="80">
        <v>399</v>
      </c>
      <c r="AG782" s="80">
        <v>665</v>
      </c>
      <c r="AH782" s="80">
        <v>46861</v>
      </c>
      <c r="AI782" s="80">
        <v>8349</v>
      </c>
      <c r="AJ782" s="80"/>
      <c r="AK782" s="80" t="s">
        <v>6574</v>
      </c>
      <c r="AL782" s="80" t="s">
        <v>7080</v>
      </c>
      <c r="AM782" s="80"/>
      <c r="AN782" s="80"/>
      <c r="AO782" s="82">
        <v>43418.038761574076</v>
      </c>
      <c r="AP782" s="84" t="str">
        <f>HYPERLINK("https://pbs.twimg.com/profile_banners/1062509373614780416/1629508364")</f>
        <v>https://pbs.twimg.com/profile_banners/1062509373614780416/1629508364</v>
      </c>
      <c r="AQ782" s="80" t="b">
        <v>1</v>
      </c>
      <c r="AR782" s="80" t="b">
        <v>0</v>
      </c>
      <c r="AS782" s="80" t="b">
        <v>1</v>
      </c>
      <c r="AT782" s="80"/>
      <c r="AU782" s="80">
        <v>3</v>
      </c>
      <c r="AV782" s="80"/>
      <c r="AW782" s="80" t="b">
        <v>0</v>
      </c>
      <c r="AX782" s="80" t="s">
        <v>7173</v>
      </c>
      <c r="AY782" s="84" t="str">
        <f>HYPERLINK("https://twitter.com/jaedoenthu")</f>
        <v>https://twitter.com/jaedoenthu</v>
      </c>
      <c r="AZ782" s="80" t="s">
        <v>65</v>
      </c>
      <c r="BA782" s="2"/>
      <c r="BB782" s="3"/>
      <c r="BC782" s="3"/>
      <c r="BD782" s="3"/>
      <c r="BE782" s="3"/>
    </row>
    <row r="783" spans="1:57" x14ac:dyDescent="0.35">
      <c r="A783" s="66" t="s">
        <v>828</v>
      </c>
      <c r="B783" s="67"/>
      <c r="C783" s="67"/>
      <c r="D783" s="68"/>
      <c r="E783" s="70"/>
      <c r="F783" s="106" t="str">
        <f>HYPERLINK("https://pbs.twimg.com/profile_images/1421979757911048193/gAbRgQHM_normal.jpg")</f>
        <v>https://pbs.twimg.com/profile_images/1421979757911048193/gAbRgQHM_normal.jpg</v>
      </c>
      <c r="G783" s="67"/>
      <c r="H783" s="71"/>
      <c r="I783" s="72"/>
      <c r="J783" s="72"/>
      <c r="K783" s="71" t="s">
        <v>7953</v>
      </c>
      <c r="L783" s="75"/>
      <c r="M783" s="76"/>
      <c r="N783" s="76"/>
      <c r="O783" s="77"/>
      <c r="P783" s="78"/>
      <c r="Q783" s="78"/>
      <c r="R783" s="90"/>
      <c r="S783" s="90"/>
      <c r="T783" s="90"/>
      <c r="U783" s="90"/>
      <c r="V783" s="52"/>
      <c r="W783" s="52"/>
      <c r="X783" s="52"/>
      <c r="Y783" s="52"/>
      <c r="Z783" s="51"/>
      <c r="AA783" s="73"/>
      <c r="AB783" s="73"/>
      <c r="AC783" s="74"/>
      <c r="AD783" s="80" t="s">
        <v>4951</v>
      </c>
      <c r="AE783" s="86" t="s">
        <v>5783</v>
      </c>
      <c r="AF783" s="80">
        <v>401</v>
      </c>
      <c r="AG783" s="80">
        <v>1704</v>
      </c>
      <c r="AH783" s="80">
        <v>13282</v>
      </c>
      <c r="AI783" s="80">
        <v>6181</v>
      </c>
      <c r="AJ783" s="80"/>
      <c r="AK783" s="80" t="s">
        <v>6575</v>
      </c>
      <c r="AL783" s="80" t="s">
        <v>4145</v>
      </c>
      <c r="AM783" s="84" t="str">
        <f>HYPERLINK("https://t.co/GNtaTFSNa2")</f>
        <v>https://t.co/GNtaTFSNa2</v>
      </c>
      <c r="AN783" s="80"/>
      <c r="AO783" s="82">
        <v>43342.610243055555</v>
      </c>
      <c r="AP783" s="84" t="str">
        <f>HYPERLINK("https://pbs.twimg.com/profile_banners/1035174989752750080/1591808696")</f>
        <v>https://pbs.twimg.com/profile_banners/1035174989752750080/1591808696</v>
      </c>
      <c r="AQ783" s="80" t="b">
        <v>1</v>
      </c>
      <c r="AR783" s="80" t="b">
        <v>0</v>
      </c>
      <c r="AS783" s="80" t="b">
        <v>1</v>
      </c>
      <c r="AT783" s="80"/>
      <c r="AU783" s="80">
        <v>1</v>
      </c>
      <c r="AV783" s="80"/>
      <c r="AW783" s="80" t="b">
        <v>0</v>
      </c>
      <c r="AX783" s="80" t="s">
        <v>7173</v>
      </c>
      <c r="AY783" s="84" t="str">
        <f>HYPERLINK("https://twitter.com/doiecemong")</f>
        <v>https://twitter.com/doiecemong</v>
      </c>
      <c r="AZ783" s="80" t="s">
        <v>66</v>
      </c>
      <c r="BA783" s="2"/>
      <c r="BB783" s="3"/>
      <c r="BC783" s="3"/>
      <c r="BD783" s="3"/>
      <c r="BE783" s="3"/>
    </row>
    <row r="784" spans="1:57" x14ac:dyDescent="0.35">
      <c r="A784" s="66" t="s">
        <v>829</v>
      </c>
      <c r="B784" s="67"/>
      <c r="C784" s="67"/>
      <c r="D784" s="68"/>
      <c r="E784" s="70"/>
      <c r="F784" s="106" t="str">
        <f>HYPERLINK("https://pbs.twimg.com/profile_images/1429700692017438724/wPDQx9EQ_normal.jpg")</f>
        <v>https://pbs.twimg.com/profile_images/1429700692017438724/wPDQx9EQ_normal.jpg</v>
      </c>
      <c r="G784" s="67"/>
      <c r="H784" s="71"/>
      <c r="I784" s="72"/>
      <c r="J784" s="72"/>
      <c r="K784" s="71" t="s">
        <v>7954</v>
      </c>
      <c r="L784" s="75"/>
      <c r="M784" s="76"/>
      <c r="N784" s="76"/>
      <c r="O784" s="77"/>
      <c r="P784" s="78"/>
      <c r="Q784" s="78"/>
      <c r="R784" s="90"/>
      <c r="S784" s="90"/>
      <c r="T784" s="90"/>
      <c r="U784" s="90"/>
      <c r="V784" s="52"/>
      <c r="W784" s="52"/>
      <c r="X784" s="52"/>
      <c r="Y784" s="52"/>
      <c r="Z784" s="51"/>
      <c r="AA784" s="73"/>
      <c r="AB784" s="73"/>
      <c r="AC784" s="74"/>
      <c r="AD784" s="80" t="s">
        <v>4952</v>
      </c>
      <c r="AE784" s="86" t="s">
        <v>4025</v>
      </c>
      <c r="AF784" s="80">
        <v>185</v>
      </c>
      <c r="AG784" s="80">
        <v>301</v>
      </c>
      <c r="AH784" s="80">
        <v>8359</v>
      </c>
      <c r="AI784" s="80">
        <v>2576</v>
      </c>
      <c r="AJ784" s="80"/>
      <c r="AK784" s="80" t="s">
        <v>6576</v>
      </c>
      <c r="AL784" s="80" t="s">
        <v>7081</v>
      </c>
      <c r="AM784" s="84" t="str">
        <f>HYPERLINK("https://t.co/88NCFz0JfB")</f>
        <v>https://t.co/88NCFz0JfB</v>
      </c>
      <c r="AN784" s="80"/>
      <c r="AO784" s="82">
        <v>41713.141770833332</v>
      </c>
      <c r="AP784" s="84" t="str">
        <f>HYPERLINK("https://pbs.twimg.com/profile_banners/2390311626/1629702183")</f>
        <v>https://pbs.twimg.com/profile_banners/2390311626/1629702183</v>
      </c>
      <c r="AQ784" s="80" t="b">
        <v>1</v>
      </c>
      <c r="AR784" s="80" t="b">
        <v>0</v>
      </c>
      <c r="AS784" s="80" t="b">
        <v>0</v>
      </c>
      <c r="AT784" s="80"/>
      <c r="AU784" s="80">
        <v>0</v>
      </c>
      <c r="AV784" s="84" t="str">
        <f>HYPERLINK("https://abs.twimg.com/images/themes/theme1/bg.png")</f>
        <v>https://abs.twimg.com/images/themes/theme1/bg.png</v>
      </c>
      <c r="AW784" s="80" t="b">
        <v>0</v>
      </c>
      <c r="AX784" s="80" t="s">
        <v>7173</v>
      </c>
      <c r="AY784" s="84" t="str">
        <f>HYPERLINK("https://twitter.com/cottoncollects")</f>
        <v>https://twitter.com/cottoncollects</v>
      </c>
      <c r="AZ784" s="80" t="s">
        <v>66</v>
      </c>
      <c r="BA784" s="2"/>
      <c r="BB784" s="3"/>
      <c r="BC784" s="3"/>
      <c r="BD784" s="3"/>
      <c r="BE784" s="3"/>
    </row>
    <row r="785" spans="1:57" x14ac:dyDescent="0.35">
      <c r="A785" s="66" t="s">
        <v>830</v>
      </c>
      <c r="B785" s="67"/>
      <c r="C785" s="67"/>
      <c r="D785" s="68"/>
      <c r="E785" s="70"/>
      <c r="F785" s="106" t="str">
        <f>HYPERLINK("https://pbs.twimg.com/profile_images/1418495014095577095/a15Zncbb_normal.jpg")</f>
        <v>https://pbs.twimg.com/profile_images/1418495014095577095/a15Zncbb_normal.jpg</v>
      </c>
      <c r="G785" s="67"/>
      <c r="H785" s="71"/>
      <c r="I785" s="72"/>
      <c r="J785" s="72"/>
      <c r="K785" s="71" t="s">
        <v>7955</v>
      </c>
      <c r="L785" s="75"/>
      <c r="M785" s="76"/>
      <c r="N785" s="76"/>
      <c r="O785" s="77"/>
      <c r="P785" s="78"/>
      <c r="Q785" s="78"/>
      <c r="R785" s="90"/>
      <c r="S785" s="90"/>
      <c r="T785" s="90"/>
      <c r="U785" s="90"/>
      <c r="V785" s="52"/>
      <c r="W785" s="52"/>
      <c r="X785" s="52"/>
      <c r="Y785" s="52"/>
      <c r="Z785" s="51"/>
      <c r="AA785" s="73"/>
      <c r="AB785" s="73"/>
      <c r="AC785" s="74"/>
      <c r="AD785" s="80" t="s">
        <v>4953</v>
      </c>
      <c r="AE785" s="86" t="s">
        <v>5784</v>
      </c>
      <c r="AF785" s="80">
        <v>266</v>
      </c>
      <c r="AG785" s="80">
        <v>348543</v>
      </c>
      <c r="AH785" s="80">
        <v>745287</v>
      </c>
      <c r="AI785" s="80">
        <v>272</v>
      </c>
      <c r="AJ785" s="80"/>
      <c r="AK785" s="80" t="s">
        <v>6577</v>
      </c>
      <c r="AL785" s="80" t="s">
        <v>7082</v>
      </c>
      <c r="AM785" s="84" t="str">
        <f>HYPERLINK("https://t.co/zQIlbGPP2B")</f>
        <v>https://t.co/zQIlbGPP2B</v>
      </c>
      <c r="AN785" s="80"/>
      <c r="AO785" s="82">
        <v>41714.417395833334</v>
      </c>
      <c r="AP785" s="84" t="str">
        <f>HYPERLINK("https://pbs.twimg.com/profile_banners/2392460208/1543553556")</f>
        <v>https://pbs.twimg.com/profile_banners/2392460208/1543553556</v>
      </c>
      <c r="AQ785" s="80" t="b">
        <v>0</v>
      </c>
      <c r="AR785" s="80" t="b">
        <v>0</v>
      </c>
      <c r="AS785" s="80" t="b">
        <v>1</v>
      </c>
      <c r="AT785" s="80"/>
      <c r="AU785" s="80">
        <v>380</v>
      </c>
      <c r="AV785" s="84" t="str">
        <f>HYPERLINK("https://abs.twimg.com/images/themes/theme16/bg.gif")</f>
        <v>https://abs.twimg.com/images/themes/theme16/bg.gif</v>
      </c>
      <c r="AW785" s="80" t="b">
        <v>1</v>
      </c>
      <c r="AX785" s="80" t="s">
        <v>7173</v>
      </c>
      <c r="AY785" s="84" t="str">
        <f>HYPERLINK("https://twitter.com/jawapos")</f>
        <v>https://twitter.com/jawapos</v>
      </c>
      <c r="AZ785" s="80" t="s">
        <v>66</v>
      </c>
      <c r="BA785" s="2"/>
      <c r="BB785" s="3"/>
      <c r="BC785" s="3"/>
      <c r="BD785" s="3"/>
      <c r="BE785" s="3"/>
    </row>
    <row r="786" spans="1:57" x14ac:dyDescent="0.35">
      <c r="A786" s="66" t="s">
        <v>831</v>
      </c>
      <c r="B786" s="67"/>
      <c r="C786" s="67"/>
      <c r="D786" s="68"/>
      <c r="E786" s="70"/>
      <c r="F786" s="106" t="str">
        <f>HYPERLINK("https://pbs.twimg.com/profile_images/1187607818620194816/-U5CnbTW_normal.jpg")</f>
        <v>https://pbs.twimg.com/profile_images/1187607818620194816/-U5CnbTW_normal.jpg</v>
      </c>
      <c r="G786" s="67"/>
      <c r="H786" s="71"/>
      <c r="I786" s="72"/>
      <c r="J786" s="72"/>
      <c r="K786" s="71" t="s">
        <v>7956</v>
      </c>
      <c r="L786" s="75"/>
      <c r="M786" s="76"/>
      <c r="N786" s="76"/>
      <c r="O786" s="77"/>
      <c r="P786" s="78"/>
      <c r="Q786" s="78"/>
      <c r="R786" s="90"/>
      <c r="S786" s="90"/>
      <c r="T786" s="90"/>
      <c r="U786" s="90"/>
      <c r="V786" s="52"/>
      <c r="W786" s="52"/>
      <c r="X786" s="52"/>
      <c r="Y786" s="52"/>
      <c r="Z786" s="51"/>
      <c r="AA786" s="73"/>
      <c r="AB786" s="73"/>
      <c r="AC786" s="74"/>
      <c r="AD786" s="80" t="s">
        <v>4954</v>
      </c>
      <c r="AE786" s="86" t="s">
        <v>5785</v>
      </c>
      <c r="AF786" s="80">
        <v>2</v>
      </c>
      <c r="AG786" s="80">
        <v>6</v>
      </c>
      <c r="AH786" s="80">
        <v>1681</v>
      </c>
      <c r="AI786" s="80">
        <v>4</v>
      </c>
      <c r="AJ786" s="80"/>
      <c r="AK786" s="80" t="s">
        <v>6578</v>
      </c>
      <c r="AL786" s="80"/>
      <c r="AM786" s="80"/>
      <c r="AN786" s="80"/>
      <c r="AO786" s="82">
        <v>43763.244016203702</v>
      </c>
      <c r="AP786" s="84" t="str">
        <f>HYPERLINK("https://pbs.twimg.com/profile_banners/1187607469972869121/1571990854")</f>
        <v>https://pbs.twimg.com/profile_banners/1187607469972869121/1571990854</v>
      </c>
      <c r="AQ786" s="80" t="b">
        <v>1</v>
      </c>
      <c r="AR786" s="80" t="b">
        <v>0</v>
      </c>
      <c r="AS786" s="80" t="b">
        <v>0</v>
      </c>
      <c r="AT786" s="80"/>
      <c r="AU786" s="80">
        <v>0</v>
      </c>
      <c r="AV786" s="80"/>
      <c r="AW786" s="80" t="b">
        <v>0</v>
      </c>
      <c r="AX786" s="80" t="s">
        <v>7173</v>
      </c>
      <c r="AY786" s="84" t="str">
        <f>HYPERLINK("https://twitter.com/pmuaragembong")</f>
        <v>https://twitter.com/pmuaragembong</v>
      </c>
      <c r="AZ786" s="80" t="s">
        <v>66</v>
      </c>
      <c r="BA786" s="2"/>
      <c r="BB786" s="3"/>
      <c r="BC786" s="3"/>
      <c r="BD786" s="3"/>
      <c r="BE786" s="3"/>
    </row>
    <row r="787" spans="1:57" x14ac:dyDescent="0.35">
      <c r="A787" s="66" t="s">
        <v>832</v>
      </c>
      <c r="B787" s="67"/>
      <c r="C787" s="67"/>
      <c r="D787" s="68"/>
      <c r="E787" s="70"/>
      <c r="F787" s="106" t="str">
        <f>HYPERLINK("https://pbs.twimg.com/profile_images/1400832780745920521/l0apb4Su_normal.jpg")</f>
        <v>https://pbs.twimg.com/profile_images/1400832780745920521/l0apb4Su_normal.jpg</v>
      </c>
      <c r="G787" s="67"/>
      <c r="H787" s="71"/>
      <c r="I787" s="72"/>
      <c r="J787" s="72"/>
      <c r="K787" s="71" t="s">
        <v>7957</v>
      </c>
      <c r="L787" s="75"/>
      <c r="M787" s="76"/>
      <c r="N787" s="76"/>
      <c r="O787" s="77"/>
      <c r="P787" s="78"/>
      <c r="Q787" s="78"/>
      <c r="R787" s="90"/>
      <c r="S787" s="90"/>
      <c r="T787" s="90"/>
      <c r="U787" s="90"/>
      <c r="V787" s="52"/>
      <c r="W787" s="52"/>
      <c r="X787" s="52"/>
      <c r="Y787" s="52"/>
      <c r="Z787" s="51"/>
      <c r="AA787" s="73"/>
      <c r="AB787" s="73"/>
      <c r="AC787" s="74"/>
      <c r="AD787" s="80" t="s">
        <v>4955</v>
      </c>
      <c r="AE787" s="86" t="s">
        <v>5786</v>
      </c>
      <c r="AF787" s="80">
        <v>11</v>
      </c>
      <c r="AG787" s="80">
        <v>7</v>
      </c>
      <c r="AH787" s="80">
        <v>4498</v>
      </c>
      <c r="AI787" s="80">
        <v>48</v>
      </c>
      <c r="AJ787" s="80"/>
      <c r="AK787" s="80" t="s">
        <v>6579</v>
      </c>
      <c r="AL787" s="80"/>
      <c r="AM787" s="80"/>
      <c r="AN787" s="80"/>
      <c r="AO787" s="82">
        <v>44351.556446759256</v>
      </c>
      <c r="AP787" s="80"/>
      <c r="AQ787" s="80" t="b">
        <v>1</v>
      </c>
      <c r="AR787" s="80" t="b">
        <v>0</v>
      </c>
      <c r="AS787" s="80" t="b">
        <v>0</v>
      </c>
      <c r="AT787" s="80"/>
      <c r="AU787" s="80">
        <v>0</v>
      </c>
      <c r="AV787" s="80"/>
      <c r="AW787" s="80" t="b">
        <v>0</v>
      </c>
      <c r="AX787" s="80" t="s">
        <v>7173</v>
      </c>
      <c r="AY787" s="84" t="str">
        <f>HYPERLINK("https://twitter.com/binanguncilacap")</f>
        <v>https://twitter.com/binanguncilacap</v>
      </c>
      <c r="AZ787" s="80" t="s">
        <v>66</v>
      </c>
      <c r="BA787" s="2"/>
      <c r="BB787" s="3"/>
      <c r="BC787" s="3"/>
      <c r="BD787" s="3"/>
      <c r="BE787" s="3"/>
    </row>
    <row r="788" spans="1:57" x14ac:dyDescent="0.35">
      <c r="A788" s="66" t="s">
        <v>834</v>
      </c>
      <c r="B788" s="67"/>
      <c r="C788" s="67"/>
      <c r="D788" s="68"/>
      <c r="E788" s="70"/>
      <c r="F788" s="106" t="str">
        <f>HYPERLINK("https://pbs.twimg.com/profile_images/1430005190657134593/2QoSHLu7_normal.jpg")</f>
        <v>https://pbs.twimg.com/profile_images/1430005190657134593/2QoSHLu7_normal.jpg</v>
      </c>
      <c r="G788" s="67"/>
      <c r="H788" s="71"/>
      <c r="I788" s="72"/>
      <c r="J788" s="72"/>
      <c r="K788" s="71" t="s">
        <v>7958</v>
      </c>
      <c r="L788" s="75"/>
      <c r="M788" s="76"/>
      <c r="N788" s="76"/>
      <c r="O788" s="77"/>
      <c r="P788" s="78"/>
      <c r="Q788" s="78"/>
      <c r="R788" s="90"/>
      <c r="S788" s="90"/>
      <c r="T788" s="90"/>
      <c r="U788" s="90"/>
      <c r="V788" s="52"/>
      <c r="W788" s="52"/>
      <c r="X788" s="52"/>
      <c r="Y788" s="52"/>
      <c r="Z788" s="51"/>
      <c r="AA788" s="73"/>
      <c r="AB788" s="73"/>
      <c r="AC788" s="74"/>
      <c r="AD788" s="80" t="s">
        <v>4956</v>
      </c>
      <c r="AE788" s="86" t="s">
        <v>5787</v>
      </c>
      <c r="AF788" s="80">
        <v>1901</v>
      </c>
      <c r="AG788" s="80">
        <v>1167</v>
      </c>
      <c r="AH788" s="80">
        <v>40537</v>
      </c>
      <c r="AI788" s="80">
        <v>78740</v>
      </c>
      <c r="AJ788" s="80"/>
      <c r="AK788" s="80" t="s">
        <v>6580</v>
      </c>
      <c r="AL788" s="80" t="s">
        <v>7083</v>
      </c>
      <c r="AM788" s="84" t="str">
        <f>HYPERLINK("https://t.co/mclvOpGnbc")</f>
        <v>https://t.co/mclvOpGnbc</v>
      </c>
      <c r="AN788" s="80"/>
      <c r="AO788" s="82">
        <v>43252.837673611109</v>
      </c>
      <c r="AP788" s="84" t="str">
        <f>HYPERLINK("https://pbs.twimg.com/profile_banners/1002642500207534081/1623132220")</f>
        <v>https://pbs.twimg.com/profile_banners/1002642500207534081/1623132220</v>
      </c>
      <c r="AQ788" s="80" t="b">
        <v>1</v>
      </c>
      <c r="AR788" s="80" t="b">
        <v>0</v>
      </c>
      <c r="AS788" s="80" t="b">
        <v>1</v>
      </c>
      <c r="AT788" s="80"/>
      <c r="AU788" s="80">
        <v>10</v>
      </c>
      <c r="AV788" s="80"/>
      <c r="AW788" s="80" t="b">
        <v>0</v>
      </c>
      <c r="AX788" s="80" t="s">
        <v>7173</v>
      </c>
      <c r="AY788" s="84" t="str">
        <f>HYPERLINK("https://twitter.com/jenoogotjam")</f>
        <v>https://twitter.com/jenoogotjam</v>
      </c>
      <c r="AZ788" s="80" t="s">
        <v>66</v>
      </c>
      <c r="BA788" s="2"/>
      <c r="BB788" s="3"/>
      <c r="BC788" s="3"/>
      <c r="BD788" s="3"/>
      <c r="BE788" s="3"/>
    </row>
    <row r="789" spans="1:57" x14ac:dyDescent="0.35">
      <c r="A789" s="66" t="s">
        <v>835</v>
      </c>
      <c r="B789" s="67"/>
      <c r="C789" s="67"/>
      <c r="D789" s="68"/>
      <c r="E789" s="70"/>
      <c r="F789" s="106" t="str">
        <f>HYPERLINK("https://pbs.twimg.com/profile_images/1372813231622737924/Lvbqtvh0_normal.jpg")</f>
        <v>https://pbs.twimg.com/profile_images/1372813231622737924/Lvbqtvh0_normal.jpg</v>
      </c>
      <c r="G789" s="67"/>
      <c r="H789" s="71"/>
      <c r="I789" s="72"/>
      <c r="J789" s="72"/>
      <c r="K789" s="71" t="s">
        <v>7959</v>
      </c>
      <c r="L789" s="75"/>
      <c r="M789" s="76"/>
      <c r="N789" s="76"/>
      <c r="O789" s="77"/>
      <c r="P789" s="78"/>
      <c r="Q789" s="78"/>
      <c r="R789" s="90"/>
      <c r="S789" s="90"/>
      <c r="T789" s="90"/>
      <c r="U789" s="90"/>
      <c r="V789" s="52"/>
      <c r="W789" s="52"/>
      <c r="X789" s="52"/>
      <c r="Y789" s="52"/>
      <c r="Z789" s="51"/>
      <c r="AA789" s="73"/>
      <c r="AB789" s="73"/>
      <c r="AC789" s="74"/>
      <c r="AD789" s="80" t="s">
        <v>4957</v>
      </c>
      <c r="AE789" s="86" t="s">
        <v>5788</v>
      </c>
      <c r="AF789" s="80">
        <v>6418</v>
      </c>
      <c r="AG789" s="80">
        <v>16794</v>
      </c>
      <c r="AH789" s="80">
        <v>142641</v>
      </c>
      <c r="AI789" s="80">
        <v>8</v>
      </c>
      <c r="AJ789" s="80"/>
      <c r="AK789" s="80" t="s">
        <v>6581</v>
      </c>
      <c r="AL789" s="80" t="s">
        <v>7084</v>
      </c>
      <c r="AM789" s="84" t="str">
        <f>HYPERLINK("https://t.co/2e4zj9fVK7")</f>
        <v>https://t.co/2e4zj9fVK7</v>
      </c>
      <c r="AN789" s="80"/>
      <c r="AO789" s="82">
        <v>43847.103113425925</v>
      </c>
      <c r="AP789" s="84" t="str">
        <f>HYPERLINK("https://pbs.twimg.com/profile_banners/1217996995370967040/1586048020")</f>
        <v>https://pbs.twimg.com/profile_banners/1217996995370967040/1586048020</v>
      </c>
      <c r="AQ789" s="80" t="b">
        <v>1</v>
      </c>
      <c r="AR789" s="80" t="b">
        <v>0</v>
      </c>
      <c r="AS789" s="80" t="b">
        <v>0</v>
      </c>
      <c r="AT789" s="80"/>
      <c r="AU789" s="80">
        <v>55</v>
      </c>
      <c r="AV789" s="80"/>
      <c r="AW789" s="80" t="b">
        <v>0</v>
      </c>
      <c r="AX789" s="80" t="s">
        <v>7173</v>
      </c>
      <c r="AY789" s="84" t="str">
        <f>HYPERLINK("https://twitter.com/kedirifess")</f>
        <v>https://twitter.com/kedirifess</v>
      </c>
      <c r="AZ789" s="80" t="s">
        <v>66</v>
      </c>
      <c r="BA789" s="2"/>
      <c r="BB789" s="3"/>
      <c r="BC789" s="3"/>
      <c r="BD789" s="3"/>
      <c r="BE789" s="3"/>
    </row>
    <row r="790" spans="1:57" x14ac:dyDescent="0.35">
      <c r="A790" s="66" t="s">
        <v>836</v>
      </c>
      <c r="B790" s="67"/>
      <c r="C790" s="67"/>
      <c r="D790" s="68"/>
      <c r="E790" s="70"/>
      <c r="F790" s="106" t="str">
        <f>HYPERLINK("https://pbs.twimg.com/profile_images/1304029151473463296/fozOCTM1_normal.jpg")</f>
        <v>https://pbs.twimg.com/profile_images/1304029151473463296/fozOCTM1_normal.jpg</v>
      </c>
      <c r="G790" s="67"/>
      <c r="H790" s="71"/>
      <c r="I790" s="72"/>
      <c r="J790" s="72"/>
      <c r="K790" s="71" t="s">
        <v>7960</v>
      </c>
      <c r="L790" s="75"/>
      <c r="M790" s="76"/>
      <c r="N790" s="76"/>
      <c r="O790" s="77"/>
      <c r="P790" s="78"/>
      <c r="Q790" s="78"/>
      <c r="R790" s="90"/>
      <c r="S790" s="90"/>
      <c r="T790" s="90"/>
      <c r="U790" s="90"/>
      <c r="V790" s="52"/>
      <c r="W790" s="52"/>
      <c r="X790" s="52"/>
      <c r="Y790" s="52"/>
      <c r="Z790" s="51"/>
      <c r="AA790" s="73"/>
      <c r="AB790" s="73"/>
      <c r="AC790" s="74"/>
      <c r="AD790" s="80" t="s">
        <v>4958</v>
      </c>
      <c r="AE790" s="86" t="s">
        <v>5789</v>
      </c>
      <c r="AF790" s="80">
        <v>1417</v>
      </c>
      <c r="AG790" s="80">
        <v>1798</v>
      </c>
      <c r="AH790" s="80">
        <v>1217</v>
      </c>
      <c r="AI790" s="80">
        <v>234</v>
      </c>
      <c r="AJ790" s="80"/>
      <c r="AK790" s="80" t="s">
        <v>6582</v>
      </c>
      <c r="AL790" s="80" t="s">
        <v>7085</v>
      </c>
      <c r="AM790" s="80"/>
      <c r="AN790" s="80"/>
      <c r="AO790" s="82">
        <v>44084.468310185184</v>
      </c>
      <c r="AP790" s="84" t="str">
        <f>HYPERLINK("https://pbs.twimg.com/profile_banners/1304015307896287232/1599739139")</f>
        <v>https://pbs.twimg.com/profile_banners/1304015307896287232/1599739139</v>
      </c>
      <c r="AQ790" s="80" t="b">
        <v>1</v>
      </c>
      <c r="AR790" s="80" t="b">
        <v>0</v>
      </c>
      <c r="AS790" s="80" t="b">
        <v>1</v>
      </c>
      <c r="AT790" s="80"/>
      <c r="AU790" s="80">
        <v>1</v>
      </c>
      <c r="AV790" s="80"/>
      <c r="AW790" s="80" t="b">
        <v>0</v>
      </c>
      <c r="AX790" s="80" t="s">
        <v>7173</v>
      </c>
      <c r="AY790" s="84" t="str">
        <f>HYPERLINK("https://twitter.com/parefess")</f>
        <v>https://twitter.com/parefess</v>
      </c>
      <c r="AZ790" s="80" t="s">
        <v>66</v>
      </c>
      <c r="BA790" s="2"/>
      <c r="BB790" s="3"/>
      <c r="BC790" s="3"/>
      <c r="BD790" s="3"/>
      <c r="BE790" s="3"/>
    </row>
    <row r="791" spans="1:57" x14ac:dyDescent="0.35">
      <c r="A791" s="66" t="s">
        <v>837</v>
      </c>
      <c r="B791" s="67"/>
      <c r="C791" s="67"/>
      <c r="D791" s="68"/>
      <c r="E791" s="70"/>
      <c r="F791" s="106" t="str">
        <f>HYPERLINK("https://pbs.twimg.com/profile_images/1276187333348388864/b9NeSOzh_normal.jpg")</f>
        <v>https://pbs.twimg.com/profile_images/1276187333348388864/b9NeSOzh_normal.jpg</v>
      </c>
      <c r="G791" s="67"/>
      <c r="H791" s="71"/>
      <c r="I791" s="72"/>
      <c r="J791" s="72"/>
      <c r="K791" s="71" t="s">
        <v>7961</v>
      </c>
      <c r="L791" s="75"/>
      <c r="M791" s="76"/>
      <c r="N791" s="76"/>
      <c r="O791" s="77"/>
      <c r="P791" s="78"/>
      <c r="Q791" s="78"/>
      <c r="R791" s="90"/>
      <c r="S791" s="90"/>
      <c r="T791" s="90"/>
      <c r="U791" s="90"/>
      <c r="V791" s="52"/>
      <c r="W791" s="52"/>
      <c r="X791" s="52"/>
      <c r="Y791" s="52"/>
      <c r="Z791" s="51"/>
      <c r="AA791" s="73"/>
      <c r="AB791" s="73"/>
      <c r="AC791" s="74"/>
      <c r="AD791" s="80" t="s">
        <v>4959</v>
      </c>
      <c r="AE791" s="86" t="s">
        <v>4026</v>
      </c>
      <c r="AF791" s="80">
        <v>148</v>
      </c>
      <c r="AG791" s="80">
        <v>600</v>
      </c>
      <c r="AH791" s="80">
        <v>1272</v>
      </c>
      <c r="AI791" s="80">
        <v>1061</v>
      </c>
      <c r="AJ791" s="80"/>
      <c r="AK791" s="80" t="s">
        <v>6583</v>
      </c>
      <c r="AL791" s="80" t="s">
        <v>7086</v>
      </c>
      <c r="AM791" s="84" t="str">
        <f>HYPERLINK("https://t.co/VoDZrv4Qpd")</f>
        <v>https://t.co/VoDZrv4Qpd</v>
      </c>
      <c r="AN791" s="80"/>
      <c r="AO791" s="82">
        <v>42779.688784722224</v>
      </c>
      <c r="AP791" s="84" t="str">
        <f>HYPERLINK("https://pbs.twimg.com/profile_banners/831179086210805761/1617766083")</f>
        <v>https://pbs.twimg.com/profile_banners/831179086210805761/1617766083</v>
      </c>
      <c r="AQ791" s="80" t="b">
        <v>0</v>
      </c>
      <c r="AR791" s="80" t="b">
        <v>0</v>
      </c>
      <c r="AS791" s="80" t="b">
        <v>1</v>
      </c>
      <c r="AT791" s="80"/>
      <c r="AU791" s="80">
        <v>2</v>
      </c>
      <c r="AV791" s="84" t="str">
        <f>HYPERLINK("https://abs.twimg.com/images/themes/theme1/bg.png")</f>
        <v>https://abs.twimg.com/images/themes/theme1/bg.png</v>
      </c>
      <c r="AW791" s="80" t="b">
        <v>0</v>
      </c>
      <c r="AX791" s="80" t="s">
        <v>7173</v>
      </c>
      <c r="AY791" s="84" t="str">
        <f>HYPERLINK("https://twitter.com/karantinamks")</f>
        <v>https://twitter.com/karantinamks</v>
      </c>
      <c r="AZ791" s="80" t="s">
        <v>66</v>
      </c>
      <c r="BA791" s="2"/>
      <c r="BB791" s="3"/>
      <c r="BC791" s="3"/>
      <c r="BD791" s="3"/>
      <c r="BE791" s="3"/>
    </row>
    <row r="792" spans="1:57" x14ac:dyDescent="0.35">
      <c r="A792" s="66" t="s">
        <v>838</v>
      </c>
      <c r="B792" s="67"/>
      <c r="C792" s="67"/>
      <c r="D792" s="68"/>
      <c r="E792" s="70"/>
      <c r="F792" s="106" t="str">
        <f>HYPERLINK("https://pbs.twimg.com/profile_images/1233261600515051520/V_YNkwxz_normal.jpg")</f>
        <v>https://pbs.twimg.com/profile_images/1233261600515051520/V_YNkwxz_normal.jpg</v>
      </c>
      <c r="G792" s="67"/>
      <c r="H792" s="71"/>
      <c r="I792" s="72"/>
      <c r="J792" s="72"/>
      <c r="K792" s="71" t="s">
        <v>7962</v>
      </c>
      <c r="L792" s="75"/>
      <c r="M792" s="76"/>
      <c r="N792" s="76"/>
      <c r="O792" s="77"/>
      <c r="P792" s="78"/>
      <c r="Q792" s="78"/>
      <c r="R792" s="90"/>
      <c r="S792" s="90"/>
      <c r="T792" s="90"/>
      <c r="U792" s="90"/>
      <c r="V792" s="52"/>
      <c r="W792" s="52"/>
      <c r="X792" s="52"/>
      <c r="Y792" s="52"/>
      <c r="Z792" s="51"/>
      <c r="AA792" s="73"/>
      <c r="AB792" s="73"/>
      <c r="AC792" s="74"/>
      <c r="AD792" s="80" t="s">
        <v>4960</v>
      </c>
      <c r="AE792" s="86" t="s">
        <v>4027</v>
      </c>
      <c r="AF792" s="80">
        <v>287</v>
      </c>
      <c r="AG792" s="80">
        <v>14196</v>
      </c>
      <c r="AH792" s="80">
        <v>26802</v>
      </c>
      <c r="AI792" s="80">
        <v>21849</v>
      </c>
      <c r="AJ792" s="80"/>
      <c r="AK792" s="80" t="s">
        <v>6584</v>
      </c>
      <c r="AL792" s="80" t="s">
        <v>6788</v>
      </c>
      <c r="AM792" s="84" t="str">
        <f>HYPERLINK("https://t.co/bbpSvP0SRs")</f>
        <v>https://t.co/bbpSvP0SRs</v>
      </c>
      <c r="AN792" s="80"/>
      <c r="AO792" s="82">
        <v>41340.156273148146</v>
      </c>
      <c r="AP792" s="84" t="str">
        <f>HYPERLINK("https://pbs.twimg.com/profile_banners/1247843492/1630383926")</f>
        <v>https://pbs.twimg.com/profile_banners/1247843492/1630383926</v>
      </c>
      <c r="AQ792" s="80" t="b">
        <v>0</v>
      </c>
      <c r="AR792" s="80" t="b">
        <v>0</v>
      </c>
      <c r="AS792" s="80" t="b">
        <v>1</v>
      </c>
      <c r="AT792" s="80"/>
      <c r="AU792" s="80">
        <v>22</v>
      </c>
      <c r="AV792" s="84" t="str">
        <f>HYPERLINK("https://abs.twimg.com/images/themes/theme1/bg.png")</f>
        <v>https://abs.twimg.com/images/themes/theme1/bg.png</v>
      </c>
      <c r="AW792" s="80" t="b">
        <v>1</v>
      </c>
      <c r="AX792" s="80" t="s">
        <v>7173</v>
      </c>
      <c r="AY792" s="84" t="str">
        <f>HYPERLINK("https://twitter.com/barantan_ri")</f>
        <v>https://twitter.com/barantan_ri</v>
      </c>
      <c r="AZ792" s="80" t="s">
        <v>66</v>
      </c>
      <c r="BA792" s="2"/>
      <c r="BB792" s="3"/>
      <c r="BC792" s="3"/>
      <c r="BD792" s="3"/>
      <c r="BE792" s="3"/>
    </row>
    <row r="793" spans="1:57" x14ac:dyDescent="0.35">
      <c r="A793" s="66" t="s">
        <v>839</v>
      </c>
      <c r="B793" s="67"/>
      <c r="C793" s="67"/>
      <c r="D793" s="68"/>
      <c r="E793" s="70"/>
      <c r="F793" s="106" t="str">
        <f>HYPERLINK("https://pbs.twimg.com/profile_images/1442523637811081216/1Cld2Ab0_normal.jpg")</f>
        <v>https://pbs.twimg.com/profile_images/1442523637811081216/1Cld2Ab0_normal.jpg</v>
      </c>
      <c r="G793" s="67"/>
      <c r="H793" s="71"/>
      <c r="I793" s="72"/>
      <c r="J793" s="72"/>
      <c r="K793" s="71" t="s">
        <v>7963</v>
      </c>
      <c r="L793" s="75"/>
      <c r="M793" s="76"/>
      <c r="N793" s="76"/>
      <c r="O793" s="77"/>
      <c r="P793" s="78"/>
      <c r="Q793" s="78"/>
      <c r="R793" s="90"/>
      <c r="S793" s="90"/>
      <c r="T793" s="90"/>
      <c r="U793" s="90"/>
      <c r="V793" s="52"/>
      <c r="W793" s="52"/>
      <c r="X793" s="52"/>
      <c r="Y793" s="52"/>
      <c r="Z793" s="51"/>
      <c r="AA793" s="73"/>
      <c r="AB793" s="73"/>
      <c r="AC793" s="74"/>
      <c r="AD793" s="80" t="s">
        <v>4961</v>
      </c>
      <c r="AE793" s="86" t="s">
        <v>5790</v>
      </c>
      <c r="AF793" s="80">
        <v>172</v>
      </c>
      <c r="AG793" s="80">
        <v>31</v>
      </c>
      <c r="AH793" s="80">
        <v>986</v>
      </c>
      <c r="AI793" s="80">
        <v>187</v>
      </c>
      <c r="AJ793" s="80"/>
      <c r="AK793" s="80" t="s">
        <v>6585</v>
      </c>
      <c r="AL793" s="80" t="s">
        <v>7087</v>
      </c>
      <c r="AM793" s="80"/>
      <c r="AN793" s="80"/>
      <c r="AO793" s="82">
        <v>41817.691516203704</v>
      </c>
      <c r="AP793" s="84" t="str">
        <f>HYPERLINK("https://pbs.twimg.com/profile_banners/2591641388/1632224841")</f>
        <v>https://pbs.twimg.com/profile_banners/2591641388/1632224841</v>
      </c>
      <c r="AQ793" s="80" t="b">
        <v>1</v>
      </c>
      <c r="AR793" s="80" t="b">
        <v>0</v>
      </c>
      <c r="AS793" s="80" t="b">
        <v>0</v>
      </c>
      <c r="AT793" s="80"/>
      <c r="AU793" s="80">
        <v>0</v>
      </c>
      <c r="AV793" s="84" t="str">
        <f>HYPERLINK("https://abs.twimg.com/images/themes/theme1/bg.png")</f>
        <v>https://abs.twimg.com/images/themes/theme1/bg.png</v>
      </c>
      <c r="AW793" s="80" t="b">
        <v>0</v>
      </c>
      <c r="AX793" s="80" t="s">
        <v>7173</v>
      </c>
      <c r="AY793" s="84" t="str">
        <f>HYPERLINK("https://twitter.com/cepetwaras")</f>
        <v>https://twitter.com/cepetwaras</v>
      </c>
      <c r="AZ793" s="80" t="s">
        <v>66</v>
      </c>
      <c r="BA793" s="2"/>
      <c r="BB793" s="3"/>
      <c r="BC793" s="3"/>
      <c r="BD793" s="3"/>
      <c r="BE793" s="3"/>
    </row>
    <row r="794" spans="1:57" x14ac:dyDescent="0.35">
      <c r="A794" s="66" t="s">
        <v>840</v>
      </c>
      <c r="B794" s="67"/>
      <c r="C794" s="67"/>
      <c r="D794" s="68"/>
      <c r="E794" s="70"/>
      <c r="F794" s="106" t="str">
        <f>HYPERLINK("https://pbs.twimg.com/profile_images/1435819093844578304/9gZfMHFg_normal.jpg")</f>
        <v>https://pbs.twimg.com/profile_images/1435819093844578304/9gZfMHFg_normal.jpg</v>
      </c>
      <c r="G794" s="67"/>
      <c r="H794" s="71"/>
      <c r="I794" s="72"/>
      <c r="J794" s="72"/>
      <c r="K794" s="71" t="s">
        <v>7964</v>
      </c>
      <c r="L794" s="75"/>
      <c r="M794" s="76"/>
      <c r="N794" s="76"/>
      <c r="O794" s="77"/>
      <c r="P794" s="78"/>
      <c r="Q794" s="78"/>
      <c r="R794" s="90"/>
      <c r="S794" s="90"/>
      <c r="T794" s="90"/>
      <c r="U794" s="90"/>
      <c r="V794" s="52"/>
      <c r="W794" s="52"/>
      <c r="X794" s="52"/>
      <c r="Y794" s="52"/>
      <c r="Z794" s="51"/>
      <c r="AA794" s="73"/>
      <c r="AB794" s="73"/>
      <c r="AC794" s="74"/>
      <c r="AD794" s="80" t="s">
        <v>4962</v>
      </c>
      <c r="AE794" s="86" t="s">
        <v>5791</v>
      </c>
      <c r="AF794" s="80">
        <v>72</v>
      </c>
      <c r="AG794" s="80">
        <v>42</v>
      </c>
      <c r="AH794" s="80">
        <v>5521</v>
      </c>
      <c r="AI794" s="80">
        <v>1061</v>
      </c>
      <c r="AJ794" s="80"/>
      <c r="AK794" s="80"/>
      <c r="AL794" s="80"/>
      <c r="AM794" s="80"/>
      <c r="AN794" s="80"/>
      <c r="AO794" s="82">
        <v>43148.513148148151</v>
      </c>
      <c r="AP794" s="84" t="str">
        <f>HYPERLINK("https://pbs.twimg.com/profile_banners/964836561027084288/1630159671")</f>
        <v>https://pbs.twimg.com/profile_banners/964836561027084288/1630159671</v>
      </c>
      <c r="AQ794" s="80" t="b">
        <v>0</v>
      </c>
      <c r="AR794" s="80" t="b">
        <v>0</v>
      </c>
      <c r="AS794" s="80" t="b">
        <v>1</v>
      </c>
      <c r="AT794" s="80"/>
      <c r="AU794" s="80">
        <v>0</v>
      </c>
      <c r="AV794" s="84" t="str">
        <f>HYPERLINK("https://abs.twimg.com/images/themes/theme1/bg.png")</f>
        <v>https://abs.twimg.com/images/themes/theme1/bg.png</v>
      </c>
      <c r="AW794" s="80" t="b">
        <v>0</v>
      </c>
      <c r="AX794" s="80" t="s">
        <v>7173</v>
      </c>
      <c r="AY794" s="84" t="str">
        <f>HYPERLINK("https://twitter.com/_bananaorange")</f>
        <v>https://twitter.com/_bananaorange</v>
      </c>
      <c r="AZ794" s="80" t="s">
        <v>66</v>
      </c>
      <c r="BA794" s="2"/>
      <c r="BB794" s="3"/>
      <c r="BC794" s="3"/>
      <c r="BD794" s="3"/>
      <c r="BE794" s="3"/>
    </row>
    <row r="795" spans="1:57" x14ac:dyDescent="0.35">
      <c r="A795" s="66" t="s">
        <v>841</v>
      </c>
      <c r="B795" s="67"/>
      <c r="C795" s="67"/>
      <c r="D795" s="68"/>
      <c r="E795" s="70"/>
      <c r="F795" s="106" t="str">
        <f>HYPERLINK("https://pbs.twimg.com/profile_images/1434407100382277633/Dw-hAIrj_normal.jpg")</f>
        <v>https://pbs.twimg.com/profile_images/1434407100382277633/Dw-hAIrj_normal.jpg</v>
      </c>
      <c r="G795" s="67"/>
      <c r="H795" s="71"/>
      <c r="I795" s="72"/>
      <c r="J795" s="72"/>
      <c r="K795" s="71" t="s">
        <v>7965</v>
      </c>
      <c r="L795" s="75"/>
      <c r="M795" s="76"/>
      <c r="N795" s="76"/>
      <c r="O795" s="77"/>
      <c r="P795" s="78"/>
      <c r="Q795" s="78"/>
      <c r="R795" s="90"/>
      <c r="S795" s="90"/>
      <c r="T795" s="90"/>
      <c r="U795" s="90"/>
      <c r="V795" s="52"/>
      <c r="W795" s="52"/>
      <c r="X795" s="52"/>
      <c r="Y795" s="52"/>
      <c r="Z795" s="51"/>
      <c r="AA795" s="73"/>
      <c r="AB795" s="73"/>
      <c r="AC795" s="74"/>
      <c r="AD795" s="80" t="s">
        <v>4963</v>
      </c>
      <c r="AE795" s="86" t="s">
        <v>5792</v>
      </c>
      <c r="AF795" s="80">
        <v>31</v>
      </c>
      <c r="AG795" s="80">
        <v>12</v>
      </c>
      <c r="AH795" s="80">
        <v>318</v>
      </c>
      <c r="AI795" s="80">
        <v>137</v>
      </c>
      <c r="AJ795" s="80"/>
      <c r="AK795" s="80"/>
      <c r="AL795" s="80" t="s">
        <v>7088</v>
      </c>
      <c r="AM795" s="80"/>
      <c r="AN795" s="80"/>
      <c r="AO795" s="82">
        <v>41497.664178240739</v>
      </c>
      <c r="AP795" s="84" t="str">
        <f>HYPERLINK("https://pbs.twimg.com/profile_banners/1662879620/1620833560")</f>
        <v>https://pbs.twimg.com/profile_banners/1662879620/1620833560</v>
      </c>
      <c r="AQ795" s="80" t="b">
        <v>0</v>
      </c>
      <c r="AR795" s="80" t="b">
        <v>0</v>
      </c>
      <c r="AS795" s="80" t="b">
        <v>1</v>
      </c>
      <c r="AT795" s="80"/>
      <c r="AU795" s="80">
        <v>0</v>
      </c>
      <c r="AV795" s="84" t="str">
        <f>HYPERLINK("https://abs.twimg.com/images/themes/theme1/bg.png")</f>
        <v>https://abs.twimg.com/images/themes/theme1/bg.png</v>
      </c>
      <c r="AW795" s="80" t="b">
        <v>0</v>
      </c>
      <c r="AX795" s="80" t="s">
        <v>7173</v>
      </c>
      <c r="AY795" s="84" t="str">
        <f>HYPERLINK("https://twitter.com/kochengcoklat")</f>
        <v>https://twitter.com/kochengcoklat</v>
      </c>
      <c r="AZ795" s="80" t="s">
        <v>66</v>
      </c>
      <c r="BA795" s="2"/>
      <c r="BB795" s="3"/>
      <c r="BC795" s="3"/>
      <c r="BD795" s="3"/>
      <c r="BE795" s="3"/>
    </row>
    <row r="796" spans="1:57" x14ac:dyDescent="0.35">
      <c r="A796" s="66" t="s">
        <v>1158</v>
      </c>
      <c r="B796" s="67"/>
      <c r="C796" s="67"/>
      <c r="D796" s="68"/>
      <c r="E796" s="70"/>
      <c r="F796" s="106" t="str">
        <f>HYPERLINK("https://pbs.twimg.com/profile_images/1441329283041951749/N_7XgHAh_normal.jpg")</f>
        <v>https://pbs.twimg.com/profile_images/1441329283041951749/N_7XgHAh_normal.jpg</v>
      </c>
      <c r="G796" s="67"/>
      <c r="H796" s="71"/>
      <c r="I796" s="72"/>
      <c r="J796" s="72"/>
      <c r="K796" s="71" t="s">
        <v>7966</v>
      </c>
      <c r="L796" s="75"/>
      <c r="M796" s="76"/>
      <c r="N796" s="76"/>
      <c r="O796" s="77"/>
      <c r="P796" s="78"/>
      <c r="Q796" s="78"/>
      <c r="R796" s="90"/>
      <c r="S796" s="90"/>
      <c r="T796" s="90"/>
      <c r="U796" s="90"/>
      <c r="V796" s="52"/>
      <c r="W796" s="52"/>
      <c r="X796" s="52"/>
      <c r="Y796" s="52"/>
      <c r="Z796" s="51"/>
      <c r="AA796" s="73"/>
      <c r="AB796" s="73"/>
      <c r="AC796" s="74"/>
      <c r="AD796" s="80" t="s">
        <v>4964</v>
      </c>
      <c r="AE796" s="86" t="s">
        <v>4028</v>
      </c>
      <c r="AF796" s="80">
        <v>473</v>
      </c>
      <c r="AG796" s="80">
        <v>324</v>
      </c>
      <c r="AH796" s="80">
        <v>9796</v>
      </c>
      <c r="AI796" s="80">
        <v>4108</v>
      </c>
      <c r="AJ796" s="80"/>
      <c r="AK796" s="80" t="s">
        <v>6586</v>
      </c>
      <c r="AL796" s="80" t="s">
        <v>7089</v>
      </c>
      <c r="AM796" s="84" t="str">
        <f>HYPERLINK("https://t.co/LQq0JNKCSx")</f>
        <v>https://t.co/LQq0JNKCSx</v>
      </c>
      <c r="AN796" s="80"/>
      <c r="AO796" s="82">
        <v>44091.032638888886</v>
      </c>
      <c r="AP796" s="84" t="str">
        <f>HYPERLINK("https://pbs.twimg.com/profile_banners/1306394098903863297/1632576620")</f>
        <v>https://pbs.twimg.com/profile_banners/1306394098903863297/1632576620</v>
      </c>
      <c r="AQ796" s="80" t="b">
        <v>1</v>
      </c>
      <c r="AR796" s="80" t="b">
        <v>0</v>
      </c>
      <c r="AS796" s="80" t="b">
        <v>0</v>
      </c>
      <c r="AT796" s="80"/>
      <c r="AU796" s="80">
        <v>1</v>
      </c>
      <c r="AV796" s="80"/>
      <c r="AW796" s="80" t="b">
        <v>0</v>
      </c>
      <c r="AX796" s="80" t="s">
        <v>7173</v>
      </c>
      <c r="AY796" s="84" t="str">
        <f>HYPERLINK("https://twitter.com/gyupiter406_")</f>
        <v>https://twitter.com/gyupiter406_</v>
      </c>
      <c r="AZ796" s="80" t="s">
        <v>65</v>
      </c>
      <c r="BA796" s="2"/>
      <c r="BB796" s="3"/>
      <c r="BC796" s="3"/>
      <c r="BD796" s="3"/>
      <c r="BE796" s="3"/>
    </row>
    <row r="797" spans="1:57" x14ac:dyDescent="0.35">
      <c r="A797" s="66" t="s">
        <v>842</v>
      </c>
      <c r="B797" s="67"/>
      <c r="C797" s="67"/>
      <c r="D797" s="68"/>
      <c r="E797" s="70"/>
      <c r="F797" s="106" t="str">
        <f>HYPERLINK("https://pbs.twimg.com/profile_images/1357835565568118784/H0TQxZgR_normal.jpg")</f>
        <v>https://pbs.twimg.com/profile_images/1357835565568118784/H0TQxZgR_normal.jpg</v>
      </c>
      <c r="G797" s="67"/>
      <c r="H797" s="71"/>
      <c r="I797" s="72"/>
      <c r="J797" s="72"/>
      <c r="K797" s="71" t="s">
        <v>7967</v>
      </c>
      <c r="L797" s="75"/>
      <c r="M797" s="76"/>
      <c r="N797" s="76"/>
      <c r="O797" s="77"/>
      <c r="P797" s="78"/>
      <c r="Q797" s="78"/>
      <c r="R797" s="90"/>
      <c r="S797" s="90"/>
      <c r="T797" s="90"/>
      <c r="U797" s="90"/>
      <c r="V797" s="52"/>
      <c r="W797" s="52"/>
      <c r="X797" s="52"/>
      <c r="Y797" s="52"/>
      <c r="Z797" s="51"/>
      <c r="AA797" s="73"/>
      <c r="AB797" s="73"/>
      <c r="AC797" s="74"/>
      <c r="AD797" s="80" t="s">
        <v>4965</v>
      </c>
      <c r="AE797" s="86" t="s">
        <v>5793</v>
      </c>
      <c r="AF797" s="80">
        <v>107</v>
      </c>
      <c r="AG797" s="80">
        <v>73</v>
      </c>
      <c r="AH797" s="80">
        <v>686</v>
      </c>
      <c r="AI797" s="80">
        <v>1473</v>
      </c>
      <c r="AJ797" s="80"/>
      <c r="AK797" s="80" t="s">
        <v>6587</v>
      </c>
      <c r="AL797" s="80" t="s">
        <v>7090</v>
      </c>
      <c r="AM797" s="80"/>
      <c r="AN797" s="80"/>
      <c r="AO797" s="82">
        <v>43854.289953703701</v>
      </c>
      <c r="AP797" s="80"/>
      <c r="AQ797" s="80" t="b">
        <v>1</v>
      </c>
      <c r="AR797" s="80" t="b">
        <v>0</v>
      </c>
      <c r="AS797" s="80" t="b">
        <v>0</v>
      </c>
      <c r="AT797" s="80"/>
      <c r="AU797" s="80">
        <v>0</v>
      </c>
      <c r="AV797" s="80"/>
      <c r="AW797" s="80" t="b">
        <v>0</v>
      </c>
      <c r="AX797" s="80" t="s">
        <v>7173</v>
      </c>
      <c r="AY797" s="84" t="str">
        <f>HYPERLINK("https://twitter.com/p3psodent")</f>
        <v>https://twitter.com/p3psodent</v>
      </c>
      <c r="AZ797" s="80" t="s">
        <v>66</v>
      </c>
      <c r="BA797" s="2"/>
      <c r="BB797" s="3"/>
      <c r="BC797" s="3"/>
      <c r="BD797" s="3"/>
      <c r="BE797" s="3"/>
    </row>
    <row r="798" spans="1:57" x14ac:dyDescent="0.35">
      <c r="A798" s="66" t="s">
        <v>1159</v>
      </c>
      <c r="B798" s="67"/>
      <c r="C798" s="67"/>
      <c r="D798" s="68"/>
      <c r="E798" s="70"/>
      <c r="F798" s="106" t="str">
        <f>HYPERLINK("https://pbs.twimg.com/profile_images/1439544380327530502/00hK15rl_normal.jpg")</f>
        <v>https://pbs.twimg.com/profile_images/1439544380327530502/00hK15rl_normal.jpg</v>
      </c>
      <c r="G798" s="67"/>
      <c r="H798" s="71"/>
      <c r="I798" s="72"/>
      <c r="J798" s="72"/>
      <c r="K798" s="71" t="s">
        <v>7968</v>
      </c>
      <c r="L798" s="75"/>
      <c r="M798" s="76"/>
      <c r="N798" s="76"/>
      <c r="O798" s="77"/>
      <c r="P798" s="78"/>
      <c r="Q798" s="78"/>
      <c r="R798" s="90"/>
      <c r="S798" s="90"/>
      <c r="T798" s="90"/>
      <c r="U798" s="90"/>
      <c r="V798" s="52"/>
      <c r="W798" s="52"/>
      <c r="X798" s="52"/>
      <c r="Y798" s="52"/>
      <c r="Z798" s="51"/>
      <c r="AA798" s="73"/>
      <c r="AB798" s="73"/>
      <c r="AC798" s="74"/>
      <c r="AD798" s="80" t="s">
        <v>4966</v>
      </c>
      <c r="AE798" s="86" t="s">
        <v>4029</v>
      </c>
      <c r="AF798" s="80">
        <v>219</v>
      </c>
      <c r="AG798" s="80">
        <v>153</v>
      </c>
      <c r="AH798" s="80">
        <v>1856</v>
      </c>
      <c r="AI798" s="80">
        <v>101</v>
      </c>
      <c r="AJ798" s="80"/>
      <c r="AK798" s="80" t="s">
        <v>6588</v>
      </c>
      <c r="AL798" s="80"/>
      <c r="AM798" s="80"/>
      <c r="AN798" s="80"/>
      <c r="AO798" s="82">
        <v>43965.246006944442</v>
      </c>
      <c r="AP798" s="84" t="str">
        <f>HYPERLINK("https://pbs.twimg.com/profile_banners/1260810522976346112/1589466315")</f>
        <v>https://pbs.twimg.com/profile_banners/1260810522976346112/1589466315</v>
      </c>
      <c r="AQ798" s="80" t="b">
        <v>1</v>
      </c>
      <c r="AR798" s="80" t="b">
        <v>0</v>
      </c>
      <c r="AS798" s="80" t="b">
        <v>0</v>
      </c>
      <c r="AT798" s="80"/>
      <c r="AU798" s="80">
        <v>1</v>
      </c>
      <c r="AV798" s="80"/>
      <c r="AW798" s="80" t="b">
        <v>0</v>
      </c>
      <c r="AX798" s="80" t="s">
        <v>7173</v>
      </c>
      <c r="AY798" s="84" t="str">
        <f>HYPERLINK("https://twitter.com/bukanfahiraa")</f>
        <v>https://twitter.com/bukanfahiraa</v>
      </c>
      <c r="AZ798" s="80" t="s">
        <v>65</v>
      </c>
      <c r="BA798" s="2"/>
      <c r="BB798" s="3"/>
      <c r="BC798" s="3"/>
      <c r="BD798" s="3"/>
      <c r="BE798" s="3"/>
    </row>
    <row r="799" spans="1:57" x14ac:dyDescent="0.35">
      <c r="A799" s="66" t="s">
        <v>843</v>
      </c>
      <c r="B799" s="67"/>
      <c r="C799" s="67"/>
      <c r="D799" s="68"/>
      <c r="E799" s="70"/>
      <c r="F799" s="106" t="str">
        <f>HYPERLINK("https://pbs.twimg.com/profile_images/1313877887615791105/5xjs-4Kj_normal.jpg")</f>
        <v>https://pbs.twimg.com/profile_images/1313877887615791105/5xjs-4Kj_normal.jpg</v>
      </c>
      <c r="G799" s="67"/>
      <c r="H799" s="71"/>
      <c r="I799" s="72"/>
      <c r="J799" s="72"/>
      <c r="K799" s="71" t="s">
        <v>7969</v>
      </c>
      <c r="L799" s="75"/>
      <c r="M799" s="76"/>
      <c r="N799" s="76"/>
      <c r="O799" s="77"/>
      <c r="P799" s="78"/>
      <c r="Q799" s="78"/>
      <c r="R799" s="90"/>
      <c r="S799" s="90"/>
      <c r="T799" s="90"/>
      <c r="U799" s="90"/>
      <c r="V799" s="52"/>
      <c r="W799" s="52"/>
      <c r="X799" s="52"/>
      <c r="Y799" s="52"/>
      <c r="Z799" s="51"/>
      <c r="AA799" s="73"/>
      <c r="AB799" s="73"/>
      <c r="AC799" s="74"/>
      <c r="AD799" s="80" t="s">
        <v>4967</v>
      </c>
      <c r="AE799" s="86" t="s">
        <v>4030</v>
      </c>
      <c r="AF799" s="80">
        <v>1196</v>
      </c>
      <c r="AG799" s="80">
        <v>10683</v>
      </c>
      <c r="AH799" s="80">
        <v>31093</v>
      </c>
      <c r="AI799" s="80">
        <v>107</v>
      </c>
      <c r="AJ799" s="80"/>
      <c r="AK799" s="80" t="s">
        <v>6589</v>
      </c>
      <c r="AL799" s="80"/>
      <c r="AM799" s="84" t="str">
        <f>HYPERLINK("https://t.co/H4RSxh3s64")</f>
        <v>https://t.co/H4RSxh3s64</v>
      </c>
      <c r="AN799" s="80"/>
      <c r="AO799" s="82">
        <v>43918.27789351852</v>
      </c>
      <c r="AP799" s="84" t="str">
        <f>HYPERLINK("https://pbs.twimg.com/profile_banners/1243789940216836096/1585378559")</f>
        <v>https://pbs.twimg.com/profile_banners/1243789940216836096/1585378559</v>
      </c>
      <c r="AQ799" s="80" t="b">
        <v>1</v>
      </c>
      <c r="AR799" s="80" t="b">
        <v>0</v>
      </c>
      <c r="AS799" s="80" t="b">
        <v>0</v>
      </c>
      <c r="AT799" s="80"/>
      <c r="AU799" s="80">
        <v>25</v>
      </c>
      <c r="AV799" s="80"/>
      <c r="AW799" s="80" t="b">
        <v>0</v>
      </c>
      <c r="AX799" s="80" t="s">
        <v>7173</v>
      </c>
      <c r="AY799" s="84" t="str">
        <f>HYPERLINK("https://twitter.com/smgmenfess2")</f>
        <v>https://twitter.com/smgmenfess2</v>
      </c>
      <c r="AZ799" s="80" t="s">
        <v>66</v>
      </c>
      <c r="BA799" s="2"/>
      <c r="BB799" s="3"/>
      <c r="BC799" s="3"/>
      <c r="BD799" s="3"/>
      <c r="BE799" s="3"/>
    </row>
    <row r="800" spans="1:57" x14ac:dyDescent="0.35">
      <c r="A800" s="66" t="s">
        <v>844</v>
      </c>
      <c r="B800" s="67"/>
      <c r="C800" s="67"/>
      <c r="D800" s="68"/>
      <c r="E800" s="70"/>
      <c r="F800" s="106" t="str">
        <f>HYPERLINK("https://pbs.twimg.com/profile_images/1441023602065743877/mE99I6eF_normal.jpg")</f>
        <v>https://pbs.twimg.com/profile_images/1441023602065743877/mE99I6eF_normal.jpg</v>
      </c>
      <c r="G800" s="67"/>
      <c r="H800" s="71"/>
      <c r="I800" s="72"/>
      <c r="J800" s="72"/>
      <c r="K800" s="71" t="s">
        <v>7970</v>
      </c>
      <c r="L800" s="75"/>
      <c r="M800" s="76"/>
      <c r="N800" s="76"/>
      <c r="O800" s="77"/>
      <c r="P800" s="78"/>
      <c r="Q800" s="78"/>
      <c r="R800" s="90"/>
      <c r="S800" s="90"/>
      <c r="T800" s="90"/>
      <c r="U800" s="90"/>
      <c r="V800" s="52"/>
      <c r="W800" s="52"/>
      <c r="X800" s="52"/>
      <c r="Y800" s="52"/>
      <c r="Z800" s="51"/>
      <c r="AA800" s="73"/>
      <c r="AB800" s="73"/>
      <c r="AC800" s="74"/>
      <c r="AD800" s="80" t="s">
        <v>4968</v>
      </c>
      <c r="AE800" s="86" t="s">
        <v>5794</v>
      </c>
      <c r="AF800" s="80">
        <v>1006</v>
      </c>
      <c r="AG800" s="80">
        <v>3474</v>
      </c>
      <c r="AH800" s="80">
        <v>15966</v>
      </c>
      <c r="AI800" s="80">
        <v>69859</v>
      </c>
      <c r="AJ800" s="80"/>
      <c r="AK800" s="80"/>
      <c r="AL800" s="80"/>
      <c r="AM800" s="80"/>
      <c r="AN800" s="80"/>
      <c r="AO800" s="82">
        <v>43810.014178240737</v>
      </c>
      <c r="AP800" s="84" t="str">
        <f>HYPERLINK("https://pbs.twimg.com/profile_banners/1204556398320705536/1589088614")</f>
        <v>https://pbs.twimg.com/profile_banners/1204556398320705536/1589088614</v>
      </c>
      <c r="AQ800" s="80" t="b">
        <v>1</v>
      </c>
      <c r="AR800" s="80" t="b">
        <v>0</v>
      </c>
      <c r="AS800" s="80" t="b">
        <v>0</v>
      </c>
      <c r="AT800" s="80"/>
      <c r="AU800" s="80">
        <v>1</v>
      </c>
      <c r="AV800" s="80"/>
      <c r="AW800" s="80" t="b">
        <v>0</v>
      </c>
      <c r="AX800" s="80" t="s">
        <v>7173</v>
      </c>
      <c r="AY800" s="84" t="str">
        <f>HYPERLINK("https://twitter.com/dianaafff")</f>
        <v>https://twitter.com/dianaafff</v>
      </c>
      <c r="AZ800" s="80" t="s">
        <v>66</v>
      </c>
      <c r="BA800" s="2"/>
      <c r="BB800" s="3"/>
      <c r="BC800" s="3"/>
      <c r="BD800" s="3"/>
      <c r="BE800" s="3"/>
    </row>
    <row r="801" spans="1:57" x14ac:dyDescent="0.35">
      <c r="A801" s="66" t="s">
        <v>845</v>
      </c>
      <c r="B801" s="67"/>
      <c r="C801" s="67"/>
      <c r="D801" s="68"/>
      <c r="E801" s="70"/>
      <c r="F801" s="106" t="str">
        <f>HYPERLINK("https://pbs.twimg.com/profile_images/1424300824725901318/Ohdm31gQ_normal.jpg")</f>
        <v>https://pbs.twimg.com/profile_images/1424300824725901318/Ohdm31gQ_normal.jpg</v>
      </c>
      <c r="G801" s="67"/>
      <c r="H801" s="71"/>
      <c r="I801" s="72"/>
      <c r="J801" s="72"/>
      <c r="K801" s="71" t="s">
        <v>7971</v>
      </c>
      <c r="L801" s="75"/>
      <c r="M801" s="76"/>
      <c r="N801" s="76"/>
      <c r="O801" s="77"/>
      <c r="P801" s="78"/>
      <c r="Q801" s="78"/>
      <c r="R801" s="90"/>
      <c r="S801" s="90"/>
      <c r="T801" s="90"/>
      <c r="U801" s="90"/>
      <c r="V801" s="52"/>
      <c r="W801" s="52"/>
      <c r="X801" s="52"/>
      <c r="Y801" s="52"/>
      <c r="Z801" s="51"/>
      <c r="AA801" s="73"/>
      <c r="AB801" s="73"/>
      <c r="AC801" s="74"/>
      <c r="AD801" s="80" t="s">
        <v>4969</v>
      </c>
      <c r="AE801" s="86" t="s">
        <v>5795</v>
      </c>
      <c r="AF801" s="80">
        <v>1053</v>
      </c>
      <c r="AG801" s="80">
        <v>948</v>
      </c>
      <c r="AH801" s="80">
        <v>12884</v>
      </c>
      <c r="AI801" s="80">
        <v>5686</v>
      </c>
      <c r="AJ801" s="80"/>
      <c r="AK801" s="80"/>
      <c r="AL801" s="80" t="s">
        <v>7091</v>
      </c>
      <c r="AM801" s="80"/>
      <c r="AN801" s="80"/>
      <c r="AO801" s="82">
        <v>43528.747789351852</v>
      </c>
      <c r="AP801" s="84" t="str">
        <f>HYPERLINK("https://pbs.twimg.com/profile_banners/1102628978223804416/1616294523")</f>
        <v>https://pbs.twimg.com/profile_banners/1102628978223804416/1616294523</v>
      </c>
      <c r="AQ801" s="80" t="b">
        <v>1</v>
      </c>
      <c r="AR801" s="80" t="b">
        <v>0</v>
      </c>
      <c r="AS801" s="80" t="b">
        <v>1</v>
      </c>
      <c r="AT801" s="80"/>
      <c r="AU801" s="80">
        <v>0</v>
      </c>
      <c r="AV801" s="80"/>
      <c r="AW801" s="80" t="b">
        <v>0</v>
      </c>
      <c r="AX801" s="80" t="s">
        <v>7173</v>
      </c>
      <c r="AY801" s="84" t="str">
        <f>HYPERLINK("https://twitter.com/rvnff")</f>
        <v>https://twitter.com/rvnff</v>
      </c>
      <c r="AZ801" s="80" t="s">
        <v>66</v>
      </c>
      <c r="BA801" s="2"/>
      <c r="BB801" s="3"/>
      <c r="BC801" s="3"/>
      <c r="BD801" s="3"/>
      <c r="BE801" s="3"/>
    </row>
    <row r="802" spans="1:57" x14ac:dyDescent="0.35">
      <c r="A802" s="66" t="s">
        <v>846</v>
      </c>
      <c r="B802" s="67"/>
      <c r="C802" s="67"/>
      <c r="D802" s="68"/>
      <c r="E802" s="70"/>
      <c r="F802" s="106" t="str">
        <f>HYPERLINK("https://pbs.twimg.com/profile_images/1261493285673070593/RnSm0orX_normal.jpg")</f>
        <v>https://pbs.twimg.com/profile_images/1261493285673070593/RnSm0orX_normal.jpg</v>
      </c>
      <c r="G802" s="67"/>
      <c r="H802" s="71"/>
      <c r="I802" s="72"/>
      <c r="J802" s="72"/>
      <c r="K802" s="71" t="s">
        <v>7972</v>
      </c>
      <c r="L802" s="75"/>
      <c r="M802" s="76"/>
      <c r="N802" s="76"/>
      <c r="O802" s="77"/>
      <c r="P802" s="78"/>
      <c r="Q802" s="78"/>
      <c r="R802" s="90"/>
      <c r="S802" s="90"/>
      <c r="T802" s="90"/>
      <c r="U802" s="90"/>
      <c r="V802" s="52"/>
      <c r="W802" s="52"/>
      <c r="X802" s="52"/>
      <c r="Y802" s="52"/>
      <c r="Z802" s="51"/>
      <c r="AA802" s="73"/>
      <c r="AB802" s="73"/>
      <c r="AC802" s="74"/>
      <c r="AD802" s="80" t="s">
        <v>4970</v>
      </c>
      <c r="AE802" s="86" t="s">
        <v>5796</v>
      </c>
      <c r="AF802" s="80">
        <v>3</v>
      </c>
      <c r="AG802" s="80">
        <v>17</v>
      </c>
      <c r="AH802" s="80">
        <v>11574</v>
      </c>
      <c r="AI802" s="80">
        <v>417</v>
      </c>
      <c r="AJ802" s="80"/>
      <c r="AK802" s="80"/>
      <c r="AL802" s="80"/>
      <c r="AM802" s="80"/>
      <c r="AN802" s="80"/>
      <c r="AO802" s="82">
        <v>43966.900266203702</v>
      </c>
      <c r="AP802" s="80"/>
      <c r="AQ802" s="80" t="b">
        <v>1</v>
      </c>
      <c r="AR802" s="80" t="b">
        <v>0</v>
      </c>
      <c r="AS802" s="80" t="b">
        <v>0</v>
      </c>
      <c r="AT802" s="80"/>
      <c r="AU802" s="80">
        <v>0</v>
      </c>
      <c r="AV802" s="80"/>
      <c r="AW802" s="80" t="b">
        <v>0</v>
      </c>
      <c r="AX802" s="80" t="s">
        <v>7173</v>
      </c>
      <c r="AY802" s="84" t="str">
        <f>HYPERLINK("https://twitter.com/polsekadipala2")</f>
        <v>https://twitter.com/polsekadipala2</v>
      </c>
      <c r="AZ802" s="80" t="s">
        <v>66</v>
      </c>
      <c r="BA802" s="2"/>
      <c r="BB802" s="3"/>
      <c r="BC802" s="3"/>
      <c r="BD802" s="3"/>
      <c r="BE802" s="3"/>
    </row>
    <row r="803" spans="1:57" x14ac:dyDescent="0.35">
      <c r="A803" s="66" t="s">
        <v>847</v>
      </c>
      <c r="B803" s="67"/>
      <c r="C803" s="67"/>
      <c r="D803" s="68"/>
      <c r="E803" s="70"/>
      <c r="F803" s="106" t="str">
        <f>HYPERLINK("https://pbs.twimg.com/profile_images/1305417443964194820/YAbfaJpY_normal.jpg")</f>
        <v>https://pbs.twimg.com/profile_images/1305417443964194820/YAbfaJpY_normal.jpg</v>
      </c>
      <c r="G803" s="67"/>
      <c r="H803" s="71"/>
      <c r="I803" s="72"/>
      <c r="J803" s="72"/>
      <c r="K803" s="71" t="s">
        <v>7973</v>
      </c>
      <c r="L803" s="75"/>
      <c r="M803" s="76"/>
      <c r="N803" s="76"/>
      <c r="O803" s="77"/>
      <c r="P803" s="78"/>
      <c r="Q803" s="78"/>
      <c r="R803" s="90"/>
      <c r="S803" s="90"/>
      <c r="T803" s="90"/>
      <c r="U803" s="90"/>
      <c r="V803" s="52"/>
      <c r="W803" s="52"/>
      <c r="X803" s="52"/>
      <c r="Y803" s="52"/>
      <c r="Z803" s="51"/>
      <c r="AA803" s="73"/>
      <c r="AB803" s="73"/>
      <c r="AC803" s="74"/>
      <c r="AD803" s="80" t="s">
        <v>4971</v>
      </c>
      <c r="AE803" s="86" t="s">
        <v>5797</v>
      </c>
      <c r="AF803" s="80">
        <v>404</v>
      </c>
      <c r="AG803" s="80">
        <v>263</v>
      </c>
      <c r="AH803" s="80">
        <v>4070</v>
      </c>
      <c r="AI803" s="80">
        <v>1876</v>
      </c>
      <c r="AJ803" s="80"/>
      <c r="AK803" s="80" t="s">
        <v>6590</v>
      </c>
      <c r="AL803" s="80" t="s">
        <v>7092</v>
      </c>
      <c r="AM803" s="80"/>
      <c r="AN803" s="80"/>
      <c r="AO803" s="82">
        <v>40085.278541666667</v>
      </c>
      <c r="AP803" s="84" t="str">
        <f>HYPERLINK("https://pbs.twimg.com/profile_banners/78237612/1577193916")</f>
        <v>https://pbs.twimg.com/profile_banners/78237612/1577193916</v>
      </c>
      <c r="AQ803" s="80" t="b">
        <v>0</v>
      </c>
      <c r="AR803" s="80" t="b">
        <v>0</v>
      </c>
      <c r="AS803" s="80" t="b">
        <v>1</v>
      </c>
      <c r="AT803" s="80"/>
      <c r="AU803" s="80">
        <v>0</v>
      </c>
      <c r="AV803" s="84" t="str">
        <f>HYPERLINK("https://abs.twimg.com/images/themes/theme1/bg.png")</f>
        <v>https://abs.twimg.com/images/themes/theme1/bg.png</v>
      </c>
      <c r="AW803" s="80" t="b">
        <v>0</v>
      </c>
      <c r="AX803" s="80" t="s">
        <v>7173</v>
      </c>
      <c r="AY803" s="84" t="str">
        <f>HYPERLINK("https://twitter.com/wa_one1904")</f>
        <v>https://twitter.com/wa_one1904</v>
      </c>
      <c r="AZ803" s="80" t="s">
        <v>66</v>
      </c>
      <c r="BA803" s="2"/>
      <c r="BB803" s="3"/>
      <c r="BC803" s="3"/>
      <c r="BD803" s="3"/>
      <c r="BE803" s="3"/>
    </row>
    <row r="804" spans="1:57" x14ac:dyDescent="0.35">
      <c r="A804" s="66" t="s">
        <v>1160</v>
      </c>
      <c r="B804" s="67"/>
      <c r="C804" s="67"/>
      <c r="D804" s="68"/>
      <c r="E804" s="70"/>
      <c r="F804" s="106" t="str">
        <f>HYPERLINK("https://pbs.twimg.com/profile_images/1201299092376129536/YU9oL9TW_normal.jpg")</f>
        <v>https://pbs.twimg.com/profile_images/1201299092376129536/YU9oL9TW_normal.jpg</v>
      </c>
      <c r="G804" s="67"/>
      <c r="H804" s="71"/>
      <c r="I804" s="72"/>
      <c r="J804" s="72"/>
      <c r="K804" s="71" t="s">
        <v>7974</v>
      </c>
      <c r="L804" s="75"/>
      <c r="M804" s="76"/>
      <c r="N804" s="76"/>
      <c r="O804" s="77"/>
      <c r="P804" s="78"/>
      <c r="Q804" s="78"/>
      <c r="R804" s="90"/>
      <c r="S804" s="90"/>
      <c r="T804" s="90"/>
      <c r="U804" s="90"/>
      <c r="V804" s="52"/>
      <c r="W804" s="52"/>
      <c r="X804" s="52"/>
      <c r="Y804" s="52"/>
      <c r="Z804" s="51"/>
      <c r="AA804" s="73"/>
      <c r="AB804" s="73"/>
      <c r="AC804" s="74"/>
      <c r="AD804" s="80" t="s">
        <v>4972</v>
      </c>
      <c r="AE804" s="86" t="s">
        <v>5798</v>
      </c>
      <c r="AF804" s="80">
        <v>773</v>
      </c>
      <c r="AG804" s="80">
        <v>510047</v>
      </c>
      <c r="AH804" s="80">
        <v>76898</v>
      </c>
      <c r="AI804" s="80">
        <v>6327</v>
      </c>
      <c r="AJ804" s="80"/>
      <c r="AK804" s="80" t="s">
        <v>6591</v>
      </c>
      <c r="AL804" s="80"/>
      <c r="AM804" s="80"/>
      <c r="AN804" s="80"/>
      <c r="AO804" s="82">
        <v>43571.136817129627</v>
      </c>
      <c r="AP804" s="84" t="str">
        <f>HYPERLINK("https://pbs.twimg.com/profile_banners/1117990249806721024/1560173238")</f>
        <v>https://pbs.twimg.com/profile_banners/1117990249806721024/1560173238</v>
      </c>
      <c r="AQ804" s="80" t="b">
        <v>1</v>
      </c>
      <c r="AR804" s="80" t="b">
        <v>0</v>
      </c>
      <c r="AS804" s="80" t="b">
        <v>1</v>
      </c>
      <c r="AT804" s="80"/>
      <c r="AU804" s="80">
        <v>130</v>
      </c>
      <c r="AV804" s="80"/>
      <c r="AW804" s="80" t="b">
        <v>0</v>
      </c>
      <c r="AX804" s="80" t="s">
        <v>7173</v>
      </c>
      <c r="AY804" s="84" t="str">
        <f>HYPERLINK("https://twitter.com/msaid_didu")</f>
        <v>https://twitter.com/msaid_didu</v>
      </c>
      <c r="AZ804" s="80" t="s">
        <v>65</v>
      </c>
      <c r="BA804" s="2"/>
      <c r="BB804" s="3"/>
      <c r="BC804" s="3"/>
      <c r="BD804" s="3"/>
      <c r="BE804" s="3"/>
    </row>
    <row r="805" spans="1:57" x14ac:dyDescent="0.35">
      <c r="A805" s="66" t="s">
        <v>1161</v>
      </c>
      <c r="B805" s="67"/>
      <c r="C805" s="67"/>
      <c r="D805" s="68"/>
      <c r="E805" s="70"/>
      <c r="F805" s="106" t="str">
        <f>HYPERLINK("https://pbs.twimg.com/profile_images/1442260603754610692/mDoVBkeo_normal.jpg")</f>
        <v>https://pbs.twimg.com/profile_images/1442260603754610692/mDoVBkeo_normal.jpg</v>
      </c>
      <c r="G805" s="67"/>
      <c r="H805" s="71"/>
      <c r="I805" s="72"/>
      <c r="J805" s="72"/>
      <c r="K805" s="71" t="s">
        <v>7975</v>
      </c>
      <c r="L805" s="75"/>
      <c r="M805" s="76"/>
      <c r="N805" s="76"/>
      <c r="O805" s="77"/>
      <c r="P805" s="78"/>
      <c r="Q805" s="78"/>
      <c r="R805" s="90"/>
      <c r="S805" s="90"/>
      <c r="T805" s="90"/>
      <c r="U805" s="90"/>
      <c r="V805" s="52"/>
      <c r="W805" s="52"/>
      <c r="X805" s="52"/>
      <c r="Y805" s="52"/>
      <c r="Z805" s="51"/>
      <c r="AA805" s="73"/>
      <c r="AB805" s="73"/>
      <c r="AC805" s="74"/>
      <c r="AD805" s="80" t="s">
        <v>4973</v>
      </c>
      <c r="AE805" s="86" t="s">
        <v>4031</v>
      </c>
      <c r="AF805" s="80">
        <v>4272</v>
      </c>
      <c r="AG805" s="80">
        <v>4761</v>
      </c>
      <c r="AH805" s="80">
        <v>53653</v>
      </c>
      <c r="AI805" s="80">
        <v>10843</v>
      </c>
      <c r="AJ805" s="80"/>
      <c r="AK805" s="80" t="s">
        <v>6592</v>
      </c>
      <c r="AL805" s="80" t="s">
        <v>6884</v>
      </c>
      <c r="AM805" s="80"/>
      <c r="AN805" s="80"/>
      <c r="AO805" s="82">
        <v>40825.229027777779</v>
      </c>
      <c r="AP805" s="84" t="str">
        <f>HYPERLINK("https://pbs.twimg.com/profile_banners/387503902/1577700678")</f>
        <v>https://pbs.twimg.com/profile_banners/387503902/1577700678</v>
      </c>
      <c r="AQ805" s="80" t="b">
        <v>1</v>
      </c>
      <c r="AR805" s="80" t="b">
        <v>0</v>
      </c>
      <c r="AS805" s="80" t="b">
        <v>1</v>
      </c>
      <c r="AT805" s="80"/>
      <c r="AU805" s="80">
        <v>1</v>
      </c>
      <c r="AV805" s="84" t="str">
        <f>HYPERLINK("https://abs.twimg.com/images/themes/theme1/bg.png")</f>
        <v>https://abs.twimg.com/images/themes/theme1/bg.png</v>
      </c>
      <c r="AW805" s="80" t="b">
        <v>0</v>
      </c>
      <c r="AX805" s="80" t="s">
        <v>7173</v>
      </c>
      <c r="AY805" s="84" t="str">
        <f>HYPERLINK("https://twitter.com/2020_stmj")</f>
        <v>https://twitter.com/2020_stmj</v>
      </c>
      <c r="AZ805" s="80" t="s">
        <v>65</v>
      </c>
      <c r="BA805" s="2"/>
      <c r="BB805" s="3"/>
      <c r="BC805" s="3"/>
      <c r="BD805" s="3"/>
      <c r="BE805" s="3"/>
    </row>
    <row r="806" spans="1:57" x14ac:dyDescent="0.35">
      <c r="A806" s="66" t="s">
        <v>848</v>
      </c>
      <c r="B806" s="67"/>
      <c r="C806" s="67"/>
      <c r="D806" s="68"/>
      <c r="E806" s="70"/>
      <c r="F806" s="106" t="str">
        <f>HYPERLINK("https://pbs.twimg.com/profile_images/1437360003480915969/uqfWblXy_normal.jpg")</f>
        <v>https://pbs.twimg.com/profile_images/1437360003480915969/uqfWblXy_normal.jpg</v>
      </c>
      <c r="G806" s="67"/>
      <c r="H806" s="71"/>
      <c r="I806" s="72"/>
      <c r="J806" s="72"/>
      <c r="K806" s="71" t="s">
        <v>7976</v>
      </c>
      <c r="L806" s="75"/>
      <c r="M806" s="76"/>
      <c r="N806" s="76"/>
      <c r="O806" s="77"/>
      <c r="P806" s="78"/>
      <c r="Q806" s="78"/>
      <c r="R806" s="90"/>
      <c r="S806" s="90"/>
      <c r="T806" s="90"/>
      <c r="U806" s="90"/>
      <c r="V806" s="52"/>
      <c r="W806" s="52"/>
      <c r="X806" s="52"/>
      <c r="Y806" s="52"/>
      <c r="Z806" s="51"/>
      <c r="AA806" s="73"/>
      <c r="AB806" s="73"/>
      <c r="AC806" s="74"/>
      <c r="AD806" s="80" t="s">
        <v>4974</v>
      </c>
      <c r="AE806" s="86" t="s">
        <v>5799</v>
      </c>
      <c r="AF806" s="80">
        <v>532</v>
      </c>
      <c r="AG806" s="80">
        <v>465</v>
      </c>
      <c r="AH806" s="80">
        <v>95375</v>
      </c>
      <c r="AI806" s="80">
        <v>6950</v>
      </c>
      <c r="AJ806" s="80"/>
      <c r="AK806" s="80" t="s">
        <v>6593</v>
      </c>
      <c r="AL806" s="80" t="s">
        <v>7093</v>
      </c>
      <c r="AM806" s="84" t="str">
        <f>HYPERLINK("https://t.co/w5qJtsnBRO")</f>
        <v>https://t.co/w5qJtsnBRO</v>
      </c>
      <c r="AN806" s="80"/>
      <c r="AO806" s="82">
        <v>42964.757222222222</v>
      </c>
      <c r="AP806" s="84" t="str">
        <f>HYPERLINK("https://pbs.twimg.com/profile_banners/898245640768995328/1606008911")</f>
        <v>https://pbs.twimg.com/profile_banners/898245640768995328/1606008911</v>
      </c>
      <c r="AQ806" s="80" t="b">
        <v>0</v>
      </c>
      <c r="AR806" s="80" t="b">
        <v>0</v>
      </c>
      <c r="AS806" s="80" t="b">
        <v>1</v>
      </c>
      <c r="AT806" s="80"/>
      <c r="AU806" s="80">
        <v>0</v>
      </c>
      <c r="AV806" s="84" t="str">
        <f>HYPERLINK("https://abs.twimg.com/images/themes/theme1/bg.png")</f>
        <v>https://abs.twimg.com/images/themes/theme1/bg.png</v>
      </c>
      <c r="AW806" s="80" t="b">
        <v>0</v>
      </c>
      <c r="AX806" s="80" t="s">
        <v>7173</v>
      </c>
      <c r="AY806" s="84" t="str">
        <f>HYPERLINK("https://twitter.com/perindubangtan")</f>
        <v>https://twitter.com/perindubangtan</v>
      </c>
      <c r="AZ806" s="80" t="s">
        <v>66</v>
      </c>
      <c r="BA806" s="2"/>
      <c r="BB806" s="3"/>
      <c r="BC806" s="3"/>
      <c r="BD806" s="3"/>
      <c r="BE806" s="3"/>
    </row>
    <row r="807" spans="1:57" x14ac:dyDescent="0.35">
      <c r="A807" s="66" t="s">
        <v>1162</v>
      </c>
      <c r="B807" s="67"/>
      <c r="C807" s="67"/>
      <c r="D807" s="68"/>
      <c r="E807" s="70"/>
      <c r="F807" s="106" t="str">
        <f>HYPERLINK("https://pbs.twimg.com/profile_images/1427837302592589831/ITLb9_rn_normal.png")</f>
        <v>https://pbs.twimg.com/profile_images/1427837302592589831/ITLb9_rn_normal.png</v>
      </c>
      <c r="G807" s="67"/>
      <c r="H807" s="71"/>
      <c r="I807" s="72"/>
      <c r="J807" s="72"/>
      <c r="K807" s="71" t="s">
        <v>7977</v>
      </c>
      <c r="L807" s="75"/>
      <c r="M807" s="76"/>
      <c r="N807" s="76"/>
      <c r="O807" s="77"/>
      <c r="P807" s="78"/>
      <c r="Q807" s="78"/>
      <c r="R807" s="90"/>
      <c r="S807" s="90"/>
      <c r="T807" s="90"/>
      <c r="U807" s="90"/>
      <c r="V807" s="52"/>
      <c r="W807" s="52"/>
      <c r="X807" s="52"/>
      <c r="Y807" s="52"/>
      <c r="Z807" s="51"/>
      <c r="AA807" s="73"/>
      <c r="AB807" s="73"/>
      <c r="AC807" s="74"/>
      <c r="AD807" s="80" t="s">
        <v>4975</v>
      </c>
      <c r="AE807" s="86" t="s">
        <v>4032</v>
      </c>
      <c r="AF807" s="80">
        <v>5679</v>
      </c>
      <c r="AG807" s="80">
        <v>144671</v>
      </c>
      <c r="AH807" s="80">
        <v>248350</v>
      </c>
      <c r="AI807" s="80">
        <v>23</v>
      </c>
      <c r="AJ807" s="80"/>
      <c r="AK807" s="80" t="s">
        <v>6594</v>
      </c>
      <c r="AL807" s="80"/>
      <c r="AM807" s="84" t="str">
        <f>HYPERLINK("https://t.co/UbYigVU7vL")</f>
        <v>https://t.co/UbYigVU7vL</v>
      </c>
      <c r="AN807" s="80"/>
      <c r="AO807" s="82">
        <v>44029.406643518516</v>
      </c>
      <c r="AP807" s="84" t="str">
        <f>HYPERLINK("https://pbs.twimg.com/profile_banners/1284061445148209154/1629257917")</f>
        <v>https://pbs.twimg.com/profile_banners/1284061445148209154/1629257917</v>
      </c>
      <c r="AQ807" s="80" t="b">
        <v>1</v>
      </c>
      <c r="AR807" s="80" t="b">
        <v>0</v>
      </c>
      <c r="AS807" s="80" t="b">
        <v>0</v>
      </c>
      <c r="AT807" s="80"/>
      <c r="AU807" s="80">
        <v>3191</v>
      </c>
      <c r="AV807" s="80"/>
      <c r="AW807" s="80" t="b">
        <v>0</v>
      </c>
      <c r="AX807" s="80" t="s">
        <v>7173</v>
      </c>
      <c r="AY807" s="84" t="str">
        <f>HYPERLINK("https://twitter.com/convomfs")</f>
        <v>https://twitter.com/convomfs</v>
      </c>
      <c r="AZ807" s="80" t="s">
        <v>65</v>
      </c>
      <c r="BA807" s="2"/>
      <c r="BB807" s="3"/>
      <c r="BC807" s="3"/>
      <c r="BD807" s="3"/>
      <c r="BE807" s="3"/>
    </row>
    <row r="808" spans="1:57" x14ac:dyDescent="0.35">
      <c r="A808" s="66" t="s">
        <v>849</v>
      </c>
      <c r="B808" s="67"/>
      <c r="C808" s="67"/>
      <c r="D808" s="68"/>
      <c r="E808" s="70"/>
      <c r="F808" s="106" t="str">
        <f>HYPERLINK("https://pbs.twimg.com/profile_images/1429984556308865064/VwGgZiwd_normal.jpg")</f>
        <v>https://pbs.twimg.com/profile_images/1429984556308865064/VwGgZiwd_normal.jpg</v>
      </c>
      <c r="G808" s="67"/>
      <c r="H808" s="71"/>
      <c r="I808" s="72"/>
      <c r="J808" s="72"/>
      <c r="K808" s="71" t="s">
        <v>7978</v>
      </c>
      <c r="L808" s="75"/>
      <c r="M808" s="76"/>
      <c r="N808" s="76"/>
      <c r="O808" s="77"/>
      <c r="P808" s="78"/>
      <c r="Q808" s="78"/>
      <c r="R808" s="90"/>
      <c r="S808" s="90"/>
      <c r="T808" s="90"/>
      <c r="U808" s="90"/>
      <c r="V808" s="52"/>
      <c r="W808" s="52"/>
      <c r="X808" s="52"/>
      <c r="Y808" s="52"/>
      <c r="Z808" s="51"/>
      <c r="AA808" s="73"/>
      <c r="AB808" s="73"/>
      <c r="AC808" s="74"/>
      <c r="AD808" s="80" t="s">
        <v>4976</v>
      </c>
      <c r="AE808" s="86" t="s">
        <v>5800</v>
      </c>
      <c r="AF808" s="80">
        <v>19</v>
      </c>
      <c r="AG808" s="80">
        <v>144</v>
      </c>
      <c r="AH808" s="80">
        <v>1954</v>
      </c>
      <c r="AI808" s="80">
        <v>660</v>
      </c>
      <c r="AJ808" s="80"/>
      <c r="AK808" s="80" t="s">
        <v>6595</v>
      </c>
      <c r="AL808" s="80"/>
      <c r="AM808" s="84" t="str">
        <f>HYPERLINK("https://t.co/Ukzp7qzaph")</f>
        <v>https://t.co/Ukzp7qzaph</v>
      </c>
      <c r="AN808" s="80"/>
      <c r="AO808" s="82">
        <v>43977.202673611115</v>
      </c>
      <c r="AP808" s="84" t="str">
        <f>HYPERLINK("https://pbs.twimg.com/profile_banners/1265143521876381696/1629769702")</f>
        <v>https://pbs.twimg.com/profile_banners/1265143521876381696/1629769702</v>
      </c>
      <c r="AQ808" s="80" t="b">
        <v>1</v>
      </c>
      <c r="AR808" s="80" t="b">
        <v>0</v>
      </c>
      <c r="AS808" s="80" t="b">
        <v>0</v>
      </c>
      <c r="AT808" s="80"/>
      <c r="AU808" s="80">
        <v>1</v>
      </c>
      <c r="AV808" s="80"/>
      <c r="AW808" s="80" t="b">
        <v>0</v>
      </c>
      <c r="AX808" s="80" t="s">
        <v>7173</v>
      </c>
      <c r="AY808" s="84" t="str">
        <f>HYPERLINK("https://twitter.com/polrestatanger1")</f>
        <v>https://twitter.com/polrestatanger1</v>
      </c>
      <c r="AZ808" s="80" t="s">
        <v>66</v>
      </c>
      <c r="BA808" s="2"/>
      <c r="BB808" s="3"/>
      <c r="BC808" s="3"/>
      <c r="BD808" s="3"/>
      <c r="BE808" s="3"/>
    </row>
    <row r="809" spans="1:57" x14ac:dyDescent="0.35">
      <c r="A809" s="66" t="s">
        <v>850</v>
      </c>
      <c r="B809" s="67"/>
      <c r="C809" s="67"/>
      <c r="D809" s="68"/>
      <c r="E809" s="70"/>
      <c r="F809" s="106" t="str">
        <f>HYPERLINK("https://pbs.twimg.com/profile_images/1413119048150224900/wwS1-s4W_normal.jpg")</f>
        <v>https://pbs.twimg.com/profile_images/1413119048150224900/wwS1-s4W_normal.jpg</v>
      </c>
      <c r="G809" s="67"/>
      <c r="H809" s="71"/>
      <c r="I809" s="72"/>
      <c r="J809" s="72"/>
      <c r="K809" s="71" t="s">
        <v>7979</v>
      </c>
      <c r="L809" s="75"/>
      <c r="M809" s="76"/>
      <c r="N809" s="76"/>
      <c r="O809" s="77"/>
      <c r="P809" s="78"/>
      <c r="Q809" s="78"/>
      <c r="R809" s="90"/>
      <c r="S809" s="90"/>
      <c r="T809" s="90"/>
      <c r="U809" s="90"/>
      <c r="V809" s="52"/>
      <c r="W809" s="52"/>
      <c r="X809" s="52"/>
      <c r="Y809" s="52"/>
      <c r="Z809" s="51"/>
      <c r="AA809" s="73"/>
      <c r="AB809" s="73"/>
      <c r="AC809" s="74"/>
      <c r="AD809" s="80" t="s">
        <v>4977</v>
      </c>
      <c r="AE809" s="86" t="s">
        <v>5801</v>
      </c>
      <c r="AF809" s="80">
        <v>2683</v>
      </c>
      <c r="AG809" s="80">
        <v>204</v>
      </c>
      <c r="AH809" s="80">
        <v>36960</v>
      </c>
      <c r="AI809" s="80">
        <v>11082</v>
      </c>
      <c r="AJ809" s="80"/>
      <c r="AK809" s="80" t="s">
        <v>6596</v>
      </c>
      <c r="AL809" s="80"/>
      <c r="AM809" s="80"/>
      <c r="AN809" s="80"/>
      <c r="AO809" s="82">
        <v>42274.188437500001</v>
      </c>
      <c r="AP809" s="84" t="str">
        <f>HYPERLINK("https://pbs.twimg.com/profile_banners/3699915674/1627645925")</f>
        <v>https://pbs.twimg.com/profile_banners/3699915674/1627645925</v>
      </c>
      <c r="AQ809" s="80" t="b">
        <v>1</v>
      </c>
      <c r="AR809" s="80" t="b">
        <v>0</v>
      </c>
      <c r="AS809" s="80" t="b">
        <v>1</v>
      </c>
      <c r="AT809" s="80"/>
      <c r="AU809" s="80">
        <v>0</v>
      </c>
      <c r="AV809" s="84" t="str">
        <f>HYPERLINK("https://abs.twimg.com/images/themes/theme1/bg.png")</f>
        <v>https://abs.twimg.com/images/themes/theme1/bg.png</v>
      </c>
      <c r="AW809" s="80" t="b">
        <v>0</v>
      </c>
      <c r="AX809" s="80" t="s">
        <v>7173</v>
      </c>
      <c r="AY809" s="84" t="str">
        <f>HYPERLINK("https://twitter.com/ajijavajava")</f>
        <v>https://twitter.com/ajijavajava</v>
      </c>
      <c r="AZ809" s="80" t="s">
        <v>66</v>
      </c>
      <c r="BA809" s="2"/>
      <c r="BB809" s="3"/>
      <c r="BC809" s="3"/>
      <c r="BD809" s="3"/>
      <c r="BE809" s="3"/>
    </row>
    <row r="810" spans="1:57" x14ac:dyDescent="0.35">
      <c r="A810" s="66" t="s">
        <v>1163</v>
      </c>
      <c r="B810" s="67"/>
      <c r="C810" s="67"/>
      <c r="D810" s="68"/>
      <c r="E810" s="70"/>
      <c r="F810" s="106" t="str">
        <f>HYPERLINK("https://pbs.twimg.com/profile_images/1442588027767832576/wxywj9SP_normal.jpg")</f>
        <v>https://pbs.twimg.com/profile_images/1442588027767832576/wxywj9SP_normal.jpg</v>
      </c>
      <c r="G810" s="67"/>
      <c r="H810" s="71"/>
      <c r="I810" s="72"/>
      <c r="J810" s="72"/>
      <c r="K810" s="71" t="s">
        <v>7980</v>
      </c>
      <c r="L810" s="75"/>
      <c r="M810" s="76"/>
      <c r="N810" s="76"/>
      <c r="O810" s="77"/>
      <c r="P810" s="78"/>
      <c r="Q810" s="78"/>
      <c r="R810" s="90"/>
      <c r="S810" s="90"/>
      <c r="T810" s="90"/>
      <c r="U810" s="90"/>
      <c r="V810" s="52"/>
      <c r="W810" s="52"/>
      <c r="X810" s="52"/>
      <c r="Y810" s="52"/>
      <c r="Z810" s="51"/>
      <c r="AA810" s="73"/>
      <c r="AB810" s="73"/>
      <c r="AC810" s="74"/>
      <c r="AD810" s="80" t="s">
        <v>4978</v>
      </c>
      <c r="AE810" s="86" t="s">
        <v>4033</v>
      </c>
      <c r="AF810" s="80">
        <v>4522</v>
      </c>
      <c r="AG810" s="80">
        <v>236221</v>
      </c>
      <c r="AH810" s="80">
        <v>43590</v>
      </c>
      <c r="AI810" s="80">
        <v>48789</v>
      </c>
      <c r="AJ810" s="80"/>
      <c r="AK810" s="80" t="s">
        <v>6597</v>
      </c>
      <c r="AL810" s="80" t="s">
        <v>7094</v>
      </c>
      <c r="AM810" s="84" t="str">
        <f>HYPERLINK("https://t.co/69n3Si8wlZ")</f>
        <v>https://t.co/69n3Si8wlZ</v>
      </c>
      <c r="AN810" s="80"/>
      <c r="AO810" s="82">
        <v>43910.54619212963</v>
      </c>
      <c r="AP810" s="84" t="str">
        <f>HYPERLINK("https://pbs.twimg.com/profile_banners/1240988030204141568/1631555082")</f>
        <v>https://pbs.twimg.com/profile_banners/1240988030204141568/1631555082</v>
      </c>
      <c r="AQ810" s="80" t="b">
        <v>1</v>
      </c>
      <c r="AR810" s="80" t="b">
        <v>0</v>
      </c>
      <c r="AS810" s="80" t="b">
        <v>1</v>
      </c>
      <c r="AT810" s="80"/>
      <c r="AU810" s="80">
        <v>866</v>
      </c>
      <c r="AV810" s="80"/>
      <c r="AW810" s="80" t="b">
        <v>0</v>
      </c>
      <c r="AX810" s="80" t="s">
        <v>7173</v>
      </c>
      <c r="AY810" s="84" t="str">
        <f>HYPERLINK("https://twitter.com/a100888")</f>
        <v>https://twitter.com/a100888</v>
      </c>
      <c r="AZ810" s="80" t="s">
        <v>65</v>
      </c>
      <c r="BA810" s="2"/>
      <c r="BB810" s="3"/>
      <c r="BC810" s="3"/>
      <c r="BD810" s="3"/>
      <c r="BE810" s="3"/>
    </row>
    <row r="811" spans="1:57" x14ac:dyDescent="0.35">
      <c r="A811" s="66" t="s">
        <v>851</v>
      </c>
      <c r="B811" s="67"/>
      <c r="C811" s="67"/>
      <c r="D811" s="68"/>
      <c r="E811" s="70"/>
      <c r="F811" s="106" t="str">
        <f>HYPERLINK("https://pbs.twimg.com/profile_images/1441045084649115649/haul4HxQ_normal.jpg")</f>
        <v>https://pbs.twimg.com/profile_images/1441045084649115649/haul4HxQ_normal.jpg</v>
      </c>
      <c r="G811" s="67"/>
      <c r="H811" s="71"/>
      <c r="I811" s="72"/>
      <c r="J811" s="72"/>
      <c r="K811" s="71" t="s">
        <v>7981</v>
      </c>
      <c r="L811" s="75"/>
      <c r="M811" s="76"/>
      <c r="N811" s="76"/>
      <c r="O811" s="77"/>
      <c r="P811" s="78"/>
      <c r="Q811" s="78"/>
      <c r="R811" s="90"/>
      <c r="S811" s="90"/>
      <c r="T811" s="90"/>
      <c r="U811" s="90"/>
      <c r="V811" s="52"/>
      <c r="W811" s="52"/>
      <c r="X811" s="52"/>
      <c r="Y811" s="52"/>
      <c r="Z811" s="51"/>
      <c r="AA811" s="73"/>
      <c r="AB811" s="73"/>
      <c r="AC811" s="74"/>
      <c r="AD811" s="80" t="s">
        <v>4979</v>
      </c>
      <c r="AE811" s="86" t="s">
        <v>5802</v>
      </c>
      <c r="AF811" s="80">
        <v>379</v>
      </c>
      <c r="AG811" s="80">
        <v>30</v>
      </c>
      <c r="AH811" s="80">
        <v>1309</v>
      </c>
      <c r="AI811" s="80">
        <v>185</v>
      </c>
      <c r="AJ811" s="80"/>
      <c r="AK811" s="80" t="s">
        <v>6598</v>
      </c>
      <c r="AL811" s="80" t="s">
        <v>7095</v>
      </c>
      <c r="AM811" s="80"/>
      <c r="AN811" s="80"/>
      <c r="AO811" s="82">
        <v>44461.422962962963</v>
      </c>
      <c r="AP811" s="84" t="str">
        <f>HYPERLINK("https://pbs.twimg.com/profile_banners/1440619050426454023/1632406897")</f>
        <v>https://pbs.twimg.com/profile_banners/1440619050426454023/1632406897</v>
      </c>
      <c r="AQ811" s="80" t="b">
        <v>1</v>
      </c>
      <c r="AR811" s="80" t="b">
        <v>0</v>
      </c>
      <c r="AS811" s="80" t="b">
        <v>0</v>
      </c>
      <c r="AT811" s="80"/>
      <c r="AU811" s="80">
        <v>0</v>
      </c>
      <c r="AV811" s="80"/>
      <c r="AW811" s="80" t="b">
        <v>0</v>
      </c>
      <c r="AX811" s="80" t="s">
        <v>7173</v>
      </c>
      <c r="AY811" s="84" t="str">
        <f>HYPERLINK("https://twitter.com/kbigwinsoon")</f>
        <v>https://twitter.com/kbigwinsoon</v>
      </c>
      <c r="AZ811" s="80" t="s">
        <v>66</v>
      </c>
      <c r="BA811" s="2"/>
      <c r="BB811" s="3"/>
      <c r="BC811" s="3"/>
      <c r="BD811" s="3"/>
      <c r="BE811" s="3"/>
    </row>
    <row r="812" spans="1:57" x14ac:dyDescent="0.35">
      <c r="A812" s="66" t="s">
        <v>852</v>
      </c>
      <c r="B812" s="67"/>
      <c r="C812" s="67"/>
      <c r="D812" s="68"/>
      <c r="E812" s="70"/>
      <c r="F812" s="106" t="str">
        <f>HYPERLINK("https://pbs.twimg.com/profile_images/598186148385533952/zTTNB8vx_normal.jpg")</f>
        <v>https://pbs.twimg.com/profile_images/598186148385533952/zTTNB8vx_normal.jpg</v>
      </c>
      <c r="G812" s="67"/>
      <c r="H812" s="71"/>
      <c r="I812" s="72"/>
      <c r="J812" s="72"/>
      <c r="K812" s="71" t="s">
        <v>7982</v>
      </c>
      <c r="L812" s="75"/>
      <c r="M812" s="76"/>
      <c r="N812" s="76"/>
      <c r="O812" s="77"/>
      <c r="P812" s="78"/>
      <c r="Q812" s="78"/>
      <c r="R812" s="90"/>
      <c r="S812" s="90"/>
      <c r="T812" s="90"/>
      <c r="U812" s="90"/>
      <c r="V812" s="52"/>
      <c r="W812" s="52"/>
      <c r="X812" s="52"/>
      <c r="Y812" s="52"/>
      <c r="Z812" s="51"/>
      <c r="AA812" s="73"/>
      <c r="AB812" s="73"/>
      <c r="AC812" s="74"/>
      <c r="AD812" s="80" t="s">
        <v>4980</v>
      </c>
      <c r="AE812" s="86" t="s">
        <v>5803</v>
      </c>
      <c r="AF812" s="80">
        <v>367</v>
      </c>
      <c r="AG812" s="80">
        <v>586</v>
      </c>
      <c r="AH812" s="80">
        <v>21648</v>
      </c>
      <c r="AI812" s="80">
        <v>31</v>
      </c>
      <c r="AJ812" s="80"/>
      <c r="AK812" s="80" t="s">
        <v>6599</v>
      </c>
      <c r="AL812" s="80" t="s">
        <v>7096</v>
      </c>
      <c r="AM812" s="80"/>
      <c r="AN812" s="80"/>
      <c r="AO812" s="82">
        <v>40151.438043981485</v>
      </c>
      <c r="AP812" s="84" t="str">
        <f>HYPERLINK("https://pbs.twimg.com/profile_banners/94532085/1559740199")</f>
        <v>https://pbs.twimg.com/profile_banners/94532085/1559740199</v>
      </c>
      <c r="AQ812" s="80" t="b">
        <v>0</v>
      </c>
      <c r="AR812" s="80" t="b">
        <v>0</v>
      </c>
      <c r="AS812" s="80" t="b">
        <v>1</v>
      </c>
      <c r="AT812" s="80"/>
      <c r="AU812" s="80">
        <v>3</v>
      </c>
      <c r="AV812" s="84" t="str">
        <f>HYPERLINK("https://abs.twimg.com/images/themes/theme1/bg.png")</f>
        <v>https://abs.twimg.com/images/themes/theme1/bg.png</v>
      </c>
      <c r="AW812" s="80" t="b">
        <v>0</v>
      </c>
      <c r="AX812" s="80" t="s">
        <v>7173</v>
      </c>
      <c r="AY812" s="84" t="str">
        <f>HYPERLINK("https://twitter.com/zumeww")</f>
        <v>https://twitter.com/zumeww</v>
      </c>
      <c r="AZ812" s="80" t="s">
        <v>66</v>
      </c>
      <c r="BA812" s="2"/>
      <c r="BB812" s="3"/>
      <c r="BC812" s="3"/>
      <c r="BD812" s="3"/>
      <c r="BE812" s="3"/>
    </row>
    <row r="813" spans="1:57" x14ac:dyDescent="0.35">
      <c r="A813" s="66" t="s">
        <v>1164</v>
      </c>
      <c r="B813" s="67"/>
      <c r="C813" s="67"/>
      <c r="D813" s="68"/>
      <c r="E813" s="70"/>
      <c r="F813" s="106" t="str">
        <f>HYPERLINK("https://pbs.twimg.com/profile_images/588890174177738752/efv0lcYr_normal.jpg")</f>
        <v>https://pbs.twimg.com/profile_images/588890174177738752/efv0lcYr_normal.jpg</v>
      </c>
      <c r="G813" s="67"/>
      <c r="H813" s="71"/>
      <c r="I813" s="72"/>
      <c r="J813" s="72"/>
      <c r="K813" s="71" t="s">
        <v>7983</v>
      </c>
      <c r="L813" s="75"/>
      <c r="M813" s="76"/>
      <c r="N813" s="76"/>
      <c r="O813" s="77"/>
      <c r="P813" s="78"/>
      <c r="Q813" s="78"/>
      <c r="R813" s="90"/>
      <c r="S813" s="90"/>
      <c r="T813" s="90"/>
      <c r="U813" s="90"/>
      <c r="V813" s="52"/>
      <c r="W813" s="52"/>
      <c r="X813" s="52"/>
      <c r="Y813" s="52"/>
      <c r="Z813" s="51"/>
      <c r="AA813" s="73"/>
      <c r="AB813" s="73"/>
      <c r="AC813" s="74"/>
      <c r="AD813" s="80" t="s">
        <v>4981</v>
      </c>
      <c r="AE813" s="86" t="s">
        <v>4034</v>
      </c>
      <c r="AF813" s="80">
        <v>53</v>
      </c>
      <c r="AG813" s="80">
        <v>133</v>
      </c>
      <c r="AH813" s="80">
        <v>28</v>
      </c>
      <c r="AI813" s="80">
        <v>0</v>
      </c>
      <c r="AJ813" s="80"/>
      <c r="AK813" s="80" t="s">
        <v>6600</v>
      </c>
      <c r="AL813" s="80" t="s">
        <v>7097</v>
      </c>
      <c r="AM813" s="84" t="str">
        <f>HYPERLINK("http://t.co/RodXhAsm9t")</f>
        <v>http://t.co/RodXhAsm9t</v>
      </c>
      <c r="AN813" s="80"/>
      <c r="AO813" s="82">
        <v>42110.399525462963</v>
      </c>
      <c r="AP813" s="84" t="str">
        <f>HYPERLINK("https://pbs.twimg.com/profile_banners/3159392252/1429291069")</f>
        <v>https://pbs.twimg.com/profile_banners/3159392252/1429291069</v>
      </c>
      <c r="AQ813" s="80" t="b">
        <v>1</v>
      </c>
      <c r="AR813" s="80" t="b">
        <v>0</v>
      </c>
      <c r="AS813" s="80" t="b">
        <v>0</v>
      </c>
      <c r="AT813" s="80"/>
      <c r="AU813" s="80">
        <v>0</v>
      </c>
      <c r="AV813" s="84" t="str">
        <f>HYPERLINK("https://abs.twimg.com/images/themes/theme1/bg.png")</f>
        <v>https://abs.twimg.com/images/themes/theme1/bg.png</v>
      </c>
      <c r="AW813" s="80" t="b">
        <v>0</v>
      </c>
      <c r="AX813" s="80" t="s">
        <v>7173</v>
      </c>
      <c r="AY813" s="84" t="str">
        <f>HYPERLINK("https://twitter.com/kantorpostsm")</f>
        <v>https://twitter.com/kantorpostsm</v>
      </c>
      <c r="AZ813" s="80" t="s">
        <v>65</v>
      </c>
      <c r="BA813" s="2"/>
      <c r="BB813" s="3"/>
      <c r="BC813" s="3"/>
      <c r="BD813" s="3"/>
      <c r="BE813" s="3"/>
    </row>
    <row r="814" spans="1:57" x14ac:dyDescent="0.35">
      <c r="A814" s="66" t="s">
        <v>853</v>
      </c>
      <c r="B814" s="67"/>
      <c r="C814" s="67"/>
      <c r="D814" s="68"/>
      <c r="E814" s="70"/>
      <c r="F814" s="106" t="str">
        <f>HYPERLINK("https://pbs.twimg.com/profile_images/1406217616344064001/n-c25lBe_normal.jpg")</f>
        <v>https://pbs.twimg.com/profile_images/1406217616344064001/n-c25lBe_normal.jpg</v>
      </c>
      <c r="G814" s="67"/>
      <c r="H814" s="71"/>
      <c r="I814" s="72"/>
      <c r="J814" s="72"/>
      <c r="K814" s="71" t="s">
        <v>7984</v>
      </c>
      <c r="L814" s="75"/>
      <c r="M814" s="76"/>
      <c r="N814" s="76"/>
      <c r="O814" s="77"/>
      <c r="P814" s="78"/>
      <c r="Q814" s="78"/>
      <c r="R814" s="90"/>
      <c r="S814" s="90"/>
      <c r="T814" s="90"/>
      <c r="U814" s="90"/>
      <c r="V814" s="52"/>
      <c r="W814" s="52"/>
      <c r="X814" s="52"/>
      <c r="Y814" s="52"/>
      <c r="Z814" s="51"/>
      <c r="AA814" s="73"/>
      <c r="AB814" s="73"/>
      <c r="AC814" s="74"/>
      <c r="AD814" s="80" t="s">
        <v>4982</v>
      </c>
      <c r="AE814" s="86" t="s">
        <v>5804</v>
      </c>
      <c r="AF814" s="80">
        <v>1</v>
      </c>
      <c r="AG814" s="80">
        <v>2</v>
      </c>
      <c r="AH814" s="80">
        <v>756</v>
      </c>
      <c r="AI814" s="80">
        <v>35</v>
      </c>
      <c r="AJ814" s="80"/>
      <c r="AK814" s="80" t="s">
        <v>6601</v>
      </c>
      <c r="AL814" s="80"/>
      <c r="AM814" s="80"/>
      <c r="AN814" s="80"/>
      <c r="AO814" s="82">
        <v>44366.490393518521</v>
      </c>
      <c r="AP814" s="80"/>
      <c r="AQ814" s="80" t="b">
        <v>1</v>
      </c>
      <c r="AR814" s="80" t="b">
        <v>0</v>
      </c>
      <c r="AS814" s="80" t="b">
        <v>0</v>
      </c>
      <c r="AT814" s="80"/>
      <c r="AU814" s="80">
        <v>0</v>
      </c>
      <c r="AV814" s="80"/>
      <c r="AW814" s="80" t="b">
        <v>0</v>
      </c>
      <c r="AX814" s="80" t="s">
        <v>7173</v>
      </c>
      <c r="AY814" s="84" t="str">
        <f>HYPERLINK("https://twitter.com/polsekkdrkota2")</f>
        <v>https://twitter.com/polsekkdrkota2</v>
      </c>
      <c r="AZ814" s="80" t="s">
        <v>66</v>
      </c>
      <c r="BA814" s="2"/>
      <c r="BB814" s="3"/>
      <c r="BC814" s="3"/>
      <c r="BD814" s="3"/>
      <c r="BE814" s="3"/>
    </row>
    <row r="815" spans="1:57" x14ac:dyDescent="0.35">
      <c r="A815" s="66" t="s">
        <v>854</v>
      </c>
      <c r="B815" s="67"/>
      <c r="C815" s="67"/>
      <c r="D815" s="68"/>
      <c r="E815" s="70"/>
      <c r="F815" s="106" t="str">
        <f>HYPERLINK("https://pbs.twimg.com/profile_images/1437274793108144130/sRASqYfE_normal.jpg")</f>
        <v>https://pbs.twimg.com/profile_images/1437274793108144130/sRASqYfE_normal.jpg</v>
      </c>
      <c r="G815" s="67"/>
      <c r="H815" s="71"/>
      <c r="I815" s="72"/>
      <c r="J815" s="72"/>
      <c r="K815" s="71" t="s">
        <v>7985</v>
      </c>
      <c r="L815" s="75"/>
      <c r="M815" s="76"/>
      <c r="N815" s="76"/>
      <c r="O815" s="77"/>
      <c r="P815" s="78"/>
      <c r="Q815" s="78"/>
      <c r="R815" s="90"/>
      <c r="S815" s="90"/>
      <c r="T815" s="90"/>
      <c r="U815" s="90"/>
      <c r="V815" s="52"/>
      <c r="W815" s="52"/>
      <c r="X815" s="52"/>
      <c r="Y815" s="52"/>
      <c r="Z815" s="51"/>
      <c r="AA815" s="73"/>
      <c r="AB815" s="73"/>
      <c r="AC815" s="74"/>
      <c r="AD815" s="80" t="s">
        <v>854</v>
      </c>
      <c r="AE815" s="86" t="s">
        <v>5805</v>
      </c>
      <c r="AF815" s="80">
        <v>3</v>
      </c>
      <c r="AG815" s="80">
        <v>739949</v>
      </c>
      <c r="AH815" s="80">
        <v>682588</v>
      </c>
      <c r="AI815" s="80">
        <v>387</v>
      </c>
      <c r="AJ815" s="80"/>
      <c r="AK815" s="80"/>
      <c r="AL815" s="80"/>
      <c r="AM815" s="84" t="str">
        <f>HYPERLINK("https://t.co/ixWne53yta")</f>
        <v>https://t.co/ixWne53yta</v>
      </c>
      <c r="AN815" s="80"/>
      <c r="AO815" s="82">
        <v>42582.424097222225</v>
      </c>
      <c r="AP815" s="84" t="str">
        <f>HYPERLINK("https://pbs.twimg.com/profile_banners/759692754985242625/1632115319")</f>
        <v>https://pbs.twimg.com/profile_banners/759692754985242625/1632115319</v>
      </c>
      <c r="AQ815" s="80" t="b">
        <v>1</v>
      </c>
      <c r="AR815" s="80" t="b">
        <v>0</v>
      </c>
      <c r="AS815" s="80" t="b">
        <v>1</v>
      </c>
      <c r="AT815" s="80"/>
      <c r="AU815" s="80">
        <v>1071</v>
      </c>
      <c r="AV815" s="80"/>
      <c r="AW815" s="80" t="b">
        <v>1</v>
      </c>
      <c r="AX815" s="80" t="s">
        <v>7173</v>
      </c>
      <c r="AY815" s="84" t="str">
        <f>HYPERLINK("https://twitter.com/kumparan")</f>
        <v>https://twitter.com/kumparan</v>
      </c>
      <c r="AZ815" s="80" t="s">
        <v>66</v>
      </c>
      <c r="BA815" s="2"/>
      <c r="BB815" s="3"/>
      <c r="BC815" s="3"/>
      <c r="BD815" s="3"/>
      <c r="BE815" s="3"/>
    </row>
    <row r="816" spans="1:57" x14ac:dyDescent="0.35">
      <c r="A816" s="66" t="s">
        <v>855</v>
      </c>
      <c r="B816" s="67"/>
      <c r="C816" s="67"/>
      <c r="D816" s="68"/>
      <c r="E816" s="70"/>
      <c r="F816" s="106" t="str">
        <f>HYPERLINK("https://pbs.twimg.com/profile_images/1413839142992027654/u9SCOSZj_normal.jpg")</f>
        <v>https://pbs.twimg.com/profile_images/1413839142992027654/u9SCOSZj_normal.jpg</v>
      </c>
      <c r="G816" s="67"/>
      <c r="H816" s="71"/>
      <c r="I816" s="72"/>
      <c r="J816" s="72"/>
      <c r="K816" s="71" t="s">
        <v>7986</v>
      </c>
      <c r="L816" s="75"/>
      <c r="M816" s="76"/>
      <c r="N816" s="76"/>
      <c r="O816" s="77"/>
      <c r="P816" s="78"/>
      <c r="Q816" s="78"/>
      <c r="R816" s="90"/>
      <c r="S816" s="90"/>
      <c r="T816" s="90"/>
      <c r="U816" s="90"/>
      <c r="V816" s="52"/>
      <c r="W816" s="52"/>
      <c r="X816" s="52"/>
      <c r="Y816" s="52"/>
      <c r="Z816" s="51"/>
      <c r="AA816" s="73"/>
      <c r="AB816" s="73"/>
      <c r="AC816" s="74"/>
      <c r="AD816" s="80" t="s">
        <v>4983</v>
      </c>
      <c r="AE816" s="86" t="s">
        <v>5806</v>
      </c>
      <c r="AF816" s="80">
        <v>383</v>
      </c>
      <c r="AG816" s="80">
        <v>414</v>
      </c>
      <c r="AH816" s="80">
        <v>15327</v>
      </c>
      <c r="AI816" s="80">
        <v>6202</v>
      </c>
      <c r="AJ816" s="80"/>
      <c r="AK816" s="86" t="s">
        <v>6602</v>
      </c>
      <c r="AL816" s="80" t="s">
        <v>7019</v>
      </c>
      <c r="AM816" s="84" t="str">
        <f>HYPERLINK("https://t.co/wZMy5RwPwD")</f>
        <v>https://t.co/wZMy5RwPwD</v>
      </c>
      <c r="AN816" s="80"/>
      <c r="AO816" s="82">
        <v>43930.129155092596</v>
      </c>
      <c r="AP816" s="84" t="str">
        <f>HYPERLINK("https://pbs.twimg.com/profile_banners/1248084638993547266/1630637580")</f>
        <v>https://pbs.twimg.com/profile_banners/1248084638993547266/1630637580</v>
      </c>
      <c r="AQ816" s="80" t="b">
        <v>1</v>
      </c>
      <c r="AR816" s="80" t="b">
        <v>0</v>
      </c>
      <c r="AS816" s="80" t="b">
        <v>1</v>
      </c>
      <c r="AT816" s="80"/>
      <c r="AU816" s="80">
        <v>2</v>
      </c>
      <c r="AV816" s="80"/>
      <c r="AW816" s="80" t="b">
        <v>0</v>
      </c>
      <c r="AX816" s="80" t="s">
        <v>7173</v>
      </c>
      <c r="AY816" s="84" t="str">
        <f>HYPERLINK("https://twitter.com/913verse")</f>
        <v>https://twitter.com/913verse</v>
      </c>
      <c r="AZ816" s="80" t="s">
        <v>66</v>
      </c>
      <c r="BA816" s="2"/>
      <c r="BB816" s="3"/>
      <c r="BC816" s="3"/>
      <c r="BD816" s="3"/>
      <c r="BE816" s="3"/>
    </row>
    <row r="817" spans="1:57" x14ac:dyDescent="0.35">
      <c r="A817" s="66" t="s">
        <v>856</v>
      </c>
      <c r="B817" s="67"/>
      <c r="C817" s="67"/>
      <c r="D817" s="68"/>
      <c r="E817" s="70"/>
      <c r="F817" s="106" t="str">
        <f>HYPERLINK("https://pbs.twimg.com/profile_images/1442144726799437834/zmL7XJ5h_normal.jpg")</f>
        <v>https://pbs.twimg.com/profile_images/1442144726799437834/zmL7XJ5h_normal.jpg</v>
      </c>
      <c r="G817" s="67"/>
      <c r="H817" s="71"/>
      <c r="I817" s="72"/>
      <c r="J817" s="72"/>
      <c r="K817" s="71" t="s">
        <v>7987</v>
      </c>
      <c r="L817" s="75"/>
      <c r="M817" s="76"/>
      <c r="N817" s="76"/>
      <c r="O817" s="77"/>
      <c r="P817" s="78"/>
      <c r="Q817" s="78"/>
      <c r="R817" s="90"/>
      <c r="S817" s="90"/>
      <c r="T817" s="90"/>
      <c r="U817" s="90"/>
      <c r="V817" s="52"/>
      <c r="W817" s="52"/>
      <c r="X817" s="52"/>
      <c r="Y817" s="52"/>
      <c r="Z817" s="51"/>
      <c r="AA817" s="73"/>
      <c r="AB817" s="73"/>
      <c r="AC817" s="74"/>
      <c r="AD817" s="80" t="s">
        <v>4984</v>
      </c>
      <c r="AE817" s="86" t="s">
        <v>5807</v>
      </c>
      <c r="AF817" s="80">
        <v>326</v>
      </c>
      <c r="AG817" s="80">
        <v>642</v>
      </c>
      <c r="AH817" s="80">
        <v>21281</v>
      </c>
      <c r="AI817" s="80">
        <v>1236</v>
      </c>
      <c r="AJ817" s="80"/>
      <c r="AK817" s="80" t="s">
        <v>6603</v>
      </c>
      <c r="AL817" s="80"/>
      <c r="AM817" s="84" t="str">
        <f>HYPERLINK("https://t.co/nvf14gCFzY")</f>
        <v>https://t.co/nvf14gCFzY</v>
      </c>
      <c r="AN817" s="80"/>
      <c r="AO817" s="82">
        <v>41526.419236111113</v>
      </c>
      <c r="AP817" s="84" t="str">
        <f>HYPERLINK("https://pbs.twimg.com/profile_banners/1843222734/1621791025")</f>
        <v>https://pbs.twimg.com/profile_banners/1843222734/1621791025</v>
      </c>
      <c r="AQ817" s="80" t="b">
        <v>0</v>
      </c>
      <c r="AR817" s="80" t="b">
        <v>0</v>
      </c>
      <c r="AS817" s="80" t="b">
        <v>1</v>
      </c>
      <c r="AT817" s="80"/>
      <c r="AU817" s="80">
        <v>0</v>
      </c>
      <c r="AV817" s="84" t="str">
        <f>HYPERLINK("https://abs.twimg.com/images/themes/theme18/bg.gif")</f>
        <v>https://abs.twimg.com/images/themes/theme18/bg.gif</v>
      </c>
      <c r="AW817" s="80" t="b">
        <v>0</v>
      </c>
      <c r="AX817" s="80" t="s">
        <v>7173</v>
      </c>
      <c r="AY817" s="84" t="str">
        <f>HYPERLINK("https://twitter.com/jegermeyeer")</f>
        <v>https://twitter.com/jegermeyeer</v>
      </c>
      <c r="AZ817" s="80" t="s">
        <v>66</v>
      </c>
      <c r="BA817" s="2"/>
      <c r="BB817" s="3"/>
      <c r="BC817" s="3"/>
      <c r="BD817" s="3"/>
      <c r="BE817" s="3"/>
    </row>
    <row r="818" spans="1:57" x14ac:dyDescent="0.35">
      <c r="A818" s="66" t="s">
        <v>857</v>
      </c>
      <c r="B818" s="67"/>
      <c r="C818" s="67"/>
      <c r="D818" s="68"/>
      <c r="E818" s="70"/>
      <c r="F818" s="106" t="str">
        <f>HYPERLINK("https://pbs.twimg.com/profile_images/1393399224872488962/2F8pddUZ_normal.jpg")</f>
        <v>https://pbs.twimg.com/profile_images/1393399224872488962/2F8pddUZ_normal.jpg</v>
      </c>
      <c r="G818" s="67"/>
      <c r="H818" s="71"/>
      <c r="I818" s="72"/>
      <c r="J818" s="72"/>
      <c r="K818" s="71" t="s">
        <v>7988</v>
      </c>
      <c r="L818" s="75"/>
      <c r="M818" s="76"/>
      <c r="N818" s="76"/>
      <c r="O818" s="77"/>
      <c r="P818" s="78"/>
      <c r="Q818" s="78"/>
      <c r="R818" s="90"/>
      <c r="S818" s="90"/>
      <c r="T818" s="90"/>
      <c r="U818" s="90"/>
      <c r="V818" s="52"/>
      <c r="W818" s="52"/>
      <c r="X818" s="52"/>
      <c r="Y818" s="52"/>
      <c r="Z818" s="51"/>
      <c r="AA818" s="73"/>
      <c r="AB818" s="73"/>
      <c r="AC818" s="74"/>
      <c r="AD818" s="80" t="s">
        <v>4985</v>
      </c>
      <c r="AE818" s="86" t="s">
        <v>5808</v>
      </c>
      <c r="AF818" s="80">
        <v>413</v>
      </c>
      <c r="AG818" s="80">
        <v>673</v>
      </c>
      <c r="AH818" s="80">
        <v>29272</v>
      </c>
      <c r="AI818" s="80">
        <v>4594</v>
      </c>
      <c r="AJ818" s="80"/>
      <c r="AK818" s="80" t="s">
        <v>6604</v>
      </c>
      <c r="AL818" s="80"/>
      <c r="AM818" s="84" t="str">
        <f>HYPERLINK("https://t.co/LcrgFKDj5V")</f>
        <v>https://t.co/LcrgFKDj5V</v>
      </c>
      <c r="AN818" s="80"/>
      <c r="AO818" s="82">
        <v>39962.193425925929</v>
      </c>
      <c r="AP818" s="84" t="str">
        <f>HYPERLINK("https://pbs.twimg.com/profile_banners/43273385/1482671475")</f>
        <v>https://pbs.twimg.com/profile_banners/43273385/1482671475</v>
      </c>
      <c r="AQ818" s="80" t="b">
        <v>0</v>
      </c>
      <c r="AR818" s="80" t="b">
        <v>0</v>
      </c>
      <c r="AS818" s="80" t="b">
        <v>0</v>
      </c>
      <c r="AT818" s="80"/>
      <c r="AU818" s="80">
        <v>13</v>
      </c>
      <c r="AV818" s="84" t="str">
        <f>HYPERLINK("https://abs.twimg.com/images/themes/theme14/bg.gif")</f>
        <v>https://abs.twimg.com/images/themes/theme14/bg.gif</v>
      </c>
      <c r="AW818" s="80" t="b">
        <v>0</v>
      </c>
      <c r="AX818" s="80" t="s">
        <v>7173</v>
      </c>
      <c r="AY818" s="84" t="str">
        <f>HYPERLINK("https://twitter.com/adiadaadi")</f>
        <v>https://twitter.com/adiadaadi</v>
      </c>
      <c r="AZ818" s="80" t="s">
        <v>66</v>
      </c>
      <c r="BA818" s="2"/>
      <c r="BB818" s="3"/>
      <c r="BC818" s="3"/>
      <c r="BD818" s="3"/>
      <c r="BE818" s="3"/>
    </row>
    <row r="819" spans="1:57" x14ac:dyDescent="0.35">
      <c r="A819" s="66" t="s">
        <v>1165</v>
      </c>
      <c r="B819" s="67"/>
      <c r="C819" s="67"/>
      <c r="D819" s="68"/>
      <c r="E819" s="70"/>
      <c r="F819" s="106" t="str">
        <f>HYPERLINK("https://pbs.twimg.com/profile_images/1419724920896966671/xTkkzjU1_normal.jpg")</f>
        <v>https://pbs.twimg.com/profile_images/1419724920896966671/xTkkzjU1_normal.jpg</v>
      </c>
      <c r="G819" s="67"/>
      <c r="H819" s="71"/>
      <c r="I819" s="72"/>
      <c r="J819" s="72"/>
      <c r="K819" s="71" t="s">
        <v>7989</v>
      </c>
      <c r="L819" s="75"/>
      <c r="M819" s="76"/>
      <c r="N819" s="76"/>
      <c r="O819" s="77"/>
      <c r="P819" s="78"/>
      <c r="Q819" s="78"/>
      <c r="R819" s="90"/>
      <c r="S819" s="90"/>
      <c r="T819" s="90"/>
      <c r="U819" s="90"/>
      <c r="V819" s="52"/>
      <c r="W819" s="52"/>
      <c r="X819" s="52"/>
      <c r="Y819" s="52"/>
      <c r="Z819" s="51"/>
      <c r="AA819" s="73"/>
      <c r="AB819" s="73"/>
      <c r="AC819" s="74"/>
      <c r="AD819" s="80" t="s">
        <v>4986</v>
      </c>
      <c r="AE819" s="86" t="s">
        <v>4035</v>
      </c>
      <c r="AF819" s="80">
        <v>124</v>
      </c>
      <c r="AG819" s="80">
        <v>134</v>
      </c>
      <c r="AH819" s="80">
        <v>21574</v>
      </c>
      <c r="AI819" s="80">
        <v>14598</v>
      </c>
      <c r="AJ819" s="80"/>
      <c r="AK819" s="80" t="s">
        <v>6605</v>
      </c>
      <c r="AL819" s="80"/>
      <c r="AM819" s="80"/>
      <c r="AN819" s="80"/>
      <c r="AO819" s="82">
        <v>39969.459351851852</v>
      </c>
      <c r="AP819" s="84" t="str">
        <f>HYPERLINK("https://pbs.twimg.com/profile_banners/44868542/1559229106")</f>
        <v>https://pbs.twimg.com/profile_banners/44868542/1559229106</v>
      </c>
      <c r="AQ819" s="80" t="b">
        <v>0</v>
      </c>
      <c r="AR819" s="80" t="b">
        <v>0</v>
      </c>
      <c r="AS819" s="80" t="b">
        <v>1</v>
      </c>
      <c r="AT819" s="80"/>
      <c r="AU819" s="80">
        <v>0</v>
      </c>
      <c r="AV819" s="84" t="str">
        <f>HYPERLINK("https://abs.twimg.com/images/themes/theme11/bg.gif")</f>
        <v>https://abs.twimg.com/images/themes/theme11/bg.gif</v>
      </c>
      <c r="AW819" s="80" t="b">
        <v>0</v>
      </c>
      <c r="AX819" s="80" t="s">
        <v>7173</v>
      </c>
      <c r="AY819" s="84" t="str">
        <f>HYPERLINK("https://twitter.com/notendrases")</f>
        <v>https://twitter.com/notendrases</v>
      </c>
      <c r="AZ819" s="80" t="s">
        <v>65</v>
      </c>
      <c r="BA819" s="2"/>
      <c r="BB819" s="3"/>
      <c r="BC819" s="3"/>
      <c r="BD819" s="3"/>
      <c r="BE819" s="3"/>
    </row>
    <row r="820" spans="1:57" x14ac:dyDescent="0.35">
      <c r="A820" s="66" t="s">
        <v>858</v>
      </c>
      <c r="B820" s="67"/>
      <c r="C820" s="67"/>
      <c r="D820" s="68"/>
      <c r="E820" s="70"/>
      <c r="F820" s="106" t="str">
        <f>HYPERLINK("https://pbs.twimg.com/profile_images/1442384732113702914/BK2qR2NT_normal.jpg")</f>
        <v>https://pbs.twimg.com/profile_images/1442384732113702914/BK2qR2NT_normal.jpg</v>
      </c>
      <c r="G820" s="67"/>
      <c r="H820" s="71"/>
      <c r="I820" s="72"/>
      <c r="J820" s="72"/>
      <c r="K820" s="71" t="s">
        <v>7990</v>
      </c>
      <c r="L820" s="75"/>
      <c r="M820" s="76"/>
      <c r="N820" s="76"/>
      <c r="O820" s="77"/>
      <c r="P820" s="78"/>
      <c r="Q820" s="78"/>
      <c r="R820" s="90"/>
      <c r="S820" s="90"/>
      <c r="T820" s="90"/>
      <c r="U820" s="90"/>
      <c r="V820" s="52"/>
      <c r="W820" s="52"/>
      <c r="X820" s="52"/>
      <c r="Y820" s="52"/>
      <c r="Z820" s="51"/>
      <c r="AA820" s="73"/>
      <c r="AB820" s="73"/>
      <c r="AC820" s="74"/>
      <c r="AD820" s="80" t="s">
        <v>4987</v>
      </c>
      <c r="AE820" s="86" t="s">
        <v>5809</v>
      </c>
      <c r="AF820" s="80">
        <v>1339</v>
      </c>
      <c r="AG820" s="80">
        <v>1307</v>
      </c>
      <c r="AH820" s="80">
        <v>23254</v>
      </c>
      <c r="AI820" s="80">
        <v>40064</v>
      </c>
      <c r="AJ820" s="80"/>
      <c r="AK820" s="80" t="s">
        <v>6606</v>
      </c>
      <c r="AL820" s="80" t="s">
        <v>7098</v>
      </c>
      <c r="AM820" s="80"/>
      <c r="AN820" s="80"/>
      <c r="AO820" s="82">
        <v>44069.645439814813</v>
      </c>
      <c r="AP820" s="84" t="str">
        <f>HYPERLINK("https://pbs.twimg.com/profile_banners/1298643476972597249/1632791440")</f>
        <v>https://pbs.twimg.com/profile_banners/1298643476972597249/1632791440</v>
      </c>
      <c r="AQ820" s="80" t="b">
        <v>1</v>
      </c>
      <c r="AR820" s="80" t="b">
        <v>0</v>
      </c>
      <c r="AS820" s="80" t="b">
        <v>0</v>
      </c>
      <c r="AT820" s="80"/>
      <c r="AU820" s="80">
        <v>2</v>
      </c>
      <c r="AV820" s="80"/>
      <c r="AW820" s="80" t="b">
        <v>0</v>
      </c>
      <c r="AX820" s="80" t="s">
        <v>7173</v>
      </c>
      <c r="AY820" s="84" t="str">
        <f>HYPERLINK("https://twitter.com/minbunaa")</f>
        <v>https://twitter.com/minbunaa</v>
      </c>
      <c r="AZ820" s="80" t="s">
        <v>66</v>
      </c>
      <c r="BA820" s="2"/>
      <c r="BB820" s="3"/>
      <c r="BC820" s="3"/>
      <c r="BD820" s="3"/>
      <c r="BE820" s="3"/>
    </row>
    <row r="821" spans="1:57" x14ac:dyDescent="0.35">
      <c r="A821" s="66" t="s">
        <v>1166</v>
      </c>
      <c r="B821" s="67"/>
      <c r="C821" s="67"/>
      <c r="D821" s="68"/>
      <c r="E821" s="70"/>
      <c r="F821" s="106" t="str">
        <f>HYPERLINK("https://pbs.twimg.com/profile_images/1427836141353324546/RSavHC8__normal.png")</f>
        <v>https://pbs.twimg.com/profile_images/1427836141353324546/RSavHC8__normal.png</v>
      </c>
      <c r="G821" s="67"/>
      <c r="H821" s="71"/>
      <c r="I821" s="72"/>
      <c r="J821" s="72"/>
      <c r="K821" s="71" t="s">
        <v>7991</v>
      </c>
      <c r="L821" s="75"/>
      <c r="M821" s="76"/>
      <c r="N821" s="76"/>
      <c r="O821" s="77"/>
      <c r="P821" s="78"/>
      <c r="Q821" s="78"/>
      <c r="R821" s="90"/>
      <c r="S821" s="90"/>
      <c r="T821" s="90"/>
      <c r="U821" s="90"/>
      <c r="V821" s="52"/>
      <c r="W821" s="52"/>
      <c r="X821" s="52"/>
      <c r="Y821" s="52"/>
      <c r="Z821" s="51"/>
      <c r="AA821" s="73"/>
      <c r="AB821" s="73"/>
      <c r="AC821" s="74"/>
      <c r="AD821" s="80" t="s">
        <v>4988</v>
      </c>
      <c r="AE821" s="86" t="s">
        <v>4036</v>
      </c>
      <c r="AF821" s="80">
        <v>8091</v>
      </c>
      <c r="AG821" s="80">
        <v>306367</v>
      </c>
      <c r="AH821" s="80">
        <v>412522</v>
      </c>
      <c r="AI821" s="80">
        <v>20</v>
      </c>
      <c r="AJ821" s="80"/>
      <c r="AK821" s="80" t="s">
        <v>6607</v>
      </c>
      <c r="AL821" s="80"/>
      <c r="AM821" s="84" t="str">
        <f>HYPERLINK("https://t.co/iaIFcOOXkA")</f>
        <v>https://t.co/iaIFcOOXkA</v>
      </c>
      <c r="AN821" s="80"/>
      <c r="AO821" s="82">
        <v>44114.712106481478</v>
      </c>
      <c r="AP821" s="84" t="str">
        <f>HYPERLINK("https://pbs.twimg.com/profile_banners/1314975287294083073/1629257640")</f>
        <v>https://pbs.twimg.com/profile_banners/1314975287294083073/1629257640</v>
      </c>
      <c r="AQ821" s="80" t="b">
        <v>1</v>
      </c>
      <c r="AR821" s="80" t="b">
        <v>0</v>
      </c>
      <c r="AS821" s="80" t="b">
        <v>1</v>
      </c>
      <c r="AT821" s="80"/>
      <c r="AU821" s="80">
        <v>3849</v>
      </c>
      <c r="AV821" s="80"/>
      <c r="AW821" s="80" t="b">
        <v>0</v>
      </c>
      <c r="AX821" s="80" t="s">
        <v>7173</v>
      </c>
      <c r="AY821" s="84" t="str">
        <f>HYPERLINK("https://twitter.com/convomf")</f>
        <v>https://twitter.com/convomf</v>
      </c>
      <c r="AZ821" s="80" t="s">
        <v>65</v>
      </c>
      <c r="BA821" s="2"/>
      <c r="BB821" s="3"/>
      <c r="BC821" s="3"/>
      <c r="BD821" s="3"/>
      <c r="BE821" s="3"/>
    </row>
    <row r="822" spans="1:57" x14ac:dyDescent="0.35">
      <c r="A822" s="66" t="s">
        <v>859</v>
      </c>
      <c r="B822" s="67"/>
      <c r="C822" s="67"/>
      <c r="D822" s="68"/>
      <c r="E822" s="70"/>
      <c r="F822" s="106" t="str">
        <f>HYPERLINK("https://pbs.twimg.com/profile_images/1439620827658420227/VPaovEhk_normal.jpg")</f>
        <v>https://pbs.twimg.com/profile_images/1439620827658420227/VPaovEhk_normal.jpg</v>
      </c>
      <c r="G822" s="67"/>
      <c r="H822" s="71"/>
      <c r="I822" s="72"/>
      <c r="J822" s="72"/>
      <c r="K822" s="71" t="s">
        <v>7992</v>
      </c>
      <c r="L822" s="75"/>
      <c r="M822" s="76"/>
      <c r="N822" s="76"/>
      <c r="O822" s="77"/>
      <c r="P822" s="78"/>
      <c r="Q822" s="78"/>
      <c r="R822" s="90"/>
      <c r="S822" s="90"/>
      <c r="T822" s="90"/>
      <c r="U822" s="90"/>
      <c r="V822" s="52"/>
      <c r="W822" s="52"/>
      <c r="X822" s="52"/>
      <c r="Y822" s="52"/>
      <c r="Z822" s="51"/>
      <c r="AA822" s="73"/>
      <c r="AB822" s="73"/>
      <c r="AC822" s="74"/>
      <c r="AD822" s="80" t="s">
        <v>4989</v>
      </c>
      <c r="AE822" s="86" t="s">
        <v>5810</v>
      </c>
      <c r="AF822" s="80">
        <v>144</v>
      </c>
      <c r="AG822" s="80">
        <v>97</v>
      </c>
      <c r="AH822" s="80">
        <v>3648</v>
      </c>
      <c r="AI822" s="80">
        <v>431</v>
      </c>
      <c r="AJ822" s="80"/>
      <c r="AK822" s="80"/>
      <c r="AL822" s="80"/>
      <c r="AM822" s="80"/>
      <c r="AN822" s="80"/>
      <c r="AO822" s="82">
        <v>41382.952314814815</v>
      </c>
      <c r="AP822" s="84" t="str">
        <f>HYPERLINK("https://pbs.twimg.com/profile_banners/1363087723/1632069435")</f>
        <v>https://pbs.twimg.com/profile_banners/1363087723/1632069435</v>
      </c>
      <c r="AQ822" s="80" t="b">
        <v>0</v>
      </c>
      <c r="AR822" s="80" t="b">
        <v>0</v>
      </c>
      <c r="AS822" s="80" t="b">
        <v>0</v>
      </c>
      <c r="AT822" s="80"/>
      <c r="AU822" s="80">
        <v>0</v>
      </c>
      <c r="AV822" s="84" t="str">
        <f>HYPERLINK("https://abs.twimg.com/images/themes/theme1/bg.png")</f>
        <v>https://abs.twimg.com/images/themes/theme1/bg.png</v>
      </c>
      <c r="AW822" s="80" t="b">
        <v>0</v>
      </c>
      <c r="AX822" s="80" t="s">
        <v>7173</v>
      </c>
      <c r="AY822" s="84" t="str">
        <f>HYPERLINK("https://twitter.com/skyprisoner1")</f>
        <v>https://twitter.com/skyprisoner1</v>
      </c>
      <c r="AZ822" s="80" t="s">
        <v>66</v>
      </c>
      <c r="BA822" s="2"/>
      <c r="BB822" s="3"/>
      <c r="BC822" s="3"/>
      <c r="BD822" s="3"/>
      <c r="BE822" s="3"/>
    </row>
    <row r="823" spans="1:57" x14ac:dyDescent="0.35">
      <c r="A823" s="66" t="s">
        <v>1167</v>
      </c>
      <c r="B823" s="67"/>
      <c r="C823" s="67"/>
      <c r="D823" s="68"/>
      <c r="E823" s="70"/>
      <c r="F823" s="106" t="str">
        <f>HYPERLINK("https://pbs.twimg.com/profile_images/1441641263074201601/7_Rm-Alr_normal.jpg")</f>
        <v>https://pbs.twimg.com/profile_images/1441641263074201601/7_Rm-Alr_normal.jpg</v>
      </c>
      <c r="G823" s="67"/>
      <c r="H823" s="71"/>
      <c r="I823" s="72"/>
      <c r="J823" s="72"/>
      <c r="K823" s="71" t="s">
        <v>7993</v>
      </c>
      <c r="L823" s="75"/>
      <c r="M823" s="76"/>
      <c r="N823" s="76"/>
      <c r="O823" s="77"/>
      <c r="P823" s="78"/>
      <c r="Q823" s="78"/>
      <c r="R823" s="90"/>
      <c r="S823" s="90"/>
      <c r="T823" s="90"/>
      <c r="U823" s="90"/>
      <c r="V823" s="52"/>
      <c r="W823" s="52"/>
      <c r="X823" s="52"/>
      <c r="Y823" s="52"/>
      <c r="Z823" s="51"/>
      <c r="AA823" s="73"/>
      <c r="AB823" s="73"/>
      <c r="AC823" s="74"/>
      <c r="AD823" s="80" t="s">
        <v>4990</v>
      </c>
      <c r="AE823" s="86" t="s">
        <v>4037</v>
      </c>
      <c r="AF823" s="80">
        <v>465</v>
      </c>
      <c r="AG823" s="80">
        <v>788</v>
      </c>
      <c r="AH823" s="80">
        <v>11225</v>
      </c>
      <c r="AI823" s="80">
        <v>3816</v>
      </c>
      <c r="AJ823" s="80"/>
      <c r="AK823" s="80" t="s">
        <v>6608</v>
      </c>
      <c r="AL823" s="80" t="s">
        <v>7099</v>
      </c>
      <c r="AM823" s="84" t="str">
        <f>HYPERLINK("https://t.co/MwwUsSeafm")</f>
        <v>https://t.co/MwwUsSeafm</v>
      </c>
      <c r="AN823" s="80"/>
      <c r="AO823" s="82">
        <v>42066.349328703705</v>
      </c>
      <c r="AP823" s="80"/>
      <c r="AQ823" s="80" t="b">
        <v>0</v>
      </c>
      <c r="AR823" s="80" t="b">
        <v>0</v>
      </c>
      <c r="AS823" s="80" t="b">
        <v>1</v>
      </c>
      <c r="AT823" s="80"/>
      <c r="AU823" s="80">
        <v>3</v>
      </c>
      <c r="AV823" s="84" t="str">
        <f>HYPERLINK("https://abs.twimg.com/images/themes/theme1/bg.png")</f>
        <v>https://abs.twimg.com/images/themes/theme1/bg.png</v>
      </c>
      <c r="AW823" s="80" t="b">
        <v>0</v>
      </c>
      <c r="AX823" s="80" t="s">
        <v>7173</v>
      </c>
      <c r="AY823" s="84" t="str">
        <f>HYPERLINK("https://twitter.com/jalusatria_")</f>
        <v>https://twitter.com/jalusatria_</v>
      </c>
      <c r="AZ823" s="80" t="s">
        <v>65</v>
      </c>
      <c r="BA823" s="2"/>
      <c r="BB823" s="3"/>
      <c r="BC823" s="3"/>
      <c r="BD823" s="3"/>
      <c r="BE823" s="3"/>
    </row>
    <row r="824" spans="1:57" x14ac:dyDescent="0.35">
      <c r="A824" s="66" t="s">
        <v>860</v>
      </c>
      <c r="B824" s="67"/>
      <c r="C824" s="67"/>
      <c r="D824" s="68"/>
      <c r="E824" s="70"/>
      <c r="F824" s="106" t="str">
        <f>HYPERLINK("https://pbs.twimg.com/profile_images/1439805048905613315/k5UpKUAk_normal.jpg")</f>
        <v>https://pbs.twimg.com/profile_images/1439805048905613315/k5UpKUAk_normal.jpg</v>
      </c>
      <c r="G824" s="67"/>
      <c r="H824" s="71"/>
      <c r="I824" s="72"/>
      <c r="J824" s="72"/>
      <c r="K824" s="71" t="s">
        <v>7994</v>
      </c>
      <c r="L824" s="75"/>
      <c r="M824" s="76"/>
      <c r="N824" s="76"/>
      <c r="O824" s="77"/>
      <c r="P824" s="78"/>
      <c r="Q824" s="78"/>
      <c r="R824" s="90"/>
      <c r="S824" s="90"/>
      <c r="T824" s="90"/>
      <c r="U824" s="90"/>
      <c r="V824" s="52"/>
      <c r="W824" s="52"/>
      <c r="X824" s="52"/>
      <c r="Y824" s="52"/>
      <c r="Z824" s="51"/>
      <c r="AA824" s="73"/>
      <c r="AB824" s="73"/>
      <c r="AC824" s="74"/>
      <c r="AD824" s="80" t="s">
        <v>4991</v>
      </c>
      <c r="AE824" s="86" t="s">
        <v>5811</v>
      </c>
      <c r="AF824" s="80">
        <v>48</v>
      </c>
      <c r="AG824" s="80">
        <v>56</v>
      </c>
      <c r="AH824" s="80">
        <v>1329</v>
      </c>
      <c r="AI824" s="80">
        <v>18</v>
      </c>
      <c r="AJ824" s="80"/>
      <c r="AK824" s="80" t="s">
        <v>6609</v>
      </c>
      <c r="AL824" s="80" t="s">
        <v>7100</v>
      </c>
      <c r="AM824" s="84" t="str">
        <f>HYPERLINK("https://t.co/L51VIaXdqv")</f>
        <v>https://t.co/L51VIaXdqv</v>
      </c>
      <c r="AN824" s="80"/>
      <c r="AO824" s="82">
        <v>44456.103379629632</v>
      </c>
      <c r="AP824" s="84" t="str">
        <f>HYPERLINK("https://pbs.twimg.com/profile_banners/1438691227117834240/1632111531")</f>
        <v>https://pbs.twimg.com/profile_banners/1438691227117834240/1632111531</v>
      </c>
      <c r="AQ824" s="80" t="b">
        <v>1</v>
      </c>
      <c r="AR824" s="80" t="b">
        <v>0</v>
      </c>
      <c r="AS824" s="80" t="b">
        <v>0</v>
      </c>
      <c r="AT824" s="80"/>
      <c r="AU824" s="80">
        <v>0</v>
      </c>
      <c r="AV824" s="80"/>
      <c r="AW824" s="80" t="b">
        <v>0</v>
      </c>
      <c r="AX824" s="80" t="s">
        <v>7173</v>
      </c>
      <c r="AY824" s="84" t="str">
        <f>HYPERLINK("https://twitter.com/stationxca")</f>
        <v>https://twitter.com/stationxca</v>
      </c>
      <c r="AZ824" s="80" t="s">
        <v>66</v>
      </c>
      <c r="BA824" s="2"/>
      <c r="BB824" s="3"/>
      <c r="BC824" s="3"/>
      <c r="BD824" s="3"/>
      <c r="BE824" s="3"/>
    </row>
    <row r="825" spans="1:57" x14ac:dyDescent="0.35">
      <c r="A825" s="66" t="s">
        <v>1168</v>
      </c>
      <c r="B825" s="67"/>
      <c r="C825" s="67"/>
      <c r="D825" s="68"/>
      <c r="E825" s="70"/>
      <c r="F825" s="106" t="str">
        <f>HYPERLINK("https://pbs.twimg.com/profile_images/1440924245740036096/1H_stztO_normal.jpg")</f>
        <v>https://pbs.twimg.com/profile_images/1440924245740036096/1H_stztO_normal.jpg</v>
      </c>
      <c r="G825" s="67"/>
      <c r="H825" s="71"/>
      <c r="I825" s="72"/>
      <c r="J825" s="72"/>
      <c r="K825" s="71" t="s">
        <v>7995</v>
      </c>
      <c r="L825" s="75"/>
      <c r="M825" s="76"/>
      <c r="N825" s="76"/>
      <c r="O825" s="77"/>
      <c r="P825" s="78"/>
      <c r="Q825" s="78"/>
      <c r="R825" s="90"/>
      <c r="S825" s="90"/>
      <c r="T825" s="90"/>
      <c r="U825" s="90"/>
      <c r="V825" s="52"/>
      <c r="W825" s="52"/>
      <c r="X825" s="52"/>
      <c r="Y825" s="52"/>
      <c r="Z825" s="51"/>
      <c r="AA825" s="73"/>
      <c r="AB825" s="73"/>
      <c r="AC825" s="74"/>
      <c r="AD825" s="80" t="s">
        <v>4992</v>
      </c>
      <c r="AE825" s="86" t="s">
        <v>4038</v>
      </c>
      <c r="AF825" s="80">
        <v>50</v>
      </c>
      <c r="AG825" s="80">
        <v>52</v>
      </c>
      <c r="AH825" s="80">
        <v>306</v>
      </c>
      <c r="AI825" s="80">
        <v>11</v>
      </c>
      <c r="AJ825" s="80"/>
      <c r="AK825" s="80" t="s">
        <v>6610</v>
      </c>
      <c r="AL825" s="80">
        <v>1992</v>
      </c>
      <c r="AM825" s="80"/>
      <c r="AN825" s="80"/>
      <c r="AO825" s="82">
        <v>44462.262650462966</v>
      </c>
      <c r="AP825" s="84" t="str">
        <f>HYPERLINK("https://pbs.twimg.com/profile_banners/1440922883081977860/1632740645")</f>
        <v>https://pbs.twimg.com/profile_banners/1440922883081977860/1632740645</v>
      </c>
      <c r="AQ825" s="80" t="b">
        <v>1</v>
      </c>
      <c r="AR825" s="80" t="b">
        <v>0</v>
      </c>
      <c r="AS825" s="80" t="b">
        <v>0</v>
      </c>
      <c r="AT825" s="80"/>
      <c r="AU825" s="80">
        <v>0</v>
      </c>
      <c r="AV825" s="80"/>
      <c r="AW825" s="80" t="b">
        <v>0</v>
      </c>
      <c r="AX825" s="80" t="s">
        <v>7173</v>
      </c>
      <c r="AY825" s="84" t="str">
        <f>HYPERLINK("https://twitter.com/eajj92")</f>
        <v>https://twitter.com/eajj92</v>
      </c>
      <c r="AZ825" s="80" t="s">
        <v>65</v>
      </c>
      <c r="BA825" s="2"/>
      <c r="BB825" s="3"/>
      <c r="BC825" s="3"/>
      <c r="BD825" s="3"/>
      <c r="BE825" s="3"/>
    </row>
    <row r="826" spans="1:57" x14ac:dyDescent="0.35">
      <c r="A826" s="66" t="s">
        <v>861</v>
      </c>
      <c r="B826" s="67"/>
      <c r="C826" s="67"/>
      <c r="D826" s="68"/>
      <c r="E826" s="70"/>
      <c r="F826" s="106" t="str">
        <f>HYPERLINK("https://pbs.twimg.com/profile_images/1337591503812640769/JpNE89I-_normal.jpg")</f>
        <v>https://pbs.twimg.com/profile_images/1337591503812640769/JpNE89I-_normal.jpg</v>
      </c>
      <c r="G826" s="67"/>
      <c r="H826" s="71"/>
      <c r="I826" s="72"/>
      <c r="J826" s="72"/>
      <c r="K826" s="71" t="s">
        <v>7996</v>
      </c>
      <c r="L826" s="75"/>
      <c r="M826" s="76"/>
      <c r="N826" s="76"/>
      <c r="O826" s="77"/>
      <c r="P826" s="78"/>
      <c r="Q826" s="78"/>
      <c r="R826" s="90"/>
      <c r="S826" s="90"/>
      <c r="T826" s="90"/>
      <c r="U826" s="90"/>
      <c r="V826" s="52"/>
      <c r="W826" s="52"/>
      <c r="X826" s="52"/>
      <c r="Y826" s="52"/>
      <c r="Z826" s="51"/>
      <c r="AA826" s="73"/>
      <c r="AB826" s="73"/>
      <c r="AC826" s="74"/>
      <c r="AD826" s="80" t="s">
        <v>4993</v>
      </c>
      <c r="AE826" s="86" t="s">
        <v>5812</v>
      </c>
      <c r="AF826" s="80">
        <v>254</v>
      </c>
      <c r="AG826" s="80">
        <v>243</v>
      </c>
      <c r="AH826" s="80">
        <v>3746</v>
      </c>
      <c r="AI826" s="80">
        <v>72</v>
      </c>
      <c r="AJ826" s="80"/>
      <c r="AK826" s="80" t="s">
        <v>6611</v>
      </c>
      <c r="AL826" s="80" t="s">
        <v>7101</v>
      </c>
      <c r="AM826" s="80"/>
      <c r="AN826" s="80"/>
      <c r="AO826" s="82">
        <v>39994.219571759262</v>
      </c>
      <c r="AP826" s="84" t="str">
        <f>HYPERLINK("https://pbs.twimg.com/profile_banners/52312358/1478701478")</f>
        <v>https://pbs.twimg.com/profile_banners/52312358/1478701478</v>
      </c>
      <c r="AQ826" s="80" t="b">
        <v>0</v>
      </c>
      <c r="AR826" s="80" t="b">
        <v>0</v>
      </c>
      <c r="AS826" s="80" t="b">
        <v>1</v>
      </c>
      <c r="AT826" s="80"/>
      <c r="AU826" s="80">
        <v>1</v>
      </c>
      <c r="AV826" s="84" t="str">
        <f>HYPERLINK("https://abs.twimg.com/images/themes/theme7/bg.gif")</f>
        <v>https://abs.twimg.com/images/themes/theme7/bg.gif</v>
      </c>
      <c r="AW826" s="80" t="b">
        <v>0</v>
      </c>
      <c r="AX826" s="80" t="s">
        <v>7173</v>
      </c>
      <c r="AY826" s="84" t="str">
        <f>HYPERLINK("https://twitter.com/ermaamalia")</f>
        <v>https://twitter.com/ermaamalia</v>
      </c>
      <c r="AZ826" s="80" t="s">
        <v>66</v>
      </c>
      <c r="BA826" s="2"/>
      <c r="BB826" s="3"/>
      <c r="BC826" s="3"/>
      <c r="BD826" s="3"/>
      <c r="BE826" s="3"/>
    </row>
    <row r="827" spans="1:57" x14ac:dyDescent="0.35">
      <c r="A827" s="66" t="s">
        <v>862</v>
      </c>
      <c r="B827" s="67"/>
      <c r="C827" s="67"/>
      <c r="D827" s="68"/>
      <c r="E827" s="70"/>
      <c r="F827" s="106" t="str">
        <f>HYPERLINK("https://pbs.twimg.com/profile_images/1415446454005473280/8YzjxGcB_normal.jpg")</f>
        <v>https://pbs.twimg.com/profile_images/1415446454005473280/8YzjxGcB_normal.jpg</v>
      </c>
      <c r="G827" s="67"/>
      <c r="H827" s="71"/>
      <c r="I827" s="72"/>
      <c r="J827" s="72"/>
      <c r="K827" s="71" t="s">
        <v>7997</v>
      </c>
      <c r="L827" s="75"/>
      <c r="M827" s="76"/>
      <c r="N827" s="76"/>
      <c r="O827" s="77"/>
      <c r="P827" s="78"/>
      <c r="Q827" s="78"/>
      <c r="R827" s="90"/>
      <c r="S827" s="90"/>
      <c r="T827" s="90"/>
      <c r="U827" s="90"/>
      <c r="V827" s="52"/>
      <c r="W827" s="52"/>
      <c r="X827" s="52"/>
      <c r="Y827" s="52"/>
      <c r="Z827" s="51"/>
      <c r="AA827" s="73"/>
      <c r="AB827" s="73"/>
      <c r="AC827" s="74"/>
      <c r="AD827" s="80" t="s">
        <v>4994</v>
      </c>
      <c r="AE827" s="86" t="s">
        <v>5813</v>
      </c>
      <c r="AF827" s="80">
        <v>158</v>
      </c>
      <c r="AG827" s="80">
        <v>117</v>
      </c>
      <c r="AH827" s="80">
        <v>616</v>
      </c>
      <c r="AI827" s="80">
        <v>1212</v>
      </c>
      <c r="AJ827" s="80"/>
      <c r="AK827" s="80" t="s">
        <v>6612</v>
      </c>
      <c r="AL827" s="80"/>
      <c r="AM827" s="80"/>
      <c r="AN827" s="80"/>
      <c r="AO827" s="82">
        <v>43484.999872685185</v>
      </c>
      <c r="AP827" s="80"/>
      <c r="AQ827" s="80" t="b">
        <v>1</v>
      </c>
      <c r="AR827" s="80" t="b">
        <v>0</v>
      </c>
      <c r="AS827" s="80" t="b">
        <v>0</v>
      </c>
      <c r="AT827" s="80"/>
      <c r="AU827" s="80">
        <v>0</v>
      </c>
      <c r="AV827" s="80"/>
      <c r="AW827" s="80" t="b">
        <v>0</v>
      </c>
      <c r="AX827" s="80" t="s">
        <v>7173</v>
      </c>
      <c r="AY827" s="84" t="str">
        <f>HYPERLINK("https://twitter.com/daisycantikkk")</f>
        <v>https://twitter.com/daisycantikkk</v>
      </c>
      <c r="AZ827" s="80" t="s">
        <v>66</v>
      </c>
      <c r="BA827" s="2"/>
      <c r="BB827" s="3"/>
      <c r="BC827" s="3"/>
      <c r="BD827" s="3"/>
      <c r="BE827" s="3"/>
    </row>
    <row r="828" spans="1:57" x14ac:dyDescent="0.35">
      <c r="A828" s="66" t="s">
        <v>1169</v>
      </c>
      <c r="B828" s="67"/>
      <c r="C828" s="67"/>
      <c r="D828" s="68"/>
      <c r="E828" s="70"/>
      <c r="F828" s="106" t="str">
        <f>HYPERLINK("https://pbs.twimg.com/profile_images/1347557961355251713/ZHqYQw-v_normal.jpg")</f>
        <v>https://pbs.twimg.com/profile_images/1347557961355251713/ZHqYQw-v_normal.jpg</v>
      </c>
      <c r="G828" s="67"/>
      <c r="H828" s="71"/>
      <c r="I828" s="72"/>
      <c r="J828" s="72"/>
      <c r="K828" s="71" t="s">
        <v>7998</v>
      </c>
      <c r="L828" s="75"/>
      <c r="M828" s="76"/>
      <c r="N828" s="76"/>
      <c r="O828" s="77"/>
      <c r="P828" s="78"/>
      <c r="Q828" s="78"/>
      <c r="R828" s="90"/>
      <c r="S828" s="90"/>
      <c r="T828" s="90"/>
      <c r="U828" s="90"/>
      <c r="V828" s="52"/>
      <c r="W828" s="52"/>
      <c r="X828" s="52"/>
      <c r="Y828" s="52"/>
      <c r="Z828" s="51"/>
      <c r="AA828" s="73"/>
      <c r="AB828" s="73"/>
      <c r="AC828" s="74"/>
      <c r="AD828" s="80" t="s">
        <v>4995</v>
      </c>
      <c r="AE828" s="86" t="s">
        <v>4039</v>
      </c>
      <c r="AF828" s="80">
        <v>180</v>
      </c>
      <c r="AG828" s="80">
        <v>163</v>
      </c>
      <c r="AH828" s="80">
        <v>784</v>
      </c>
      <c r="AI828" s="80">
        <v>1282</v>
      </c>
      <c r="AJ828" s="80"/>
      <c r="AK828" s="80" t="s">
        <v>6613</v>
      </c>
      <c r="AL828" s="80" t="s">
        <v>7102</v>
      </c>
      <c r="AM828" s="80"/>
      <c r="AN828" s="80"/>
      <c r="AO828" s="82">
        <v>43932.308217592596</v>
      </c>
      <c r="AP828" s="84" t="str">
        <f>HYPERLINK("https://pbs.twimg.com/profile_banners/1248874318785732608/1615192737")</f>
        <v>https://pbs.twimg.com/profile_banners/1248874318785732608/1615192737</v>
      </c>
      <c r="AQ828" s="80" t="b">
        <v>1</v>
      </c>
      <c r="AR828" s="80" t="b">
        <v>0</v>
      </c>
      <c r="AS828" s="80" t="b">
        <v>1</v>
      </c>
      <c r="AT828" s="80"/>
      <c r="AU828" s="80">
        <v>0</v>
      </c>
      <c r="AV828" s="80"/>
      <c r="AW828" s="80" t="b">
        <v>0</v>
      </c>
      <c r="AX828" s="80" t="s">
        <v>7173</v>
      </c>
      <c r="AY828" s="84" t="str">
        <f>HYPERLINK("https://twitter.com/fiaqrta")</f>
        <v>https://twitter.com/fiaqrta</v>
      </c>
      <c r="AZ828" s="80" t="s">
        <v>65</v>
      </c>
      <c r="BA828" s="2"/>
      <c r="BB828" s="3"/>
      <c r="BC828" s="3"/>
      <c r="BD828" s="3"/>
      <c r="BE828" s="3"/>
    </row>
    <row r="829" spans="1:57" x14ac:dyDescent="0.35">
      <c r="A829" s="66" t="s">
        <v>863</v>
      </c>
      <c r="B829" s="67"/>
      <c r="C829" s="67"/>
      <c r="D829" s="68"/>
      <c r="E829" s="70"/>
      <c r="F829" s="106" t="str">
        <f>HYPERLINK("https://pbs.twimg.com/profile_images/1435499009892700166/cKrpjCoM_normal.jpg")</f>
        <v>https://pbs.twimg.com/profile_images/1435499009892700166/cKrpjCoM_normal.jpg</v>
      </c>
      <c r="G829" s="67"/>
      <c r="H829" s="71"/>
      <c r="I829" s="72"/>
      <c r="J829" s="72"/>
      <c r="K829" s="71" t="s">
        <v>7999</v>
      </c>
      <c r="L829" s="75"/>
      <c r="M829" s="76"/>
      <c r="N829" s="76"/>
      <c r="O829" s="77"/>
      <c r="P829" s="78"/>
      <c r="Q829" s="78"/>
      <c r="R829" s="90"/>
      <c r="S829" s="90"/>
      <c r="T829" s="90"/>
      <c r="U829" s="90"/>
      <c r="V829" s="52"/>
      <c r="W829" s="52"/>
      <c r="X829" s="52"/>
      <c r="Y829" s="52"/>
      <c r="Z829" s="51"/>
      <c r="AA829" s="73"/>
      <c r="AB829" s="73"/>
      <c r="AC829" s="74"/>
      <c r="AD829" s="80" t="s">
        <v>4996</v>
      </c>
      <c r="AE829" s="86" t="s">
        <v>5814</v>
      </c>
      <c r="AF829" s="80">
        <v>372</v>
      </c>
      <c r="AG829" s="80">
        <v>407</v>
      </c>
      <c r="AH829" s="80">
        <v>26469</v>
      </c>
      <c r="AI829" s="80">
        <v>805</v>
      </c>
      <c r="AJ829" s="80"/>
      <c r="AK829" s="80" t="s">
        <v>6614</v>
      </c>
      <c r="AL829" s="80" t="s">
        <v>7103</v>
      </c>
      <c r="AM829" s="84" t="str">
        <f>HYPERLINK("https://t.co/5yToCaQjPm")</f>
        <v>https://t.co/5yToCaQjPm</v>
      </c>
      <c r="AN829" s="80"/>
      <c r="AO829" s="82">
        <v>40024.556296296294</v>
      </c>
      <c r="AP829" s="84" t="str">
        <f>HYPERLINK("https://pbs.twimg.com/profile_banners/61485162/1594149230")</f>
        <v>https://pbs.twimg.com/profile_banners/61485162/1594149230</v>
      </c>
      <c r="AQ829" s="80" t="b">
        <v>0</v>
      </c>
      <c r="AR829" s="80" t="b">
        <v>0</v>
      </c>
      <c r="AS829" s="80" t="b">
        <v>1</v>
      </c>
      <c r="AT829" s="80"/>
      <c r="AU829" s="80">
        <v>2</v>
      </c>
      <c r="AV829" s="84" t="str">
        <f>HYPERLINK("https://abs.twimg.com/images/themes/theme2/bg.gif")</f>
        <v>https://abs.twimg.com/images/themes/theme2/bg.gif</v>
      </c>
      <c r="AW829" s="80" t="b">
        <v>0</v>
      </c>
      <c r="AX829" s="80" t="s">
        <v>7173</v>
      </c>
      <c r="AY829" s="84" t="str">
        <f>HYPERLINK("https://twitter.com/putrisoesilo")</f>
        <v>https://twitter.com/putrisoesilo</v>
      </c>
      <c r="AZ829" s="80" t="s">
        <v>66</v>
      </c>
      <c r="BA829" s="2"/>
      <c r="BB829" s="3"/>
      <c r="BC829" s="3"/>
      <c r="BD829" s="3"/>
      <c r="BE829" s="3"/>
    </row>
    <row r="830" spans="1:57" x14ac:dyDescent="0.35">
      <c r="A830" s="66" t="s">
        <v>864</v>
      </c>
      <c r="B830" s="67"/>
      <c r="C830" s="67"/>
      <c r="D830" s="68"/>
      <c r="E830" s="70"/>
      <c r="F830" s="106" t="str">
        <f>HYPERLINK("https://pbs.twimg.com/profile_images/1234886784170881027/1VGr6HZx_normal.jpg")</f>
        <v>https://pbs.twimg.com/profile_images/1234886784170881027/1VGr6HZx_normal.jpg</v>
      </c>
      <c r="G830" s="67"/>
      <c r="H830" s="71"/>
      <c r="I830" s="72"/>
      <c r="J830" s="72"/>
      <c r="K830" s="71" t="s">
        <v>8000</v>
      </c>
      <c r="L830" s="75"/>
      <c r="M830" s="76"/>
      <c r="N830" s="76"/>
      <c r="O830" s="77"/>
      <c r="P830" s="78"/>
      <c r="Q830" s="78"/>
      <c r="R830" s="90"/>
      <c r="S830" s="90"/>
      <c r="T830" s="90"/>
      <c r="U830" s="90"/>
      <c r="V830" s="52"/>
      <c r="W830" s="52"/>
      <c r="X830" s="52"/>
      <c r="Y830" s="52"/>
      <c r="Z830" s="51"/>
      <c r="AA830" s="73"/>
      <c r="AB830" s="73"/>
      <c r="AC830" s="74"/>
      <c r="AD830" s="80" t="s">
        <v>4997</v>
      </c>
      <c r="AE830" s="86" t="s">
        <v>4041</v>
      </c>
      <c r="AF830" s="80">
        <v>604</v>
      </c>
      <c r="AG830" s="80">
        <v>1231</v>
      </c>
      <c r="AH830" s="80">
        <v>20608</v>
      </c>
      <c r="AI830" s="80">
        <v>801</v>
      </c>
      <c r="AJ830" s="80"/>
      <c r="AK830" s="80" t="s">
        <v>6615</v>
      </c>
      <c r="AL830" s="80" t="s">
        <v>6867</v>
      </c>
      <c r="AM830" s="84" t="str">
        <f>HYPERLINK("https://t.co/BclA7vib0T")</f>
        <v>https://t.co/BclA7vib0T</v>
      </c>
      <c r="AN830" s="80"/>
      <c r="AO830" s="82">
        <v>40060.119293981479</v>
      </c>
      <c r="AP830" s="84" t="str">
        <f>HYPERLINK("https://pbs.twimg.com/profile_banners/71435460/1420305032")</f>
        <v>https://pbs.twimg.com/profile_banners/71435460/1420305032</v>
      </c>
      <c r="AQ830" s="80" t="b">
        <v>0</v>
      </c>
      <c r="AR830" s="80" t="b">
        <v>0</v>
      </c>
      <c r="AS830" s="80" t="b">
        <v>1</v>
      </c>
      <c r="AT830" s="80"/>
      <c r="AU830" s="80">
        <v>12</v>
      </c>
      <c r="AV830" s="84" t="str">
        <f>HYPERLINK("https://abs.twimg.com/images/themes/theme11/bg.gif")</f>
        <v>https://abs.twimg.com/images/themes/theme11/bg.gif</v>
      </c>
      <c r="AW830" s="80" t="b">
        <v>0</v>
      </c>
      <c r="AX830" s="80" t="s">
        <v>7173</v>
      </c>
      <c r="AY830" s="84" t="str">
        <f>HYPERLINK("https://twitter.com/patipatigulipat")</f>
        <v>https://twitter.com/patipatigulipat</v>
      </c>
      <c r="AZ830" s="80" t="s">
        <v>66</v>
      </c>
      <c r="BA830" s="2"/>
      <c r="BB830" s="3"/>
      <c r="BC830" s="3"/>
      <c r="BD830" s="3"/>
      <c r="BE830" s="3"/>
    </row>
    <row r="831" spans="1:57" x14ac:dyDescent="0.35">
      <c r="A831" s="66" t="s">
        <v>865</v>
      </c>
      <c r="B831" s="67"/>
      <c r="C831" s="67"/>
      <c r="D831" s="68"/>
      <c r="E831" s="70"/>
      <c r="F831" s="106" t="str">
        <f>HYPERLINK("https://pbs.twimg.com/profile_images/1424006994474651661/okQY58r2_normal.jpg")</f>
        <v>https://pbs.twimg.com/profile_images/1424006994474651661/okQY58r2_normal.jpg</v>
      </c>
      <c r="G831" s="67"/>
      <c r="H831" s="71"/>
      <c r="I831" s="72"/>
      <c r="J831" s="72"/>
      <c r="K831" s="71" t="s">
        <v>8001</v>
      </c>
      <c r="L831" s="75"/>
      <c r="M831" s="76"/>
      <c r="N831" s="76"/>
      <c r="O831" s="77"/>
      <c r="P831" s="78"/>
      <c r="Q831" s="78"/>
      <c r="R831" s="90"/>
      <c r="S831" s="90"/>
      <c r="T831" s="90"/>
      <c r="U831" s="90"/>
      <c r="V831" s="52"/>
      <c r="W831" s="52"/>
      <c r="X831" s="52"/>
      <c r="Y831" s="52"/>
      <c r="Z831" s="51"/>
      <c r="AA831" s="73"/>
      <c r="AB831" s="73"/>
      <c r="AC831" s="74"/>
      <c r="AD831" s="80" t="s">
        <v>4998</v>
      </c>
      <c r="AE831" s="86" t="s">
        <v>4040</v>
      </c>
      <c r="AF831" s="80">
        <v>552</v>
      </c>
      <c r="AG831" s="80">
        <v>744</v>
      </c>
      <c r="AH831" s="80">
        <v>40255</v>
      </c>
      <c r="AI831" s="80">
        <v>12318</v>
      </c>
      <c r="AJ831" s="80"/>
      <c r="AK831" s="80" t="s">
        <v>6616</v>
      </c>
      <c r="AL831" s="80"/>
      <c r="AM831" s="80"/>
      <c r="AN831" s="80"/>
      <c r="AO831" s="82">
        <v>39857.156782407408</v>
      </c>
      <c r="AP831" s="84" t="str">
        <f>HYPERLINK("https://pbs.twimg.com/profile_banners/20745490/1480705385")</f>
        <v>https://pbs.twimg.com/profile_banners/20745490/1480705385</v>
      </c>
      <c r="AQ831" s="80" t="b">
        <v>0</v>
      </c>
      <c r="AR831" s="80" t="b">
        <v>0</v>
      </c>
      <c r="AS831" s="80" t="b">
        <v>1</v>
      </c>
      <c r="AT831" s="80"/>
      <c r="AU831" s="80">
        <v>7</v>
      </c>
      <c r="AV831" s="84" t="str">
        <f>HYPERLINK("https://abs.twimg.com/images/themes/theme1/bg.png")</f>
        <v>https://abs.twimg.com/images/themes/theme1/bg.png</v>
      </c>
      <c r="AW831" s="80" t="b">
        <v>0</v>
      </c>
      <c r="AX831" s="80" t="s">
        <v>7173</v>
      </c>
      <c r="AY831" s="84" t="str">
        <f>HYPERLINK("https://twitter.com/nindysm")</f>
        <v>https://twitter.com/nindysm</v>
      </c>
      <c r="AZ831" s="80" t="s">
        <v>66</v>
      </c>
      <c r="BA831" s="2"/>
      <c r="BB831" s="3"/>
      <c r="BC831" s="3"/>
      <c r="BD831" s="3"/>
      <c r="BE831" s="3"/>
    </row>
    <row r="832" spans="1:57" x14ac:dyDescent="0.35">
      <c r="A832" s="66" t="s">
        <v>866</v>
      </c>
      <c r="B832" s="67"/>
      <c r="C832" s="67"/>
      <c r="D832" s="68"/>
      <c r="E832" s="70"/>
      <c r="F832" s="106" t="str">
        <f>HYPERLINK("https://pbs.twimg.com/profile_images/1442134018347003904/g9Z7ZSTV_normal.jpg")</f>
        <v>https://pbs.twimg.com/profile_images/1442134018347003904/g9Z7ZSTV_normal.jpg</v>
      </c>
      <c r="G832" s="67"/>
      <c r="H832" s="71"/>
      <c r="I832" s="72"/>
      <c r="J832" s="72"/>
      <c r="K832" s="71" t="s">
        <v>8002</v>
      </c>
      <c r="L832" s="75"/>
      <c r="M832" s="76"/>
      <c r="N832" s="76"/>
      <c r="O832" s="77"/>
      <c r="P832" s="78"/>
      <c r="Q832" s="78"/>
      <c r="R832" s="90"/>
      <c r="S832" s="90"/>
      <c r="T832" s="90"/>
      <c r="U832" s="90"/>
      <c r="V832" s="52"/>
      <c r="W832" s="52"/>
      <c r="X832" s="52"/>
      <c r="Y832" s="52"/>
      <c r="Z832" s="51"/>
      <c r="AA832" s="73"/>
      <c r="AB832" s="73"/>
      <c r="AC832" s="74"/>
      <c r="AD832" s="80" t="s">
        <v>4999</v>
      </c>
      <c r="AE832" s="86" t="s">
        <v>4042</v>
      </c>
      <c r="AF832" s="80">
        <v>1072</v>
      </c>
      <c r="AG832" s="80">
        <v>1220</v>
      </c>
      <c r="AH832" s="80">
        <v>56405</v>
      </c>
      <c r="AI832" s="80">
        <v>10148</v>
      </c>
      <c r="AJ832" s="80"/>
      <c r="AK832" s="80" t="s">
        <v>6617</v>
      </c>
      <c r="AL832" s="80" t="s">
        <v>7104</v>
      </c>
      <c r="AM832" s="84" t="str">
        <f>HYPERLINK("https://t.co/VcJLhSaIc1")</f>
        <v>https://t.co/VcJLhSaIc1</v>
      </c>
      <c r="AN832" s="80"/>
      <c r="AO832" s="82">
        <v>41343.359756944446</v>
      </c>
      <c r="AP832" s="84" t="str">
        <f>HYPERLINK("https://pbs.twimg.com/profile_banners/1256485136/1631016687")</f>
        <v>https://pbs.twimg.com/profile_banners/1256485136/1631016687</v>
      </c>
      <c r="AQ832" s="80" t="b">
        <v>0</v>
      </c>
      <c r="AR832" s="80" t="b">
        <v>0</v>
      </c>
      <c r="AS832" s="80" t="b">
        <v>1</v>
      </c>
      <c r="AT832" s="80"/>
      <c r="AU832" s="80">
        <v>0</v>
      </c>
      <c r="AV832" s="84" t="str">
        <f>HYPERLINK("https://abs.twimg.com/images/themes/theme3/bg.gif")</f>
        <v>https://abs.twimg.com/images/themes/theme3/bg.gif</v>
      </c>
      <c r="AW832" s="80" t="b">
        <v>0</v>
      </c>
      <c r="AX832" s="80" t="s">
        <v>7173</v>
      </c>
      <c r="AY832" s="84" t="str">
        <f>HYPERLINK("https://twitter.com/almqst")</f>
        <v>https://twitter.com/almqst</v>
      </c>
      <c r="AZ832" s="80" t="s">
        <v>66</v>
      </c>
      <c r="BA832" s="2"/>
      <c r="BB832" s="3"/>
      <c r="BC832" s="3"/>
      <c r="BD832" s="3"/>
      <c r="BE832" s="3"/>
    </row>
    <row r="833" spans="1:57" x14ac:dyDescent="0.35">
      <c r="A833" s="66" t="s">
        <v>867</v>
      </c>
      <c r="B833" s="67"/>
      <c r="C833" s="67"/>
      <c r="D833" s="68"/>
      <c r="E833" s="70"/>
      <c r="F833" s="106" t="str">
        <f>HYPERLINK("https://pbs.twimg.com/profile_images/1420548000745623556/olanVH2H_normal.jpg")</f>
        <v>https://pbs.twimg.com/profile_images/1420548000745623556/olanVH2H_normal.jpg</v>
      </c>
      <c r="G833" s="67"/>
      <c r="H833" s="71"/>
      <c r="I833" s="72"/>
      <c r="J833" s="72"/>
      <c r="K833" s="71" t="s">
        <v>8003</v>
      </c>
      <c r="L833" s="75"/>
      <c r="M833" s="76"/>
      <c r="N833" s="76"/>
      <c r="O833" s="77"/>
      <c r="P833" s="78"/>
      <c r="Q833" s="78"/>
      <c r="R833" s="90"/>
      <c r="S833" s="90"/>
      <c r="T833" s="90"/>
      <c r="U833" s="90"/>
      <c r="V833" s="52"/>
      <c r="W833" s="52"/>
      <c r="X833" s="52"/>
      <c r="Y833" s="52"/>
      <c r="Z833" s="51"/>
      <c r="AA833" s="73"/>
      <c r="AB833" s="73"/>
      <c r="AC833" s="74"/>
      <c r="AD833" s="80" t="s">
        <v>5000</v>
      </c>
      <c r="AE833" s="86" t="s">
        <v>5815</v>
      </c>
      <c r="AF833" s="80">
        <v>1265</v>
      </c>
      <c r="AG833" s="80">
        <v>1256</v>
      </c>
      <c r="AH833" s="80">
        <v>5405</v>
      </c>
      <c r="AI833" s="80">
        <v>11179</v>
      </c>
      <c r="AJ833" s="80"/>
      <c r="AK833" s="80" t="s">
        <v>6618</v>
      </c>
      <c r="AL833" s="80"/>
      <c r="AM833" s="80"/>
      <c r="AN833" s="80"/>
      <c r="AO833" s="82">
        <v>41909.502442129633</v>
      </c>
      <c r="AP833" s="84" t="str">
        <f>HYPERLINK("https://pbs.twimg.com/profile_banners/2834013109/1625217514")</f>
        <v>https://pbs.twimg.com/profile_banners/2834013109/1625217514</v>
      </c>
      <c r="AQ833" s="80" t="b">
        <v>1</v>
      </c>
      <c r="AR833" s="80" t="b">
        <v>0</v>
      </c>
      <c r="AS833" s="80" t="b">
        <v>0</v>
      </c>
      <c r="AT833" s="80"/>
      <c r="AU833" s="80">
        <v>0</v>
      </c>
      <c r="AV833" s="84" t="str">
        <f>HYPERLINK("https://abs.twimg.com/images/themes/theme1/bg.png")</f>
        <v>https://abs.twimg.com/images/themes/theme1/bg.png</v>
      </c>
      <c r="AW833" s="80" t="b">
        <v>0</v>
      </c>
      <c r="AX833" s="80" t="s">
        <v>7173</v>
      </c>
      <c r="AY833" s="84" t="str">
        <f>HYPERLINK("https://twitter.com/darthvader7007")</f>
        <v>https://twitter.com/darthvader7007</v>
      </c>
      <c r="AZ833" s="80" t="s">
        <v>66</v>
      </c>
      <c r="BA833" s="2"/>
      <c r="BB833" s="3"/>
      <c r="BC833" s="3"/>
      <c r="BD833" s="3"/>
      <c r="BE833" s="3"/>
    </row>
    <row r="834" spans="1:57" x14ac:dyDescent="0.35">
      <c r="A834" s="66" t="s">
        <v>1170</v>
      </c>
      <c r="B834" s="67"/>
      <c r="C834" s="67"/>
      <c r="D834" s="68"/>
      <c r="E834" s="70"/>
      <c r="F834" s="106" t="str">
        <f>HYPERLINK("https://pbs.twimg.com/profile_images/1432931493991444481/aySZWoKq_normal.jpg")</f>
        <v>https://pbs.twimg.com/profile_images/1432931493991444481/aySZWoKq_normal.jpg</v>
      </c>
      <c r="G834" s="67"/>
      <c r="H834" s="71"/>
      <c r="I834" s="72"/>
      <c r="J834" s="72"/>
      <c r="K834" s="71" t="s">
        <v>8004</v>
      </c>
      <c r="L834" s="75"/>
      <c r="M834" s="76"/>
      <c r="N834" s="76"/>
      <c r="O834" s="77"/>
      <c r="P834" s="78"/>
      <c r="Q834" s="78"/>
      <c r="R834" s="90"/>
      <c r="S834" s="90"/>
      <c r="T834" s="90"/>
      <c r="U834" s="90"/>
      <c r="V834" s="52"/>
      <c r="W834" s="52"/>
      <c r="X834" s="52"/>
      <c r="Y834" s="52"/>
      <c r="Z834" s="51"/>
      <c r="AA834" s="73"/>
      <c r="AB834" s="73"/>
      <c r="AC834" s="74"/>
      <c r="AD834" s="80" t="s">
        <v>5001</v>
      </c>
      <c r="AE834" s="86" t="s">
        <v>5816</v>
      </c>
      <c r="AF834" s="80">
        <v>7974</v>
      </c>
      <c r="AG834" s="80">
        <v>7349</v>
      </c>
      <c r="AH834" s="80">
        <v>10823</v>
      </c>
      <c r="AI834" s="80">
        <v>15772</v>
      </c>
      <c r="AJ834" s="80"/>
      <c r="AK834" s="80" t="s">
        <v>6619</v>
      </c>
      <c r="AL834" s="80"/>
      <c r="AM834" s="80"/>
      <c r="AN834" s="80"/>
      <c r="AO834" s="82">
        <v>44247.534224537034</v>
      </c>
      <c r="AP834" s="84" t="str">
        <f>HYPERLINK("https://pbs.twimg.com/profile_banners/1363108375123255299/1628047017")</f>
        <v>https://pbs.twimg.com/profile_banners/1363108375123255299/1628047017</v>
      </c>
      <c r="AQ834" s="80" t="b">
        <v>1</v>
      </c>
      <c r="AR834" s="80" t="b">
        <v>0</v>
      </c>
      <c r="AS834" s="80" t="b">
        <v>0</v>
      </c>
      <c r="AT834" s="80"/>
      <c r="AU834" s="80">
        <v>2</v>
      </c>
      <c r="AV834" s="80"/>
      <c r="AW834" s="80" t="b">
        <v>0</v>
      </c>
      <c r="AX834" s="80" t="s">
        <v>7173</v>
      </c>
      <c r="AY834" s="84" t="str">
        <f>HYPERLINK("https://twitter.com/sarahdracad")</f>
        <v>https://twitter.com/sarahdracad</v>
      </c>
      <c r="AZ834" s="80" t="s">
        <v>65</v>
      </c>
      <c r="BA834" s="2"/>
      <c r="BB834" s="3"/>
      <c r="BC834" s="3"/>
      <c r="BD834" s="3"/>
      <c r="BE834" s="3"/>
    </row>
    <row r="835" spans="1:57" x14ac:dyDescent="0.35">
      <c r="A835" s="66" t="s">
        <v>1171</v>
      </c>
      <c r="B835" s="67"/>
      <c r="C835" s="67"/>
      <c r="D835" s="68"/>
      <c r="E835" s="70"/>
      <c r="F835" s="106" t="str">
        <f>HYPERLINK("https://pbs.twimg.com/profile_images/1438860174417031180/PFuV7cmk_normal.jpg")</f>
        <v>https://pbs.twimg.com/profile_images/1438860174417031180/PFuV7cmk_normal.jpg</v>
      </c>
      <c r="G835" s="67"/>
      <c r="H835" s="71"/>
      <c r="I835" s="72"/>
      <c r="J835" s="72"/>
      <c r="K835" s="71" t="s">
        <v>8005</v>
      </c>
      <c r="L835" s="75"/>
      <c r="M835" s="76"/>
      <c r="N835" s="76"/>
      <c r="O835" s="77"/>
      <c r="P835" s="78"/>
      <c r="Q835" s="78"/>
      <c r="R835" s="90"/>
      <c r="S835" s="90"/>
      <c r="T835" s="90"/>
      <c r="U835" s="90"/>
      <c r="V835" s="52"/>
      <c r="W835" s="52"/>
      <c r="X835" s="52"/>
      <c r="Y835" s="52"/>
      <c r="Z835" s="51"/>
      <c r="AA835" s="73"/>
      <c r="AB835" s="73"/>
      <c r="AC835" s="74"/>
      <c r="AD835" s="80" t="s">
        <v>5002</v>
      </c>
      <c r="AE835" s="86" t="s">
        <v>5817</v>
      </c>
      <c r="AF835" s="80">
        <v>11349</v>
      </c>
      <c r="AG835" s="80">
        <v>19990</v>
      </c>
      <c r="AH835" s="80">
        <v>72506</v>
      </c>
      <c r="AI835" s="80">
        <v>207014</v>
      </c>
      <c r="AJ835" s="80"/>
      <c r="AK835" s="80" t="s">
        <v>6620</v>
      </c>
      <c r="AL835" s="80" t="s">
        <v>7105</v>
      </c>
      <c r="AM835" s="80"/>
      <c r="AN835" s="80"/>
      <c r="AO835" s="82">
        <v>43610.598634259259</v>
      </c>
      <c r="AP835" s="84" t="str">
        <f>HYPERLINK("https://pbs.twimg.com/profile_banners/1132290734046892032/1609169144")</f>
        <v>https://pbs.twimg.com/profile_banners/1132290734046892032/1609169144</v>
      </c>
      <c r="AQ835" s="80" t="b">
        <v>1</v>
      </c>
      <c r="AR835" s="80" t="b">
        <v>0</v>
      </c>
      <c r="AS835" s="80" t="b">
        <v>0</v>
      </c>
      <c r="AT835" s="80"/>
      <c r="AU835" s="80">
        <v>2</v>
      </c>
      <c r="AV835" s="80"/>
      <c r="AW835" s="80" t="b">
        <v>0</v>
      </c>
      <c r="AX835" s="80" t="s">
        <v>7173</v>
      </c>
      <c r="AY835" s="84" t="str">
        <f>HYPERLINK("https://twitter.com/garenghallu")</f>
        <v>https://twitter.com/garenghallu</v>
      </c>
      <c r="AZ835" s="80" t="s">
        <v>65</v>
      </c>
      <c r="BA835" s="2"/>
      <c r="BB835" s="3"/>
      <c r="BC835" s="3"/>
      <c r="BD835" s="3"/>
      <c r="BE835" s="3"/>
    </row>
    <row r="836" spans="1:57" x14ac:dyDescent="0.35">
      <c r="A836" s="66" t="s">
        <v>1172</v>
      </c>
      <c r="B836" s="67"/>
      <c r="C836" s="67"/>
      <c r="D836" s="68"/>
      <c r="E836" s="70"/>
      <c r="F836" s="106" t="str">
        <f>HYPERLINK("https://pbs.twimg.com/profile_images/1421018122547433475/kx7dMtWx_normal.jpg")</f>
        <v>https://pbs.twimg.com/profile_images/1421018122547433475/kx7dMtWx_normal.jpg</v>
      </c>
      <c r="G836" s="67"/>
      <c r="H836" s="71"/>
      <c r="I836" s="72"/>
      <c r="J836" s="72"/>
      <c r="K836" s="71" t="s">
        <v>8006</v>
      </c>
      <c r="L836" s="75"/>
      <c r="M836" s="76"/>
      <c r="N836" s="76"/>
      <c r="O836" s="77"/>
      <c r="P836" s="78"/>
      <c r="Q836" s="78"/>
      <c r="R836" s="90"/>
      <c r="S836" s="90"/>
      <c r="T836" s="90"/>
      <c r="U836" s="90"/>
      <c r="V836" s="52"/>
      <c r="W836" s="52"/>
      <c r="X836" s="52"/>
      <c r="Y836" s="52"/>
      <c r="Z836" s="51"/>
      <c r="AA836" s="73"/>
      <c r="AB836" s="73"/>
      <c r="AC836" s="74"/>
      <c r="AD836" s="80" t="s">
        <v>5003</v>
      </c>
      <c r="AE836" s="86" t="s">
        <v>4043</v>
      </c>
      <c r="AF836" s="80">
        <v>793</v>
      </c>
      <c r="AG836" s="80">
        <v>615</v>
      </c>
      <c r="AH836" s="80">
        <v>11952</v>
      </c>
      <c r="AI836" s="80">
        <v>2869</v>
      </c>
      <c r="AJ836" s="80"/>
      <c r="AK836" s="80"/>
      <c r="AL836" s="80" t="s">
        <v>7008</v>
      </c>
      <c r="AM836" s="80"/>
      <c r="AN836" s="80"/>
      <c r="AO836" s="82">
        <v>40279.098553240743</v>
      </c>
      <c r="AP836" s="84" t="str">
        <f>HYPERLINK("https://pbs.twimg.com/profile_banners/131698877/1582812577")</f>
        <v>https://pbs.twimg.com/profile_banners/131698877/1582812577</v>
      </c>
      <c r="AQ836" s="80" t="b">
        <v>1</v>
      </c>
      <c r="AR836" s="80" t="b">
        <v>0</v>
      </c>
      <c r="AS836" s="80" t="b">
        <v>1</v>
      </c>
      <c r="AT836" s="80"/>
      <c r="AU836" s="80">
        <v>4</v>
      </c>
      <c r="AV836" s="84" t="str">
        <f>HYPERLINK("https://abs.twimg.com/images/themes/theme1/bg.png")</f>
        <v>https://abs.twimg.com/images/themes/theme1/bg.png</v>
      </c>
      <c r="AW836" s="80" t="b">
        <v>0</v>
      </c>
      <c r="AX836" s="80" t="s">
        <v>7173</v>
      </c>
      <c r="AY836" s="84" t="str">
        <f>HYPERLINK("https://twitter.com/jazzy867")</f>
        <v>https://twitter.com/jazzy867</v>
      </c>
      <c r="AZ836" s="80" t="s">
        <v>65</v>
      </c>
      <c r="BA836" s="2"/>
      <c r="BB836" s="3"/>
      <c r="BC836" s="3"/>
      <c r="BD836" s="3"/>
      <c r="BE836" s="3"/>
    </row>
    <row r="837" spans="1:57" x14ac:dyDescent="0.35">
      <c r="A837" s="66" t="s">
        <v>868</v>
      </c>
      <c r="B837" s="67"/>
      <c r="C837" s="67"/>
      <c r="D837" s="68"/>
      <c r="E837" s="70"/>
      <c r="F837" s="106" t="str">
        <f>HYPERLINK("https://pbs.twimg.com/profile_images/1442139283658137605/8X5oJDXw_normal.jpg")</f>
        <v>https://pbs.twimg.com/profile_images/1442139283658137605/8X5oJDXw_normal.jpg</v>
      </c>
      <c r="G837" s="67"/>
      <c r="H837" s="71"/>
      <c r="I837" s="72"/>
      <c r="J837" s="72"/>
      <c r="K837" s="71" t="s">
        <v>8007</v>
      </c>
      <c r="L837" s="75"/>
      <c r="M837" s="76"/>
      <c r="N837" s="76"/>
      <c r="O837" s="77"/>
      <c r="P837" s="78"/>
      <c r="Q837" s="78"/>
      <c r="R837" s="90"/>
      <c r="S837" s="90"/>
      <c r="T837" s="90"/>
      <c r="U837" s="90"/>
      <c r="V837" s="52"/>
      <c r="W837" s="52"/>
      <c r="X837" s="52"/>
      <c r="Y837" s="52"/>
      <c r="Z837" s="51"/>
      <c r="AA837" s="73"/>
      <c r="AB837" s="73"/>
      <c r="AC837" s="74"/>
      <c r="AD837" s="80" t="s">
        <v>5004</v>
      </c>
      <c r="AE837" s="86" t="s">
        <v>5818</v>
      </c>
      <c r="AF837" s="80">
        <v>8</v>
      </c>
      <c r="AG837" s="80">
        <v>0</v>
      </c>
      <c r="AH837" s="80">
        <v>29</v>
      </c>
      <c r="AI837" s="80">
        <v>6</v>
      </c>
      <c r="AJ837" s="80"/>
      <c r="AK837" s="80" t="s">
        <v>6621</v>
      </c>
      <c r="AL837" s="80" t="s">
        <v>7106</v>
      </c>
      <c r="AM837" s="80"/>
      <c r="AN837" s="80"/>
      <c r="AO837" s="82">
        <v>44465.07949074074</v>
      </c>
      <c r="AP837" s="84" t="str">
        <f>HYPERLINK("https://pbs.twimg.com/profile_banners/1441944173158879239/1632668190")</f>
        <v>https://pbs.twimg.com/profile_banners/1441944173158879239/1632668190</v>
      </c>
      <c r="AQ837" s="80" t="b">
        <v>1</v>
      </c>
      <c r="AR837" s="80" t="b">
        <v>0</v>
      </c>
      <c r="AS837" s="80" t="b">
        <v>0</v>
      </c>
      <c r="AT837" s="80"/>
      <c r="AU837" s="80">
        <v>0</v>
      </c>
      <c r="AV837" s="80"/>
      <c r="AW837" s="80" t="b">
        <v>0</v>
      </c>
      <c r="AX837" s="80" t="s">
        <v>7173</v>
      </c>
      <c r="AY837" s="84" t="str">
        <f>HYPERLINK("https://twitter.com/mooncerries")</f>
        <v>https://twitter.com/mooncerries</v>
      </c>
      <c r="AZ837" s="80" t="s">
        <v>66</v>
      </c>
      <c r="BA837" s="2"/>
      <c r="BB837" s="3"/>
      <c r="BC837" s="3"/>
      <c r="BD837" s="3"/>
      <c r="BE837" s="3"/>
    </row>
    <row r="838" spans="1:57" x14ac:dyDescent="0.35">
      <c r="A838" s="66" t="s">
        <v>869</v>
      </c>
      <c r="B838" s="67"/>
      <c r="C838" s="67"/>
      <c r="D838" s="68"/>
      <c r="E838" s="70"/>
      <c r="F838" s="106" t="str">
        <f>HYPERLINK("https://pbs.twimg.com/profile_images/1427976134235287552/9M7aqoCb_normal.jpg")</f>
        <v>https://pbs.twimg.com/profile_images/1427976134235287552/9M7aqoCb_normal.jpg</v>
      </c>
      <c r="G838" s="67"/>
      <c r="H838" s="71"/>
      <c r="I838" s="72"/>
      <c r="J838" s="72"/>
      <c r="K838" s="71" t="s">
        <v>8008</v>
      </c>
      <c r="L838" s="75"/>
      <c r="M838" s="76"/>
      <c r="N838" s="76"/>
      <c r="O838" s="77"/>
      <c r="P838" s="78"/>
      <c r="Q838" s="78"/>
      <c r="R838" s="90"/>
      <c r="S838" s="90"/>
      <c r="T838" s="90"/>
      <c r="U838" s="90"/>
      <c r="V838" s="52"/>
      <c r="W838" s="52"/>
      <c r="X838" s="52"/>
      <c r="Y838" s="52"/>
      <c r="Z838" s="51"/>
      <c r="AA838" s="73"/>
      <c r="AB838" s="73"/>
      <c r="AC838" s="74"/>
      <c r="AD838" s="80" t="s">
        <v>5005</v>
      </c>
      <c r="AE838" s="86" t="s">
        <v>5819</v>
      </c>
      <c r="AF838" s="80">
        <v>4654</v>
      </c>
      <c r="AG838" s="80">
        <v>4651</v>
      </c>
      <c r="AH838" s="80">
        <v>11247</v>
      </c>
      <c r="AI838" s="80">
        <v>2049</v>
      </c>
      <c r="AJ838" s="80"/>
      <c r="AK838" s="80" t="s">
        <v>6622</v>
      </c>
      <c r="AL838" s="80"/>
      <c r="AM838" s="80"/>
      <c r="AN838" s="80"/>
      <c r="AO838" s="82">
        <v>42682.486168981479</v>
      </c>
      <c r="AP838" s="84" t="str">
        <f>HYPERLINK("https://pbs.twimg.com/profile_banners/795954039049420800/1603205543")</f>
        <v>https://pbs.twimg.com/profile_banners/795954039049420800/1603205543</v>
      </c>
      <c r="AQ838" s="80" t="b">
        <v>1</v>
      </c>
      <c r="AR838" s="80" t="b">
        <v>0</v>
      </c>
      <c r="AS838" s="80" t="b">
        <v>1</v>
      </c>
      <c r="AT838" s="80"/>
      <c r="AU838" s="80">
        <v>0</v>
      </c>
      <c r="AV838" s="80"/>
      <c r="AW838" s="80" t="b">
        <v>0</v>
      </c>
      <c r="AX838" s="80" t="s">
        <v>7173</v>
      </c>
      <c r="AY838" s="84" t="str">
        <f>HYPERLINK("https://twitter.com/dinbaww")</f>
        <v>https://twitter.com/dinbaww</v>
      </c>
      <c r="AZ838" s="80" t="s">
        <v>66</v>
      </c>
      <c r="BA838" s="2"/>
      <c r="BB838" s="3"/>
      <c r="BC838" s="3"/>
      <c r="BD838" s="3"/>
      <c r="BE838" s="3"/>
    </row>
    <row r="839" spans="1:57" x14ac:dyDescent="0.35">
      <c r="A839" s="66" t="s">
        <v>1173</v>
      </c>
      <c r="B839" s="67"/>
      <c r="C839" s="67"/>
      <c r="D839" s="68"/>
      <c r="E839" s="70"/>
      <c r="F839" s="106" t="str">
        <f>HYPERLINK("https://pbs.twimg.com/profile_images/1424008967127126017/lfR3gbRP_normal.jpg")</f>
        <v>https://pbs.twimg.com/profile_images/1424008967127126017/lfR3gbRP_normal.jpg</v>
      </c>
      <c r="G839" s="67"/>
      <c r="H839" s="71"/>
      <c r="I839" s="72"/>
      <c r="J839" s="72"/>
      <c r="K839" s="71" t="s">
        <v>8009</v>
      </c>
      <c r="L839" s="75"/>
      <c r="M839" s="76"/>
      <c r="N839" s="76"/>
      <c r="O839" s="77"/>
      <c r="P839" s="78"/>
      <c r="Q839" s="78"/>
      <c r="R839" s="90"/>
      <c r="S839" s="90"/>
      <c r="T839" s="90"/>
      <c r="U839" s="90"/>
      <c r="V839" s="52"/>
      <c r="W839" s="52"/>
      <c r="X839" s="52"/>
      <c r="Y839" s="52"/>
      <c r="Z839" s="51"/>
      <c r="AA839" s="73"/>
      <c r="AB839" s="73"/>
      <c r="AC839" s="74"/>
      <c r="AD839" s="80" t="s">
        <v>5006</v>
      </c>
      <c r="AE839" s="86" t="s">
        <v>4044</v>
      </c>
      <c r="AF839" s="80">
        <v>3741</v>
      </c>
      <c r="AG839" s="80">
        <v>4234</v>
      </c>
      <c r="AH839" s="80">
        <v>73561</v>
      </c>
      <c r="AI839" s="80">
        <v>7913</v>
      </c>
      <c r="AJ839" s="80"/>
      <c r="AK839" s="80" t="s">
        <v>6623</v>
      </c>
      <c r="AL839" s="80"/>
      <c r="AM839" s="84" t="str">
        <f>HYPERLINK("https://t.co/mx3oFn923C")</f>
        <v>https://t.co/mx3oFn923C</v>
      </c>
      <c r="AN839" s="80"/>
      <c r="AO839" s="82">
        <v>43978.417824074073</v>
      </c>
      <c r="AP839" s="84" t="str">
        <f>HYPERLINK("https://pbs.twimg.com/profile_banners/1265583910211080193/1628164218")</f>
        <v>https://pbs.twimg.com/profile_banners/1265583910211080193/1628164218</v>
      </c>
      <c r="AQ839" s="80" t="b">
        <v>1</v>
      </c>
      <c r="AR839" s="80" t="b">
        <v>0</v>
      </c>
      <c r="AS839" s="80" t="b">
        <v>0</v>
      </c>
      <c r="AT839" s="80"/>
      <c r="AU839" s="80">
        <v>6</v>
      </c>
      <c r="AV839" s="80"/>
      <c r="AW839" s="80" t="b">
        <v>0</v>
      </c>
      <c r="AX839" s="80" t="s">
        <v>7173</v>
      </c>
      <c r="AY839" s="84" t="str">
        <f>HYPERLINK("https://twitter.com/diemwoi")</f>
        <v>https://twitter.com/diemwoi</v>
      </c>
      <c r="AZ839" s="80" t="s">
        <v>65</v>
      </c>
      <c r="BA839" s="2"/>
      <c r="BB839" s="3"/>
      <c r="BC839" s="3"/>
      <c r="BD839" s="3"/>
      <c r="BE839" s="3"/>
    </row>
    <row r="840" spans="1:57" x14ac:dyDescent="0.35">
      <c r="A840" s="66" t="s">
        <v>870</v>
      </c>
      <c r="B840" s="67"/>
      <c r="C840" s="67"/>
      <c r="D840" s="68"/>
      <c r="E840" s="70"/>
      <c r="F840" s="106" t="str">
        <f>HYPERLINK("https://pbs.twimg.com/profile_images/1381664112225087489/IxSezCCa_normal.jpg")</f>
        <v>https://pbs.twimg.com/profile_images/1381664112225087489/IxSezCCa_normal.jpg</v>
      </c>
      <c r="G840" s="67"/>
      <c r="H840" s="71"/>
      <c r="I840" s="72"/>
      <c r="J840" s="72"/>
      <c r="K840" s="71" t="s">
        <v>8010</v>
      </c>
      <c r="L840" s="75"/>
      <c r="M840" s="76"/>
      <c r="N840" s="76"/>
      <c r="O840" s="77"/>
      <c r="P840" s="78"/>
      <c r="Q840" s="78"/>
      <c r="R840" s="90"/>
      <c r="S840" s="90"/>
      <c r="T840" s="90"/>
      <c r="U840" s="90"/>
      <c r="V840" s="52"/>
      <c r="W840" s="52"/>
      <c r="X840" s="52"/>
      <c r="Y840" s="52"/>
      <c r="Z840" s="51"/>
      <c r="AA840" s="73"/>
      <c r="AB840" s="73"/>
      <c r="AC840" s="74"/>
      <c r="AD840" s="80" t="s">
        <v>5007</v>
      </c>
      <c r="AE840" s="86" t="s">
        <v>5820</v>
      </c>
      <c r="AF840" s="80">
        <v>509</v>
      </c>
      <c r="AG840" s="80">
        <v>490</v>
      </c>
      <c r="AH840" s="80">
        <v>2576</v>
      </c>
      <c r="AI840" s="80">
        <v>2875</v>
      </c>
      <c r="AJ840" s="80"/>
      <c r="AK840" s="80" t="s">
        <v>6624</v>
      </c>
      <c r="AL840" s="80" t="s">
        <v>7107</v>
      </c>
      <c r="AM840" s="80"/>
      <c r="AN840" s="80"/>
      <c r="AO840" s="82">
        <v>43818.804618055554</v>
      </c>
      <c r="AP840" s="84" t="str">
        <f>HYPERLINK("https://pbs.twimg.com/profile_banners/1207741978487578624/1620241085")</f>
        <v>https://pbs.twimg.com/profile_banners/1207741978487578624/1620241085</v>
      </c>
      <c r="AQ840" s="80" t="b">
        <v>1</v>
      </c>
      <c r="AR840" s="80" t="b">
        <v>0</v>
      </c>
      <c r="AS840" s="80" t="b">
        <v>1</v>
      </c>
      <c r="AT840" s="80"/>
      <c r="AU840" s="80">
        <v>0</v>
      </c>
      <c r="AV840" s="80"/>
      <c r="AW840" s="80" t="b">
        <v>0</v>
      </c>
      <c r="AX840" s="80" t="s">
        <v>7173</v>
      </c>
      <c r="AY840" s="84" t="str">
        <f>HYPERLINK("https://twitter.com/hazzelnutcoklat")</f>
        <v>https://twitter.com/hazzelnutcoklat</v>
      </c>
      <c r="AZ840" s="80" t="s">
        <v>66</v>
      </c>
      <c r="BA840" s="2"/>
      <c r="BB840" s="3"/>
      <c r="BC840" s="3"/>
      <c r="BD840" s="3"/>
      <c r="BE840" s="3"/>
    </row>
    <row r="841" spans="1:57" x14ac:dyDescent="0.35">
      <c r="A841" s="66" t="s">
        <v>871</v>
      </c>
      <c r="B841" s="67"/>
      <c r="C841" s="67"/>
      <c r="D841" s="68"/>
      <c r="E841" s="70"/>
      <c r="F841" s="106" t="str">
        <f>HYPERLINK("https://pbs.twimg.com/profile_images/1235915960877322241/PhWe6COT_normal.jpg")</f>
        <v>https://pbs.twimg.com/profile_images/1235915960877322241/PhWe6COT_normal.jpg</v>
      </c>
      <c r="G841" s="67"/>
      <c r="H841" s="71"/>
      <c r="I841" s="72"/>
      <c r="J841" s="72"/>
      <c r="K841" s="71" t="s">
        <v>8011</v>
      </c>
      <c r="L841" s="75"/>
      <c r="M841" s="76"/>
      <c r="N841" s="76"/>
      <c r="O841" s="77"/>
      <c r="P841" s="78"/>
      <c r="Q841" s="78"/>
      <c r="R841" s="90"/>
      <c r="S841" s="90"/>
      <c r="T841" s="90"/>
      <c r="U841" s="90"/>
      <c r="V841" s="52"/>
      <c r="W841" s="52"/>
      <c r="X841" s="52"/>
      <c r="Y841" s="52"/>
      <c r="Z841" s="51"/>
      <c r="AA841" s="73"/>
      <c r="AB841" s="73"/>
      <c r="AC841" s="74"/>
      <c r="AD841" s="80" t="s">
        <v>5008</v>
      </c>
      <c r="AE841" s="86" t="s">
        <v>5821</v>
      </c>
      <c r="AF841" s="80">
        <v>298</v>
      </c>
      <c r="AG841" s="80">
        <v>119</v>
      </c>
      <c r="AH841" s="80">
        <v>2815</v>
      </c>
      <c r="AI841" s="80">
        <v>1135</v>
      </c>
      <c r="AJ841" s="80"/>
      <c r="AK841" s="80" t="s">
        <v>6625</v>
      </c>
      <c r="AL841" s="80" t="s">
        <v>7108</v>
      </c>
      <c r="AM841" s="84" t="str">
        <f>HYPERLINK("https://t.co/XsJ7YKB2Cj")</f>
        <v>https://t.co/XsJ7YKB2Cj</v>
      </c>
      <c r="AN841" s="80"/>
      <c r="AO841" s="82">
        <v>41139.107523148145</v>
      </c>
      <c r="AP841" s="84" t="str">
        <f>HYPERLINK("https://pbs.twimg.com/profile_banners/764905099/1418899779")</f>
        <v>https://pbs.twimg.com/profile_banners/764905099/1418899779</v>
      </c>
      <c r="AQ841" s="80" t="b">
        <v>0</v>
      </c>
      <c r="AR841" s="80" t="b">
        <v>0</v>
      </c>
      <c r="AS841" s="80" t="b">
        <v>0</v>
      </c>
      <c r="AT841" s="80"/>
      <c r="AU841" s="80">
        <v>1</v>
      </c>
      <c r="AV841" s="84" t="str">
        <f>HYPERLINK("https://abs.twimg.com/images/themes/theme1/bg.png")</f>
        <v>https://abs.twimg.com/images/themes/theme1/bg.png</v>
      </c>
      <c r="AW841" s="80" t="b">
        <v>0</v>
      </c>
      <c r="AX841" s="80" t="s">
        <v>7173</v>
      </c>
      <c r="AY841" s="84" t="str">
        <f>HYPERLINK("https://twitter.com/robertoromario6")</f>
        <v>https://twitter.com/robertoromario6</v>
      </c>
      <c r="AZ841" s="80" t="s">
        <v>66</v>
      </c>
      <c r="BA841" s="2"/>
      <c r="BB841" s="3"/>
      <c r="BC841" s="3"/>
      <c r="BD841" s="3"/>
      <c r="BE841" s="3"/>
    </row>
    <row r="842" spans="1:57" x14ac:dyDescent="0.35">
      <c r="A842" s="66" t="s">
        <v>872</v>
      </c>
      <c r="B842" s="67"/>
      <c r="C842" s="67"/>
      <c r="D842" s="68"/>
      <c r="E842" s="70"/>
      <c r="F842" s="106" t="str">
        <f>HYPERLINK("https://pbs.twimg.com/profile_images/1425058864274165764/zEvvmeeX_normal.jpg")</f>
        <v>https://pbs.twimg.com/profile_images/1425058864274165764/zEvvmeeX_normal.jpg</v>
      </c>
      <c r="G842" s="67"/>
      <c r="H842" s="71"/>
      <c r="I842" s="72"/>
      <c r="J842" s="72"/>
      <c r="K842" s="71" t="s">
        <v>8012</v>
      </c>
      <c r="L842" s="75"/>
      <c r="M842" s="76"/>
      <c r="N842" s="76"/>
      <c r="O842" s="77"/>
      <c r="P842" s="78"/>
      <c r="Q842" s="78"/>
      <c r="R842" s="90"/>
      <c r="S842" s="90"/>
      <c r="T842" s="90"/>
      <c r="U842" s="90"/>
      <c r="V842" s="52"/>
      <c r="W842" s="52"/>
      <c r="X842" s="52"/>
      <c r="Y842" s="52"/>
      <c r="Z842" s="51"/>
      <c r="AA842" s="73"/>
      <c r="AB842" s="73"/>
      <c r="AC842" s="74"/>
      <c r="AD842" s="80" t="s">
        <v>5009</v>
      </c>
      <c r="AE842" s="86" t="s">
        <v>5822</v>
      </c>
      <c r="AF842" s="80">
        <v>606</v>
      </c>
      <c r="AG842" s="80">
        <v>864</v>
      </c>
      <c r="AH842" s="80">
        <v>3547</v>
      </c>
      <c r="AI842" s="80">
        <v>17704</v>
      </c>
      <c r="AJ842" s="80"/>
      <c r="AK842" s="80" t="s">
        <v>6626</v>
      </c>
      <c r="AL842" s="80"/>
      <c r="AM842" s="80"/>
      <c r="AN842" s="80"/>
      <c r="AO842" s="82">
        <v>43338.130185185182</v>
      </c>
      <c r="AP842" s="84" t="str">
        <f>HYPERLINK("https://pbs.twimg.com/profile_banners/1033551472158367744/1572697589")</f>
        <v>https://pbs.twimg.com/profile_banners/1033551472158367744/1572697589</v>
      </c>
      <c r="AQ842" s="80" t="b">
        <v>1</v>
      </c>
      <c r="AR842" s="80" t="b">
        <v>0</v>
      </c>
      <c r="AS842" s="80" t="b">
        <v>1</v>
      </c>
      <c r="AT842" s="80"/>
      <c r="AU842" s="80">
        <v>0</v>
      </c>
      <c r="AV842" s="80"/>
      <c r="AW842" s="80" t="b">
        <v>0</v>
      </c>
      <c r="AX842" s="80" t="s">
        <v>7173</v>
      </c>
      <c r="AY842" s="84" t="str">
        <f>HYPERLINK("https://twitter.com/daqwatulhaq")</f>
        <v>https://twitter.com/daqwatulhaq</v>
      </c>
      <c r="AZ842" s="80" t="s">
        <v>66</v>
      </c>
      <c r="BA842" s="2"/>
      <c r="BB842" s="3"/>
      <c r="BC842" s="3"/>
      <c r="BD842" s="3"/>
      <c r="BE842" s="3"/>
    </row>
    <row r="843" spans="1:57" x14ac:dyDescent="0.35">
      <c r="A843" s="66" t="s">
        <v>873</v>
      </c>
      <c r="B843" s="67"/>
      <c r="C843" s="67"/>
      <c r="D843" s="68"/>
      <c r="E843" s="70"/>
      <c r="F843" s="106" t="str">
        <f>HYPERLINK("https://pbs.twimg.com/profile_images/1441783997416153092/MtCQbFJc_normal.jpg")</f>
        <v>https://pbs.twimg.com/profile_images/1441783997416153092/MtCQbFJc_normal.jpg</v>
      </c>
      <c r="G843" s="67"/>
      <c r="H843" s="71"/>
      <c r="I843" s="72"/>
      <c r="J843" s="72"/>
      <c r="K843" s="71" t="s">
        <v>8013</v>
      </c>
      <c r="L843" s="75"/>
      <c r="M843" s="76"/>
      <c r="N843" s="76"/>
      <c r="O843" s="77"/>
      <c r="P843" s="78"/>
      <c r="Q843" s="78"/>
      <c r="R843" s="90"/>
      <c r="S843" s="90"/>
      <c r="T843" s="90"/>
      <c r="U843" s="90"/>
      <c r="V843" s="52"/>
      <c r="W843" s="52"/>
      <c r="X843" s="52"/>
      <c r="Y843" s="52"/>
      <c r="Z843" s="51"/>
      <c r="AA843" s="73"/>
      <c r="AB843" s="73"/>
      <c r="AC843" s="74"/>
      <c r="AD843" s="80" t="s">
        <v>5010</v>
      </c>
      <c r="AE843" s="86" t="s">
        <v>5823</v>
      </c>
      <c r="AF843" s="80">
        <v>126</v>
      </c>
      <c r="AG843" s="80">
        <v>0</v>
      </c>
      <c r="AH843" s="80">
        <v>4985</v>
      </c>
      <c r="AI843" s="80">
        <v>11287</v>
      </c>
      <c r="AJ843" s="80"/>
      <c r="AK843" s="80" t="s">
        <v>6627</v>
      </c>
      <c r="AL843" s="80"/>
      <c r="AM843" s="80"/>
      <c r="AN843" s="80"/>
      <c r="AO843" s="82">
        <v>44337.433113425926</v>
      </c>
      <c r="AP843" s="84" t="str">
        <f>HYPERLINK("https://pbs.twimg.com/profile_banners/1395686466068443138/1626113439")</f>
        <v>https://pbs.twimg.com/profile_banners/1395686466068443138/1626113439</v>
      </c>
      <c r="AQ843" s="80" t="b">
        <v>1</v>
      </c>
      <c r="AR843" s="80" t="b">
        <v>0</v>
      </c>
      <c r="AS843" s="80" t="b">
        <v>1</v>
      </c>
      <c r="AT843" s="80"/>
      <c r="AU843" s="80">
        <v>0</v>
      </c>
      <c r="AV843" s="80"/>
      <c r="AW843" s="80" t="b">
        <v>0</v>
      </c>
      <c r="AX843" s="80" t="s">
        <v>7173</v>
      </c>
      <c r="AY843" s="84" t="str">
        <f>HYPERLINK("https://twitter.com/nexrtar")</f>
        <v>https://twitter.com/nexrtar</v>
      </c>
      <c r="AZ843" s="80" t="s">
        <v>66</v>
      </c>
      <c r="BA843" s="2"/>
      <c r="BB843" s="3"/>
      <c r="BC843" s="3"/>
      <c r="BD843" s="3"/>
      <c r="BE843" s="3"/>
    </row>
    <row r="844" spans="1:57" x14ac:dyDescent="0.35">
      <c r="A844" s="66" t="s">
        <v>874</v>
      </c>
      <c r="B844" s="67"/>
      <c r="C844" s="67"/>
      <c r="D844" s="68"/>
      <c r="E844" s="70"/>
      <c r="F844" s="106" t="str">
        <f>HYPERLINK("https://pbs.twimg.com/profile_images/1440154010556661764/1K49cM3W_normal.jpg")</f>
        <v>https://pbs.twimg.com/profile_images/1440154010556661764/1K49cM3W_normal.jpg</v>
      </c>
      <c r="G844" s="67"/>
      <c r="H844" s="71"/>
      <c r="I844" s="72"/>
      <c r="J844" s="72"/>
      <c r="K844" s="71" t="s">
        <v>8014</v>
      </c>
      <c r="L844" s="75"/>
      <c r="M844" s="76"/>
      <c r="N844" s="76"/>
      <c r="O844" s="77"/>
      <c r="P844" s="78"/>
      <c r="Q844" s="78"/>
      <c r="R844" s="90"/>
      <c r="S844" s="90"/>
      <c r="T844" s="90"/>
      <c r="U844" s="90"/>
      <c r="V844" s="52"/>
      <c r="W844" s="52"/>
      <c r="X844" s="52"/>
      <c r="Y844" s="52"/>
      <c r="Z844" s="51"/>
      <c r="AA844" s="73"/>
      <c r="AB844" s="73"/>
      <c r="AC844" s="74"/>
      <c r="AD844" s="80" t="s">
        <v>5011</v>
      </c>
      <c r="AE844" s="86" t="s">
        <v>5824</v>
      </c>
      <c r="AF844" s="80">
        <v>152</v>
      </c>
      <c r="AG844" s="80">
        <v>57</v>
      </c>
      <c r="AH844" s="80">
        <v>507</v>
      </c>
      <c r="AI844" s="80">
        <v>31</v>
      </c>
      <c r="AJ844" s="80"/>
      <c r="AK844" s="80" t="s">
        <v>6628</v>
      </c>
      <c r="AL844" s="80" t="s">
        <v>6973</v>
      </c>
      <c r="AM844" s="80"/>
      <c r="AN844" s="80"/>
      <c r="AO844" s="82">
        <v>40217.327499999999</v>
      </c>
      <c r="AP844" s="84" t="str">
        <f>HYPERLINK("https://pbs.twimg.com/profile_banners/112374006/1369799236")</f>
        <v>https://pbs.twimg.com/profile_banners/112374006/1369799236</v>
      </c>
      <c r="AQ844" s="80" t="b">
        <v>0</v>
      </c>
      <c r="AR844" s="80" t="b">
        <v>0</v>
      </c>
      <c r="AS844" s="80" t="b">
        <v>0</v>
      </c>
      <c r="AT844" s="80"/>
      <c r="AU844" s="80">
        <v>0</v>
      </c>
      <c r="AV844" s="84" t="str">
        <f>HYPERLINK("https://abs.twimg.com/images/themes/theme1/bg.png")</f>
        <v>https://abs.twimg.com/images/themes/theme1/bg.png</v>
      </c>
      <c r="AW844" s="80" t="b">
        <v>0</v>
      </c>
      <c r="AX844" s="80" t="s">
        <v>7173</v>
      </c>
      <c r="AY844" s="84" t="str">
        <f>HYPERLINK("https://twitter.com/dinie_ys")</f>
        <v>https://twitter.com/dinie_ys</v>
      </c>
      <c r="AZ844" s="80" t="s">
        <v>66</v>
      </c>
      <c r="BA844" s="2"/>
      <c r="BB844" s="3"/>
      <c r="BC844" s="3"/>
      <c r="BD844" s="3"/>
      <c r="BE844" s="3"/>
    </row>
    <row r="845" spans="1:57" x14ac:dyDescent="0.35">
      <c r="A845" s="66" t="s">
        <v>875</v>
      </c>
      <c r="B845" s="67"/>
      <c r="C845" s="67"/>
      <c r="D845" s="68"/>
      <c r="E845" s="70"/>
      <c r="F845" s="106" t="str">
        <f>HYPERLINK("https://pbs.twimg.com/profile_images/1367294490696843264/P3mEBQ4u_normal.jpg")</f>
        <v>https://pbs.twimg.com/profile_images/1367294490696843264/P3mEBQ4u_normal.jpg</v>
      </c>
      <c r="G845" s="67"/>
      <c r="H845" s="71"/>
      <c r="I845" s="72"/>
      <c r="J845" s="72"/>
      <c r="K845" s="71" t="s">
        <v>8015</v>
      </c>
      <c r="L845" s="75"/>
      <c r="M845" s="76"/>
      <c r="N845" s="76"/>
      <c r="O845" s="77"/>
      <c r="P845" s="78"/>
      <c r="Q845" s="78"/>
      <c r="R845" s="90"/>
      <c r="S845" s="90"/>
      <c r="T845" s="90"/>
      <c r="U845" s="90"/>
      <c r="V845" s="52"/>
      <c r="W845" s="52"/>
      <c r="X845" s="52"/>
      <c r="Y845" s="52"/>
      <c r="Z845" s="51"/>
      <c r="AA845" s="73"/>
      <c r="AB845" s="73"/>
      <c r="AC845" s="74"/>
      <c r="AD845" s="80" t="s">
        <v>5012</v>
      </c>
      <c r="AE845" s="86" t="s">
        <v>5825</v>
      </c>
      <c r="AF845" s="80">
        <v>365</v>
      </c>
      <c r="AG845" s="80">
        <v>248</v>
      </c>
      <c r="AH845" s="80">
        <v>5114</v>
      </c>
      <c r="AI845" s="80">
        <v>2783</v>
      </c>
      <c r="AJ845" s="80"/>
      <c r="AK845" s="80" t="s">
        <v>6629</v>
      </c>
      <c r="AL845" s="80"/>
      <c r="AM845" s="80"/>
      <c r="AN845" s="80"/>
      <c r="AO845" s="82">
        <v>43758.610995370371</v>
      </c>
      <c r="AP845" s="84" t="str">
        <f>HYPERLINK("https://pbs.twimg.com/profile_banners/1185928558524289024/1594433227")</f>
        <v>https://pbs.twimg.com/profile_banners/1185928558524289024/1594433227</v>
      </c>
      <c r="AQ845" s="80" t="b">
        <v>1</v>
      </c>
      <c r="AR845" s="80" t="b">
        <v>0</v>
      </c>
      <c r="AS845" s="80" t="b">
        <v>0</v>
      </c>
      <c r="AT845" s="80"/>
      <c r="AU845" s="80">
        <v>0</v>
      </c>
      <c r="AV845" s="80"/>
      <c r="AW845" s="80" t="b">
        <v>0</v>
      </c>
      <c r="AX845" s="80" t="s">
        <v>7173</v>
      </c>
      <c r="AY845" s="84" t="str">
        <f>HYPERLINK("https://twitter.com/daramudaaa")</f>
        <v>https://twitter.com/daramudaaa</v>
      </c>
      <c r="AZ845" s="80" t="s">
        <v>66</v>
      </c>
      <c r="BA845" s="2"/>
      <c r="BB845" s="3"/>
      <c r="BC845" s="3"/>
      <c r="BD845" s="3"/>
      <c r="BE845" s="3"/>
    </row>
    <row r="846" spans="1:57" x14ac:dyDescent="0.35">
      <c r="A846" s="66" t="s">
        <v>876</v>
      </c>
      <c r="B846" s="67"/>
      <c r="C846" s="67"/>
      <c r="D846" s="68"/>
      <c r="E846" s="70"/>
      <c r="F846" s="106" t="str">
        <f>HYPERLINK("https://pbs.twimg.com/profile_images/1411602188539809792/IWKO8Hyb_normal.jpg")</f>
        <v>https://pbs.twimg.com/profile_images/1411602188539809792/IWKO8Hyb_normal.jpg</v>
      </c>
      <c r="G846" s="67"/>
      <c r="H846" s="71"/>
      <c r="I846" s="72"/>
      <c r="J846" s="72"/>
      <c r="K846" s="71" t="s">
        <v>8016</v>
      </c>
      <c r="L846" s="75"/>
      <c r="M846" s="76"/>
      <c r="N846" s="76"/>
      <c r="O846" s="77"/>
      <c r="P846" s="78"/>
      <c r="Q846" s="78"/>
      <c r="R846" s="90"/>
      <c r="S846" s="90"/>
      <c r="T846" s="90"/>
      <c r="U846" s="90"/>
      <c r="V846" s="52"/>
      <c r="W846" s="52"/>
      <c r="X846" s="52"/>
      <c r="Y846" s="52"/>
      <c r="Z846" s="51"/>
      <c r="AA846" s="73"/>
      <c r="AB846" s="73"/>
      <c r="AC846" s="74"/>
      <c r="AD846" s="80" t="s">
        <v>5013</v>
      </c>
      <c r="AE846" s="86" t="s">
        <v>5826</v>
      </c>
      <c r="AF846" s="80">
        <v>36</v>
      </c>
      <c r="AG846" s="80">
        <v>16</v>
      </c>
      <c r="AH846" s="80">
        <v>1159</v>
      </c>
      <c r="AI846" s="80">
        <v>362</v>
      </c>
      <c r="AJ846" s="80"/>
      <c r="AK846" s="80" t="s">
        <v>6630</v>
      </c>
      <c r="AL846" s="80" t="s">
        <v>7109</v>
      </c>
      <c r="AM846" s="84" t="str">
        <f>HYPERLINK("https://t.co/nRjZTe2J4h")</f>
        <v>https://t.co/nRjZTe2J4h</v>
      </c>
      <c r="AN846" s="80"/>
      <c r="AO846" s="82">
        <v>40966.948020833333</v>
      </c>
      <c r="AP846" s="84" t="str">
        <f>HYPERLINK("https://pbs.twimg.com/profile_banners/506515085/1597880998")</f>
        <v>https://pbs.twimg.com/profile_banners/506515085/1597880998</v>
      </c>
      <c r="AQ846" s="80" t="b">
        <v>1</v>
      </c>
      <c r="AR846" s="80" t="b">
        <v>0</v>
      </c>
      <c r="AS846" s="80" t="b">
        <v>0</v>
      </c>
      <c r="AT846" s="80"/>
      <c r="AU846" s="80">
        <v>0</v>
      </c>
      <c r="AV846" s="84" t="str">
        <f>HYPERLINK("https://abs.twimg.com/images/themes/theme1/bg.png")</f>
        <v>https://abs.twimg.com/images/themes/theme1/bg.png</v>
      </c>
      <c r="AW846" s="80" t="b">
        <v>0</v>
      </c>
      <c r="AX846" s="80" t="s">
        <v>7173</v>
      </c>
      <c r="AY846" s="84" t="str">
        <f>HYPERLINK("https://twitter.com/komprosdimedjo")</f>
        <v>https://twitter.com/komprosdimedjo</v>
      </c>
      <c r="AZ846" s="80" t="s">
        <v>66</v>
      </c>
      <c r="BA846" s="2"/>
      <c r="BB846" s="3"/>
      <c r="BC846" s="3"/>
      <c r="BD846" s="3"/>
      <c r="BE846" s="3"/>
    </row>
    <row r="847" spans="1:57" x14ac:dyDescent="0.35">
      <c r="A847" s="66" t="s">
        <v>877</v>
      </c>
      <c r="B847" s="67"/>
      <c r="C847" s="67"/>
      <c r="D847" s="68"/>
      <c r="E847" s="70"/>
      <c r="F847" s="106" t="str">
        <f>HYPERLINK("https://pbs.twimg.com/profile_images/1057826868798283776/w_tVuaWT_normal.jpg")</f>
        <v>https://pbs.twimg.com/profile_images/1057826868798283776/w_tVuaWT_normal.jpg</v>
      </c>
      <c r="G847" s="67"/>
      <c r="H847" s="71"/>
      <c r="I847" s="72"/>
      <c r="J847" s="72"/>
      <c r="K847" s="71" t="s">
        <v>8017</v>
      </c>
      <c r="L847" s="75"/>
      <c r="M847" s="76"/>
      <c r="N847" s="76"/>
      <c r="O847" s="77"/>
      <c r="P847" s="78"/>
      <c r="Q847" s="78"/>
      <c r="R847" s="90"/>
      <c r="S847" s="90"/>
      <c r="T847" s="90"/>
      <c r="U847" s="90"/>
      <c r="V847" s="52"/>
      <c r="W847" s="52"/>
      <c r="X847" s="52"/>
      <c r="Y847" s="52"/>
      <c r="Z847" s="51"/>
      <c r="AA847" s="73"/>
      <c r="AB847" s="73"/>
      <c r="AC847" s="74"/>
      <c r="AD847" s="80" t="s">
        <v>5014</v>
      </c>
      <c r="AE847" s="86" t="s">
        <v>5827</v>
      </c>
      <c r="AF847" s="80">
        <v>1867</v>
      </c>
      <c r="AG847" s="80">
        <v>234451</v>
      </c>
      <c r="AH847" s="80">
        <v>121821</v>
      </c>
      <c r="AI847" s="80">
        <v>993</v>
      </c>
      <c r="AJ847" s="80"/>
      <c r="AK847" s="80" t="s">
        <v>6631</v>
      </c>
      <c r="AL847" s="80" t="s">
        <v>7101</v>
      </c>
      <c r="AM847" s="84" t="str">
        <f>HYPERLINK("https://t.co/dTvFi8J2sx")</f>
        <v>https://t.co/dTvFi8J2sx</v>
      </c>
      <c r="AN847" s="80"/>
      <c r="AO847" s="82">
        <v>40107.088229166664</v>
      </c>
      <c r="AP847" s="84" t="str">
        <f>HYPERLINK("https://pbs.twimg.com/profile_banners/83979098/1612373532")</f>
        <v>https://pbs.twimg.com/profile_banners/83979098/1612373532</v>
      </c>
      <c r="AQ847" s="80" t="b">
        <v>0</v>
      </c>
      <c r="AR847" s="80" t="b">
        <v>0</v>
      </c>
      <c r="AS847" s="80" t="b">
        <v>1</v>
      </c>
      <c r="AT847" s="80"/>
      <c r="AU847" s="80">
        <v>145</v>
      </c>
      <c r="AV847" s="84" t="str">
        <f>HYPERLINK("https://abs.twimg.com/images/themes/theme14/bg.gif")</f>
        <v>https://abs.twimg.com/images/themes/theme14/bg.gif</v>
      </c>
      <c r="AW847" s="80" t="b">
        <v>0</v>
      </c>
      <c r="AX847" s="80" t="s">
        <v>7173</v>
      </c>
      <c r="AY847" s="84" t="str">
        <f>HYPERLINK("https://twitter.com/bensradio1062fm")</f>
        <v>https://twitter.com/bensradio1062fm</v>
      </c>
      <c r="AZ847" s="80" t="s">
        <v>66</v>
      </c>
      <c r="BA847" s="2"/>
      <c r="BB847" s="3"/>
      <c r="BC847" s="3"/>
      <c r="BD847" s="3"/>
      <c r="BE847" s="3"/>
    </row>
    <row r="848" spans="1:57" x14ac:dyDescent="0.35">
      <c r="A848" s="66" t="s">
        <v>878</v>
      </c>
      <c r="B848" s="67"/>
      <c r="C848" s="67"/>
      <c r="D848" s="68"/>
      <c r="E848" s="70"/>
      <c r="F848" s="106" t="str">
        <f>HYPERLINK("https://pbs.twimg.com/profile_images/1335085537137360896/2BEt9c0D_normal.jpg")</f>
        <v>https://pbs.twimg.com/profile_images/1335085537137360896/2BEt9c0D_normal.jpg</v>
      </c>
      <c r="G848" s="67"/>
      <c r="H848" s="71"/>
      <c r="I848" s="72"/>
      <c r="J848" s="72"/>
      <c r="K848" s="71" t="s">
        <v>8018</v>
      </c>
      <c r="L848" s="75"/>
      <c r="M848" s="76"/>
      <c r="N848" s="76"/>
      <c r="O848" s="77"/>
      <c r="P848" s="78"/>
      <c r="Q848" s="78"/>
      <c r="R848" s="90"/>
      <c r="S848" s="90"/>
      <c r="T848" s="90"/>
      <c r="U848" s="90"/>
      <c r="V848" s="52"/>
      <c r="W848" s="52"/>
      <c r="X848" s="52"/>
      <c r="Y848" s="52"/>
      <c r="Z848" s="51"/>
      <c r="AA848" s="73"/>
      <c r="AB848" s="73"/>
      <c r="AC848" s="74"/>
      <c r="AD848" s="80" t="s">
        <v>5015</v>
      </c>
      <c r="AE848" s="86" t="s">
        <v>4046</v>
      </c>
      <c r="AF848" s="80">
        <v>6540</v>
      </c>
      <c r="AG848" s="80">
        <v>6352</v>
      </c>
      <c r="AH848" s="80">
        <v>9863</v>
      </c>
      <c r="AI848" s="80">
        <v>31945</v>
      </c>
      <c r="AJ848" s="80"/>
      <c r="AK848" s="80" t="s">
        <v>6632</v>
      </c>
      <c r="AL848" s="80" t="s">
        <v>6787</v>
      </c>
      <c r="AM848" s="80"/>
      <c r="AN848" s="80"/>
      <c r="AO848" s="82">
        <v>44170.189375000002</v>
      </c>
      <c r="AP848" s="84" t="str">
        <f>HYPERLINK("https://pbs.twimg.com/profile_banners/1335079472542838784/1630584073")</f>
        <v>https://pbs.twimg.com/profile_banners/1335079472542838784/1630584073</v>
      </c>
      <c r="AQ848" s="80" t="b">
        <v>1</v>
      </c>
      <c r="AR848" s="80" t="b">
        <v>0</v>
      </c>
      <c r="AS848" s="80" t="b">
        <v>0</v>
      </c>
      <c r="AT848" s="80"/>
      <c r="AU848" s="80">
        <v>3</v>
      </c>
      <c r="AV848" s="80"/>
      <c r="AW848" s="80" t="b">
        <v>0</v>
      </c>
      <c r="AX848" s="80" t="s">
        <v>7173</v>
      </c>
      <c r="AY848" s="84" t="str">
        <f>HYPERLINK("https://twitter.com/syahmoedra_ren")</f>
        <v>https://twitter.com/syahmoedra_ren</v>
      </c>
      <c r="AZ848" s="80" t="s">
        <v>66</v>
      </c>
      <c r="BA848" s="2"/>
      <c r="BB848" s="3"/>
      <c r="BC848" s="3"/>
      <c r="BD848" s="3"/>
      <c r="BE848" s="3"/>
    </row>
    <row r="849" spans="1:57" x14ac:dyDescent="0.35">
      <c r="A849" s="66" t="s">
        <v>879</v>
      </c>
      <c r="B849" s="67"/>
      <c r="C849" s="67"/>
      <c r="D849" s="68"/>
      <c r="E849" s="70"/>
      <c r="F849" s="106" t="str">
        <f>HYPERLINK("https://pbs.twimg.com/profile_images/1426320602621612034/SlKJn1Rv_normal.jpg")</f>
        <v>https://pbs.twimg.com/profile_images/1426320602621612034/SlKJn1Rv_normal.jpg</v>
      </c>
      <c r="G849" s="67"/>
      <c r="H849" s="71"/>
      <c r="I849" s="72"/>
      <c r="J849" s="72"/>
      <c r="K849" s="71" t="s">
        <v>8019</v>
      </c>
      <c r="L849" s="75"/>
      <c r="M849" s="76"/>
      <c r="N849" s="76"/>
      <c r="O849" s="77"/>
      <c r="P849" s="78"/>
      <c r="Q849" s="78"/>
      <c r="R849" s="90"/>
      <c r="S849" s="90"/>
      <c r="T849" s="90"/>
      <c r="U849" s="90"/>
      <c r="V849" s="52"/>
      <c r="W849" s="52"/>
      <c r="X849" s="52"/>
      <c r="Y849" s="52"/>
      <c r="Z849" s="51"/>
      <c r="AA849" s="73"/>
      <c r="AB849" s="73"/>
      <c r="AC849" s="74"/>
      <c r="AD849" s="80" t="s">
        <v>5016</v>
      </c>
      <c r="AE849" s="86" t="s">
        <v>5828</v>
      </c>
      <c r="AF849" s="80">
        <v>35</v>
      </c>
      <c r="AG849" s="80">
        <v>407</v>
      </c>
      <c r="AH849" s="80">
        <v>2212</v>
      </c>
      <c r="AI849" s="80">
        <v>6000</v>
      </c>
      <c r="AJ849" s="80"/>
      <c r="AK849" s="80" t="s">
        <v>6633</v>
      </c>
      <c r="AL849" s="80" t="s">
        <v>6855</v>
      </c>
      <c r="AM849" s="84" t="str">
        <f>HYPERLINK("https://t.co/M1Q7VE0gay")</f>
        <v>https://t.co/M1Q7VE0gay</v>
      </c>
      <c r="AN849" s="80"/>
      <c r="AO849" s="82">
        <v>41985.142685185187</v>
      </c>
      <c r="AP849" s="84" t="str">
        <f>HYPERLINK("https://pbs.twimg.com/profile_banners/2916804137/1629295742")</f>
        <v>https://pbs.twimg.com/profile_banners/2916804137/1629295742</v>
      </c>
      <c r="AQ849" s="80" t="b">
        <v>1</v>
      </c>
      <c r="AR849" s="80" t="b">
        <v>0</v>
      </c>
      <c r="AS849" s="80" t="b">
        <v>1</v>
      </c>
      <c r="AT849" s="80"/>
      <c r="AU849" s="80">
        <v>0</v>
      </c>
      <c r="AV849" s="84" t="str">
        <f>HYPERLINK("https://abs.twimg.com/images/themes/theme1/bg.png")</f>
        <v>https://abs.twimg.com/images/themes/theme1/bg.png</v>
      </c>
      <c r="AW849" s="80" t="b">
        <v>0</v>
      </c>
      <c r="AX849" s="80" t="s">
        <v>7173</v>
      </c>
      <c r="AY849" s="84" t="str">
        <f>HYPERLINK("https://twitter.com/infomjkt")</f>
        <v>https://twitter.com/infomjkt</v>
      </c>
      <c r="AZ849" s="80" t="s">
        <v>66</v>
      </c>
      <c r="BA849" s="2"/>
      <c r="BB849" s="3"/>
      <c r="BC849" s="3"/>
      <c r="BD849" s="3"/>
      <c r="BE849" s="3"/>
    </row>
    <row r="850" spans="1:57" x14ac:dyDescent="0.35">
      <c r="A850" s="66" t="s">
        <v>880</v>
      </c>
      <c r="B850" s="67"/>
      <c r="C850" s="67"/>
      <c r="D850" s="68"/>
      <c r="E850" s="70"/>
      <c r="F850" s="106" t="str">
        <f>HYPERLINK("https://pbs.twimg.com/profile_images/1441893140382707712/JYefa1EX_normal.jpg")</f>
        <v>https://pbs.twimg.com/profile_images/1441893140382707712/JYefa1EX_normal.jpg</v>
      </c>
      <c r="G850" s="67"/>
      <c r="H850" s="71"/>
      <c r="I850" s="72"/>
      <c r="J850" s="72"/>
      <c r="K850" s="71" t="s">
        <v>8020</v>
      </c>
      <c r="L850" s="75"/>
      <c r="M850" s="76"/>
      <c r="N850" s="76"/>
      <c r="O850" s="77"/>
      <c r="P850" s="78"/>
      <c r="Q850" s="78"/>
      <c r="R850" s="90"/>
      <c r="S850" s="90"/>
      <c r="T850" s="90"/>
      <c r="U850" s="90"/>
      <c r="V850" s="52"/>
      <c r="W850" s="52"/>
      <c r="X850" s="52"/>
      <c r="Y850" s="52"/>
      <c r="Z850" s="51"/>
      <c r="AA850" s="73"/>
      <c r="AB850" s="73"/>
      <c r="AC850" s="74"/>
      <c r="AD850" s="80" t="s">
        <v>5017</v>
      </c>
      <c r="AE850" s="86" t="s">
        <v>5829</v>
      </c>
      <c r="AF850" s="80">
        <v>2323</v>
      </c>
      <c r="AG850" s="80">
        <v>2612</v>
      </c>
      <c r="AH850" s="80">
        <v>26614</v>
      </c>
      <c r="AI850" s="80">
        <v>2830</v>
      </c>
      <c r="AJ850" s="80"/>
      <c r="AK850" s="80" t="s">
        <v>6634</v>
      </c>
      <c r="AL850" s="80" t="s">
        <v>6855</v>
      </c>
      <c r="AM850" s="84" t="str">
        <f>HYPERLINK("https://t.co/rJnzh6vesz")</f>
        <v>https://t.co/rJnzh6vesz</v>
      </c>
      <c r="AN850" s="80"/>
      <c r="AO850" s="82">
        <v>41775.047395833331</v>
      </c>
      <c r="AP850" s="84" t="str">
        <f>HYPERLINK("https://pbs.twimg.com/profile_banners/2497472294/1470358702")</f>
        <v>https://pbs.twimg.com/profile_banners/2497472294/1470358702</v>
      </c>
      <c r="AQ850" s="80" t="b">
        <v>1</v>
      </c>
      <c r="AR850" s="80" t="b">
        <v>0</v>
      </c>
      <c r="AS850" s="80" t="b">
        <v>1</v>
      </c>
      <c r="AT850" s="80"/>
      <c r="AU850" s="80">
        <v>2</v>
      </c>
      <c r="AV850" s="84" t="str">
        <f>HYPERLINK("https://abs.twimg.com/images/themes/theme1/bg.png")</f>
        <v>https://abs.twimg.com/images/themes/theme1/bg.png</v>
      </c>
      <c r="AW850" s="80" t="b">
        <v>0</v>
      </c>
      <c r="AX850" s="80" t="s">
        <v>7173</v>
      </c>
      <c r="AY850" s="84" t="str">
        <f>HYPERLINK("https://twitter.com/masdoddd")</f>
        <v>https://twitter.com/masdoddd</v>
      </c>
      <c r="AZ850" s="80" t="s">
        <v>66</v>
      </c>
      <c r="BA850" s="2"/>
      <c r="BB850" s="3"/>
      <c r="BC850" s="3"/>
      <c r="BD850" s="3"/>
      <c r="BE850" s="3"/>
    </row>
    <row r="851" spans="1:57" x14ac:dyDescent="0.35">
      <c r="A851" s="66" t="s">
        <v>881</v>
      </c>
      <c r="B851" s="67"/>
      <c r="C851" s="67"/>
      <c r="D851" s="68"/>
      <c r="E851" s="70"/>
      <c r="F851" s="106" t="str">
        <f>HYPERLINK("https://pbs.twimg.com/profile_images/1436425052904329218/400_-MXr_normal.jpg")</f>
        <v>https://pbs.twimg.com/profile_images/1436425052904329218/400_-MXr_normal.jpg</v>
      </c>
      <c r="G851" s="67"/>
      <c r="H851" s="71"/>
      <c r="I851" s="72"/>
      <c r="J851" s="72"/>
      <c r="K851" s="71" t="s">
        <v>8021</v>
      </c>
      <c r="L851" s="75"/>
      <c r="M851" s="76"/>
      <c r="N851" s="76"/>
      <c r="O851" s="77"/>
      <c r="P851" s="78"/>
      <c r="Q851" s="78"/>
      <c r="R851" s="90"/>
      <c r="S851" s="90"/>
      <c r="T851" s="90"/>
      <c r="U851" s="90"/>
      <c r="V851" s="52"/>
      <c r="W851" s="52"/>
      <c r="X851" s="52"/>
      <c r="Y851" s="52"/>
      <c r="Z851" s="51"/>
      <c r="AA851" s="73"/>
      <c r="AB851" s="73"/>
      <c r="AC851" s="74"/>
      <c r="AD851" s="80" t="s">
        <v>5018</v>
      </c>
      <c r="AE851" s="86" t="s">
        <v>5830</v>
      </c>
      <c r="AF851" s="80">
        <v>2381</v>
      </c>
      <c r="AG851" s="80">
        <v>2015</v>
      </c>
      <c r="AH851" s="80">
        <v>52752</v>
      </c>
      <c r="AI851" s="80">
        <v>75984</v>
      </c>
      <c r="AJ851" s="80"/>
      <c r="AK851" s="80" t="s">
        <v>6635</v>
      </c>
      <c r="AL851" s="80" t="s">
        <v>7110</v>
      </c>
      <c r="AM851" s="80"/>
      <c r="AN851" s="80"/>
      <c r="AO851" s="82">
        <v>40773.551770833335</v>
      </c>
      <c r="AP851" s="84" t="str">
        <f>HYPERLINK("https://pbs.twimg.com/profile_banners/357495196/1625810177")</f>
        <v>https://pbs.twimg.com/profile_banners/357495196/1625810177</v>
      </c>
      <c r="AQ851" s="80" t="b">
        <v>0</v>
      </c>
      <c r="AR851" s="80" t="b">
        <v>0</v>
      </c>
      <c r="AS851" s="80" t="b">
        <v>1</v>
      </c>
      <c r="AT851" s="80"/>
      <c r="AU851" s="80">
        <v>0</v>
      </c>
      <c r="AV851" s="84" t="str">
        <f>HYPERLINK("https://abs.twimg.com/images/themes/theme6/bg.gif")</f>
        <v>https://abs.twimg.com/images/themes/theme6/bg.gif</v>
      </c>
      <c r="AW851" s="80" t="b">
        <v>0</v>
      </c>
      <c r="AX851" s="80" t="s">
        <v>7173</v>
      </c>
      <c r="AY851" s="84" t="str">
        <f>HYPERLINK("https://twitter.com/theo73plori")</f>
        <v>https://twitter.com/theo73plori</v>
      </c>
      <c r="AZ851" s="80" t="s">
        <v>66</v>
      </c>
      <c r="BA851" s="2"/>
      <c r="BB851" s="3"/>
      <c r="BC851" s="3"/>
      <c r="BD851" s="3"/>
      <c r="BE851" s="3"/>
    </row>
    <row r="852" spans="1:57" x14ac:dyDescent="0.35">
      <c r="A852" s="66" t="s">
        <v>892</v>
      </c>
      <c r="B852" s="67"/>
      <c r="C852" s="67"/>
      <c r="D852" s="68"/>
      <c r="E852" s="70"/>
      <c r="F852" s="106" t="str">
        <f>HYPERLINK("https://pbs.twimg.com/profile_images/1424578548698808323/UCZSFZkP_normal.jpg")</f>
        <v>https://pbs.twimg.com/profile_images/1424578548698808323/UCZSFZkP_normal.jpg</v>
      </c>
      <c r="G852" s="67"/>
      <c r="H852" s="71"/>
      <c r="I852" s="72"/>
      <c r="J852" s="72"/>
      <c r="K852" s="71" t="s">
        <v>8022</v>
      </c>
      <c r="L852" s="75"/>
      <c r="M852" s="76"/>
      <c r="N852" s="76"/>
      <c r="O852" s="77"/>
      <c r="P852" s="78"/>
      <c r="Q852" s="78"/>
      <c r="R852" s="90"/>
      <c r="S852" s="90"/>
      <c r="T852" s="90"/>
      <c r="U852" s="90"/>
      <c r="V852" s="52"/>
      <c r="W852" s="52"/>
      <c r="X852" s="52"/>
      <c r="Y852" s="52"/>
      <c r="Z852" s="51"/>
      <c r="AA852" s="73"/>
      <c r="AB852" s="73"/>
      <c r="AC852" s="74"/>
      <c r="AD852" s="80" t="s">
        <v>5019</v>
      </c>
      <c r="AE852" s="86" t="s">
        <v>5831</v>
      </c>
      <c r="AF852" s="80">
        <v>181</v>
      </c>
      <c r="AG852" s="80">
        <v>45630</v>
      </c>
      <c r="AH852" s="80">
        <v>18591</v>
      </c>
      <c r="AI852" s="80">
        <v>4279</v>
      </c>
      <c r="AJ852" s="80"/>
      <c r="AK852" s="80" t="s">
        <v>6636</v>
      </c>
      <c r="AL852" s="80" t="s">
        <v>6779</v>
      </c>
      <c r="AM852" s="84" t="str">
        <f>HYPERLINK("https://t.co/jorjtkFTc1")</f>
        <v>https://t.co/jorjtkFTc1</v>
      </c>
      <c r="AN852" s="80"/>
      <c r="AO852" s="82">
        <v>40463.130949074075</v>
      </c>
      <c r="AP852" s="84" t="str">
        <f>HYPERLINK("https://pbs.twimg.com/profile_banners/201554665/1391524164")</f>
        <v>https://pbs.twimg.com/profile_banners/201554665/1391524164</v>
      </c>
      <c r="AQ852" s="80" t="b">
        <v>1</v>
      </c>
      <c r="AR852" s="80" t="b">
        <v>0</v>
      </c>
      <c r="AS852" s="80" t="b">
        <v>0</v>
      </c>
      <c r="AT852" s="80"/>
      <c r="AU852" s="80">
        <v>35</v>
      </c>
      <c r="AV852" s="84" t="str">
        <f>HYPERLINK("https://abs.twimg.com/images/themes/theme1/bg.png")</f>
        <v>https://abs.twimg.com/images/themes/theme1/bg.png</v>
      </c>
      <c r="AW852" s="80" t="b">
        <v>1</v>
      </c>
      <c r="AX852" s="80" t="s">
        <v>7173</v>
      </c>
      <c r="AY852" s="84" t="str">
        <f>HYPERLINK("https://twitter.com/henrysubiakto")</f>
        <v>https://twitter.com/henrysubiakto</v>
      </c>
      <c r="AZ852" s="80" t="s">
        <v>66</v>
      </c>
      <c r="BA852" s="2"/>
      <c r="BB852" s="3"/>
      <c r="BC852" s="3"/>
      <c r="BD852" s="3"/>
      <c r="BE852" s="3"/>
    </row>
    <row r="853" spans="1:57" x14ac:dyDescent="0.35">
      <c r="A853" s="66" t="s">
        <v>882</v>
      </c>
      <c r="B853" s="67"/>
      <c r="C853" s="67"/>
      <c r="D853" s="68"/>
      <c r="E853" s="70"/>
      <c r="F853" s="106" t="str">
        <f>HYPERLINK("https://pbs.twimg.com/profile_images/1441019961745412098/yZ7CxA2n_normal.jpg")</f>
        <v>https://pbs.twimg.com/profile_images/1441019961745412098/yZ7CxA2n_normal.jpg</v>
      </c>
      <c r="G853" s="67"/>
      <c r="H853" s="71"/>
      <c r="I853" s="72"/>
      <c r="J853" s="72"/>
      <c r="K853" s="71" t="s">
        <v>8023</v>
      </c>
      <c r="L853" s="75"/>
      <c r="M853" s="76"/>
      <c r="N853" s="76"/>
      <c r="O853" s="77"/>
      <c r="P853" s="78"/>
      <c r="Q853" s="78"/>
      <c r="R853" s="90"/>
      <c r="S853" s="90"/>
      <c r="T853" s="90"/>
      <c r="U853" s="90"/>
      <c r="V853" s="52"/>
      <c r="W853" s="52"/>
      <c r="X853" s="52"/>
      <c r="Y853" s="52"/>
      <c r="Z853" s="51"/>
      <c r="AA853" s="73"/>
      <c r="AB853" s="73"/>
      <c r="AC853" s="74"/>
      <c r="AD853" s="80" t="s">
        <v>882</v>
      </c>
      <c r="AE853" s="86" t="s">
        <v>4047</v>
      </c>
      <c r="AF853" s="80">
        <v>27</v>
      </c>
      <c r="AG853" s="80">
        <v>0</v>
      </c>
      <c r="AH853" s="80">
        <v>149</v>
      </c>
      <c r="AI853" s="80">
        <v>80</v>
      </c>
      <c r="AJ853" s="80"/>
      <c r="AK853" s="80" t="s">
        <v>6637</v>
      </c>
      <c r="AL853" s="80"/>
      <c r="AM853" s="80"/>
      <c r="AN853" s="80"/>
      <c r="AO853" s="82">
        <v>44328.282407407409</v>
      </c>
      <c r="AP853" s="84" t="str">
        <f>HYPERLINK("https://pbs.twimg.com/profile_banners/1392370565202137088/1629128792")</f>
        <v>https://pbs.twimg.com/profile_banners/1392370565202137088/1629128792</v>
      </c>
      <c r="AQ853" s="80" t="b">
        <v>1</v>
      </c>
      <c r="AR853" s="80" t="b">
        <v>0</v>
      </c>
      <c r="AS853" s="80" t="b">
        <v>0</v>
      </c>
      <c r="AT853" s="80"/>
      <c r="AU853" s="80">
        <v>0</v>
      </c>
      <c r="AV853" s="80"/>
      <c r="AW853" s="80" t="b">
        <v>0</v>
      </c>
      <c r="AX853" s="80" t="s">
        <v>7173</v>
      </c>
      <c r="AY853" s="84" t="str">
        <f>HYPERLINK("https://twitter.com/everwqnny")</f>
        <v>https://twitter.com/everwqnny</v>
      </c>
      <c r="AZ853" s="80" t="s">
        <v>66</v>
      </c>
      <c r="BA853" s="2"/>
      <c r="BB853" s="3"/>
      <c r="BC853" s="3"/>
      <c r="BD853" s="3"/>
      <c r="BE853" s="3"/>
    </row>
    <row r="854" spans="1:57" x14ac:dyDescent="0.35">
      <c r="A854" s="66" t="s">
        <v>883</v>
      </c>
      <c r="B854" s="67"/>
      <c r="C854" s="67"/>
      <c r="D854" s="68"/>
      <c r="E854" s="70"/>
      <c r="F854" s="106" t="str">
        <f>HYPERLINK("https://pbs.twimg.com/profile_images/1210016342608232448/MQehpAGv_normal.jpg")</f>
        <v>https://pbs.twimg.com/profile_images/1210016342608232448/MQehpAGv_normal.jpg</v>
      </c>
      <c r="G854" s="67"/>
      <c r="H854" s="71"/>
      <c r="I854" s="72"/>
      <c r="J854" s="72"/>
      <c r="K854" s="71" t="s">
        <v>8024</v>
      </c>
      <c r="L854" s="75"/>
      <c r="M854" s="76"/>
      <c r="N854" s="76"/>
      <c r="O854" s="77"/>
      <c r="P854" s="78"/>
      <c r="Q854" s="78"/>
      <c r="R854" s="90"/>
      <c r="S854" s="90"/>
      <c r="T854" s="90"/>
      <c r="U854" s="90"/>
      <c r="V854" s="52"/>
      <c r="W854" s="52"/>
      <c r="X854" s="52"/>
      <c r="Y854" s="52"/>
      <c r="Z854" s="51"/>
      <c r="AA854" s="73"/>
      <c r="AB854" s="73"/>
      <c r="AC854" s="74"/>
      <c r="AD854" s="80" t="s">
        <v>5020</v>
      </c>
      <c r="AE854" s="86" t="s">
        <v>5832</v>
      </c>
      <c r="AF854" s="80">
        <v>22</v>
      </c>
      <c r="AG854" s="80">
        <v>6</v>
      </c>
      <c r="AH854" s="80">
        <v>187</v>
      </c>
      <c r="AI854" s="80">
        <v>20</v>
      </c>
      <c r="AJ854" s="80"/>
      <c r="AK854" s="80"/>
      <c r="AL854" s="80"/>
      <c r="AM854" s="80"/>
      <c r="AN854" s="80"/>
      <c r="AO854" s="82">
        <v>43699.129305555558</v>
      </c>
      <c r="AP854" s="84" t="str">
        <f>HYPERLINK("https://pbs.twimg.com/profile_banners/1164373059211448320/1577325353")</f>
        <v>https://pbs.twimg.com/profile_banners/1164373059211448320/1577325353</v>
      </c>
      <c r="AQ854" s="80" t="b">
        <v>1</v>
      </c>
      <c r="AR854" s="80" t="b">
        <v>0</v>
      </c>
      <c r="AS854" s="80" t="b">
        <v>0</v>
      </c>
      <c r="AT854" s="80"/>
      <c r="AU854" s="80">
        <v>0</v>
      </c>
      <c r="AV854" s="80"/>
      <c r="AW854" s="80" t="b">
        <v>0</v>
      </c>
      <c r="AX854" s="80" t="s">
        <v>7173</v>
      </c>
      <c r="AY854" s="84" t="str">
        <f>HYPERLINK("https://twitter.com/bawaslutator")</f>
        <v>https://twitter.com/bawaslutator</v>
      </c>
      <c r="AZ854" s="80" t="s">
        <v>66</v>
      </c>
      <c r="BA854" s="2"/>
      <c r="BB854" s="3"/>
      <c r="BC854" s="3"/>
      <c r="BD854" s="3"/>
      <c r="BE854" s="3"/>
    </row>
    <row r="855" spans="1:57" x14ac:dyDescent="0.35">
      <c r="A855" s="66" t="s">
        <v>884</v>
      </c>
      <c r="B855" s="67"/>
      <c r="C855" s="67"/>
      <c r="D855" s="68"/>
      <c r="E855" s="70"/>
      <c r="F855" s="106" t="str">
        <f>HYPERLINK("https://pbs.twimg.com/profile_images/1278305394167738369/k2iblvbn_normal.jpg")</f>
        <v>https://pbs.twimg.com/profile_images/1278305394167738369/k2iblvbn_normal.jpg</v>
      </c>
      <c r="G855" s="67"/>
      <c r="H855" s="71"/>
      <c r="I855" s="72"/>
      <c r="J855" s="72"/>
      <c r="K855" s="71" t="s">
        <v>8025</v>
      </c>
      <c r="L855" s="75"/>
      <c r="M855" s="76"/>
      <c r="N855" s="76"/>
      <c r="O855" s="77"/>
      <c r="P855" s="78"/>
      <c r="Q855" s="78"/>
      <c r="R855" s="90"/>
      <c r="S855" s="90"/>
      <c r="T855" s="90"/>
      <c r="U855" s="90"/>
      <c r="V855" s="52"/>
      <c r="W855" s="52"/>
      <c r="X855" s="52"/>
      <c r="Y855" s="52"/>
      <c r="Z855" s="51"/>
      <c r="AA855" s="73"/>
      <c r="AB855" s="73"/>
      <c r="AC855" s="74"/>
      <c r="AD855" s="80" t="s">
        <v>5021</v>
      </c>
      <c r="AE855" s="86" t="s">
        <v>5833</v>
      </c>
      <c r="AF855" s="80">
        <v>9</v>
      </c>
      <c r="AG855" s="80">
        <v>165</v>
      </c>
      <c r="AH855" s="80">
        <v>69422</v>
      </c>
      <c r="AI855" s="80">
        <v>1233</v>
      </c>
      <c r="AJ855" s="80"/>
      <c r="AK855" s="80" t="s">
        <v>6638</v>
      </c>
      <c r="AL855" s="80" t="s">
        <v>7111</v>
      </c>
      <c r="AM855" s="84" t="str">
        <f>HYPERLINK("https://t.co/gKruZu00qZ")</f>
        <v>https://t.co/gKruZu00qZ</v>
      </c>
      <c r="AN855" s="80"/>
      <c r="AO855" s="82">
        <v>42405.300659722219</v>
      </c>
      <c r="AP855" s="84" t="str">
        <f>HYPERLINK("https://pbs.twimg.com/profile_banners/4863077292/1632120938")</f>
        <v>https://pbs.twimg.com/profile_banners/4863077292/1632120938</v>
      </c>
      <c r="AQ855" s="80" t="b">
        <v>1</v>
      </c>
      <c r="AR855" s="80" t="b">
        <v>0</v>
      </c>
      <c r="AS855" s="80" t="b">
        <v>0</v>
      </c>
      <c r="AT855" s="80"/>
      <c r="AU855" s="80">
        <v>0</v>
      </c>
      <c r="AV855" s="80"/>
      <c r="AW855" s="80" t="b">
        <v>0</v>
      </c>
      <c r="AX855" s="80" t="s">
        <v>7173</v>
      </c>
      <c r="AY855" s="84" t="str">
        <f>HYPERLINK("https://twitter.com/polresjembrana")</f>
        <v>https://twitter.com/polresjembrana</v>
      </c>
      <c r="AZ855" s="80" t="s">
        <v>66</v>
      </c>
      <c r="BA855" s="2"/>
      <c r="BB855" s="3"/>
      <c r="BC855" s="3"/>
      <c r="BD855" s="3"/>
      <c r="BE855" s="3"/>
    </row>
    <row r="856" spans="1:57" x14ac:dyDescent="0.35">
      <c r="A856" s="66" t="s">
        <v>885</v>
      </c>
      <c r="B856" s="67"/>
      <c r="C856" s="67"/>
      <c r="D856" s="68"/>
      <c r="E856" s="70"/>
      <c r="F856" s="106" t="str">
        <f>HYPERLINK("https://pbs.twimg.com/profile_images/1422139869170585602/EwRUYiHD_normal.jpg")</f>
        <v>https://pbs.twimg.com/profile_images/1422139869170585602/EwRUYiHD_normal.jpg</v>
      </c>
      <c r="G856" s="67"/>
      <c r="H856" s="71"/>
      <c r="I856" s="72"/>
      <c r="J856" s="72"/>
      <c r="K856" s="71" t="s">
        <v>8026</v>
      </c>
      <c r="L856" s="75"/>
      <c r="M856" s="76"/>
      <c r="N856" s="76"/>
      <c r="O856" s="77"/>
      <c r="P856" s="78"/>
      <c r="Q856" s="78"/>
      <c r="R856" s="90"/>
      <c r="S856" s="90"/>
      <c r="T856" s="90"/>
      <c r="U856" s="90"/>
      <c r="V856" s="52"/>
      <c r="W856" s="52"/>
      <c r="X856" s="52"/>
      <c r="Y856" s="52"/>
      <c r="Z856" s="51"/>
      <c r="AA856" s="73"/>
      <c r="AB856" s="73"/>
      <c r="AC856" s="74"/>
      <c r="AD856" s="80" t="s">
        <v>5022</v>
      </c>
      <c r="AE856" s="86" t="s">
        <v>5834</v>
      </c>
      <c r="AF856" s="80">
        <v>178</v>
      </c>
      <c r="AG856" s="80">
        <v>62</v>
      </c>
      <c r="AH856" s="80">
        <v>2502</v>
      </c>
      <c r="AI856" s="80">
        <v>13216</v>
      </c>
      <c r="AJ856" s="80"/>
      <c r="AK856" s="80"/>
      <c r="AL856" s="80" t="s">
        <v>4145</v>
      </c>
      <c r="AM856" s="80"/>
      <c r="AN856" s="80"/>
      <c r="AO856" s="82">
        <v>40663.006365740737</v>
      </c>
      <c r="AP856" s="80"/>
      <c r="AQ856" s="80" t="b">
        <v>1</v>
      </c>
      <c r="AR856" s="80" t="b">
        <v>0</v>
      </c>
      <c r="AS856" s="80" t="b">
        <v>1</v>
      </c>
      <c r="AT856" s="80"/>
      <c r="AU856" s="80">
        <v>0</v>
      </c>
      <c r="AV856" s="84" t="str">
        <f>HYPERLINK("https://abs.twimg.com/images/themes/theme1/bg.png")</f>
        <v>https://abs.twimg.com/images/themes/theme1/bg.png</v>
      </c>
      <c r="AW856" s="80" t="b">
        <v>0</v>
      </c>
      <c r="AX856" s="80" t="s">
        <v>7173</v>
      </c>
      <c r="AY856" s="84" t="str">
        <f>HYPERLINK("https://twitter.com/setiant_d")</f>
        <v>https://twitter.com/setiant_d</v>
      </c>
      <c r="AZ856" s="80" t="s">
        <v>66</v>
      </c>
      <c r="BA856" s="2"/>
      <c r="BB856" s="3"/>
      <c r="BC856" s="3"/>
      <c r="BD856" s="3"/>
      <c r="BE856" s="3"/>
    </row>
    <row r="857" spans="1:57" x14ac:dyDescent="0.35">
      <c r="A857" s="66" t="s">
        <v>886</v>
      </c>
      <c r="B857" s="67"/>
      <c r="C857" s="67"/>
      <c r="D857" s="68"/>
      <c r="E857" s="70"/>
      <c r="F857" s="106" t="str">
        <f>HYPERLINK("https://pbs.twimg.com/profile_images/1169981643790020608/UwWjbC2Z_normal.jpg")</f>
        <v>https://pbs.twimg.com/profile_images/1169981643790020608/UwWjbC2Z_normal.jpg</v>
      </c>
      <c r="G857" s="67"/>
      <c r="H857" s="71"/>
      <c r="I857" s="72"/>
      <c r="J857" s="72"/>
      <c r="K857" s="71" t="s">
        <v>8027</v>
      </c>
      <c r="L857" s="75"/>
      <c r="M857" s="76"/>
      <c r="N857" s="76"/>
      <c r="O857" s="77"/>
      <c r="P857" s="78"/>
      <c r="Q857" s="78"/>
      <c r="R857" s="90"/>
      <c r="S857" s="90"/>
      <c r="T857" s="90"/>
      <c r="U857" s="90"/>
      <c r="V857" s="52"/>
      <c r="W857" s="52"/>
      <c r="X857" s="52"/>
      <c r="Y857" s="52"/>
      <c r="Z857" s="51"/>
      <c r="AA857" s="73"/>
      <c r="AB857" s="73"/>
      <c r="AC857" s="74"/>
      <c r="AD857" s="80" t="s">
        <v>5023</v>
      </c>
      <c r="AE857" s="86" t="s">
        <v>5835</v>
      </c>
      <c r="AF857" s="80">
        <v>373</v>
      </c>
      <c r="AG857" s="80">
        <v>185</v>
      </c>
      <c r="AH857" s="80">
        <v>8244</v>
      </c>
      <c r="AI857" s="80">
        <v>34141</v>
      </c>
      <c r="AJ857" s="80"/>
      <c r="AK857" s="80" t="s">
        <v>6639</v>
      </c>
      <c r="AL857" s="80" t="s">
        <v>6841</v>
      </c>
      <c r="AM857" s="80"/>
      <c r="AN857" s="80"/>
      <c r="AO857" s="82">
        <v>41141.247870370367</v>
      </c>
      <c r="AP857" s="84" t="str">
        <f>HYPERLINK("https://pbs.twimg.com/profile_banners/768928848/1530529587")</f>
        <v>https://pbs.twimg.com/profile_banners/768928848/1530529587</v>
      </c>
      <c r="AQ857" s="80" t="b">
        <v>1</v>
      </c>
      <c r="AR857" s="80" t="b">
        <v>0</v>
      </c>
      <c r="AS857" s="80" t="b">
        <v>1</v>
      </c>
      <c r="AT857" s="80"/>
      <c r="AU857" s="80">
        <v>0</v>
      </c>
      <c r="AV857" s="84" t="str">
        <f>HYPERLINK("https://abs.twimg.com/images/themes/theme1/bg.png")</f>
        <v>https://abs.twimg.com/images/themes/theme1/bg.png</v>
      </c>
      <c r="AW857" s="80" t="b">
        <v>0</v>
      </c>
      <c r="AX857" s="80" t="s">
        <v>7173</v>
      </c>
      <c r="AY857" s="84" t="str">
        <f>HYPERLINK("https://twitter.com/trisnadody")</f>
        <v>https://twitter.com/trisnadody</v>
      </c>
      <c r="AZ857" s="80" t="s">
        <v>66</v>
      </c>
      <c r="BA857" s="2"/>
      <c r="BB857" s="3"/>
      <c r="BC857" s="3"/>
      <c r="BD857" s="3"/>
      <c r="BE857" s="3"/>
    </row>
    <row r="858" spans="1:57" x14ac:dyDescent="0.35">
      <c r="A858" s="66" t="s">
        <v>887</v>
      </c>
      <c r="B858" s="67"/>
      <c r="C858" s="67"/>
      <c r="D858" s="68"/>
      <c r="E858" s="70"/>
      <c r="F858" s="106" t="str">
        <f>HYPERLINK("https://pbs.twimg.com/profile_images/1439085783349039107/cuyR-Bqx_normal.jpg")</f>
        <v>https://pbs.twimg.com/profile_images/1439085783349039107/cuyR-Bqx_normal.jpg</v>
      </c>
      <c r="G858" s="67"/>
      <c r="H858" s="71"/>
      <c r="I858" s="72"/>
      <c r="J858" s="72"/>
      <c r="K858" s="71" t="s">
        <v>8028</v>
      </c>
      <c r="L858" s="75"/>
      <c r="M858" s="76"/>
      <c r="N858" s="76"/>
      <c r="O858" s="77"/>
      <c r="P858" s="78"/>
      <c r="Q858" s="78"/>
      <c r="R858" s="90"/>
      <c r="S858" s="90"/>
      <c r="T858" s="90"/>
      <c r="U858" s="90"/>
      <c r="V858" s="52"/>
      <c r="W858" s="52"/>
      <c r="X858" s="52"/>
      <c r="Y858" s="52"/>
      <c r="Z858" s="51"/>
      <c r="AA858" s="73"/>
      <c r="AB858" s="73"/>
      <c r="AC858" s="74"/>
      <c r="AD858" s="80" t="s">
        <v>5024</v>
      </c>
      <c r="AE858" s="86" t="s">
        <v>5836</v>
      </c>
      <c r="AF858" s="80">
        <v>2397</v>
      </c>
      <c r="AG858" s="80">
        <v>4261</v>
      </c>
      <c r="AH858" s="80">
        <v>49167</v>
      </c>
      <c r="AI858" s="80">
        <v>570</v>
      </c>
      <c r="AJ858" s="80"/>
      <c r="AK858" s="80" t="s">
        <v>6640</v>
      </c>
      <c r="AL858" s="80" t="s">
        <v>6785</v>
      </c>
      <c r="AM858" s="84" t="str">
        <f>HYPERLINK("https://t.co/uhCWg5xwFs")</f>
        <v>https://t.co/uhCWg5xwFs</v>
      </c>
      <c r="AN858" s="80"/>
      <c r="AO858" s="82">
        <v>43612.22210648148</v>
      </c>
      <c r="AP858" s="84" t="str">
        <f>HYPERLINK("https://pbs.twimg.com/profile_banners/1132879057761124352/1631871952")</f>
        <v>https://pbs.twimg.com/profile_banners/1132879057761124352/1631871952</v>
      </c>
      <c r="AQ858" s="80" t="b">
        <v>1</v>
      </c>
      <c r="AR858" s="80" t="b">
        <v>0</v>
      </c>
      <c r="AS858" s="80" t="b">
        <v>1</v>
      </c>
      <c r="AT858" s="80"/>
      <c r="AU858" s="80">
        <v>4</v>
      </c>
      <c r="AV858" s="80"/>
      <c r="AW858" s="80" t="b">
        <v>0</v>
      </c>
      <c r="AX858" s="80" t="s">
        <v>7173</v>
      </c>
      <c r="AY858" s="84" t="str">
        <f>HYPERLINK("https://twitter.com/mkomeliya")</f>
        <v>https://twitter.com/mkomeliya</v>
      </c>
      <c r="AZ858" s="80" t="s">
        <v>66</v>
      </c>
      <c r="BA858" s="2"/>
      <c r="BB858" s="3"/>
      <c r="BC858" s="3"/>
      <c r="BD858" s="3"/>
      <c r="BE858" s="3"/>
    </row>
    <row r="859" spans="1:57" x14ac:dyDescent="0.35">
      <c r="A859" s="66" t="s">
        <v>888</v>
      </c>
      <c r="B859" s="67"/>
      <c r="C859" s="67"/>
      <c r="D859" s="68"/>
      <c r="E859" s="70"/>
      <c r="F859" s="106" t="str">
        <f>HYPERLINK("https://pbs.twimg.com/profile_images/1367266149524631553/ImCMaUMu_normal.jpg")</f>
        <v>https://pbs.twimg.com/profile_images/1367266149524631553/ImCMaUMu_normal.jpg</v>
      </c>
      <c r="G859" s="67"/>
      <c r="H859" s="71"/>
      <c r="I859" s="72"/>
      <c r="J859" s="72"/>
      <c r="K859" s="71" t="s">
        <v>8029</v>
      </c>
      <c r="L859" s="75"/>
      <c r="M859" s="76"/>
      <c r="N859" s="76"/>
      <c r="O859" s="77"/>
      <c r="P859" s="78"/>
      <c r="Q859" s="78"/>
      <c r="R859" s="90"/>
      <c r="S859" s="90"/>
      <c r="T859" s="90"/>
      <c r="U859" s="90"/>
      <c r="V859" s="52"/>
      <c r="W859" s="52"/>
      <c r="X859" s="52"/>
      <c r="Y859" s="52"/>
      <c r="Z859" s="51"/>
      <c r="AA859" s="73"/>
      <c r="AB859" s="73"/>
      <c r="AC859" s="74"/>
      <c r="AD859" s="80" t="s">
        <v>5025</v>
      </c>
      <c r="AE859" s="86" t="s">
        <v>4048</v>
      </c>
      <c r="AF859" s="80">
        <v>10</v>
      </c>
      <c r="AG859" s="80">
        <v>62</v>
      </c>
      <c r="AH859" s="80">
        <v>373</v>
      </c>
      <c r="AI859" s="80">
        <v>25</v>
      </c>
      <c r="AJ859" s="80"/>
      <c r="AK859" s="80" t="s">
        <v>6641</v>
      </c>
      <c r="AL859" s="80" t="s">
        <v>7112</v>
      </c>
      <c r="AM859" s="84" t="str">
        <f>HYPERLINK("https://t.co/cYwFoCRAdR")</f>
        <v>https://t.co/cYwFoCRAdR</v>
      </c>
      <c r="AN859" s="80"/>
      <c r="AO859" s="82">
        <v>44243.867696759262</v>
      </c>
      <c r="AP859" s="84" t="str">
        <f>HYPERLINK("https://pbs.twimg.com/profile_banners/1361779650179964932/1614839772")</f>
        <v>https://pbs.twimg.com/profile_banners/1361779650179964932/1614839772</v>
      </c>
      <c r="AQ859" s="80" t="b">
        <v>1</v>
      </c>
      <c r="AR859" s="80" t="b">
        <v>0</v>
      </c>
      <c r="AS859" s="80" t="b">
        <v>0</v>
      </c>
      <c r="AT859" s="80"/>
      <c r="AU859" s="80">
        <v>0</v>
      </c>
      <c r="AV859" s="80"/>
      <c r="AW859" s="80" t="b">
        <v>0</v>
      </c>
      <c r="AX859" s="80" t="s">
        <v>7173</v>
      </c>
      <c r="AY859" s="84" t="str">
        <f>HYPERLINK("https://twitter.com/rumahkipkunsil")</f>
        <v>https://twitter.com/rumahkipkunsil</v>
      </c>
      <c r="AZ859" s="80" t="s">
        <v>66</v>
      </c>
      <c r="BA859" s="2"/>
      <c r="BB859" s="3"/>
      <c r="BC859" s="3"/>
      <c r="BD859" s="3"/>
      <c r="BE859" s="3"/>
    </row>
    <row r="860" spans="1:57" x14ac:dyDescent="0.35">
      <c r="A860" s="66" t="s">
        <v>889</v>
      </c>
      <c r="B860" s="67"/>
      <c r="C860" s="67"/>
      <c r="D860" s="68"/>
      <c r="E860" s="70"/>
      <c r="F860" s="106" t="str">
        <f>HYPERLINK("https://pbs.twimg.com/profile_images/1321791301872803840/j7W_f3i3_normal.jpg")</f>
        <v>https://pbs.twimg.com/profile_images/1321791301872803840/j7W_f3i3_normal.jpg</v>
      </c>
      <c r="G860" s="67"/>
      <c r="H860" s="71"/>
      <c r="I860" s="72"/>
      <c r="J860" s="72"/>
      <c r="K860" s="71" t="s">
        <v>8030</v>
      </c>
      <c r="L860" s="75"/>
      <c r="M860" s="76"/>
      <c r="N860" s="76"/>
      <c r="O860" s="77"/>
      <c r="P860" s="78"/>
      <c r="Q860" s="78"/>
      <c r="R860" s="90"/>
      <c r="S860" s="90"/>
      <c r="T860" s="90"/>
      <c r="U860" s="90"/>
      <c r="V860" s="52"/>
      <c r="W860" s="52"/>
      <c r="X860" s="52"/>
      <c r="Y860" s="52"/>
      <c r="Z860" s="51"/>
      <c r="AA860" s="73"/>
      <c r="AB860" s="73"/>
      <c r="AC860" s="74"/>
      <c r="AD860" s="80" t="s">
        <v>5026</v>
      </c>
      <c r="AE860" s="86" t="s">
        <v>4049</v>
      </c>
      <c r="AF860" s="80">
        <v>76</v>
      </c>
      <c r="AG860" s="80">
        <v>546</v>
      </c>
      <c r="AH860" s="80">
        <v>9070</v>
      </c>
      <c r="AI860" s="80">
        <v>80</v>
      </c>
      <c r="AJ860" s="80"/>
      <c r="AK860" s="80" t="s">
        <v>6642</v>
      </c>
      <c r="AL860" s="80" t="s">
        <v>7113</v>
      </c>
      <c r="AM860" s="84" t="str">
        <f>HYPERLINK("https://t.co/8sEdshczt9")</f>
        <v>https://t.co/8sEdshczt9</v>
      </c>
      <c r="AN860" s="80"/>
      <c r="AO860" s="82">
        <v>41339.870289351849</v>
      </c>
      <c r="AP860" s="84" t="str">
        <f>HYPERLINK("https://pbs.twimg.com/profile_banners/1247110849/1623139968")</f>
        <v>https://pbs.twimg.com/profile_banners/1247110849/1623139968</v>
      </c>
      <c r="AQ860" s="80" t="b">
        <v>0</v>
      </c>
      <c r="AR860" s="80" t="b">
        <v>0</v>
      </c>
      <c r="AS860" s="80" t="b">
        <v>1</v>
      </c>
      <c r="AT860" s="80"/>
      <c r="AU860" s="80">
        <v>1</v>
      </c>
      <c r="AV860" s="84" t="str">
        <f>HYPERLINK("https://abs.twimg.com/images/themes/theme9/bg.gif")</f>
        <v>https://abs.twimg.com/images/themes/theme9/bg.gif</v>
      </c>
      <c r="AW860" s="80" t="b">
        <v>0</v>
      </c>
      <c r="AX860" s="80" t="s">
        <v>7173</v>
      </c>
      <c r="AY860" s="84" t="str">
        <f>HYPERLINK("https://twitter.com/himafifmipaunri")</f>
        <v>https://twitter.com/himafifmipaunri</v>
      </c>
      <c r="AZ860" s="80" t="s">
        <v>66</v>
      </c>
      <c r="BA860" s="2"/>
      <c r="BB860" s="3"/>
      <c r="BC860" s="3"/>
      <c r="BD860" s="3"/>
      <c r="BE860" s="3"/>
    </row>
    <row r="861" spans="1:57" x14ac:dyDescent="0.35">
      <c r="A861" s="66" t="s">
        <v>890</v>
      </c>
      <c r="B861" s="67"/>
      <c r="C861" s="67"/>
      <c r="D861" s="68"/>
      <c r="E861" s="70"/>
      <c r="F861" s="106" t="str">
        <f>HYPERLINK("https://pbs.twimg.com/profile_images/1338497190105210880/E3PRa0ZT_normal.jpg")</f>
        <v>https://pbs.twimg.com/profile_images/1338497190105210880/E3PRa0ZT_normal.jpg</v>
      </c>
      <c r="G861" s="67"/>
      <c r="H861" s="71"/>
      <c r="I861" s="72"/>
      <c r="J861" s="72"/>
      <c r="K861" s="71" t="s">
        <v>8031</v>
      </c>
      <c r="L861" s="75"/>
      <c r="M861" s="76"/>
      <c r="N861" s="76"/>
      <c r="O861" s="77"/>
      <c r="P861" s="78"/>
      <c r="Q861" s="78"/>
      <c r="R861" s="90"/>
      <c r="S861" s="90"/>
      <c r="T861" s="90"/>
      <c r="U861" s="90"/>
      <c r="V861" s="52"/>
      <c r="W861" s="52"/>
      <c r="X861" s="52"/>
      <c r="Y861" s="52"/>
      <c r="Z861" s="51"/>
      <c r="AA861" s="73"/>
      <c r="AB861" s="73"/>
      <c r="AC861" s="74"/>
      <c r="AD861" s="80" t="s">
        <v>5027</v>
      </c>
      <c r="AE861" s="86" t="s">
        <v>5837</v>
      </c>
      <c r="AF861" s="80">
        <v>81</v>
      </c>
      <c r="AG861" s="80">
        <v>26</v>
      </c>
      <c r="AH861" s="80">
        <v>594</v>
      </c>
      <c r="AI861" s="80">
        <v>809</v>
      </c>
      <c r="AJ861" s="80"/>
      <c r="AK861" s="80" t="s">
        <v>6643</v>
      </c>
      <c r="AL861" s="80" t="s">
        <v>7114</v>
      </c>
      <c r="AM861" s="80"/>
      <c r="AN861" s="80"/>
      <c r="AO861" s="82">
        <v>44168.421666666669</v>
      </c>
      <c r="AP861" s="84" t="str">
        <f>HYPERLINK("https://pbs.twimg.com/profile_banners/1334438964854317056/1606990331")</f>
        <v>https://pbs.twimg.com/profile_banners/1334438964854317056/1606990331</v>
      </c>
      <c r="AQ861" s="80" t="b">
        <v>1</v>
      </c>
      <c r="AR861" s="80" t="b">
        <v>0</v>
      </c>
      <c r="AS861" s="80" t="b">
        <v>0</v>
      </c>
      <c r="AT861" s="80"/>
      <c r="AU861" s="80">
        <v>0</v>
      </c>
      <c r="AV861" s="80"/>
      <c r="AW861" s="80" t="b">
        <v>0</v>
      </c>
      <c r="AX861" s="80" t="s">
        <v>7173</v>
      </c>
      <c r="AY861" s="84" t="str">
        <f>HYPERLINK("https://twitter.com/nandaceka")</f>
        <v>https://twitter.com/nandaceka</v>
      </c>
      <c r="AZ861" s="80" t="s">
        <v>66</v>
      </c>
      <c r="BA861" s="2"/>
      <c r="BB861" s="3"/>
      <c r="BC861" s="3"/>
      <c r="BD861" s="3"/>
      <c r="BE861" s="3"/>
    </row>
    <row r="862" spans="1:57" x14ac:dyDescent="0.35">
      <c r="A862" s="66" t="s">
        <v>1174</v>
      </c>
      <c r="B862" s="67"/>
      <c r="C862" s="67"/>
      <c r="D862" s="68"/>
      <c r="E862" s="70"/>
      <c r="F862" s="106" t="str">
        <f>HYPERLINK("https://pbs.twimg.com/profile_images/1397372806657044484/9QITLPaQ_normal.jpg")</f>
        <v>https://pbs.twimg.com/profile_images/1397372806657044484/9QITLPaQ_normal.jpg</v>
      </c>
      <c r="G862" s="67"/>
      <c r="H862" s="71"/>
      <c r="I862" s="72"/>
      <c r="J862" s="72"/>
      <c r="K862" s="71" t="s">
        <v>8032</v>
      </c>
      <c r="L862" s="75"/>
      <c r="M862" s="76"/>
      <c r="N862" s="76"/>
      <c r="O862" s="77"/>
      <c r="P862" s="78"/>
      <c r="Q862" s="78"/>
      <c r="R862" s="90"/>
      <c r="S862" s="90"/>
      <c r="T862" s="90"/>
      <c r="U862" s="90"/>
      <c r="V862" s="52"/>
      <c r="W862" s="52"/>
      <c r="X862" s="52"/>
      <c r="Y862" s="52"/>
      <c r="Z862" s="51"/>
      <c r="AA862" s="73"/>
      <c r="AB862" s="73"/>
      <c r="AC862" s="74"/>
      <c r="AD862" s="80" t="s">
        <v>5028</v>
      </c>
      <c r="AE862" s="86" t="s">
        <v>4050</v>
      </c>
      <c r="AF862" s="80">
        <v>153</v>
      </c>
      <c r="AG862" s="80">
        <v>199</v>
      </c>
      <c r="AH862" s="80">
        <v>5348</v>
      </c>
      <c r="AI862" s="80">
        <v>98</v>
      </c>
      <c r="AJ862" s="80"/>
      <c r="AK862" s="80" t="s">
        <v>6644</v>
      </c>
      <c r="AL862" s="80"/>
      <c r="AM862" s="84" t="str">
        <f>HYPERLINK("https://t.co/3grXLlQrZ1")</f>
        <v>https://t.co/3grXLlQrZ1</v>
      </c>
      <c r="AN862" s="80"/>
      <c r="AO862" s="82">
        <v>42924.444016203706</v>
      </c>
      <c r="AP862" s="84" t="str">
        <f>HYPERLINK("https://pbs.twimg.com/profile_banners/883636627456704512/1620811643")</f>
        <v>https://pbs.twimg.com/profile_banners/883636627456704512/1620811643</v>
      </c>
      <c r="AQ862" s="80" t="b">
        <v>1</v>
      </c>
      <c r="AR862" s="80" t="b">
        <v>0</v>
      </c>
      <c r="AS862" s="80" t="b">
        <v>0</v>
      </c>
      <c r="AT862" s="80"/>
      <c r="AU862" s="80">
        <v>0</v>
      </c>
      <c r="AV862" s="80"/>
      <c r="AW862" s="80" t="b">
        <v>0</v>
      </c>
      <c r="AX862" s="80" t="s">
        <v>7173</v>
      </c>
      <c r="AY862" s="84" t="str">
        <f>HYPERLINK("https://twitter.com/winonafritziee")</f>
        <v>https://twitter.com/winonafritziee</v>
      </c>
      <c r="AZ862" s="80" t="s">
        <v>65</v>
      </c>
      <c r="BA862" s="2"/>
      <c r="BB862" s="3"/>
      <c r="BC862" s="3"/>
      <c r="BD862" s="3"/>
      <c r="BE862" s="3"/>
    </row>
    <row r="863" spans="1:57" x14ac:dyDescent="0.35">
      <c r="A863" s="66" t="s">
        <v>891</v>
      </c>
      <c r="B863" s="67"/>
      <c r="C863" s="67"/>
      <c r="D863" s="68"/>
      <c r="E863" s="70"/>
      <c r="F863" s="106" t="str">
        <f>HYPERLINK("https://pbs.twimg.com/profile_images/2418591123/images_normal.jpg")</f>
        <v>https://pbs.twimg.com/profile_images/2418591123/images_normal.jpg</v>
      </c>
      <c r="G863" s="67"/>
      <c r="H863" s="71"/>
      <c r="I863" s="72"/>
      <c r="J863" s="72"/>
      <c r="K863" s="71" t="s">
        <v>8033</v>
      </c>
      <c r="L863" s="75"/>
      <c r="M863" s="76"/>
      <c r="N863" s="76"/>
      <c r="O863" s="77"/>
      <c r="P863" s="78"/>
      <c r="Q863" s="78"/>
      <c r="R863" s="90"/>
      <c r="S863" s="90"/>
      <c r="T863" s="90"/>
      <c r="U863" s="90"/>
      <c r="V863" s="52"/>
      <c r="W863" s="52"/>
      <c r="X863" s="52"/>
      <c r="Y863" s="52"/>
      <c r="Z863" s="51"/>
      <c r="AA863" s="73"/>
      <c r="AB863" s="73"/>
      <c r="AC863" s="74"/>
      <c r="AD863" s="80" t="s">
        <v>5029</v>
      </c>
      <c r="AE863" s="86" t="s">
        <v>5838</v>
      </c>
      <c r="AF863" s="80">
        <v>32</v>
      </c>
      <c r="AG863" s="80">
        <v>4320</v>
      </c>
      <c r="AH863" s="80">
        <v>7884</v>
      </c>
      <c r="AI863" s="80">
        <v>1</v>
      </c>
      <c r="AJ863" s="80"/>
      <c r="AK863" s="80"/>
      <c r="AL863" s="80" t="s">
        <v>7115</v>
      </c>
      <c r="AM863" s="84" t="str">
        <f>HYPERLINK("https://t.co/yQnz15p2yH")</f>
        <v>https://t.co/yQnz15p2yH</v>
      </c>
      <c r="AN863" s="80"/>
      <c r="AO863" s="82">
        <v>41111.577326388891</v>
      </c>
      <c r="AP863" s="80"/>
      <c r="AQ863" s="80" t="b">
        <v>0</v>
      </c>
      <c r="AR863" s="80" t="b">
        <v>0</v>
      </c>
      <c r="AS863" s="80" t="b">
        <v>1</v>
      </c>
      <c r="AT863" s="80"/>
      <c r="AU863" s="80">
        <v>7</v>
      </c>
      <c r="AV863" s="84" t="str">
        <f>HYPERLINK("https://abs.twimg.com/images/themes/theme1/bg.png")</f>
        <v>https://abs.twimg.com/images/themes/theme1/bg.png</v>
      </c>
      <c r="AW863" s="80" t="b">
        <v>0</v>
      </c>
      <c r="AX863" s="80" t="s">
        <v>7173</v>
      </c>
      <c r="AY863" s="84" t="str">
        <f>HYPERLINK("https://twitter.com/lowongankerjalu")</f>
        <v>https://twitter.com/lowongankerjalu</v>
      </c>
      <c r="AZ863" s="80" t="s">
        <v>66</v>
      </c>
      <c r="BA863" s="2"/>
      <c r="BB863" s="3"/>
      <c r="BC863" s="3"/>
      <c r="BD863" s="3"/>
      <c r="BE863" s="3"/>
    </row>
    <row r="864" spans="1:57" x14ac:dyDescent="0.35">
      <c r="A864" s="66" t="s">
        <v>893</v>
      </c>
      <c r="B864" s="67"/>
      <c r="C864" s="67"/>
      <c r="D864" s="68"/>
      <c r="E864" s="70"/>
      <c r="F864" s="106" t="str">
        <f>HYPERLINK("https://pbs.twimg.com/profile_images/855422053842788355/4H4Mpf66_normal.jpg")</f>
        <v>https://pbs.twimg.com/profile_images/855422053842788355/4H4Mpf66_normal.jpg</v>
      </c>
      <c r="G864" s="67"/>
      <c r="H864" s="71"/>
      <c r="I864" s="72"/>
      <c r="J864" s="72"/>
      <c r="K864" s="71" t="s">
        <v>8034</v>
      </c>
      <c r="L864" s="75"/>
      <c r="M864" s="76"/>
      <c r="N864" s="76"/>
      <c r="O864" s="77"/>
      <c r="P864" s="78"/>
      <c r="Q864" s="78"/>
      <c r="R864" s="90"/>
      <c r="S864" s="90"/>
      <c r="T864" s="90"/>
      <c r="U864" s="90"/>
      <c r="V864" s="52"/>
      <c r="W864" s="52"/>
      <c r="X864" s="52"/>
      <c r="Y864" s="52"/>
      <c r="Z864" s="51"/>
      <c r="AA864" s="73"/>
      <c r="AB864" s="73"/>
      <c r="AC864" s="74"/>
      <c r="AD864" s="80" t="s">
        <v>5030</v>
      </c>
      <c r="AE864" s="86" t="s">
        <v>5839</v>
      </c>
      <c r="AF864" s="80">
        <v>832</v>
      </c>
      <c r="AG864" s="80">
        <v>919</v>
      </c>
      <c r="AH864" s="80">
        <v>130195</v>
      </c>
      <c r="AI864" s="80">
        <v>191813</v>
      </c>
      <c r="AJ864" s="80"/>
      <c r="AK864" s="80"/>
      <c r="AL864" s="80"/>
      <c r="AM864" s="80"/>
      <c r="AN864" s="80"/>
      <c r="AO864" s="82">
        <v>41123.097708333335</v>
      </c>
      <c r="AP864" s="84" t="str">
        <f>HYPERLINK("https://pbs.twimg.com/profile_banners/731957088/1482537074")</f>
        <v>https://pbs.twimg.com/profile_banners/731957088/1482537074</v>
      </c>
      <c r="AQ864" s="80" t="b">
        <v>1</v>
      </c>
      <c r="AR864" s="80" t="b">
        <v>0</v>
      </c>
      <c r="AS864" s="80" t="b">
        <v>0</v>
      </c>
      <c r="AT864" s="80"/>
      <c r="AU864" s="80">
        <v>0</v>
      </c>
      <c r="AV864" s="84" t="str">
        <f>HYPERLINK("https://abs.twimg.com/images/themes/theme1/bg.png")</f>
        <v>https://abs.twimg.com/images/themes/theme1/bg.png</v>
      </c>
      <c r="AW864" s="80" t="b">
        <v>0</v>
      </c>
      <c r="AX864" s="80" t="s">
        <v>7173</v>
      </c>
      <c r="AY864" s="84" t="str">
        <f>HYPERLINK("https://twitter.com/sonimsi07")</f>
        <v>https://twitter.com/sonimsi07</v>
      </c>
      <c r="AZ864" s="80" t="s">
        <v>66</v>
      </c>
      <c r="BA864" s="2"/>
      <c r="BB864" s="3"/>
      <c r="BC864" s="3"/>
      <c r="BD864" s="3"/>
      <c r="BE864" s="3"/>
    </row>
    <row r="865" spans="1:57" x14ac:dyDescent="0.35">
      <c r="A865" s="66" t="s">
        <v>894</v>
      </c>
      <c r="B865" s="67"/>
      <c r="C865" s="67"/>
      <c r="D865" s="68"/>
      <c r="E865" s="70"/>
      <c r="F865" s="106" t="str">
        <f>HYPERLINK("https://pbs.twimg.com/profile_images/1323899777927372800/V4aQ8yrH_normal.jpg")</f>
        <v>https://pbs.twimg.com/profile_images/1323899777927372800/V4aQ8yrH_normal.jpg</v>
      </c>
      <c r="G865" s="67"/>
      <c r="H865" s="71"/>
      <c r="I865" s="72"/>
      <c r="J865" s="72"/>
      <c r="K865" s="71" t="s">
        <v>8035</v>
      </c>
      <c r="L865" s="75"/>
      <c r="M865" s="76"/>
      <c r="N865" s="76"/>
      <c r="O865" s="77"/>
      <c r="P865" s="78"/>
      <c r="Q865" s="78"/>
      <c r="R865" s="90"/>
      <c r="S865" s="90"/>
      <c r="T865" s="90"/>
      <c r="U865" s="90"/>
      <c r="V865" s="52"/>
      <c r="W865" s="52"/>
      <c r="X865" s="52"/>
      <c r="Y865" s="52"/>
      <c r="Z865" s="51"/>
      <c r="AA865" s="73"/>
      <c r="AB865" s="73"/>
      <c r="AC865" s="74"/>
      <c r="AD865" s="80" t="s">
        <v>5031</v>
      </c>
      <c r="AE865" s="86" t="s">
        <v>5840</v>
      </c>
      <c r="AF865" s="80">
        <v>125</v>
      </c>
      <c r="AG865" s="80">
        <v>933</v>
      </c>
      <c r="AH865" s="80">
        <v>215</v>
      </c>
      <c r="AI865" s="80">
        <v>81</v>
      </c>
      <c r="AJ865" s="80"/>
      <c r="AK865" s="80" t="s">
        <v>6645</v>
      </c>
      <c r="AL865" s="80" t="s">
        <v>7116</v>
      </c>
      <c r="AM865" s="80"/>
      <c r="AN865" s="80"/>
      <c r="AO865" s="82">
        <v>41908.104016203702</v>
      </c>
      <c r="AP865" s="84" t="str">
        <f>HYPERLINK("https://pbs.twimg.com/profile_banners/2832479755/1632804688")</f>
        <v>https://pbs.twimg.com/profile_banners/2832479755/1632804688</v>
      </c>
      <c r="AQ865" s="80" t="b">
        <v>1</v>
      </c>
      <c r="AR865" s="80" t="b">
        <v>0</v>
      </c>
      <c r="AS865" s="80" t="b">
        <v>1</v>
      </c>
      <c r="AT865" s="80"/>
      <c r="AU865" s="80">
        <v>2</v>
      </c>
      <c r="AV865" s="84" t="str">
        <f>HYPERLINK("https://abs.twimg.com/images/themes/theme1/bg.png")</f>
        <v>https://abs.twimg.com/images/themes/theme1/bg.png</v>
      </c>
      <c r="AW865" s="80" t="b">
        <v>0</v>
      </c>
      <c r="AX865" s="80" t="s">
        <v>7173</v>
      </c>
      <c r="AY865" s="84" t="str">
        <f>HYPERLINK("https://twitter.com/samsat_pbg")</f>
        <v>https://twitter.com/samsat_pbg</v>
      </c>
      <c r="AZ865" s="80" t="s">
        <v>66</v>
      </c>
      <c r="BA865" s="2"/>
      <c r="BB865" s="3"/>
      <c r="BC865" s="3"/>
      <c r="BD865" s="3"/>
      <c r="BE865" s="3"/>
    </row>
    <row r="866" spans="1:57" x14ac:dyDescent="0.35">
      <c r="A866" s="66" t="s">
        <v>895</v>
      </c>
      <c r="B866" s="67"/>
      <c r="C866" s="67"/>
      <c r="D866" s="68"/>
      <c r="E866" s="70"/>
      <c r="F866" s="106" t="str">
        <f>HYPERLINK("https://pbs.twimg.com/profile_images/1436864469020278786/frfTx0jv_normal.jpg")</f>
        <v>https://pbs.twimg.com/profile_images/1436864469020278786/frfTx0jv_normal.jpg</v>
      </c>
      <c r="G866" s="67"/>
      <c r="H866" s="71"/>
      <c r="I866" s="72"/>
      <c r="J866" s="72"/>
      <c r="K866" s="71" t="s">
        <v>8036</v>
      </c>
      <c r="L866" s="75"/>
      <c r="M866" s="76"/>
      <c r="N866" s="76"/>
      <c r="O866" s="77"/>
      <c r="P866" s="78"/>
      <c r="Q866" s="78"/>
      <c r="R866" s="90"/>
      <c r="S866" s="90"/>
      <c r="T866" s="90"/>
      <c r="U866" s="90"/>
      <c r="V866" s="52"/>
      <c r="W866" s="52"/>
      <c r="X866" s="52"/>
      <c r="Y866" s="52"/>
      <c r="Z866" s="51"/>
      <c r="AA866" s="73"/>
      <c r="AB866" s="73"/>
      <c r="AC866" s="74"/>
      <c r="AD866" s="80" t="s">
        <v>5032</v>
      </c>
      <c r="AE866" s="86" t="s">
        <v>5841</v>
      </c>
      <c r="AF866" s="80">
        <v>148</v>
      </c>
      <c r="AG866" s="80">
        <v>11002</v>
      </c>
      <c r="AH866" s="80">
        <v>12897</v>
      </c>
      <c r="AI866" s="80">
        <v>2083</v>
      </c>
      <c r="AJ866" s="80"/>
      <c r="AK866" s="80" t="s">
        <v>6646</v>
      </c>
      <c r="AL866" s="80" t="s">
        <v>7117</v>
      </c>
      <c r="AM866" s="80"/>
      <c r="AN866" s="80"/>
      <c r="AO866" s="82">
        <v>43725.553865740738</v>
      </c>
      <c r="AP866" s="84" t="str">
        <f>HYPERLINK("https://pbs.twimg.com/profile_banners/1173949073365200897/1572770764")</f>
        <v>https://pbs.twimg.com/profile_banners/1173949073365200897/1572770764</v>
      </c>
      <c r="AQ866" s="80" t="b">
        <v>1</v>
      </c>
      <c r="AR866" s="80" t="b">
        <v>0</v>
      </c>
      <c r="AS866" s="80" t="b">
        <v>1</v>
      </c>
      <c r="AT866" s="80"/>
      <c r="AU866" s="80">
        <v>9</v>
      </c>
      <c r="AV866" s="80"/>
      <c r="AW866" s="80" t="b">
        <v>0</v>
      </c>
      <c r="AX866" s="80" t="s">
        <v>7173</v>
      </c>
      <c r="AY866" s="84" t="str">
        <f>HYPERLINK("https://twitter.com/mo0nstarrr")</f>
        <v>https://twitter.com/mo0nstarrr</v>
      </c>
      <c r="AZ866" s="80" t="s">
        <v>66</v>
      </c>
      <c r="BA866" s="2"/>
      <c r="BB866" s="3"/>
      <c r="BC866" s="3"/>
      <c r="BD866" s="3"/>
      <c r="BE866" s="3"/>
    </row>
    <row r="867" spans="1:57" x14ac:dyDescent="0.35">
      <c r="A867" s="66" t="s">
        <v>1175</v>
      </c>
      <c r="B867" s="67"/>
      <c r="C867" s="67"/>
      <c r="D867" s="68"/>
      <c r="E867" s="70"/>
      <c r="F867" s="106" t="str">
        <f>HYPERLINK("https://pbs.twimg.com/profile_images/1330114841420369921/gVemyX2L_normal.jpg")</f>
        <v>https://pbs.twimg.com/profile_images/1330114841420369921/gVemyX2L_normal.jpg</v>
      </c>
      <c r="G867" s="67"/>
      <c r="H867" s="71"/>
      <c r="I867" s="72"/>
      <c r="J867" s="72"/>
      <c r="K867" s="71" t="s">
        <v>8037</v>
      </c>
      <c r="L867" s="75"/>
      <c r="M867" s="76"/>
      <c r="N867" s="76"/>
      <c r="O867" s="77"/>
      <c r="P867" s="78"/>
      <c r="Q867" s="78"/>
      <c r="R867" s="90"/>
      <c r="S867" s="90"/>
      <c r="T867" s="90"/>
      <c r="U867" s="90"/>
      <c r="V867" s="52"/>
      <c r="W867" s="52"/>
      <c r="X867" s="52"/>
      <c r="Y867" s="52"/>
      <c r="Z867" s="51"/>
      <c r="AA867" s="73"/>
      <c r="AB867" s="73"/>
      <c r="AC867" s="74"/>
      <c r="AD867" s="80" t="s">
        <v>5033</v>
      </c>
      <c r="AE867" s="86" t="s">
        <v>4051</v>
      </c>
      <c r="AF867" s="80">
        <v>4</v>
      </c>
      <c r="AG867" s="80">
        <v>241610</v>
      </c>
      <c r="AH867" s="80">
        <v>51704</v>
      </c>
      <c r="AI867" s="80">
        <v>5203</v>
      </c>
      <c r="AJ867" s="80"/>
      <c r="AK867" s="80" t="s">
        <v>6647</v>
      </c>
      <c r="AL867" s="80" t="s">
        <v>7118</v>
      </c>
      <c r="AM867" s="84" t="str">
        <f>HYPERLINK("https://t.co/zOWnkKlanQ")</f>
        <v>https://t.co/zOWnkKlanQ</v>
      </c>
      <c r="AN867" s="80"/>
      <c r="AO867" s="82">
        <v>43647.504502314812</v>
      </c>
      <c r="AP867" s="84" t="str">
        <f>HYPERLINK("https://pbs.twimg.com/profile_banners/1145664973764321281/1562140991")</f>
        <v>https://pbs.twimg.com/profile_banners/1145664973764321281/1562140991</v>
      </c>
      <c r="AQ867" s="80" t="b">
        <v>1</v>
      </c>
      <c r="AR867" s="80" t="b">
        <v>0</v>
      </c>
      <c r="AS867" s="80" t="b">
        <v>0</v>
      </c>
      <c r="AT867" s="80"/>
      <c r="AU867" s="80">
        <v>773</v>
      </c>
      <c r="AV867" s="80"/>
      <c r="AW867" s="80" t="b">
        <v>0</v>
      </c>
      <c r="AX867" s="80" t="s">
        <v>7173</v>
      </c>
      <c r="AY867" s="84" t="str">
        <f>HYPERLINK("https://twitter.com/memefess")</f>
        <v>https://twitter.com/memefess</v>
      </c>
      <c r="AZ867" s="80" t="s">
        <v>65</v>
      </c>
      <c r="BA867" s="2"/>
      <c r="BB867" s="3"/>
      <c r="BC867" s="3"/>
      <c r="BD867" s="3"/>
      <c r="BE867" s="3"/>
    </row>
    <row r="868" spans="1:57" x14ac:dyDescent="0.35">
      <c r="A868" s="66" t="s">
        <v>896</v>
      </c>
      <c r="B868" s="67"/>
      <c r="C868" s="67"/>
      <c r="D868" s="68"/>
      <c r="E868" s="70"/>
      <c r="F868" s="106" t="str">
        <f>HYPERLINK("https://pbs.twimg.com/profile_images/1233969330288652288/sf8WGNBl_normal.jpg")</f>
        <v>https://pbs.twimg.com/profile_images/1233969330288652288/sf8WGNBl_normal.jpg</v>
      </c>
      <c r="G868" s="67"/>
      <c r="H868" s="71"/>
      <c r="I868" s="72"/>
      <c r="J868" s="72"/>
      <c r="K868" s="71" t="s">
        <v>8038</v>
      </c>
      <c r="L868" s="75"/>
      <c r="M868" s="76"/>
      <c r="N868" s="76"/>
      <c r="O868" s="77"/>
      <c r="P868" s="78"/>
      <c r="Q868" s="78"/>
      <c r="R868" s="90"/>
      <c r="S868" s="90"/>
      <c r="T868" s="90"/>
      <c r="U868" s="90"/>
      <c r="V868" s="52"/>
      <c r="W868" s="52"/>
      <c r="X868" s="52"/>
      <c r="Y868" s="52"/>
      <c r="Z868" s="51"/>
      <c r="AA868" s="73"/>
      <c r="AB868" s="73"/>
      <c r="AC868" s="74"/>
      <c r="AD868" s="80" t="s">
        <v>5034</v>
      </c>
      <c r="AE868" s="86" t="s">
        <v>5842</v>
      </c>
      <c r="AF868" s="80">
        <v>57</v>
      </c>
      <c r="AG868" s="80">
        <v>39</v>
      </c>
      <c r="AH868" s="80">
        <v>234</v>
      </c>
      <c r="AI868" s="80">
        <v>25</v>
      </c>
      <c r="AJ868" s="80"/>
      <c r="AK868" s="80" t="s">
        <v>6648</v>
      </c>
      <c r="AL868" s="80" t="s">
        <v>7119</v>
      </c>
      <c r="AM868" s="84" t="str">
        <f>HYPERLINK("https://t.co/CB3PCc0Pn4")</f>
        <v>https://t.co/CB3PCc0Pn4</v>
      </c>
      <c r="AN868" s="80"/>
      <c r="AO868" s="82">
        <v>42243.122800925928</v>
      </c>
      <c r="AP868" s="84" t="str">
        <f>HYPERLINK("https://pbs.twimg.com/profile_banners/3355049599/1603413839")</f>
        <v>https://pbs.twimg.com/profile_banners/3355049599/1603413839</v>
      </c>
      <c r="AQ868" s="80" t="b">
        <v>1</v>
      </c>
      <c r="AR868" s="80" t="b">
        <v>0</v>
      </c>
      <c r="AS868" s="80" t="b">
        <v>0</v>
      </c>
      <c r="AT868" s="80"/>
      <c r="AU868" s="80">
        <v>0</v>
      </c>
      <c r="AV868" s="84" t="str">
        <f>HYPERLINK("https://abs.twimg.com/images/themes/theme1/bg.png")</f>
        <v>https://abs.twimg.com/images/themes/theme1/bg.png</v>
      </c>
      <c r="AW868" s="80" t="b">
        <v>0</v>
      </c>
      <c r="AX868" s="80" t="s">
        <v>7173</v>
      </c>
      <c r="AY868" s="84" t="str">
        <f>HYPERLINK("https://twitter.com/imigrasibaubau")</f>
        <v>https://twitter.com/imigrasibaubau</v>
      </c>
      <c r="AZ868" s="80" t="s">
        <v>66</v>
      </c>
      <c r="BA868" s="2"/>
      <c r="BB868" s="3"/>
      <c r="BC868" s="3"/>
      <c r="BD868" s="3"/>
      <c r="BE868" s="3"/>
    </row>
    <row r="869" spans="1:57" x14ac:dyDescent="0.35">
      <c r="A869" s="66" t="s">
        <v>897</v>
      </c>
      <c r="B869" s="67"/>
      <c r="C869" s="67"/>
      <c r="D869" s="68"/>
      <c r="E869" s="70"/>
      <c r="F869" s="106" t="str">
        <f>HYPERLINK("https://pbs.twimg.com/profile_images/1273123428246192131/mYHqBtPn_normal.jpg")</f>
        <v>https://pbs.twimg.com/profile_images/1273123428246192131/mYHqBtPn_normal.jpg</v>
      </c>
      <c r="G869" s="67"/>
      <c r="H869" s="71"/>
      <c r="I869" s="72"/>
      <c r="J869" s="72"/>
      <c r="K869" s="71" t="s">
        <v>8039</v>
      </c>
      <c r="L869" s="75"/>
      <c r="M869" s="76"/>
      <c r="N869" s="76"/>
      <c r="O869" s="77"/>
      <c r="P869" s="78"/>
      <c r="Q869" s="78"/>
      <c r="R869" s="90"/>
      <c r="S869" s="90"/>
      <c r="T869" s="90"/>
      <c r="U869" s="90"/>
      <c r="V869" s="52"/>
      <c r="W869" s="52"/>
      <c r="X869" s="52"/>
      <c r="Y869" s="52"/>
      <c r="Z869" s="51"/>
      <c r="AA869" s="73"/>
      <c r="AB869" s="73"/>
      <c r="AC869" s="74"/>
      <c r="AD869" s="80" t="s">
        <v>5035</v>
      </c>
      <c r="AE869" s="86" t="s">
        <v>4052</v>
      </c>
      <c r="AF869" s="80">
        <v>6</v>
      </c>
      <c r="AG869" s="80">
        <v>9</v>
      </c>
      <c r="AH869" s="80">
        <v>269</v>
      </c>
      <c r="AI869" s="80">
        <v>0</v>
      </c>
      <c r="AJ869" s="80"/>
      <c r="AK869" s="80" t="s">
        <v>6649</v>
      </c>
      <c r="AL869" s="80" t="s">
        <v>7120</v>
      </c>
      <c r="AM869" s="84" t="str">
        <f>HYPERLINK("https://t.co/LuM3JfqbfK")</f>
        <v>https://t.co/LuM3JfqbfK</v>
      </c>
      <c r="AN869" s="80"/>
      <c r="AO869" s="82">
        <v>43999.060925925929</v>
      </c>
      <c r="AP869" s="84" t="str">
        <f>HYPERLINK("https://pbs.twimg.com/profile_banners/1273064692789858305/1592371408")</f>
        <v>https://pbs.twimg.com/profile_banners/1273064692789858305/1592371408</v>
      </c>
      <c r="AQ869" s="80" t="b">
        <v>1</v>
      </c>
      <c r="AR869" s="80" t="b">
        <v>0</v>
      </c>
      <c r="AS869" s="80" t="b">
        <v>1</v>
      </c>
      <c r="AT869" s="80"/>
      <c r="AU869" s="80">
        <v>0</v>
      </c>
      <c r="AV869" s="80"/>
      <c r="AW869" s="80" t="b">
        <v>0</v>
      </c>
      <c r="AX869" s="80" t="s">
        <v>7173</v>
      </c>
      <c r="AY869" s="84" t="str">
        <f>HYPERLINK("https://twitter.com/grahatoyota")</f>
        <v>https://twitter.com/grahatoyota</v>
      </c>
      <c r="AZ869" s="80" t="s">
        <v>66</v>
      </c>
      <c r="BA869" s="2"/>
      <c r="BB869" s="3"/>
      <c r="BC869" s="3"/>
      <c r="BD869" s="3"/>
      <c r="BE869" s="3"/>
    </row>
    <row r="870" spans="1:57" x14ac:dyDescent="0.35">
      <c r="A870" s="66" t="s">
        <v>898</v>
      </c>
      <c r="B870" s="67"/>
      <c r="C870" s="67"/>
      <c r="D870" s="68"/>
      <c r="E870" s="70"/>
      <c r="F870" s="106" t="str">
        <f>HYPERLINK("https://pbs.twimg.com/profile_images/1427565143609602056/__MUK4IJ_normal.png")</f>
        <v>https://pbs.twimg.com/profile_images/1427565143609602056/__MUK4IJ_normal.png</v>
      </c>
      <c r="G870" s="67"/>
      <c r="H870" s="71"/>
      <c r="I870" s="72"/>
      <c r="J870" s="72"/>
      <c r="K870" s="71" t="s">
        <v>8040</v>
      </c>
      <c r="L870" s="75"/>
      <c r="M870" s="76"/>
      <c r="N870" s="76"/>
      <c r="O870" s="77"/>
      <c r="P870" s="78"/>
      <c r="Q870" s="78"/>
      <c r="R870" s="90"/>
      <c r="S870" s="90"/>
      <c r="T870" s="90"/>
      <c r="U870" s="90"/>
      <c r="V870" s="52"/>
      <c r="W870" s="52"/>
      <c r="X870" s="52"/>
      <c r="Y870" s="52"/>
      <c r="Z870" s="51"/>
      <c r="AA870" s="73"/>
      <c r="AB870" s="73"/>
      <c r="AC870" s="74"/>
      <c r="AD870" s="80" t="s">
        <v>5036</v>
      </c>
      <c r="AE870" s="86" t="s">
        <v>5843</v>
      </c>
      <c r="AF870" s="80">
        <v>10</v>
      </c>
      <c r="AG870" s="80">
        <v>10</v>
      </c>
      <c r="AH870" s="80">
        <v>30</v>
      </c>
      <c r="AI870" s="80">
        <v>9</v>
      </c>
      <c r="AJ870" s="80"/>
      <c r="AK870" s="80" t="s">
        <v>6650</v>
      </c>
      <c r="AL870" s="80" t="s">
        <v>7121</v>
      </c>
      <c r="AM870" s="80"/>
      <c r="AN870" s="80"/>
      <c r="AO870" s="82">
        <v>43545.392546296294</v>
      </c>
      <c r="AP870" s="84" t="str">
        <f>HYPERLINK("https://pbs.twimg.com/profile_banners/1108660837349122048/1629192891")</f>
        <v>https://pbs.twimg.com/profile_banners/1108660837349122048/1629192891</v>
      </c>
      <c r="AQ870" s="80" t="b">
        <v>1</v>
      </c>
      <c r="AR870" s="80" t="b">
        <v>0</v>
      </c>
      <c r="AS870" s="80" t="b">
        <v>0</v>
      </c>
      <c r="AT870" s="80"/>
      <c r="AU870" s="80">
        <v>0</v>
      </c>
      <c r="AV870" s="80"/>
      <c r="AW870" s="80" t="b">
        <v>0</v>
      </c>
      <c r="AX870" s="80" t="s">
        <v>7173</v>
      </c>
      <c r="AY870" s="84" t="str">
        <f>HYPERLINK("https://twitter.com/bawaslu_tanbe")</f>
        <v>https://twitter.com/bawaslu_tanbe</v>
      </c>
      <c r="AZ870" s="80" t="s">
        <v>66</v>
      </c>
      <c r="BA870" s="2"/>
      <c r="BB870" s="3"/>
      <c r="BC870" s="3"/>
      <c r="BD870" s="3"/>
      <c r="BE870" s="3"/>
    </row>
    <row r="871" spans="1:57" x14ac:dyDescent="0.35">
      <c r="A871" s="66" t="s">
        <v>899</v>
      </c>
      <c r="B871" s="67"/>
      <c r="C871" s="67"/>
      <c r="D871" s="68"/>
      <c r="E871" s="70"/>
      <c r="F871" s="106" t="str">
        <f>HYPERLINK("https://pbs.twimg.com/profile_images/1082274332661796864/VXrCsxRF_normal.jpg")</f>
        <v>https://pbs.twimg.com/profile_images/1082274332661796864/VXrCsxRF_normal.jpg</v>
      </c>
      <c r="G871" s="67"/>
      <c r="H871" s="71"/>
      <c r="I871" s="72"/>
      <c r="J871" s="72"/>
      <c r="K871" s="71" t="s">
        <v>8041</v>
      </c>
      <c r="L871" s="75"/>
      <c r="M871" s="76"/>
      <c r="N871" s="76"/>
      <c r="O871" s="77"/>
      <c r="P871" s="78"/>
      <c r="Q871" s="78"/>
      <c r="R871" s="90"/>
      <c r="S871" s="90"/>
      <c r="T871" s="90"/>
      <c r="U871" s="90"/>
      <c r="V871" s="52"/>
      <c r="W871" s="52"/>
      <c r="X871" s="52"/>
      <c r="Y871" s="52"/>
      <c r="Z871" s="51"/>
      <c r="AA871" s="73"/>
      <c r="AB871" s="73"/>
      <c r="AC871" s="74"/>
      <c r="AD871" s="80" t="s">
        <v>5037</v>
      </c>
      <c r="AE871" s="86" t="s">
        <v>5844</v>
      </c>
      <c r="AF871" s="80">
        <v>414</v>
      </c>
      <c r="AG871" s="80">
        <v>510</v>
      </c>
      <c r="AH871" s="80">
        <v>9257</v>
      </c>
      <c r="AI871" s="80">
        <v>48292</v>
      </c>
      <c r="AJ871" s="80"/>
      <c r="AK871" s="80" t="s">
        <v>6651</v>
      </c>
      <c r="AL871" s="80" t="s">
        <v>6867</v>
      </c>
      <c r="AM871" s="80"/>
      <c r="AN871" s="80"/>
      <c r="AO871" s="82">
        <v>43472.567291666666</v>
      </c>
      <c r="AP871" s="84" t="str">
        <f>HYPERLINK("https://pbs.twimg.com/profile_banners/1082269851190587397/1632658526")</f>
        <v>https://pbs.twimg.com/profile_banners/1082269851190587397/1632658526</v>
      </c>
      <c r="AQ871" s="80" t="b">
        <v>1</v>
      </c>
      <c r="AR871" s="80" t="b">
        <v>0</v>
      </c>
      <c r="AS871" s="80" t="b">
        <v>1</v>
      </c>
      <c r="AT871" s="80"/>
      <c r="AU871" s="80">
        <v>2</v>
      </c>
      <c r="AV871" s="80"/>
      <c r="AW871" s="80" t="b">
        <v>0</v>
      </c>
      <c r="AX871" s="80" t="s">
        <v>7173</v>
      </c>
      <c r="AY871" s="84" t="str">
        <f>HYPERLINK("https://twitter.com/rino52650304")</f>
        <v>https://twitter.com/rino52650304</v>
      </c>
      <c r="AZ871" s="80" t="s">
        <v>66</v>
      </c>
      <c r="BA871" s="2"/>
      <c r="BB871" s="3"/>
      <c r="BC871" s="3"/>
      <c r="BD871" s="3"/>
      <c r="BE871" s="3"/>
    </row>
    <row r="872" spans="1:57" x14ac:dyDescent="0.35">
      <c r="A872" s="66" t="s">
        <v>1176</v>
      </c>
      <c r="B872" s="67"/>
      <c r="C872" s="67"/>
      <c r="D872" s="68"/>
      <c r="E872" s="70"/>
      <c r="F872" s="106" t="str">
        <f>HYPERLINK("https://pbs.twimg.com/profile_images/968101187/20090724111300_normal.jpg")</f>
        <v>https://pbs.twimg.com/profile_images/968101187/20090724111300_normal.jpg</v>
      </c>
      <c r="G872" s="67"/>
      <c r="H872" s="71"/>
      <c r="I872" s="72"/>
      <c r="J872" s="72"/>
      <c r="K872" s="71" t="s">
        <v>8042</v>
      </c>
      <c r="L872" s="75"/>
      <c r="M872" s="76"/>
      <c r="N872" s="76"/>
      <c r="O872" s="77"/>
      <c r="P872" s="78"/>
      <c r="Q872" s="78"/>
      <c r="R872" s="90"/>
      <c r="S872" s="90"/>
      <c r="T872" s="90"/>
      <c r="U872" s="90"/>
      <c r="V872" s="52"/>
      <c r="W872" s="52"/>
      <c r="X872" s="52"/>
      <c r="Y872" s="52"/>
      <c r="Z872" s="51"/>
      <c r="AA872" s="73"/>
      <c r="AB872" s="73"/>
      <c r="AC872" s="74"/>
      <c r="AD872" s="80" t="s">
        <v>5038</v>
      </c>
      <c r="AE872" s="86" t="s">
        <v>4053</v>
      </c>
      <c r="AF872" s="80">
        <v>454</v>
      </c>
      <c r="AG872" s="80">
        <v>490</v>
      </c>
      <c r="AH872" s="80">
        <v>7386</v>
      </c>
      <c r="AI872" s="80">
        <v>4175</v>
      </c>
      <c r="AJ872" s="80"/>
      <c r="AK872" s="80" t="s">
        <v>6652</v>
      </c>
      <c r="AL872" s="80" t="s">
        <v>6867</v>
      </c>
      <c r="AM872" s="80"/>
      <c r="AN872" s="80"/>
      <c r="AO872" s="82">
        <v>40304.159710648149</v>
      </c>
      <c r="AP872" s="84" t="str">
        <f>HYPERLINK("https://pbs.twimg.com/profile_banners/140675806/1386642324")</f>
        <v>https://pbs.twimg.com/profile_banners/140675806/1386642324</v>
      </c>
      <c r="AQ872" s="80" t="b">
        <v>1</v>
      </c>
      <c r="AR872" s="80" t="b">
        <v>0</v>
      </c>
      <c r="AS872" s="80" t="b">
        <v>1</v>
      </c>
      <c r="AT872" s="80"/>
      <c r="AU872" s="80">
        <v>8</v>
      </c>
      <c r="AV872" s="84" t="str">
        <f>HYPERLINK("https://abs.twimg.com/images/themes/theme1/bg.png")</f>
        <v>https://abs.twimg.com/images/themes/theme1/bg.png</v>
      </c>
      <c r="AW872" s="80" t="b">
        <v>0</v>
      </c>
      <c r="AX872" s="80" t="s">
        <v>7173</v>
      </c>
      <c r="AY872" s="84" t="str">
        <f>HYPERLINK("https://twitter.com/yagora628")</f>
        <v>https://twitter.com/yagora628</v>
      </c>
      <c r="AZ872" s="80" t="s">
        <v>65</v>
      </c>
      <c r="BA872" s="2"/>
      <c r="BB872" s="3"/>
      <c r="BC872" s="3"/>
      <c r="BD872" s="3"/>
      <c r="BE872" s="3"/>
    </row>
    <row r="873" spans="1:57" x14ac:dyDescent="0.35">
      <c r="A873" s="66" t="s">
        <v>900</v>
      </c>
      <c r="B873" s="67"/>
      <c r="C873" s="67"/>
      <c r="D873" s="68"/>
      <c r="E873" s="70"/>
      <c r="F873" s="106" t="str">
        <f>HYPERLINK("https://pbs.twimg.com/profile_images/1239367651798835200/eCwf-uZL_normal.jpg")</f>
        <v>https://pbs.twimg.com/profile_images/1239367651798835200/eCwf-uZL_normal.jpg</v>
      </c>
      <c r="G873" s="67"/>
      <c r="H873" s="71"/>
      <c r="I873" s="72"/>
      <c r="J873" s="72"/>
      <c r="K873" s="71" t="s">
        <v>8043</v>
      </c>
      <c r="L873" s="75"/>
      <c r="M873" s="76"/>
      <c r="N873" s="76"/>
      <c r="O873" s="77"/>
      <c r="P873" s="78"/>
      <c r="Q873" s="78"/>
      <c r="R873" s="90"/>
      <c r="S873" s="90"/>
      <c r="T873" s="90"/>
      <c r="U873" s="90"/>
      <c r="V873" s="52"/>
      <c r="W873" s="52"/>
      <c r="X873" s="52"/>
      <c r="Y873" s="52"/>
      <c r="Z873" s="51"/>
      <c r="AA873" s="73"/>
      <c r="AB873" s="73"/>
      <c r="AC873" s="74"/>
      <c r="AD873" s="80" t="s">
        <v>5039</v>
      </c>
      <c r="AE873" s="86" t="s">
        <v>5845</v>
      </c>
      <c r="AF873" s="80">
        <v>123</v>
      </c>
      <c r="AG873" s="80">
        <v>11</v>
      </c>
      <c r="AH873" s="80">
        <v>281</v>
      </c>
      <c r="AI873" s="80">
        <v>28</v>
      </c>
      <c r="AJ873" s="80"/>
      <c r="AK873" s="80" t="s">
        <v>6653</v>
      </c>
      <c r="AL873" s="80"/>
      <c r="AM873" s="80"/>
      <c r="AN873" s="80"/>
      <c r="AO873" s="82">
        <v>43225.462442129632</v>
      </c>
      <c r="AP873" s="84" t="str">
        <f>HYPERLINK("https://pbs.twimg.com/profile_banners/992722050396516353/1525535146")</f>
        <v>https://pbs.twimg.com/profile_banners/992722050396516353/1525535146</v>
      </c>
      <c r="AQ873" s="80" t="b">
        <v>1</v>
      </c>
      <c r="AR873" s="80" t="b">
        <v>0</v>
      </c>
      <c r="AS873" s="80" t="b">
        <v>0</v>
      </c>
      <c r="AT873" s="80"/>
      <c r="AU873" s="80">
        <v>0</v>
      </c>
      <c r="AV873" s="80"/>
      <c r="AW873" s="80" t="b">
        <v>0</v>
      </c>
      <c r="AX873" s="80" t="s">
        <v>7173</v>
      </c>
      <c r="AY873" s="84" t="str">
        <f>HYPERLINK("https://twitter.com/busbypkp")</f>
        <v>https://twitter.com/busbypkp</v>
      </c>
      <c r="AZ873" s="80" t="s">
        <v>66</v>
      </c>
      <c r="BA873" s="2"/>
      <c r="BB873" s="3"/>
      <c r="BC873" s="3"/>
      <c r="BD873" s="3"/>
      <c r="BE873" s="3"/>
    </row>
    <row r="874" spans="1:57" x14ac:dyDescent="0.35">
      <c r="A874" s="66" t="s">
        <v>901</v>
      </c>
      <c r="B874" s="67"/>
      <c r="C874" s="67"/>
      <c r="D874" s="68"/>
      <c r="E874" s="70"/>
      <c r="F874" s="106" t="str">
        <f>HYPERLINK("https://pbs.twimg.com/profile_images/1361918227907969026/KhpDde5m_normal.jpg")</f>
        <v>https://pbs.twimg.com/profile_images/1361918227907969026/KhpDde5m_normal.jpg</v>
      </c>
      <c r="G874" s="67"/>
      <c r="H874" s="71"/>
      <c r="I874" s="72"/>
      <c r="J874" s="72"/>
      <c r="K874" s="71" t="s">
        <v>8044</v>
      </c>
      <c r="L874" s="75"/>
      <c r="M874" s="76"/>
      <c r="N874" s="76"/>
      <c r="O874" s="77"/>
      <c r="P874" s="78"/>
      <c r="Q874" s="78"/>
      <c r="R874" s="90"/>
      <c r="S874" s="90"/>
      <c r="T874" s="90"/>
      <c r="U874" s="90"/>
      <c r="V874" s="52"/>
      <c r="W874" s="52"/>
      <c r="X874" s="52"/>
      <c r="Y874" s="52"/>
      <c r="Z874" s="51"/>
      <c r="AA874" s="73"/>
      <c r="AB874" s="73"/>
      <c r="AC874" s="74"/>
      <c r="AD874" s="80" t="s">
        <v>5040</v>
      </c>
      <c r="AE874" s="86" t="s">
        <v>5846</v>
      </c>
      <c r="AF874" s="80">
        <v>96</v>
      </c>
      <c r="AG874" s="80">
        <v>155</v>
      </c>
      <c r="AH874" s="80">
        <v>946</v>
      </c>
      <c r="AI874" s="80">
        <v>0</v>
      </c>
      <c r="AJ874" s="80"/>
      <c r="AK874" s="80" t="s">
        <v>6654</v>
      </c>
      <c r="AL874" s="80" t="s">
        <v>7122</v>
      </c>
      <c r="AM874" s="80"/>
      <c r="AN874" s="80"/>
      <c r="AO874" s="82">
        <v>44244.221574074072</v>
      </c>
      <c r="AP874" s="80"/>
      <c r="AQ874" s="80" t="b">
        <v>1</v>
      </c>
      <c r="AR874" s="80" t="b">
        <v>0</v>
      </c>
      <c r="AS874" s="80" t="b">
        <v>0</v>
      </c>
      <c r="AT874" s="80"/>
      <c r="AU874" s="80">
        <v>0</v>
      </c>
      <c r="AV874" s="80"/>
      <c r="AW874" s="80" t="b">
        <v>0</v>
      </c>
      <c r="AX874" s="80" t="s">
        <v>7173</v>
      </c>
      <c r="AY874" s="84" t="str">
        <f>HYPERLINK("https://twitter.com/kpuberau")</f>
        <v>https://twitter.com/kpuberau</v>
      </c>
      <c r="AZ874" s="80" t="s">
        <v>66</v>
      </c>
      <c r="BA874" s="2"/>
      <c r="BB874" s="3"/>
      <c r="BC874" s="3"/>
      <c r="BD874" s="3"/>
      <c r="BE874" s="3"/>
    </row>
    <row r="875" spans="1:57" x14ac:dyDescent="0.35">
      <c r="A875" s="66" t="s">
        <v>902</v>
      </c>
      <c r="B875" s="67"/>
      <c r="C875" s="67"/>
      <c r="D875" s="68"/>
      <c r="E875" s="70"/>
      <c r="F875" s="106" t="str">
        <f>HYPERLINK("https://pbs.twimg.com/profile_images/1335182477673988100/0fVBm30q_normal.jpg")</f>
        <v>https://pbs.twimg.com/profile_images/1335182477673988100/0fVBm30q_normal.jpg</v>
      </c>
      <c r="G875" s="67"/>
      <c r="H875" s="71"/>
      <c r="I875" s="72"/>
      <c r="J875" s="72"/>
      <c r="K875" s="71" t="s">
        <v>8045</v>
      </c>
      <c r="L875" s="75"/>
      <c r="M875" s="76"/>
      <c r="N875" s="76"/>
      <c r="O875" s="77"/>
      <c r="P875" s="78"/>
      <c r="Q875" s="78"/>
      <c r="R875" s="90"/>
      <c r="S875" s="90"/>
      <c r="T875" s="90"/>
      <c r="U875" s="90"/>
      <c r="V875" s="52"/>
      <c r="W875" s="52"/>
      <c r="X875" s="52"/>
      <c r="Y875" s="52"/>
      <c r="Z875" s="51"/>
      <c r="AA875" s="73"/>
      <c r="AB875" s="73"/>
      <c r="AC875" s="74"/>
      <c r="AD875" s="80" t="s">
        <v>5041</v>
      </c>
      <c r="AE875" s="86" t="s">
        <v>5847</v>
      </c>
      <c r="AF875" s="80">
        <v>4</v>
      </c>
      <c r="AG875" s="80">
        <v>2</v>
      </c>
      <c r="AH875" s="80">
        <v>349</v>
      </c>
      <c r="AI875" s="80">
        <v>1150</v>
      </c>
      <c r="AJ875" s="80"/>
      <c r="AK875" s="80" t="s">
        <v>6655</v>
      </c>
      <c r="AL875" s="80"/>
      <c r="AM875" s="80"/>
      <c r="AN875" s="80"/>
      <c r="AO875" s="82">
        <v>44117.751631944448</v>
      </c>
      <c r="AP875" s="84" t="str">
        <f>HYPERLINK("https://pbs.twimg.com/profile_banners/1316076744676319233/1603272454")</f>
        <v>https://pbs.twimg.com/profile_banners/1316076744676319233/1603272454</v>
      </c>
      <c r="AQ875" s="80" t="b">
        <v>1</v>
      </c>
      <c r="AR875" s="80" t="b">
        <v>0</v>
      </c>
      <c r="AS875" s="80" t="b">
        <v>0</v>
      </c>
      <c r="AT875" s="80"/>
      <c r="AU875" s="80">
        <v>0</v>
      </c>
      <c r="AV875" s="80"/>
      <c r="AW875" s="80" t="b">
        <v>0</v>
      </c>
      <c r="AX875" s="80" t="s">
        <v>7173</v>
      </c>
      <c r="AY875" s="84" t="str">
        <f>HYPERLINK("https://twitter.com/gatauuserius")</f>
        <v>https://twitter.com/gatauuserius</v>
      </c>
      <c r="AZ875" s="80" t="s">
        <v>66</v>
      </c>
      <c r="BA875" s="2"/>
      <c r="BB875" s="3"/>
      <c r="BC875" s="3"/>
      <c r="BD875" s="3"/>
      <c r="BE875" s="3"/>
    </row>
    <row r="876" spans="1:57" x14ac:dyDescent="0.35">
      <c r="A876" s="66" t="s">
        <v>903</v>
      </c>
      <c r="B876" s="67"/>
      <c r="C876" s="67"/>
      <c r="D876" s="68"/>
      <c r="E876" s="70"/>
      <c r="F876" s="106" t="str">
        <f>HYPERLINK("https://pbs.twimg.com/profile_images/780659330676731905/wcQ_XcYe_normal.jpg")</f>
        <v>https://pbs.twimg.com/profile_images/780659330676731905/wcQ_XcYe_normal.jpg</v>
      </c>
      <c r="G876" s="67"/>
      <c r="H876" s="71"/>
      <c r="I876" s="72"/>
      <c r="J876" s="72"/>
      <c r="K876" s="71" t="s">
        <v>8046</v>
      </c>
      <c r="L876" s="75"/>
      <c r="M876" s="76"/>
      <c r="N876" s="76"/>
      <c r="O876" s="77"/>
      <c r="P876" s="78"/>
      <c r="Q876" s="78"/>
      <c r="R876" s="90"/>
      <c r="S876" s="90"/>
      <c r="T876" s="90"/>
      <c r="U876" s="90"/>
      <c r="V876" s="52"/>
      <c r="W876" s="52"/>
      <c r="X876" s="52"/>
      <c r="Y876" s="52"/>
      <c r="Z876" s="51"/>
      <c r="AA876" s="73"/>
      <c r="AB876" s="73"/>
      <c r="AC876" s="74"/>
      <c r="AD876" s="80" t="s">
        <v>4888</v>
      </c>
      <c r="AE876" s="86" t="s">
        <v>5848</v>
      </c>
      <c r="AF876" s="80">
        <v>1</v>
      </c>
      <c r="AG876" s="80">
        <v>544356</v>
      </c>
      <c r="AH876" s="80">
        <v>1499709</v>
      </c>
      <c r="AI876" s="80">
        <v>16</v>
      </c>
      <c r="AJ876" s="80"/>
      <c r="AK876" s="80" t="s">
        <v>6656</v>
      </c>
      <c r="AL876" s="80" t="s">
        <v>4145</v>
      </c>
      <c r="AM876" s="84" t="str">
        <f>HYPERLINK("https://t.co/FUKIPm0L1e")</f>
        <v>https://t.co/FUKIPm0L1e</v>
      </c>
      <c r="AN876" s="80"/>
      <c r="AO876" s="82">
        <v>41019.343298611115</v>
      </c>
      <c r="AP876" s="84" t="str">
        <f>HYPERLINK("https://pbs.twimg.com/profile_banners/558516132/1603034157")</f>
        <v>https://pbs.twimg.com/profile_banners/558516132/1603034157</v>
      </c>
      <c r="AQ876" s="80" t="b">
        <v>1</v>
      </c>
      <c r="AR876" s="80" t="b">
        <v>0</v>
      </c>
      <c r="AS876" s="80" t="b">
        <v>1</v>
      </c>
      <c r="AT876" s="80"/>
      <c r="AU876" s="80">
        <v>460</v>
      </c>
      <c r="AV876" s="84" t="str">
        <f>HYPERLINK("https://abs.twimg.com/images/themes/theme1/bg.png")</f>
        <v>https://abs.twimg.com/images/themes/theme1/bg.png</v>
      </c>
      <c r="AW876" s="80" t="b">
        <v>1</v>
      </c>
      <c r="AX876" s="80" t="s">
        <v>7173</v>
      </c>
      <c r="AY876" s="84" t="str">
        <f>HYPERLINK("https://twitter.com/pln_123")</f>
        <v>https://twitter.com/pln_123</v>
      </c>
      <c r="AZ876" s="80" t="s">
        <v>66</v>
      </c>
      <c r="BA876" s="2"/>
      <c r="BB876" s="3"/>
      <c r="BC876" s="3"/>
      <c r="BD876" s="3"/>
      <c r="BE876" s="3"/>
    </row>
    <row r="877" spans="1:57" x14ac:dyDescent="0.35">
      <c r="A877" s="66" t="s">
        <v>1177</v>
      </c>
      <c r="B877" s="67"/>
      <c r="C877" s="67"/>
      <c r="D877" s="68"/>
      <c r="E877" s="70"/>
      <c r="F877" s="106" t="str">
        <f>HYPERLINK("https://pbs.twimg.com/profile_images/1020937464842633218/VtSusK5l_normal.jpg")</f>
        <v>https://pbs.twimg.com/profile_images/1020937464842633218/VtSusK5l_normal.jpg</v>
      </c>
      <c r="G877" s="67"/>
      <c r="H877" s="71"/>
      <c r="I877" s="72"/>
      <c r="J877" s="72"/>
      <c r="K877" s="71" t="s">
        <v>8047</v>
      </c>
      <c r="L877" s="75"/>
      <c r="M877" s="76"/>
      <c r="N877" s="76"/>
      <c r="O877" s="77"/>
      <c r="P877" s="78"/>
      <c r="Q877" s="78"/>
      <c r="R877" s="90"/>
      <c r="S877" s="90"/>
      <c r="T877" s="90"/>
      <c r="U877" s="90"/>
      <c r="V877" s="52"/>
      <c r="W877" s="52"/>
      <c r="X877" s="52"/>
      <c r="Y877" s="52"/>
      <c r="Z877" s="51"/>
      <c r="AA877" s="73"/>
      <c r="AB877" s="73"/>
      <c r="AC877" s="74"/>
      <c r="AD877" s="80" t="s">
        <v>5042</v>
      </c>
      <c r="AE877" s="86" t="s">
        <v>4054</v>
      </c>
      <c r="AF877" s="80">
        <v>1904</v>
      </c>
      <c r="AG877" s="80">
        <v>1126</v>
      </c>
      <c r="AH877" s="80">
        <v>9505</v>
      </c>
      <c r="AI877" s="80">
        <v>3384</v>
      </c>
      <c r="AJ877" s="80"/>
      <c r="AK877" s="80"/>
      <c r="AL877" s="80" t="s">
        <v>7123</v>
      </c>
      <c r="AM877" s="80"/>
      <c r="AN877" s="80"/>
      <c r="AO877" s="82">
        <v>41888.694178240738</v>
      </c>
      <c r="AP877" s="84" t="str">
        <f>HYPERLINK("https://pbs.twimg.com/profile_banners/2794339567/1550451613")</f>
        <v>https://pbs.twimg.com/profile_banners/2794339567/1550451613</v>
      </c>
      <c r="AQ877" s="80" t="b">
        <v>1</v>
      </c>
      <c r="AR877" s="80" t="b">
        <v>0</v>
      </c>
      <c r="AS877" s="80" t="b">
        <v>0</v>
      </c>
      <c r="AT877" s="80"/>
      <c r="AU877" s="80">
        <v>2</v>
      </c>
      <c r="AV877" s="84" t="str">
        <f>HYPERLINK("https://abs.twimg.com/images/themes/theme1/bg.png")</f>
        <v>https://abs.twimg.com/images/themes/theme1/bg.png</v>
      </c>
      <c r="AW877" s="80" t="b">
        <v>0</v>
      </c>
      <c r="AX877" s="80" t="s">
        <v>7173</v>
      </c>
      <c r="AY877" s="84" t="str">
        <f>HYPERLINK("https://twitter.com/anissaherdian")</f>
        <v>https://twitter.com/anissaherdian</v>
      </c>
      <c r="AZ877" s="80" t="s">
        <v>65</v>
      </c>
      <c r="BA877" s="2"/>
      <c r="BB877" s="3"/>
      <c r="BC877" s="3"/>
      <c r="BD877" s="3"/>
      <c r="BE877" s="3"/>
    </row>
    <row r="878" spans="1:57" x14ac:dyDescent="0.35">
      <c r="A878" s="66" t="s">
        <v>1178</v>
      </c>
      <c r="B878" s="67"/>
      <c r="C878" s="67"/>
      <c r="D878" s="68"/>
      <c r="E878" s="70"/>
      <c r="F878" s="106" t="str">
        <f>HYPERLINK("https://pbs.twimg.com/profile_images/1270710821006397447/a_7nTR9S_normal.jpg")</f>
        <v>https://pbs.twimg.com/profile_images/1270710821006397447/a_7nTR9S_normal.jpg</v>
      </c>
      <c r="G878" s="67"/>
      <c r="H878" s="71"/>
      <c r="I878" s="72"/>
      <c r="J878" s="72"/>
      <c r="K878" s="71" t="s">
        <v>8048</v>
      </c>
      <c r="L878" s="75"/>
      <c r="M878" s="76"/>
      <c r="N878" s="76"/>
      <c r="O878" s="77"/>
      <c r="P878" s="78"/>
      <c r="Q878" s="78"/>
      <c r="R878" s="90"/>
      <c r="S878" s="90"/>
      <c r="T878" s="90"/>
      <c r="U878" s="90"/>
      <c r="V878" s="52"/>
      <c r="W878" s="52"/>
      <c r="X878" s="52"/>
      <c r="Y878" s="52"/>
      <c r="Z878" s="51"/>
      <c r="AA878" s="73"/>
      <c r="AB878" s="73"/>
      <c r="AC878" s="74"/>
      <c r="AD878" s="80" t="s">
        <v>5043</v>
      </c>
      <c r="AE878" s="86" t="s">
        <v>4055</v>
      </c>
      <c r="AF878" s="80">
        <v>311</v>
      </c>
      <c r="AG878" s="80">
        <v>407</v>
      </c>
      <c r="AH878" s="80">
        <v>33173</v>
      </c>
      <c r="AI878" s="80">
        <v>707</v>
      </c>
      <c r="AJ878" s="80"/>
      <c r="AK878" s="80"/>
      <c r="AL878" s="80"/>
      <c r="AM878" s="80"/>
      <c r="AN878" s="80"/>
      <c r="AO878" s="82">
        <v>40103.089398148149</v>
      </c>
      <c r="AP878" s="84" t="str">
        <f>HYPERLINK("https://pbs.twimg.com/profile_banners/83032125/1591796069")</f>
        <v>https://pbs.twimg.com/profile_banners/83032125/1591796069</v>
      </c>
      <c r="AQ878" s="80" t="b">
        <v>0</v>
      </c>
      <c r="AR878" s="80" t="b">
        <v>0</v>
      </c>
      <c r="AS878" s="80" t="b">
        <v>0</v>
      </c>
      <c r="AT878" s="80"/>
      <c r="AU878" s="80">
        <v>0</v>
      </c>
      <c r="AV878" s="84" t="str">
        <f>HYPERLINK("https://abs.twimg.com/images/themes/theme12/bg.gif")</f>
        <v>https://abs.twimg.com/images/themes/theme12/bg.gif</v>
      </c>
      <c r="AW878" s="80" t="b">
        <v>0</v>
      </c>
      <c r="AX878" s="80" t="s">
        <v>7173</v>
      </c>
      <c r="AY878" s="84" t="str">
        <f>HYPERLINK("https://twitter.com/husaiiin")</f>
        <v>https://twitter.com/husaiiin</v>
      </c>
      <c r="AZ878" s="80" t="s">
        <v>65</v>
      </c>
      <c r="BA878" s="2"/>
      <c r="BB878" s="3"/>
      <c r="BC878" s="3"/>
      <c r="BD878" s="3"/>
      <c r="BE878" s="3"/>
    </row>
    <row r="879" spans="1:57" x14ac:dyDescent="0.35">
      <c r="A879" s="66" t="s">
        <v>1179</v>
      </c>
      <c r="B879" s="67"/>
      <c r="C879" s="67"/>
      <c r="D879" s="68"/>
      <c r="E879" s="70"/>
      <c r="F879" s="106" t="str">
        <f>HYPERLINK("https://pbs.twimg.com/profile_images/1198177461319553024/X5-DRZIH_normal.jpg")</f>
        <v>https://pbs.twimg.com/profile_images/1198177461319553024/X5-DRZIH_normal.jpg</v>
      </c>
      <c r="G879" s="67"/>
      <c r="H879" s="71"/>
      <c r="I879" s="72"/>
      <c r="J879" s="72"/>
      <c r="K879" s="71" t="s">
        <v>8049</v>
      </c>
      <c r="L879" s="75"/>
      <c r="M879" s="76"/>
      <c r="N879" s="76"/>
      <c r="O879" s="77"/>
      <c r="P879" s="78"/>
      <c r="Q879" s="78"/>
      <c r="R879" s="90"/>
      <c r="S879" s="90"/>
      <c r="T879" s="90"/>
      <c r="U879" s="90"/>
      <c r="V879" s="52"/>
      <c r="W879" s="52"/>
      <c r="X879" s="52"/>
      <c r="Y879" s="52"/>
      <c r="Z879" s="51"/>
      <c r="AA879" s="73"/>
      <c r="AB879" s="73"/>
      <c r="AC879" s="74"/>
      <c r="AD879" s="80" t="s">
        <v>5044</v>
      </c>
      <c r="AE879" s="86" t="s">
        <v>4056</v>
      </c>
      <c r="AF879" s="80">
        <v>754</v>
      </c>
      <c r="AG879" s="80">
        <v>484</v>
      </c>
      <c r="AH879" s="80">
        <v>10032</v>
      </c>
      <c r="AI879" s="80">
        <v>905</v>
      </c>
      <c r="AJ879" s="80"/>
      <c r="AK879" s="80" t="s">
        <v>6657</v>
      </c>
      <c r="AL879" s="80" t="s">
        <v>7124</v>
      </c>
      <c r="AM879" s="84" t="str">
        <f>HYPERLINK("https://t.co/xTAIZRPP2y")</f>
        <v>https://t.co/xTAIZRPP2y</v>
      </c>
      <c r="AN879" s="80"/>
      <c r="AO879" s="82">
        <v>40525.135636574072</v>
      </c>
      <c r="AP879" s="84" t="str">
        <f>HYPERLINK("https://pbs.twimg.com/profile_banners/226019868/1526262854")</f>
        <v>https://pbs.twimg.com/profile_banners/226019868/1526262854</v>
      </c>
      <c r="AQ879" s="80" t="b">
        <v>0</v>
      </c>
      <c r="AR879" s="80" t="b">
        <v>0</v>
      </c>
      <c r="AS879" s="80" t="b">
        <v>1</v>
      </c>
      <c r="AT879" s="80"/>
      <c r="AU879" s="80">
        <v>2</v>
      </c>
      <c r="AV879" s="84" t="str">
        <f>HYPERLINK("https://abs.twimg.com/images/themes/theme10/bg.gif")</f>
        <v>https://abs.twimg.com/images/themes/theme10/bg.gif</v>
      </c>
      <c r="AW879" s="80" t="b">
        <v>0</v>
      </c>
      <c r="AX879" s="80" t="s">
        <v>7173</v>
      </c>
      <c r="AY879" s="84" t="str">
        <f>HYPERLINK("https://twitter.com/adiputradana")</f>
        <v>https://twitter.com/adiputradana</v>
      </c>
      <c r="AZ879" s="80" t="s">
        <v>65</v>
      </c>
      <c r="BA879" s="2"/>
      <c r="BB879" s="3"/>
      <c r="BC879" s="3"/>
      <c r="BD879" s="3"/>
      <c r="BE879" s="3"/>
    </row>
    <row r="880" spans="1:57" x14ac:dyDescent="0.35">
      <c r="A880" s="66" t="s">
        <v>904</v>
      </c>
      <c r="B880" s="67"/>
      <c r="C880" s="67"/>
      <c r="D880" s="68"/>
      <c r="E880" s="70"/>
      <c r="F880" s="106" t="str">
        <f>HYPERLINK("https://pbs.twimg.com/profile_images/807773183747047424/TrZ60QzK_normal.jpg")</f>
        <v>https://pbs.twimg.com/profile_images/807773183747047424/TrZ60QzK_normal.jpg</v>
      </c>
      <c r="G880" s="67"/>
      <c r="H880" s="71"/>
      <c r="I880" s="72"/>
      <c r="J880" s="72"/>
      <c r="K880" s="71" t="s">
        <v>8050</v>
      </c>
      <c r="L880" s="75"/>
      <c r="M880" s="76"/>
      <c r="N880" s="76"/>
      <c r="O880" s="77"/>
      <c r="P880" s="78"/>
      <c r="Q880" s="78"/>
      <c r="R880" s="90"/>
      <c r="S880" s="90"/>
      <c r="T880" s="90"/>
      <c r="U880" s="90"/>
      <c r="V880" s="52"/>
      <c r="W880" s="52"/>
      <c r="X880" s="52"/>
      <c r="Y880" s="52"/>
      <c r="Z880" s="51"/>
      <c r="AA880" s="73"/>
      <c r="AB880" s="73"/>
      <c r="AC880" s="74"/>
      <c r="AD880" s="80" t="s">
        <v>5045</v>
      </c>
      <c r="AE880" s="86" t="s">
        <v>4057</v>
      </c>
      <c r="AF880" s="80">
        <v>88</v>
      </c>
      <c r="AG880" s="80">
        <v>86</v>
      </c>
      <c r="AH880" s="80">
        <v>1398</v>
      </c>
      <c r="AI880" s="80">
        <v>76</v>
      </c>
      <c r="AJ880" s="80"/>
      <c r="AK880" s="80"/>
      <c r="AL880" s="80" t="s">
        <v>7125</v>
      </c>
      <c r="AM880" s="80"/>
      <c r="AN880" s="80"/>
      <c r="AO880" s="82">
        <v>41128.463206018518</v>
      </c>
      <c r="AP880" s="84" t="str">
        <f>HYPERLINK("https://pbs.twimg.com/profile_banners/742682454/1495450553")</f>
        <v>https://pbs.twimg.com/profile_banners/742682454/1495450553</v>
      </c>
      <c r="AQ880" s="80" t="b">
        <v>0</v>
      </c>
      <c r="AR880" s="80" t="b">
        <v>0</v>
      </c>
      <c r="AS880" s="80" t="b">
        <v>1</v>
      </c>
      <c r="AT880" s="80"/>
      <c r="AU880" s="80">
        <v>0</v>
      </c>
      <c r="AV880" s="84" t="str">
        <f>HYPERLINK("https://abs.twimg.com/images/themes/theme7/bg.gif")</f>
        <v>https://abs.twimg.com/images/themes/theme7/bg.gif</v>
      </c>
      <c r="AW880" s="80" t="b">
        <v>0</v>
      </c>
      <c r="AX880" s="80" t="s">
        <v>7173</v>
      </c>
      <c r="AY880" s="84" t="str">
        <f>HYPERLINK("https://twitter.com/achmad_zaenizen")</f>
        <v>https://twitter.com/achmad_zaenizen</v>
      </c>
      <c r="AZ880" s="80" t="s">
        <v>66</v>
      </c>
      <c r="BA880" s="2"/>
      <c r="BB880" s="3"/>
      <c r="BC880" s="3"/>
      <c r="BD880" s="3"/>
      <c r="BE880" s="3"/>
    </row>
    <row r="881" spans="1:57" x14ac:dyDescent="0.35">
      <c r="A881" s="66" t="s">
        <v>905</v>
      </c>
      <c r="B881" s="67"/>
      <c r="C881" s="67"/>
      <c r="D881" s="68"/>
      <c r="E881" s="70"/>
      <c r="F881" s="106" t="str">
        <f>HYPERLINK("https://pbs.twimg.com/profile_images/1308982330502062082/95fe69wK_normal.jpg")</f>
        <v>https://pbs.twimg.com/profile_images/1308982330502062082/95fe69wK_normal.jpg</v>
      </c>
      <c r="G881" s="67"/>
      <c r="H881" s="71"/>
      <c r="I881" s="72"/>
      <c r="J881" s="72"/>
      <c r="K881" s="71" t="s">
        <v>8051</v>
      </c>
      <c r="L881" s="75"/>
      <c r="M881" s="76"/>
      <c r="N881" s="76"/>
      <c r="O881" s="77"/>
      <c r="P881" s="78"/>
      <c r="Q881" s="78"/>
      <c r="R881" s="90"/>
      <c r="S881" s="90"/>
      <c r="T881" s="90"/>
      <c r="U881" s="90"/>
      <c r="V881" s="52"/>
      <c r="W881" s="52"/>
      <c r="X881" s="52"/>
      <c r="Y881" s="52"/>
      <c r="Z881" s="51"/>
      <c r="AA881" s="73"/>
      <c r="AB881" s="73"/>
      <c r="AC881" s="74"/>
      <c r="AD881" s="80" t="s">
        <v>5046</v>
      </c>
      <c r="AE881" s="86" t="s">
        <v>5849</v>
      </c>
      <c r="AF881" s="80">
        <v>0</v>
      </c>
      <c r="AG881" s="80">
        <v>0</v>
      </c>
      <c r="AH881" s="80">
        <v>1722</v>
      </c>
      <c r="AI881" s="80">
        <v>0</v>
      </c>
      <c r="AJ881" s="80"/>
      <c r="AK881" s="80"/>
      <c r="AL881" s="80"/>
      <c r="AM881" s="80"/>
      <c r="AN881" s="80"/>
      <c r="AO881" s="82">
        <v>44098.174178240741</v>
      </c>
      <c r="AP881" s="80"/>
      <c r="AQ881" s="80" t="b">
        <v>1</v>
      </c>
      <c r="AR881" s="80" t="b">
        <v>0</v>
      </c>
      <c r="AS881" s="80" t="b">
        <v>0</v>
      </c>
      <c r="AT881" s="80"/>
      <c r="AU881" s="80">
        <v>0</v>
      </c>
      <c r="AV881" s="80"/>
      <c r="AW881" s="80" t="b">
        <v>0</v>
      </c>
      <c r="AX881" s="80" t="s">
        <v>7173</v>
      </c>
      <c r="AY881" s="84" t="str">
        <f>HYPERLINK("https://twitter.com/polsekkuala2")</f>
        <v>https://twitter.com/polsekkuala2</v>
      </c>
      <c r="AZ881" s="80" t="s">
        <v>66</v>
      </c>
      <c r="BA881" s="2"/>
      <c r="BB881" s="3"/>
      <c r="BC881" s="3"/>
      <c r="BD881" s="3"/>
      <c r="BE881" s="3"/>
    </row>
    <row r="882" spans="1:57" x14ac:dyDescent="0.35">
      <c r="A882" s="66" t="s">
        <v>906</v>
      </c>
      <c r="B882" s="67"/>
      <c r="C882" s="67"/>
      <c r="D882" s="68"/>
      <c r="E882" s="70"/>
      <c r="F882" s="106" t="str">
        <f>HYPERLINK("https://pbs.twimg.com/profile_images/1433434759196131332/sS_6Ig11_normal.jpg")</f>
        <v>https://pbs.twimg.com/profile_images/1433434759196131332/sS_6Ig11_normal.jpg</v>
      </c>
      <c r="G882" s="67"/>
      <c r="H882" s="71"/>
      <c r="I882" s="72"/>
      <c r="J882" s="72"/>
      <c r="K882" s="71" t="s">
        <v>8052</v>
      </c>
      <c r="L882" s="75"/>
      <c r="M882" s="76"/>
      <c r="N882" s="76"/>
      <c r="O882" s="77"/>
      <c r="P882" s="78"/>
      <c r="Q882" s="78"/>
      <c r="R882" s="90"/>
      <c r="S882" s="90"/>
      <c r="T882" s="90"/>
      <c r="U882" s="90"/>
      <c r="V882" s="52"/>
      <c r="W882" s="52"/>
      <c r="X882" s="52"/>
      <c r="Y882" s="52"/>
      <c r="Z882" s="51"/>
      <c r="AA882" s="73"/>
      <c r="AB882" s="73"/>
      <c r="AC882" s="74"/>
      <c r="AD882" s="80" t="s">
        <v>5047</v>
      </c>
      <c r="AE882" s="86" t="s">
        <v>5850</v>
      </c>
      <c r="AF882" s="80">
        <v>232</v>
      </c>
      <c r="AG882" s="80">
        <v>293</v>
      </c>
      <c r="AH882" s="80">
        <v>991</v>
      </c>
      <c r="AI882" s="80">
        <v>1733</v>
      </c>
      <c r="AJ882" s="80"/>
      <c r="AK882" s="80" t="s">
        <v>6658</v>
      </c>
      <c r="AL882" s="80"/>
      <c r="AM882" s="80"/>
      <c r="AN882" s="80"/>
      <c r="AO882" s="82">
        <v>43894.772685185184</v>
      </c>
      <c r="AP882" s="84" t="str">
        <f>HYPERLINK("https://pbs.twimg.com/profile_banners/1235271909635317760/1630592452")</f>
        <v>https://pbs.twimg.com/profile_banners/1235271909635317760/1630592452</v>
      </c>
      <c r="AQ882" s="80" t="b">
        <v>1</v>
      </c>
      <c r="AR882" s="80" t="b">
        <v>0</v>
      </c>
      <c r="AS882" s="80" t="b">
        <v>1</v>
      </c>
      <c r="AT882" s="80"/>
      <c r="AU882" s="80">
        <v>0</v>
      </c>
      <c r="AV882" s="80"/>
      <c r="AW882" s="80" t="b">
        <v>0</v>
      </c>
      <c r="AX882" s="80" t="s">
        <v>7173</v>
      </c>
      <c r="AY882" s="84" t="str">
        <f>HYPERLINK("https://twitter.com/heynona94")</f>
        <v>https://twitter.com/heynona94</v>
      </c>
      <c r="AZ882" s="80" t="s">
        <v>66</v>
      </c>
      <c r="BA882" s="2"/>
      <c r="BB882" s="3"/>
      <c r="BC882" s="3"/>
      <c r="BD882" s="3"/>
      <c r="BE882" s="3"/>
    </row>
    <row r="883" spans="1:57" x14ac:dyDescent="0.35">
      <c r="A883" s="66" t="s">
        <v>907</v>
      </c>
      <c r="B883" s="67"/>
      <c r="C883" s="67"/>
      <c r="D883" s="68"/>
      <c r="E883" s="70"/>
      <c r="F883" s="106" t="str">
        <f>HYPERLINK("https://pbs.twimg.com/profile_images/1313274139436707840/soSwNamE_normal.jpg")</f>
        <v>https://pbs.twimg.com/profile_images/1313274139436707840/soSwNamE_normal.jpg</v>
      </c>
      <c r="G883" s="67"/>
      <c r="H883" s="71"/>
      <c r="I883" s="72"/>
      <c r="J883" s="72"/>
      <c r="K883" s="71" t="s">
        <v>8053</v>
      </c>
      <c r="L883" s="75"/>
      <c r="M883" s="76"/>
      <c r="N883" s="76"/>
      <c r="O883" s="77"/>
      <c r="P883" s="78"/>
      <c r="Q883" s="78"/>
      <c r="R883" s="90"/>
      <c r="S883" s="90"/>
      <c r="T883" s="90"/>
      <c r="U883" s="90"/>
      <c r="V883" s="52"/>
      <c r="W883" s="52"/>
      <c r="X883" s="52"/>
      <c r="Y883" s="52"/>
      <c r="Z883" s="51"/>
      <c r="AA883" s="73"/>
      <c r="AB883" s="73"/>
      <c r="AC883" s="74"/>
      <c r="AD883" s="80" t="s">
        <v>5048</v>
      </c>
      <c r="AE883" s="86" t="s">
        <v>4058</v>
      </c>
      <c r="AF883" s="80">
        <v>279</v>
      </c>
      <c r="AG883" s="80">
        <v>411</v>
      </c>
      <c r="AH883" s="80">
        <v>24006</v>
      </c>
      <c r="AI883" s="80">
        <v>4836</v>
      </c>
      <c r="AJ883" s="80"/>
      <c r="AK883" s="80" t="s">
        <v>6659</v>
      </c>
      <c r="AL883" s="80"/>
      <c r="AM883" s="80"/>
      <c r="AN883" s="80"/>
      <c r="AO883" s="82">
        <v>41115.408761574072</v>
      </c>
      <c r="AP883" s="80"/>
      <c r="AQ883" s="80" t="b">
        <v>0</v>
      </c>
      <c r="AR883" s="80" t="b">
        <v>0</v>
      </c>
      <c r="AS883" s="80" t="b">
        <v>1</v>
      </c>
      <c r="AT883" s="80"/>
      <c r="AU883" s="80">
        <v>0</v>
      </c>
      <c r="AV883" s="84" t="str">
        <f>HYPERLINK("https://abs.twimg.com/images/themes/theme10/bg.gif")</f>
        <v>https://abs.twimg.com/images/themes/theme10/bg.gif</v>
      </c>
      <c r="AW883" s="80" t="b">
        <v>0</v>
      </c>
      <c r="AX883" s="80" t="s">
        <v>7173</v>
      </c>
      <c r="AY883" s="84" t="str">
        <f>HYPERLINK("https://twitter.com/meiirandimeii")</f>
        <v>https://twitter.com/meiirandimeii</v>
      </c>
      <c r="AZ883" s="80" t="s">
        <v>66</v>
      </c>
      <c r="BA883" s="2"/>
      <c r="BB883" s="3"/>
      <c r="BC883" s="3"/>
      <c r="BD883" s="3"/>
      <c r="BE883" s="3"/>
    </row>
    <row r="884" spans="1:57" x14ac:dyDescent="0.35">
      <c r="A884" s="66" t="s">
        <v>908</v>
      </c>
      <c r="B884" s="67"/>
      <c r="C884" s="67"/>
      <c r="D884" s="68"/>
      <c r="E884" s="70"/>
      <c r="F884" s="106" t="str">
        <f>HYPERLINK("https://pbs.twimg.com/profile_images/984648858515816448/ix2cDQyH_normal.jpg")</f>
        <v>https://pbs.twimg.com/profile_images/984648858515816448/ix2cDQyH_normal.jpg</v>
      </c>
      <c r="G884" s="67"/>
      <c r="H884" s="71"/>
      <c r="I884" s="72"/>
      <c r="J884" s="72"/>
      <c r="K884" s="71" t="s">
        <v>8054</v>
      </c>
      <c r="L884" s="75"/>
      <c r="M884" s="76"/>
      <c r="N884" s="76"/>
      <c r="O884" s="77"/>
      <c r="P884" s="78"/>
      <c r="Q884" s="78"/>
      <c r="R884" s="90"/>
      <c r="S884" s="90"/>
      <c r="T884" s="90"/>
      <c r="U884" s="90"/>
      <c r="V884" s="52"/>
      <c r="W884" s="52"/>
      <c r="X884" s="52"/>
      <c r="Y884" s="52"/>
      <c r="Z884" s="51"/>
      <c r="AA884" s="73"/>
      <c r="AB884" s="73"/>
      <c r="AC884" s="74"/>
      <c r="AD884" s="80" t="s">
        <v>5049</v>
      </c>
      <c r="AE884" s="86" t="s">
        <v>5851</v>
      </c>
      <c r="AF884" s="80">
        <v>290</v>
      </c>
      <c r="AG884" s="80">
        <v>2056</v>
      </c>
      <c r="AH884" s="80">
        <v>8373</v>
      </c>
      <c r="AI884" s="80">
        <v>5934</v>
      </c>
      <c r="AJ884" s="80"/>
      <c r="AK884" s="80" t="s">
        <v>6660</v>
      </c>
      <c r="AL884" s="80" t="s">
        <v>7060</v>
      </c>
      <c r="AM884" s="84" t="str">
        <f>HYPERLINK("https://t.co/NZOkivJhqe")</f>
        <v>https://t.co/NZOkivJhqe</v>
      </c>
      <c r="AN884" s="80"/>
      <c r="AO884" s="82">
        <v>42404.107534722221</v>
      </c>
      <c r="AP884" s="84" t="str">
        <f>HYPERLINK("https://pbs.twimg.com/profile_banners/4875390783/1602551579")</f>
        <v>https://pbs.twimg.com/profile_banners/4875390783/1602551579</v>
      </c>
      <c r="AQ884" s="80" t="b">
        <v>0</v>
      </c>
      <c r="AR884" s="80" t="b">
        <v>0</v>
      </c>
      <c r="AS884" s="80" t="b">
        <v>1</v>
      </c>
      <c r="AT884" s="80"/>
      <c r="AU884" s="80">
        <v>0</v>
      </c>
      <c r="AV884" s="84" t="str">
        <f>HYPERLINK("https://abs.twimg.com/images/themes/theme1/bg.png")</f>
        <v>https://abs.twimg.com/images/themes/theme1/bg.png</v>
      </c>
      <c r="AW884" s="80" t="b">
        <v>0</v>
      </c>
      <c r="AX884" s="80" t="s">
        <v>7173</v>
      </c>
      <c r="AY884" s="84" t="str">
        <f>HYPERLINK("https://twitter.com/humaspemkotbkl")</f>
        <v>https://twitter.com/humaspemkotbkl</v>
      </c>
      <c r="AZ884" s="80" t="s">
        <v>66</v>
      </c>
      <c r="BA884" s="2"/>
      <c r="BB884" s="3"/>
      <c r="BC884" s="3"/>
      <c r="BD884" s="3"/>
      <c r="BE884" s="3"/>
    </row>
    <row r="885" spans="1:57" x14ac:dyDescent="0.35">
      <c r="A885" s="66" t="s">
        <v>909</v>
      </c>
      <c r="B885" s="67"/>
      <c r="C885" s="67"/>
      <c r="D885" s="68"/>
      <c r="E885" s="70"/>
      <c r="F885" s="106" t="str">
        <f>HYPERLINK("https://pbs.twimg.com/profile_images/1442093551983104003/3m5gimaJ_normal.jpg")</f>
        <v>https://pbs.twimg.com/profile_images/1442093551983104003/3m5gimaJ_normal.jpg</v>
      </c>
      <c r="G885" s="67"/>
      <c r="H885" s="71"/>
      <c r="I885" s="72"/>
      <c r="J885" s="72"/>
      <c r="K885" s="71" t="s">
        <v>8055</v>
      </c>
      <c r="L885" s="75"/>
      <c r="M885" s="76"/>
      <c r="N885" s="76"/>
      <c r="O885" s="77"/>
      <c r="P885" s="78"/>
      <c r="Q885" s="78"/>
      <c r="R885" s="90"/>
      <c r="S885" s="90"/>
      <c r="T885" s="90"/>
      <c r="U885" s="90"/>
      <c r="V885" s="52"/>
      <c r="W885" s="52"/>
      <c r="X885" s="52"/>
      <c r="Y885" s="52"/>
      <c r="Z885" s="51"/>
      <c r="AA885" s="73"/>
      <c r="AB885" s="73"/>
      <c r="AC885" s="74"/>
      <c r="AD885" s="80" t="s">
        <v>5050</v>
      </c>
      <c r="AE885" s="86" t="s">
        <v>5852</v>
      </c>
      <c r="AF885" s="80">
        <v>210</v>
      </c>
      <c r="AG885" s="80">
        <v>101</v>
      </c>
      <c r="AH885" s="80">
        <v>192</v>
      </c>
      <c r="AI885" s="80">
        <v>39</v>
      </c>
      <c r="AJ885" s="80"/>
      <c r="AK885" s="80" t="s">
        <v>6661</v>
      </c>
      <c r="AL885" s="80"/>
      <c r="AM885" s="80"/>
      <c r="AN885" s="80"/>
      <c r="AO885" s="82">
        <v>44465.079675925925</v>
      </c>
      <c r="AP885" s="84" t="str">
        <f>HYPERLINK("https://pbs.twimg.com/profile_banners/1441944263416156160/1632657047")</f>
        <v>https://pbs.twimg.com/profile_banners/1441944263416156160/1632657047</v>
      </c>
      <c r="AQ885" s="80" t="b">
        <v>1</v>
      </c>
      <c r="AR885" s="80" t="b">
        <v>0</v>
      </c>
      <c r="AS885" s="80" t="b">
        <v>0</v>
      </c>
      <c r="AT885" s="80"/>
      <c r="AU885" s="80">
        <v>0</v>
      </c>
      <c r="AV885" s="80"/>
      <c r="AW885" s="80" t="b">
        <v>0</v>
      </c>
      <c r="AX885" s="80" t="s">
        <v>7173</v>
      </c>
      <c r="AY885" s="84" t="str">
        <f>HYPERLINK("https://twitter.com/godfortunaa")</f>
        <v>https://twitter.com/godfortunaa</v>
      </c>
      <c r="AZ885" s="80" t="s">
        <v>66</v>
      </c>
      <c r="BA885" s="2"/>
      <c r="BB885" s="3"/>
      <c r="BC885" s="3"/>
      <c r="BD885" s="3"/>
      <c r="BE885" s="3"/>
    </row>
    <row r="886" spans="1:57" x14ac:dyDescent="0.35">
      <c r="A886" s="66" t="s">
        <v>1180</v>
      </c>
      <c r="B886" s="67"/>
      <c r="C886" s="67"/>
      <c r="D886" s="68"/>
      <c r="E886" s="70"/>
      <c r="F886" s="106" t="str">
        <f>HYPERLINK("https://pbs.twimg.com/profile_images/1406236086884462593/KTECvoQx_normal.jpg")</f>
        <v>https://pbs.twimg.com/profile_images/1406236086884462593/KTECvoQx_normal.jpg</v>
      </c>
      <c r="G886" s="67"/>
      <c r="H886" s="71"/>
      <c r="I886" s="72"/>
      <c r="J886" s="72"/>
      <c r="K886" s="71" t="s">
        <v>8056</v>
      </c>
      <c r="L886" s="75"/>
      <c r="M886" s="76"/>
      <c r="N886" s="76"/>
      <c r="O886" s="77"/>
      <c r="P886" s="78"/>
      <c r="Q886" s="78"/>
      <c r="R886" s="90"/>
      <c r="S886" s="90"/>
      <c r="T886" s="90"/>
      <c r="U886" s="90"/>
      <c r="V886" s="52"/>
      <c r="W886" s="52"/>
      <c r="X886" s="52"/>
      <c r="Y886" s="52"/>
      <c r="Z886" s="51"/>
      <c r="AA886" s="73"/>
      <c r="AB886" s="73"/>
      <c r="AC886" s="74"/>
      <c r="AD886" s="80" t="s">
        <v>5051</v>
      </c>
      <c r="AE886" s="86" t="s">
        <v>4059</v>
      </c>
      <c r="AF886" s="80">
        <v>586</v>
      </c>
      <c r="AG886" s="80">
        <v>26879</v>
      </c>
      <c r="AH886" s="80">
        <v>12356</v>
      </c>
      <c r="AI886" s="80">
        <v>1</v>
      </c>
      <c r="AJ886" s="80"/>
      <c r="AK886" s="80" t="s">
        <v>6662</v>
      </c>
      <c r="AL886" s="80" t="s">
        <v>4145</v>
      </c>
      <c r="AM886" s="84" t="str">
        <f>HYPERLINK("https://t.co/w4UJDnycW6")</f>
        <v>https://t.co/w4UJDnycW6</v>
      </c>
      <c r="AN886" s="80"/>
      <c r="AO886" s="82">
        <v>44160.727048611108</v>
      </c>
      <c r="AP886" s="84" t="str">
        <f>HYPERLINK("https://pbs.twimg.com/profile_banners/1331650559518990336/1624107790")</f>
        <v>https://pbs.twimg.com/profile_banners/1331650559518990336/1624107790</v>
      </c>
      <c r="AQ886" s="80" t="b">
        <v>1</v>
      </c>
      <c r="AR886" s="80" t="b">
        <v>0</v>
      </c>
      <c r="AS886" s="80" t="b">
        <v>0</v>
      </c>
      <c r="AT886" s="80"/>
      <c r="AU886" s="80">
        <v>131</v>
      </c>
      <c r="AV886" s="80"/>
      <c r="AW886" s="80" t="b">
        <v>0</v>
      </c>
      <c r="AX886" s="80" t="s">
        <v>7173</v>
      </c>
      <c r="AY886" s="84" t="str">
        <f>HYPERLINK("https://twitter.com/tanyakanrl")</f>
        <v>https://twitter.com/tanyakanrl</v>
      </c>
      <c r="AZ886" s="80" t="s">
        <v>65</v>
      </c>
      <c r="BA886" s="2"/>
      <c r="BB886" s="3"/>
      <c r="BC886" s="3"/>
      <c r="BD886" s="3"/>
      <c r="BE886" s="3"/>
    </row>
    <row r="887" spans="1:57" x14ac:dyDescent="0.35">
      <c r="A887" s="66" t="s">
        <v>911</v>
      </c>
      <c r="B887" s="67"/>
      <c r="C887" s="67"/>
      <c r="D887" s="68"/>
      <c r="E887" s="70"/>
      <c r="F887" s="106" t="str">
        <f>HYPERLINK("https://pbs.twimg.com/profile_images/414418350/pianomanfb_normal.jpg")</f>
        <v>https://pbs.twimg.com/profile_images/414418350/pianomanfb_normal.jpg</v>
      </c>
      <c r="G887" s="67"/>
      <c r="H887" s="71"/>
      <c r="I887" s="72"/>
      <c r="J887" s="72"/>
      <c r="K887" s="71" t="s">
        <v>8057</v>
      </c>
      <c r="L887" s="75"/>
      <c r="M887" s="76"/>
      <c r="N887" s="76"/>
      <c r="O887" s="77"/>
      <c r="P887" s="78"/>
      <c r="Q887" s="78"/>
      <c r="R887" s="90"/>
      <c r="S887" s="90"/>
      <c r="T887" s="90"/>
      <c r="U887" s="90"/>
      <c r="V887" s="52"/>
      <c r="W887" s="52"/>
      <c r="X887" s="52"/>
      <c r="Y887" s="52"/>
      <c r="Z887" s="51"/>
      <c r="AA887" s="73"/>
      <c r="AB887" s="73"/>
      <c r="AC887" s="74"/>
      <c r="AD887" s="80" t="s">
        <v>5052</v>
      </c>
      <c r="AE887" s="86" t="s">
        <v>5853</v>
      </c>
      <c r="AF887" s="80">
        <v>324</v>
      </c>
      <c r="AG887" s="80">
        <v>257</v>
      </c>
      <c r="AH887" s="80">
        <v>14609</v>
      </c>
      <c r="AI887" s="80">
        <v>21</v>
      </c>
      <c r="AJ887" s="80"/>
      <c r="AK887" s="80" t="s">
        <v>6663</v>
      </c>
      <c r="AL887" s="80" t="s">
        <v>7079</v>
      </c>
      <c r="AM887" s="84" t="str">
        <f>HYPERLINK("https://t.co/Pnx08oXFBJ")</f>
        <v>https://t.co/Pnx08oXFBJ</v>
      </c>
      <c r="AN887" s="80"/>
      <c r="AO887" s="82">
        <v>40070.496319444443</v>
      </c>
      <c r="AP887" s="84" t="str">
        <f>HYPERLINK("https://pbs.twimg.com/profile_banners/74138178/1632758039")</f>
        <v>https://pbs.twimg.com/profile_banners/74138178/1632758039</v>
      </c>
      <c r="AQ887" s="80" t="b">
        <v>0</v>
      </c>
      <c r="AR887" s="80" t="b">
        <v>0</v>
      </c>
      <c r="AS887" s="80" t="b">
        <v>0</v>
      </c>
      <c r="AT887" s="80"/>
      <c r="AU887" s="80">
        <v>5</v>
      </c>
      <c r="AV887" s="84" t="str">
        <f>HYPERLINK("https://abs.twimg.com/images/themes/theme8/bg.gif")</f>
        <v>https://abs.twimg.com/images/themes/theme8/bg.gif</v>
      </c>
      <c r="AW887" s="80" t="b">
        <v>0</v>
      </c>
      <c r="AX887" s="80" t="s">
        <v>7173</v>
      </c>
      <c r="AY887" s="84" t="str">
        <f>HYPERLINK("https://twitter.com/harrynuriman")</f>
        <v>https://twitter.com/harrynuriman</v>
      </c>
      <c r="AZ887" s="80" t="s">
        <v>66</v>
      </c>
      <c r="BA887" s="2"/>
      <c r="BB887" s="3"/>
      <c r="BC887" s="3"/>
      <c r="BD887" s="3"/>
      <c r="BE887" s="3"/>
    </row>
    <row r="888" spans="1:57" x14ac:dyDescent="0.35">
      <c r="A888" s="66" t="s">
        <v>912</v>
      </c>
      <c r="B888" s="67"/>
      <c r="C888" s="67"/>
      <c r="D888" s="68"/>
      <c r="E888" s="70"/>
      <c r="F888" s="106" t="str">
        <f>HYPERLINK("https://pbs.twimg.com/profile_images/764999946449788930/DJGwvVPd_normal.jpg")</f>
        <v>https://pbs.twimg.com/profile_images/764999946449788930/DJGwvVPd_normal.jpg</v>
      </c>
      <c r="G888" s="67"/>
      <c r="H888" s="71"/>
      <c r="I888" s="72"/>
      <c r="J888" s="72"/>
      <c r="K888" s="71" t="s">
        <v>8058</v>
      </c>
      <c r="L888" s="75"/>
      <c r="M888" s="76"/>
      <c r="N888" s="76"/>
      <c r="O888" s="77"/>
      <c r="P888" s="78"/>
      <c r="Q888" s="78"/>
      <c r="R888" s="90"/>
      <c r="S888" s="90"/>
      <c r="T888" s="90"/>
      <c r="U888" s="90"/>
      <c r="V888" s="52"/>
      <c r="W888" s="52"/>
      <c r="X888" s="52"/>
      <c r="Y888" s="52"/>
      <c r="Z888" s="51"/>
      <c r="AA888" s="73"/>
      <c r="AB888" s="73"/>
      <c r="AC888" s="74"/>
      <c r="AD888" s="80" t="s">
        <v>5053</v>
      </c>
      <c r="AE888" s="86" t="s">
        <v>4061</v>
      </c>
      <c r="AF888" s="80">
        <v>385</v>
      </c>
      <c r="AG888" s="80">
        <v>732</v>
      </c>
      <c r="AH888" s="80">
        <v>4859</v>
      </c>
      <c r="AI888" s="80">
        <v>56</v>
      </c>
      <c r="AJ888" s="80"/>
      <c r="AK888" s="80" t="s">
        <v>6664</v>
      </c>
      <c r="AL888" s="80" t="s">
        <v>7126</v>
      </c>
      <c r="AM888" s="84" t="str">
        <f>HYPERLINK("https://t.co/Q9PAKiREEs")</f>
        <v>https://t.co/Q9PAKiREEs</v>
      </c>
      <c r="AN888" s="80"/>
      <c r="AO888" s="82">
        <v>41038.518437500003</v>
      </c>
      <c r="AP888" s="84" t="str">
        <f>HYPERLINK("https://pbs.twimg.com/profile_banners/575312554/1495614154")</f>
        <v>https://pbs.twimg.com/profile_banners/575312554/1495614154</v>
      </c>
      <c r="AQ888" s="80" t="b">
        <v>0</v>
      </c>
      <c r="AR888" s="80" t="b">
        <v>0</v>
      </c>
      <c r="AS888" s="80" t="b">
        <v>1</v>
      </c>
      <c r="AT888" s="80"/>
      <c r="AU888" s="80">
        <v>0</v>
      </c>
      <c r="AV888" s="84" t="str">
        <f>HYPERLINK("https://abs.twimg.com/images/themes/theme1/bg.png")</f>
        <v>https://abs.twimg.com/images/themes/theme1/bg.png</v>
      </c>
      <c r="AW888" s="80" t="b">
        <v>0</v>
      </c>
      <c r="AX888" s="80" t="s">
        <v>7173</v>
      </c>
      <c r="AY888" s="84" t="str">
        <f>HYPERLINK("https://twitter.com/himapentikaunri")</f>
        <v>https://twitter.com/himapentikaunri</v>
      </c>
      <c r="AZ888" s="80" t="s">
        <v>66</v>
      </c>
      <c r="BA888" s="2"/>
      <c r="BB888" s="3"/>
      <c r="BC888" s="3"/>
      <c r="BD888" s="3"/>
      <c r="BE888" s="3"/>
    </row>
    <row r="889" spans="1:57" x14ac:dyDescent="0.35">
      <c r="A889" s="66" t="s">
        <v>913</v>
      </c>
      <c r="B889" s="67"/>
      <c r="C889" s="67"/>
      <c r="D889" s="68"/>
      <c r="E889" s="70"/>
      <c r="F889" s="106" t="str">
        <f>HYPERLINK("https://pbs.twimg.com/profile_images/1440205363924459524/Jw4fbh7t_normal.jpg")</f>
        <v>https://pbs.twimg.com/profile_images/1440205363924459524/Jw4fbh7t_normal.jpg</v>
      </c>
      <c r="G889" s="67"/>
      <c r="H889" s="71"/>
      <c r="I889" s="72"/>
      <c r="J889" s="72"/>
      <c r="K889" s="71" t="s">
        <v>8059</v>
      </c>
      <c r="L889" s="75"/>
      <c r="M889" s="76"/>
      <c r="N889" s="76"/>
      <c r="O889" s="77"/>
      <c r="P889" s="78"/>
      <c r="Q889" s="78"/>
      <c r="R889" s="90"/>
      <c r="S889" s="90"/>
      <c r="T889" s="90"/>
      <c r="U889" s="90"/>
      <c r="V889" s="52"/>
      <c r="W889" s="52"/>
      <c r="X889" s="52"/>
      <c r="Y889" s="52"/>
      <c r="Z889" s="51"/>
      <c r="AA889" s="73"/>
      <c r="AB889" s="73"/>
      <c r="AC889" s="74"/>
      <c r="AD889" s="80" t="s">
        <v>5054</v>
      </c>
      <c r="AE889" s="86" t="s">
        <v>5854</v>
      </c>
      <c r="AF889" s="80">
        <v>240</v>
      </c>
      <c r="AG889" s="80">
        <v>237</v>
      </c>
      <c r="AH889" s="80">
        <v>2458</v>
      </c>
      <c r="AI889" s="80">
        <v>6420</v>
      </c>
      <c r="AJ889" s="80"/>
      <c r="AK889" s="80" t="s">
        <v>6665</v>
      </c>
      <c r="AL889" s="80" t="s">
        <v>7127</v>
      </c>
      <c r="AM889" s="80"/>
      <c r="AN889" s="80"/>
      <c r="AO889" s="82">
        <v>40780.642928240741</v>
      </c>
      <c r="AP889" s="84" t="str">
        <f>HYPERLINK("https://pbs.twimg.com/profile_banners/361928081/1630753423")</f>
        <v>https://pbs.twimg.com/profile_banners/361928081/1630753423</v>
      </c>
      <c r="AQ889" s="80" t="b">
        <v>0</v>
      </c>
      <c r="AR889" s="80" t="b">
        <v>0</v>
      </c>
      <c r="AS889" s="80" t="b">
        <v>1</v>
      </c>
      <c r="AT889" s="80"/>
      <c r="AU889" s="80">
        <v>0</v>
      </c>
      <c r="AV889" s="84" t="str">
        <f>HYPERLINK("https://abs.twimg.com/images/themes/theme1/bg.png")</f>
        <v>https://abs.twimg.com/images/themes/theme1/bg.png</v>
      </c>
      <c r="AW889" s="80" t="b">
        <v>0</v>
      </c>
      <c r="AX889" s="80" t="s">
        <v>7173</v>
      </c>
      <c r="AY889" s="84" t="str">
        <f>HYPERLINK("https://twitter.com/prakasitams")</f>
        <v>https://twitter.com/prakasitams</v>
      </c>
      <c r="AZ889" s="80" t="s">
        <v>66</v>
      </c>
      <c r="BA889" s="2"/>
      <c r="BB889" s="3"/>
      <c r="BC889" s="3"/>
      <c r="BD889" s="3"/>
      <c r="BE889" s="3"/>
    </row>
    <row r="890" spans="1:57" x14ac:dyDescent="0.35">
      <c r="A890" s="66" t="s">
        <v>1181</v>
      </c>
      <c r="B890" s="67"/>
      <c r="C890" s="67"/>
      <c r="D890" s="68"/>
      <c r="E890" s="70"/>
      <c r="F890" s="106" t="str">
        <f>HYPERLINK("https://pbs.twimg.com/profile_images/1442120495122436098/s2r9p4iu_normal.jpg")</f>
        <v>https://pbs.twimg.com/profile_images/1442120495122436098/s2r9p4iu_normal.jpg</v>
      </c>
      <c r="G890" s="67"/>
      <c r="H890" s="71"/>
      <c r="I890" s="72"/>
      <c r="J890" s="72"/>
      <c r="K890" s="71" t="s">
        <v>8060</v>
      </c>
      <c r="L890" s="75"/>
      <c r="M890" s="76"/>
      <c r="N890" s="76"/>
      <c r="O890" s="77"/>
      <c r="P890" s="78"/>
      <c r="Q890" s="78"/>
      <c r="R890" s="90"/>
      <c r="S890" s="90"/>
      <c r="T890" s="90"/>
      <c r="U890" s="90"/>
      <c r="V890" s="52"/>
      <c r="W890" s="52"/>
      <c r="X890" s="52"/>
      <c r="Y890" s="52"/>
      <c r="Z890" s="51"/>
      <c r="AA890" s="73"/>
      <c r="AB890" s="73"/>
      <c r="AC890" s="74"/>
      <c r="AD890" s="80" t="s">
        <v>5055</v>
      </c>
      <c r="AE890" s="86" t="s">
        <v>4062</v>
      </c>
      <c r="AF890" s="80">
        <v>346</v>
      </c>
      <c r="AG890" s="80">
        <v>700</v>
      </c>
      <c r="AH890" s="80">
        <v>39009</v>
      </c>
      <c r="AI890" s="80">
        <v>1936</v>
      </c>
      <c r="AJ890" s="80"/>
      <c r="AK890" s="80" t="s">
        <v>6666</v>
      </c>
      <c r="AL890" s="80" t="s">
        <v>7128</v>
      </c>
      <c r="AM890" s="80"/>
      <c r="AN890" s="80"/>
      <c r="AO890" s="82">
        <v>40693.524513888886</v>
      </c>
      <c r="AP890" s="84" t="str">
        <f>HYPERLINK("https://pbs.twimg.com/profile_banners/307863876/1531586551")</f>
        <v>https://pbs.twimg.com/profile_banners/307863876/1531586551</v>
      </c>
      <c r="AQ890" s="80" t="b">
        <v>0</v>
      </c>
      <c r="AR890" s="80" t="b">
        <v>0</v>
      </c>
      <c r="AS890" s="80" t="b">
        <v>0</v>
      </c>
      <c r="AT890" s="80"/>
      <c r="AU890" s="80">
        <v>0</v>
      </c>
      <c r="AV890" s="84" t="str">
        <f>HYPERLINK("https://abs.twimg.com/images/themes/theme1/bg.png")</f>
        <v>https://abs.twimg.com/images/themes/theme1/bg.png</v>
      </c>
      <c r="AW890" s="80" t="b">
        <v>0</v>
      </c>
      <c r="AX890" s="80" t="s">
        <v>7173</v>
      </c>
      <c r="AY890" s="84" t="str">
        <f>HYPERLINK("https://twitter.com/qonitawn")</f>
        <v>https://twitter.com/qonitawn</v>
      </c>
      <c r="AZ890" s="80" t="s">
        <v>65</v>
      </c>
      <c r="BA890" s="2"/>
      <c r="BB890" s="3"/>
      <c r="BC890" s="3"/>
      <c r="BD890" s="3"/>
      <c r="BE890" s="3"/>
    </row>
    <row r="891" spans="1:57" x14ac:dyDescent="0.35">
      <c r="A891" s="66" t="s">
        <v>914</v>
      </c>
      <c r="B891" s="67"/>
      <c r="C891" s="67"/>
      <c r="D891" s="68"/>
      <c r="E891" s="70"/>
      <c r="F891" s="106" t="str">
        <f>HYPERLINK("https://pbs.twimg.com/profile_images/915028163700285440/_AUDht47_normal.jpg")</f>
        <v>https://pbs.twimg.com/profile_images/915028163700285440/_AUDht47_normal.jpg</v>
      </c>
      <c r="G891" s="67"/>
      <c r="H891" s="71"/>
      <c r="I891" s="72"/>
      <c r="J891" s="72"/>
      <c r="K891" s="71" t="s">
        <v>8061</v>
      </c>
      <c r="L891" s="75"/>
      <c r="M891" s="76"/>
      <c r="N891" s="76"/>
      <c r="O891" s="77"/>
      <c r="P891" s="78"/>
      <c r="Q891" s="78"/>
      <c r="R891" s="90"/>
      <c r="S891" s="90"/>
      <c r="T891" s="90"/>
      <c r="U891" s="90"/>
      <c r="V891" s="52"/>
      <c r="W891" s="52"/>
      <c r="X891" s="52"/>
      <c r="Y891" s="52"/>
      <c r="Z891" s="51"/>
      <c r="AA891" s="73"/>
      <c r="AB891" s="73"/>
      <c r="AC891" s="74"/>
      <c r="AD891" s="80" t="s">
        <v>5056</v>
      </c>
      <c r="AE891" s="86" t="s">
        <v>4063</v>
      </c>
      <c r="AF891" s="80">
        <v>184</v>
      </c>
      <c r="AG891" s="80">
        <v>66916</v>
      </c>
      <c r="AH891" s="80">
        <v>27259</v>
      </c>
      <c r="AI891" s="80">
        <v>1430</v>
      </c>
      <c r="AJ891" s="80"/>
      <c r="AK891" s="80" t="s">
        <v>6667</v>
      </c>
      <c r="AL891" s="80" t="s">
        <v>6762</v>
      </c>
      <c r="AM891" s="84" t="str">
        <f>HYPERLINK("https://t.co/cTiPd265Sr")</f>
        <v>https://t.co/cTiPd265Sr</v>
      </c>
      <c r="AN891" s="80"/>
      <c r="AO891" s="82">
        <v>42705.367662037039</v>
      </c>
      <c r="AP891" s="84" t="str">
        <f>HYPERLINK("https://pbs.twimg.com/profile_banners/804246011837190145/1546842847")</f>
        <v>https://pbs.twimg.com/profile_banners/804246011837190145/1546842847</v>
      </c>
      <c r="AQ891" s="80" t="b">
        <v>1</v>
      </c>
      <c r="AR891" s="80" t="b">
        <v>0</v>
      </c>
      <c r="AS891" s="80" t="b">
        <v>1</v>
      </c>
      <c r="AT891" s="80"/>
      <c r="AU891" s="80">
        <v>61</v>
      </c>
      <c r="AV891" s="80"/>
      <c r="AW891" s="80" t="b">
        <v>1</v>
      </c>
      <c r="AX891" s="80" t="s">
        <v>7173</v>
      </c>
      <c r="AY891" s="84" t="str">
        <f>HYPERLINK("https://twitter.com/humas_jogja")</f>
        <v>https://twitter.com/humas_jogja</v>
      </c>
      <c r="AZ891" s="80" t="s">
        <v>66</v>
      </c>
      <c r="BA891" s="2"/>
      <c r="BB891" s="3"/>
      <c r="BC891" s="3"/>
      <c r="BD891" s="3"/>
      <c r="BE891" s="3"/>
    </row>
    <row r="892" spans="1:57" x14ac:dyDescent="0.35">
      <c r="A892" s="66" t="s">
        <v>915</v>
      </c>
      <c r="B892" s="67"/>
      <c r="C892" s="67"/>
      <c r="D892" s="68"/>
      <c r="E892" s="70"/>
      <c r="F892" s="106" t="str">
        <f>HYPERLINK("https://pbs.twimg.com/profile_images/1407163436530688001/Ou5aPw_F_normal.jpg")</f>
        <v>https://pbs.twimg.com/profile_images/1407163436530688001/Ou5aPw_F_normal.jpg</v>
      </c>
      <c r="G892" s="67"/>
      <c r="H892" s="71"/>
      <c r="I892" s="72"/>
      <c r="J892" s="72"/>
      <c r="K892" s="71" t="s">
        <v>8062</v>
      </c>
      <c r="L892" s="75"/>
      <c r="M892" s="76"/>
      <c r="N892" s="76"/>
      <c r="O892" s="77"/>
      <c r="P892" s="78"/>
      <c r="Q892" s="78"/>
      <c r="R892" s="90"/>
      <c r="S892" s="90"/>
      <c r="T892" s="90"/>
      <c r="U892" s="90"/>
      <c r="V892" s="52"/>
      <c r="W892" s="52"/>
      <c r="X892" s="52"/>
      <c r="Y892" s="52"/>
      <c r="Z892" s="51"/>
      <c r="AA892" s="73"/>
      <c r="AB892" s="73"/>
      <c r="AC892" s="74"/>
      <c r="AD892" s="80" t="s">
        <v>5057</v>
      </c>
      <c r="AE892" s="86" t="s">
        <v>5855</v>
      </c>
      <c r="AF892" s="80">
        <v>97</v>
      </c>
      <c r="AG892" s="80">
        <v>84</v>
      </c>
      <c r="AH892" s="80">
        <v>1794</v>
      </c>
      <c r="AI892" s="80">
        <v>22</v>
      </c>
      <c r="AJ892" s="80"/>
      <c r="AK892" s="80" t="s">
        <v>6668</v>
      </c>
      <c r="AL892" s="80" t="s">
        <v>7129</v>
      </c>
      <c r="AM892" s="84" t="str">
        <f>HYPERLINK("https://t.co/ygU1BUWFgs")</f>
        <v>https://t.co/ygU1BUWFgs</v>
      </c>
      <c r="AN892" s="80"/>
      <c r="AO892" s="82">
        <v>43991.734884259262</v>
      </c>
      <c r="AP892" s="84" t="str">
        <f>HYPERLINK("https://pbs.twimg.com/profile_banners/1270409850258784256/1591728022")</f>
        <v>https://pbs.twimg.com/profile_banners/1270409850258784256/1591728022</v>
      </c>
      <c r="AQ892" s="80" t="b">
        <v>1</v>
      </c>
      <c r="AR892" s="80" t="b">
        <v>0</v>
      </c>
      <c r="AS892" s="80" t="b">
        <v>0</v>
      </c>
      <c r="AT892" s="80"/>
      <c r="AU892" s="80">
        <v>0</v>
      </c>
      <c r="AV892" s="80"/>
      <c r="AW892" s="80" t="b">
        <v>0</v>
      </c>
      <c r="AX892" s="80" t="s">
        <v>7173</v>
      </c>
      <c r="AY892" s="84" t="str">
        <f>HYPERLINK("https://twitter.com/muwiosigu")</f>
        <v>https://twitter.com/muwiosigu</v>
      </c>
      <c r="AZ892" s="80" t="s">
        <v>66</v>
      </c>
      <c r="BA892" s="2"/>
      <c r="BB892" s="3"/>
      <c r="BC892" s="3"/>
      <c r="BD892" s="3"/>
      <c r="BE892" s="3"/>
    </row>
    <row r="893" spans="1:57" x14ac:dyDescent="0.35">
      <c r="A893" s="66" t="s">
        <v>916</v>
      </c>
      <c r="B893" s="67"/>
      <c r="C893" s="67"/>
      <c r="D893" s="68"/>
      <c r="E893" s="70"/>
      <c r="F893" s="106" t="str">
        <f>HYPERLINK("https://pbs.twimg.com/profile_images/1441753500623392768/9y-6KKYD_normal.jpg")</f>
        <v>https://pbs.twimg.com/profile_images/1441753500623392768/9y-6KKYD_normal.jpg</v>
      </c>
      <c r="G893" s="67"/>
      <c r="H893" s="71"/>
      <c r="I893" s="72"/>
      <c r="J893" s="72"/>
      <c r="K893" s="71" t="s">
        <v>8063</v>
      </c>
      <c r="L893" s="75"/>
      <c r="M893" s="76"/>
      <c r="N893" s="76"/>
      <c r="O893" s="77"/>
      <c r="P893" s="78"/>
      <c r="Q893" s="78"/>
      <c r="R893" s="90"/>
      <c r="S893" s="90"/>
      <c r="T893" s="90"/>
      <c r="U893" s="90"/>
      <c r="V893" s="52"/>
      <c r="W893" s="52"/>
      <c r="X893" s="52"/>
      <c r="Y893" s="52"/>
      <c r="Z893" s="51"/>
      <c r="AA893" s="73"/>
      <c r="AB893" s="73"/>
      <c r="AC893" s="74"/>
      <c r="AD893" s="80" t="s">
        <v>5058</v>
      </c>
      <c r="AE893" s="86" t="s">
        <v>5856</v>
      </c>
      <c r="AF893" s="80">
        <v>100</v>
      </c>
      <c r="AG893" s="80">
        <v>17</v>
      </c>
      <c r="AH893" s="80">
        <v>90</v>
      </c>
      <c r="AI893" s="80">
        <v>1974</v>
      </c>
      <c r="AJ893" s="80"/>
      <c r="AK893" s="80" t="s">
        <v>6669</v>
      </c>
      <c r="AL893" s="80" t="s">
        <v>7130</v>
      </c>
      <c r="AM893" s="80"/>
      <c r="AN893" s="80"/>
      <c r="AO893" s="82">
        <v>43088.067777777775</v>
      </c>
      <c r="AP893" s="84" t="str">
        <f>HYPERLINK("https://pbs.twimg.com/profile_banners/942931892898209792/1538794309")</f>
        <v>https://pbs.twimg.com/profile_banners/942931892898209792/1538794309</v>
      </c>
      <c r="AQ893" s="80" t="b">
        <v>1</v>
      </c>
      <c r="AR893" s="80" t="b">
        <v>0</v>
      </c>
      <c r="AS893" s="80" t="b">
        <v>0</v>
      </c>
      <c r="AT893" s="80"/>
      <c r="AU893" s="80">
        <v>0</v>
      </c>
      <c r="AV893" s="80"/>
      <c r="AW893" s="80" t="b">
        <v>0</v>
      </c>
      <c r="AX893" s="80" t="s">
        <v>7173</v>
      </c>
      <c r="AY893" s="84" t="str">
        <f>HYPERLINK("https://twitter.com/windykurniawa16")</f>
        <v>https://twitter.com/windykurniawa16</v>
      </c>
      <c r="AZ893" s="80" t="s">
        <v>66</v>
      </c>
      <c r="BA893" s="2"/>
      <c r="BB893" s="3"/>
      <c r="BC893" s="3"/>
      <c r="BD893" s="3"/>
      <c r="BE893" s="3"/>
    </row>
    <row r="894" spans="1:57" x14ac:dyDescent="0.35">
      <c r="A894" s="66" t="s">
        <v>917</v>
      </c>
      <c r="B894" s="67"/>
      <c r="C894" s="67"/>
      <c r="D894" s="68"/>
      <c r="E894" s="70"/>
      <c r="F894" s="106" t="str">
        <f>HYPERLINK("https://pbs.twimg.com/profile_images/1385347265271787521/Cxx8Msqe_normal.jpg")</f>
        <v>https://pbs.twimg.com/profile_images/1385347265271787521/Cxx8Msqe_normal.jpg</v>
      </c>
      <c r="G894" s="67"/>
      <c r="H894" s="71"/>
      <c r="I894" s="72"/>
      <c r="J894" s="72"/>
      <c r="K894" s="71" t="s">
        <v>8064</v>
      </c>
      <c r="L894" s="75"/>
      <c r="M894" s="76"/>
      <c r="N894" s="76"/>
      <c r="O894" s="77"/>
      <c r="P894" s="78"/>
      <c r="Q894" s="78"/>
      <c r="R894" s="90"/>
      <c r="S894" s="90"/>
      <c r="T894" s="90"/>
      <c r="U894" s="90"/>
      <c r="V894" s="52"/>
      <c r="W894" s="52"/>
      <c r="X894" s="52"/>
      <c r="Y894" s="52"/>
      <c r="Z894" s="51"/>
      <c r="AA894" s="73"/>
      <c r="AB894" s="73"/>
      <c r="AC894" s="74"/>
      <c r="AD894" s="80" t="s">
        <v>5059</v>
      </c>
      <c r="AE894" s="86" t="s">
        <v>5857</v>
      </c>
      <c r="AF894" s="80">
        <v>84</v>
      </c>
      <c r="AG894" s="80">
        <v>136</v>
      </c>
      <c r="AH894" s="80">
        <v>1360</v>
      </c>
      <c r="AI894" s="80">
        <v>731</v>
      </c>
      <c r="AJ894" s="80"/>
      <c r="AK894" s="80"/>
      <c r="AL894" s="80"/>
      <c r="AM894" s="84" t="str">
        <f>HYPERLINK("https://t.co/bgaS3gW3cn")</f>
        <v>https://t.co/bgaS3gW3cn</v>
      </c>
      <c r="AN894" s="80"/>
      <c r="AO894" s="82">
        <v>43715.287719907406</v>
      </c>
      <c r="AP894" s="84" t="str">
        <f>HYPERLINK("https://pbs.twimg.com/profile_banners/1170228733917032448/1621088844")</f>
        <v>https://pbs.twimg.com/profile_banners/1170228733917032448/1621088844</v>
      </c>
      <c r="AQ894" s="80" t="b">
        <v>1</v>
      </c>
      <c r="AR894" s="80" t="b">
        <v>0</v>
      </c>
      <c r="AS894" s="80" t="b">
        <v>1</v>
      </c>
      <c r="AT894" s="80"/>
      <c r="AU894" s="80">
        <v>0</v>
      </c>
      <c r="AV894" s="80"/>
      <c r="AW894" s="80" t="b">
        <v>0</v>
      </c>
      <c r="AX894" s="80" t="s">
        <v>7173</v>
      </c>
      <c r="AY894" s="84" t="str">
        <f>HYPERLINK("https://twitter.com/stwnhendra_")</f>
        <v>https://twitter.com/stwnhendra_</v>
      </c>
      <c r="AZ894" s="80" t="s">
        <v>66</v>
      </c>
      <c r="BA894" s="2"/>
      <c r="BB894" s="3"/>
      <c r="BC894" s="3"/>
      <c r="BD894" s="3"/>
      <c r="BE894" s="3"/>
    </row>
    <row r="895" spans="1:57" x14ac:dyDescent="0.35">
      <c r="A895" s="66" t="s">
        <v>1182</v>
      </c>
      <c r="B895" s="67"/>
      <c r="C895" s="67"/>
      <c r="D895" s="68"/>
      <c r="E895" s="70"/>
      <c r="F895" s="106" t="str">
        <f>HYPERLINK("https://pbs.twimg.com/profile_images/1356267149694656515/diGy_Eax_normal.jpg")</f>
        <v>https://pbs.twimg.com/profile_images/1356267149694656515/diGy_Eax_normal.jpg</v>
      </c>
      <c r="G895" s="67"/>
      <c r="H895" s="71"/>
      <c r="I895" s="72"/>
      <c r="J895" s="72"/>
      <c r="K895" s="71" t="s">
        <v>8065</v>
      </c>
      <c r="L895" s="75"/>
      <c r="M895" s="76"/>
      <c r="N895" s="76"/>
      <c r="O895" s="77"/>
      <c r="P895" s="78"/>
      <c r="Q895" s="78"/>
      <c r="R895" s="90"/>
      <c r="S895" s="90"/>
      <c r="T895" s="90"/>
      <c r="U895" s="90"/>
      <c r="V895" s="52"/>
      <c r="W895" s="52"/>
      <c r="X895" s="52"/>
      <c r="Y895" s="52"/>
      <c r="Z895" s="51"/>
      <c r="AA895" s="73"/>
      <c r="AB895" s="73"/>
      <c r="AC895" s="74"/>
      <c r="AD895" s="80" t="s">
        <v>5060</v>
      </c>
      <c r="AE895" s="86" t="s">
        <v>4064</v>
      </c>
      <c r="AF895" s="80">
        <v>653</v>
      </c>
      <c r="AG895" s="80">
        <v>9353264</v>
      </c>
      <c r="AH895" s="80">
        <v>33565</v>
      </c>
      <c r="AI895" s="80">
        <v>756</v>
      </c>
      <c r="AJ895" s="80"/>
      <c r="AK895" s="80" t="s">
        <v>6670</v>
      </c>
      <c r="AL895" s="80" t="s">
        <v>4145</v>
      </c>
      <c r="AM895" s="84" t="str">
        <f>HYPERLINK("https://t.co/XzdFq7wlw9")</f>
        <v>https://t.co/XzdFq7wlw9</v>
      </c>
      <c r="AN895" s="80"/>
      <c r="AO895" s="82">
        <v>41406.500648148147</v>
      </c>
      <c r="AP895" s="84" t="str">
        <f>HYPERLINK("https://pbs.twimg.com/profile_banners/1422951168/1585752887")</f>
        <v>https://pbs.twimg.com/profile_banners/1422951168/1585752887</v>
      </c>
      <c r="AQ895" s="80" t="b">
        <v>0</v>
      </c>
      <c r="AR895" s="80" t="b">
        <v>0</v>
      </c>
      <c r="AS895" s="80" t="b">
        <v>1</v>
      </c>
      <c r="AT895" s="80"/>
      <c r="AU895" s="80">
        <v>1341</v>
      </c>
      <c r="AV895" s="84" t="str">
        <f>HYPERLINK("https://abs.twimg.com/images/themes/theme14/bg.gif")</f>
        <v>https://abs.twimg.com/images/themes/theme14/bg.gif</v>
      </c>
      <c r="AW895" s="80" t="b">
        <v>1</v>
      </c>
      <c r="AX895" s="80" t="s">
        <v>7173</v>
      </c>
      <c r="AY895" s="84" t="str">
        <f>HYPERLINK("https://twitter.com/fiersabesari")</f>
        <v>https://twitter.com/fiersabesari</v>
      </c>
      <c r="AZ895" s="80" t="s">
        <v>65</v>
      </c>
      <c r="BA895" s="2"/>
      <c r="BB895" s="3"/>
      <c r="BC895" s="3"/>
      <c r="BD895" s="3"/>
      <c r="BE895" s="3"/>
    </row>
    <row r="896" spans="1:57" x14ac:dyDescent="0.35">
      <c r="A896" s="66" t="s">
        <v>918</v>
      </c>
      <c r="B896" s="67"/>
      <c r="C896" s="67"/>
      <c r="D896" s="68"/>
      <c r="E896" s="70"/>
      <c r="F896" s="106" t="str">
        <f>HYPERLINK("https://pbs.twimg.com/profile_images/1434412147065253888/Nx3PNEql_normal.jpg")</f>
        <v>https://pbs.twimg.com/profile_images/1434412147065253888/Nx3PNEql_normal.jpg</v>
      </c>
      <c r="G896" s="67"/>
      <c r="H896" s="71"/>
      <c r="I896" s="72"/>
      <c r="J896" s="72"/>
      <c r="K896" s="71" t="s">
        <v>8066</v>
      </c>
      <c r="L896" s="75"/>
      <c r="M896" s="76"/>
      <c r="N896" s="76"/>
      <c r="O896" s="77"/>
      <c r="P896" s="78"/>
      <c r="Q896" s="78"/>
      <c r="R896" s="90"/>
      <c r="S896" s="90"/>
      <c r="T896" s="90"/>
      <c r="U896" s="90"/>
      <c r="V896" s="52"/>
      <c r="W896" s="52"/>
      <c r="X896" s="52"/>
      <c r="Y896" s="52"/>
      <c r="Z896" s="51"/>
      <c r="AA896" s="73"/>
      <c r="AB896" s="73"/>
      <c r="AC896" s="74"/>
      <c r="AD896" s="80" t="s">
        <v>5061</v>
      </c>
      <c r="AE896" s="86" t="s">
        <v>5858</v>
      </c>
      <c r="AF896" s="80">
        <v>491</v>
      </c>
      <c r="AG896" s="80">
        <v>6</v>
      </c>
      <c r="AH896" s="80">
        <v>39</v>
      </c>
      <c r="AI896" s="80">
        <v>798</v>
      </c>
      <c r="AJ896" s="80"/>
      <c r="AK896" s="80" t="s">
        <v>6671</v>
      </c>
      <c r="AL896" s="80" t="s">
        <v>4147</v>
      </c>
      <c r="AM896" s="80"/>
      <c r="AN896" s="80"/>
      <c r="AO896" s="82">
        <v>44440.097997685189</v>
      </c>
      <c r="AP896" s="84" t="str">
        <f>HYPERLINK("https://pbs.twimg.com/profile_banners/1432891152185786369/1630466686")</f>
        <v>https://pbs.twimg.com/profile_banners/1432891152185786369/1630466686</v>
      </c>
      <c r="AQ896" s="80" t="b">
        <v>1</v>
      </c>
      <c r="AR896" s="80" t="b">
        <v>0</v>
      </c>
      <c r="AS896" s="80" t="b">
        <v>0</v>
      </c>
      <c r="AT896" s="80"/>
      <c r="AU896" s="80">
        <v>0</v>
      </c>
      <c r="AV896" s="80"/>
      <c r="AW896" s="80" t="b">
        <v>0</v>
      </c>
      <c r="AX896" s="80" t="s">
        <v>7173</v>
      </c>
      <c r="AY896" s="84" t="str">
        <f>HYPERLINK("https://twitter.com/dinomilosauruss")</f>
        <v>https://twitter.com/dinomilosauruss</v>
      </c>
      <c r="AZ896" s="80" t="s">
        <v>66</v>
      </c>
      <c r="BA896" s="2"/>
      <c r="BB896" s="3"/>
      <c r="BC896" s="3"/>
      <c r="BD896" s="3"/>
      <c r="BE896" s="3"/>
    </row>
    <row r="897" spans="1:57" x14ac:dyDescent="0.35">
      <c r="A897" s="66" t="s">
        <v>919</v>
      </c>
      <c r="B897" s="67"/>
      <c r="C897" s="67"/>
      <c r="D897" s="68"/>
      <c r="E897" s="70"/>
      <c r="F897" s="106" t="str">
        <f>HYPERLINK("https://pbs.twimg.com/profile_images/1442726208278446084/6GZqCH3J_normal.jpg")</f>
        <v>https://pbs.twimg.com/profile_images/1442726208278446084/6GZqCH3J_normal.jpg</v>
      </c>
      <c r="G897" s="67"/>
      <c r="H897" s="71"/>
      <c r="I897" s="72"/>
      <c r="J897" s="72"/>
      <c r="K897" s="71" t="s">
        <v>8067</v>
      </c>
      <c r="L897" s="75"/>
      <c r="M897" s="76"/>
      <c r="N897" s="76"/>
      <c r="O897" s="77"/>
      <c r="P897" s="78"/>
      <c r="Q897" s="78"/>
      <c r="R897" s="90"/>
      <c r="S897" s="90"/>
      <c r="T897" s="90"/>
      <c r="U897" s="90"/>
      <c r="V897" s="52"/>
      <c r="W897" s="52"/>
      <c r="X897" s="52"/>
      <c r="Y897" s="52"/>
      <c r="Z897" s="51"/>
      <c r="AA897" s="73"/>
      <c r="AB897" s="73"/>
      <c r="AC897" s="74"/>
      <c r="AD897" s="80" t="s">
        <v>5062</v>
      </c>
      <c r="AE897" s="86" t="s">
        <v>5859</v>
      </c>
      <c r="AF897" s="80">
        <v>658</v>
      </c>
      <c r="AG897" s="80">
        <v>610</v>
      </c>
      <c r="AH897" s="80">
        <v>8662</v>
      </c>
      <c r="AI897" s="80">
        <v>14362</v>
      </c>
      <c r="AJ897" s="80"/>
      <c r="AK897" s="80" t="s">
        <v>6672</v>
      </c>
      <c r="AL897" s="80" t="s">
        <v>7131</v>
      </c>
      <c r="AM897" s="84" t="str">
        <f>HYPERLINK("https://t.co/gTCzfWhTgo")</f>
        <v>https://t.co/gTCzfWhTgo</v>
      </c>
      <c r="AN897" s="80"/>
      <c r="AO897" s="82">
        <v>44344.491608796299</v>
      </c>
      <c r="AP897" s="84" t="str">
        <f>HYPERLINK("https://pbs.twimg.com/profile_banners/1398244594546925575/1631712419")</f>
        <v>https://pbs.twimg.com/profile_banners/1398244594546925575/1631712419</v>
      </c>
      <c r="AQ897" s="80" t="b">
        <v>1</v>
      </c>
      <c r="AR897" s="80" t="b">
        <v>0</v>
      </c>
      <c r="AS897" s="80" t="b">
        <v>1</v>
      </c>
      <c r="AT897" s="80"/>
      <c r="AU897" s="80">
        <v>7</v>
      </c>
      <c r="AV897" s="80"/>
      <c r="AW897" s="80" t="b">
        <v>0</v>
      </c>
      <c r="AX897" s="80" t="s">
        <v>7173</v>
      </c>
      <c r="AY897" s="84" t="str">
        <f>HYPERLINK("https://twitter.com/moonkevicn")</f>
        <v>https://twitter.com/moonkevicn</v>
      </c>
      <c r="AZ897" s="80" t="s">
        <v>66</v>
      </c>
      <c r="BA897" s="2"/>
      <c r="BB897" s="3"/>
      <c r="BC897" s="3"/>
      <c r="BD897" s="3"/>
      <c r="BE897" s="3"/>
    </row>
    <row r="898" spans="1:57" x14ac:dyDescent="0.35">
      <c r="A898" s="66" t="s">
        <v>1183</v>
      </c>
      <c r="B898" s="67"/>
      <c r="C898" s="67"/>
      <c r="D898" s="68"/>
      <c r="E898" s="70"/>
      <c r="F898" s="106" t="str">
        <f>HYPERLINK("https://pbs.twimg.com/profile_images/1442483619470053384/t994Kk5x_normal.jpg")</f>
        <v>https://pbs.twimg.com/profile_images/1442483619470053384/t994Kk5x_normal.jpg</v>
      </c>
      <c r="G898" s="67"/>
      <c r="H898" s="71"/>
      <c r="I898" s="72"/>
      <c r="J898" s="72"/>
      <c r="K898" s="71" t="s">
        <v>8068</v>
      </c>
      <c r="L898" s="75"/>
      <c r="M898" s="76"/>
      <c r="N898" s="76"/>
      <c r="O898" s="77"/>
      <c r="P898" s="78"/>
      <c r="Q898" s="78"/>
      <c r="R898" s="90"/>
      <c r="S898" s="90"/>
      <c r="T898" s="90"/>
      <c r="U898" s="90"/>
      <c r="V898" s="52"/>
      <c r="W898" s="52"/>
      <c r="X898" s="52"/>
      <c r="Y898" s="52"/>
      <c r="Z898" s="51"/>
      <c r="AA898" s="73"/>
      <c r="AB898" s="73"/>
      <c r="AC898" s="74"/>
      <c r="AD898" s="80" t="s">
        <v>5063</v>
      </c>
      <c r="AE898" s="86" t="s">
        <v>4065</v>
      </c>
      <c r="AF898" s="80">
        <v>677</v>
      </c>
      <c r="AG898" s="80">
        <v>621</v>
      </c>
      <c r="AH898" s="80">
        <v>7466</v>
      </c>
      <c r="AI898" s="80">
        <v>3947</v>
      </c>
      <c r="AJ898" s="80"/>
      <c r="AK898" s="80" t="s">
        <v>6673</v>
      </c>
      <c r="AL898" s="80" t="s">
        <v>7132</v>
      </c>
      <c r="AM898" s="84" t="str">
        <f>HYPERLINK("https://t.co/uOU61VW2da")</f>
        <v>https://t.co/uOU61VW2da</v>
      </c>
      <c r="AN898" s="80"/>
      <c r="AO898" s="82">
        <v>44431.447280092594</v>
      </c>
      <c r="AP898" s="84" t="str">
        <f>HYPERLINK("https://pbs.twimg.com/profile_banners/1429756284362891269/1631587031")</f>
        <v>https://pbs.twimg.com/profile_banners/1429756284362891269/1631587031</v>
      </c>
      <c r="AQ898" s="80" t="b">
        <v>1</v>
      </c>
      <c r="AR898" s="80" t="b">
        <v>0</v>
      </c>
      <c r="AS898" s="80" t="b">
        <v>1</v>
      </c>
      <c r="AT898" s="80"/>
      <c r="AU898" s="80">
        <v>7</v>
      </c>
      <c r="AV898" s="80"/>
      <c r="AW898" s="80" t="b">
        <v>0</v>
      </c>
      <c r="AX898" s="80" t="s">
        <v>7173</v>
      </c>
      <c r="AY898" s="84" t="str">
        <f>HYPERLINK("https://twitter.com/dubideobidump")</f>
        <v>https://twitter.com/dubideobidump</v>
      </c>
      <c r="AZ898" s="80" t="s">
        <v>65</v>
      </c>
      <c r="BA898" s="2"/>
      <c r="BB898" s="3"/>
      <c r="BC898" s="3"/>
      <c r="BD898" s="3"/>
      <c r="BE898" s="3"/>
    </row>
    <row r="899" spans="1:57" x14ac:dyDescent="0.35">
      <c r="A899" s="66" t="s">
        <v>920</v>
      </c>
      <c r="B899" s="67"/>
      <c r="C899" s="67"/>
      <c r="D899" s="68"/>
      <c r="E899" s="70"/>
      <c r="F899" s="106" t="str">
        <f>HYPERLINK("https://pbs.twimg.com/profile_images/1286195260125675520/nkdnqq_q_normal.jpg")</f>
        <v>https://pbs.twimg.com/profile_images/1286195260125675520/nkdnqq_q_normal.jpg</v>
      </c>
      <c r="G899" s="67"/>
      <c r="H899" s="71"/>
      <c r="I899" s="72"/>
      <c r="J899" s="72"/>
      <c r="K899" s="71" t="s">
        <v>8069</v>
      </c>
      <c r="L899" s="75"/>
      <c r="M899" s="76"/>
      <c r="N899" s="76"/>
      <c r="O899" s="77"/>
      <c r="P899" s="78"/>
      <c r="Q899" s="78"/>
      <c r="R899" s="90"/>
      <c r="S899" s="90"/>
      <c r="T899" s="90"/>
      <c r="U899" s="90"/>
      <c r="V899" s="52"/>
      <c r="W899" s="52"/>
      <c r="X899" s="52"/>
      <c r="Y899" s="52"/>
      <c r="Z899" s="51"/>
      <c r="AA899" s="73"/>
      <c r="AB899" s="73"/>
      <c r="AC899" s="74"/>
      <c r="AD899" s="80" t="s">
        <v>5064</v>
      </c>
      <c r="AE899" s="86" t="s">
        <v>5860</v>
      </c>
      <c r="AF899" s="80">
        <v>444</v>
      </c>
      <c r="AG899" s="80">
        <v>896</v>
      </c>
      <c r="AH899" s="80">
        <v>20187</v>
      </c>
      <c r="AI899" s="80">
        <v>552</v>
      </c>
      <c r="AJ899" s="80"/>
      <c r="AK899" s="80" t="s">
        <v>6674</v>
      </c>
      <c r="AL899" s="80" t="s">
        <v>6892</v>
      </c>
      <c r="AM899" s="80"/>
      <c r="AN899" s="80"/>
      <c r="AO899" s="82">
        <v>40171.665590277778</v>
      </c>
      <c r="AP899" s="84" t="str">
        <f>HYPERLINK("https://pbs.twimg.com/profile_banners/99127135/1422623082")</f>
        <v>https://pbs.twimg.com/profile_banners/99127135/1422623082</v>
      </c>
      <c r="AQ899" s="80" t="b">
        <v>0</v>
      </c>
      <c r="AR899" s="80" t="b">
        <v>0</v>
      </c>
      <c r="AS899" s="80" t="b">
        <v>1</v>
      </c>
      <c r="AT899" s="80"/>
      <c r="AU899" s="80">
        <v>3</v>
      </c>
      <c r="AV899" s="84" t="str">
        <f>HYPERLINK("https://abs.twimg.com/images/themes/theme17/bg.gif")</f>
        <v>https://abs.twimg.com/images/themes/theme17/bg.gif</v>
      </c>
      <c r="AW899" s="80" t="b">
        <v>0</v>
      </c>
      <c r="AX899" s="80" t="s">
        <v>7173</v>
      </c>
      <c r="AY899" s="84" t="str">
        <f>HYPERLINK("https://twitter.com/bonie_cool")</f>
        <v>https://twitter.com/bonie_cool</v>
      </c>
      <c r="AZ899" s="80" t="s">
        <v>66</v>
      </c>
      <c r="BA899" s="2"/>
      <c r="BB899" s="3"/>
      <c r="BC899" s="3"/>
      <c r="BD899" s="3"/>
      <c r="BE899" s="3"/>
    </row>
    <row r="900" spans="1:57" x14ac:dyDescent="0.35">
      <c r="A900" s="66" t="s">
        <v>921</v>
      </c>
      <c r="B900" s="67"/>
      <c r="C900" s="67"/>
      <c r="D900" s="68"/>
      <c r="E900" s="70"/>
      <c r="F900" s="106" t="str">
        <f>HYPERLINK("https://pbs.twimg.com/profile_images/1440044691458650117/DLfPLWxI_normal.jpg")</f>
        <v>https://pbs.twimg.com/profile_images/1440044691458650117/DLfPLWxI_normal.jpg</v>
      </c>
      <c r="G900" s="67"/>
      <c r="H900" s="71"/>
      <c r="I900" s="72"/>
      <c r="J900" s="72"/>
      <c r="K900" s="71" t="s">
        <v>8070</v>
      </c>
      <c r="L900" s="75"/>
      <c r="M900" s="76"/>
      <c r="N900" s="76"/>
      <c r="O900" s="77"/>
      <c r="P900" s="78"/>
      <c r="Q900" s="78"/>
      <c r="R900" s="90"/>
      <c r="S900" s="90"/>
      <c r="T900" s="90"/>
      <c r="U900" s="90"/>
      <c r="V900" s="52"/>
      <c r="W900" s="52"/>
      <c r="X900" s="52"/>
      <c r="Y900" s="52"/>
      <c r="Z900" s="51"/>
      <c r="AA900" s="73"/>
      <c r="AB900" s="73"/>
      <c r="AC900" s="74"/>
      <c r="AD900" s="80" t="s">
        <v>5065</v>
      </c>
      <c r="AE900" s="86" t="s">
        <v>5861</v>
      </c>
      <c r="AF900" s="80">
        <v>117</v>
      </c>
      <c r="AG900" s="80">
        <v>143</v>
      </c>
      <c r="AH900" s="80">
        <v>1125</v>
      </c>
      <c r="AI900" s="80">
        <v>784</v>
      </c>
      <c r="AJ900" s="80"/>
      <c r="AK900" s="80"/>
      <c r="AL900" s="80"/>
      <c r="AM900" s="80"/>
      <c r="AN900" s="80"/>
      <c r="AO900" s="82">
        <v>41643.004502314812</v>
      </c>
      <c r="AP900" s="84" t="str">
        <f>HYPERLINK("https://pbs.twimg.com/profile_banners/2275275290/1632058322")</f>
        <v>https://pbs.twimg.com/profile_banners/2275275290/1632058322</v>
      </c>
      <c r="AQ900" s="80" t="b">
        <v>0</v>
      </c>
      <c r="AR900" s="80" t="b">
        <v>0</v>
      </c>
      <c r="AS900" s="80" t="b">
        <v>1</v>
      </c>
      <c r="AT900" s="80"/>
      <c r="AU900" s="80">
        <v>0</v>
      </c>
      <c r="AV900" s="84" t="str">
        <f>HYPERLINK("https://abs.twimg.com/images/themes/theme7/bg.gif")</f>
        <v>https://abs.twimg.com/images/themes/theme7/bg.gif</v>
      </c>
      <c r="AW900" s="80" t="b">
        <v>0</v>
      </c>
      <c r="AX900" s="80" t="s">
        <v>7173</v>
      </c>
      <c r="AY900" s="84" t="str">
        <f>HYPERLINK("https://twitter.com/anakbulela")</f>
        <v>https://twitter.com/anakbulela</v>
      </c>
      <c r="AZ900" s="80" t="s">
        <v>66</v>
      </c>
      <c r="BA900" s="2"/>
      <c r="BB900" s="3"/>
      <c r="BC900" s="3"/>
      <c r="BD900" s="3"/>
      <c r="BE900" s="3"/>
    </row>
    <row r="901" spans="1:57" x14ac:dyDescent="0.35">
      <c r="A901" s="66" t="s">
        <v>1184</v>
      </c>
      <c r="B901" s="67"/>
      <c r="C901" s="67"/>
      <c r="D901" s="68"/>
      <c r="E901" s="70"/>
      <c r="F901" s="106" t="str">
        <f>HYPERLINK("https://pbs.twimg.com/profile_images/1224526226682810370/U8ElEdk3_normal.jpg")</f>
        <v>https://pbs.twimg.com/profile_images/1224526226682810370/U8ElEdk3_normal.jpg</v>
      </c>
      <c r="G901" s="67"/>
      <c r="H901" s="71"/>
      <c r="I901" s="72"/>
      <c r="J901" s="72"/>
      <c r="K901" s="71" t="s">
        <v>8071</v>
      </c>
      <c r="L901" s="75"/>
      <c r="M901" s="76"/>
      <c r="N901" s="76"/>
      <c r="O901" s="77"/>
      <c r="P901" s="78"/>
      <c r="Q901" s="78"/>
      <c r="R901" s="90"/>
      <c r="S901" s="90"/>
      <c r="T901" s="90"/>
      <c r="U901" s="90"/>
      <c r="V901" s="52"/>
      <c r="W901" s="52"/>
      <c r="X901" s="52"/>
      <c r="Y901" s="52"/>
      <c r="Z901" s="51"/>
      <c r="AA901" s="73"/>
      <c r="AB901" s="73"/>
      <c r="AC901" s="74"/>
      <c r="AD901" s="80" t="s">
        <v>5066</v>
      </c>
      <c r="AE901" s="86" t="s">
        <v>4066</v>
      </c>
      <c r="AF901" s="80">
        <v>9081</v>
      </c>
      <c r="AG901" s="80">
        <v>15978</v>
      </c>
      <c r="AH901" s="80">
        <v>52240</v>
      </c>
      <c r="AI901" s="80">
        <v>6678</v>
      </c>
      <c r="AJ901" s="80"/>
      <c r="AK901" s="80"/>
      <c r="AL901" s="80" t="s">
        <v>7133</v>
      </c>
      <c r="AM901" s="80"/>
      <c r="AN901" s="80"/>
      <c r="AO901" s="82">
        <v>43753.375659722224</v>
      </c>
      <c r="AP901" s="84" t="str">
        <f>HYPERLINK("https://pbs.twimg.com/profile_banners/1184031349100777475/1580785303")</f>
        <v>https://pbs.twimg.com/profile_banners/1184031349100777475/1580785303</v>
      </c>
      <c r="AQ901" s="80" t="b">
        <v>1</v>
      </c>
      <c r="AR901" s="80" t="b">
        <v>0</v>
      </c>
      <c r="AS901" s="80" t="b">
        <v>0</v>
      </c>
      <c r="AT901" s="80"/>
      <c r="AU901" s="80">
        <v>57</v>
      </c>
      <c r="AV901" s="80"/>
      <c r="AW901" s="80" t="b">
        <v>0</v>
      </c>
      <c r="AX901" s="80" t="s">
        <v>7173</v>
      </c>
      <c r="AY901" s="84" t="str">
        <f>HYPERLINK("https://twitter.com/karawangfess")</f>
        <v>https://twitter.com/karawangfess</v>
      </c>
      <c r="AZ901" s="80" t="s">
        <v>65</v>
      </c>
      <c r="BA901" s="2"/>
      <c r="BB901" s="3"/>
      <c r="BC901" s="3"/>
      <c r="BD901" s="3"/>
      <c r="BE901" s="3"/>
    </row>
    <row r="902" spans="1:57" x14ac:dyDescent="0.35">
      <c r="A902" s="66" t="s">
        <v>922</v>
      </c>
      <c r="B902" s="67"/>
      <c r="C902" s="67"/>
      <c r="D902" s="68"/>
      <c r="E902" s="70"/>
      <c r="F902" s="106" t="str">
        <f>HYPERLINK("https://pbs.twimg.com/profile_images/1318914891726675969/skO9aSaf_normal.jpg")</f>
        <v>https://pbs.twimg.com/profile_images/1318914891726675969/skO9aSaf_normal.jpg</v>
      </c>
      <c r="G902" s="67"/>
      <c r="H902" s="71"/>
      <c r="I902" s="72"/>
      <c r="J902" s="72"/>
      <c r="K902" s="71" t="s">
        <v>8072</v>
      </c>
      <c r="L902" s="75"/>
      <c r="M902" s="76"/>
      <c r="N902" s="76"/>
      <c r="O902" s="77"/>
      <c r="P902" s="78"/>
      <c r="Q902" s="78"/>
      <c r="R902" s="90"/>
      <c r="S902" s="90"/>
      <c r="T902" s="90"/>
      <c r="U902" s="90"/>
      <c r="V902" s="52"/>
      <c r="W902" s="52"/>
      <c r="X902" s="52"/>
      <c r="Y902" s="52"/>
      <c r="Z902" s="51"/>
      <c r="AA902" s="73"/>
      <c r="AB902" s="73"/>
      <c r="AC902" s="74"/>
      <c r="AD902" s="80" t="s">
        <v>5067</v>
      </c>
      <c r="AE902" s="86" t="s">
        <v>5862</v>
      </c>
      <c r="AF902" s="80">
        <v>96</v>
      </c>
      <c r="AG902" s="80">
        <v>313</v>
      </c>
      <c r="AH902" s="80">
        <v>7449</v>
      </c>
      <c r="AI902" s="80">
        <v>358</v>
      </c>
      <c r="AJ902" s="80"/>
      <c r="AK902" s="80" t="s">
        <v>6675</v>
      </c>
      <c r="AL902" s="80" t="s">
        <v>7134</v>
      </c>
      <c r="AM902" s="80"/>
      <c r="AN902" s="80"/>
      <c r="AO902" s="82">
        <v>42512.322893518518</v>
      </c>
      <c r="AP902" s="84" t="str">
        <f>HYPERLINK("https://pbs.twimg.com/profile_banners/734288932368584709/1631887364")</f>
        <v>https://pbs.twimg.com/profile_banners/734288932368584709/1631887364</v>
      </c>
      <c r="AQ902" s="80" t="b">
        <v>0</v>
      </c>
      <c r="AR902" s="80" t="b">
        <v>0</v>
      </c>
      <c r="AS902" s="80" t="b">
        <v>1</v>
      </c>
      <c r="AT902" s="80"/>
      <c r="AU902" s="80">
        <v>1</v>
      </c>
      <c r="AV902" s="84" t="str">
        <f>HYPERLINK("https://abs.twimg.com/images/themes/theme1/bg.png")</f>
        <v>https://abs.twimg.com/images/themes/theme1/bg.png</v>
      </c>
      <c r="AW902" s="80" t="b">
        <v>0</v>
      </c>
      <c r="AX902" s="80" t="s">
        <v>7173</v>
      </c>
      <c r="AY902" s="84" t="str">
        <f>HYPERLINK("https://twitter.com/dhe_nasihin")</f>
        <v>https://twitter.com/dhe_nasihin</v>
      </c>
      <c r="AZ902" s="80" t="s">
        <v>66</v>
      </c>
      <c r="BA902" s="2"/>
      <c r="BB902" s="3"/>
      <c r="BC902" s="3"/>
      <c r="BD902" s="3"/>
      <c r="BE902" s="3"/>
    </row>
    <row r="903" spans="1:57" x14ac:dyDescent="0.35">
      <c r="A903" s="66" t="s">
        <v>1185</v>
      </c>
      <c r="B903" s="67"/>
      <c r="C903" s="67"/>
      <c r="D903" s="68"/>
      <c r="E903" s="70"/>
      <c r="F903" s="106" t="str">
        <f>HYPERLINK("https://pbs.twimg.com/profile_images/1439548725752328192/mzo3FxG8_normal.jpg")</f>
        <v>https://pbs.twimg.com/profile_images/1439548725752328192/mzo3FxG8_normal.jpg</v>
      </c>
      <c r="G903" s="67"/>
      <c r="H903" s="71"/>
      <c r="I903" s="72"/>
      <c r="J903" s="72"/>
      <c r="K903" s="71" t="s">
        <v>8073</v>
      </c>
      <c r="L903" s="75"/>
      <c r="M903" s="76"/>
      <c r="N903" s="76"/>
      <c r="O903" s="77"/>
      <c r="P903" s="78"/>
      <c r="Q903" s="78"/>
      <c r="R903" s="90"/>
      <c r="S903" s="90"/>
      <c r="T903" s="90"/>
      <c r="U903" s="90"/>
      <c r="V903" s="52"/>
      <c r="W903" s="52"/>
      <c r="X903" s="52"/>
      <c r="Y903" s="52"/>
      <c r="Z903" s="51"/>
      <c r="AA903" s="73"/>
      <c r="AB903" s="73"/>
      <c r="AC903" s="74"/>
      <c r="AD903" s="80" t="s">
        <v>5068</v>
      </c>
      <c r="AE903" s="86" t="s">
        <v>4067</v>
      </c>
      <c r="AF903" s="80">
        <v>961</v>
      </c>
      <c r="AG903" s="80">
        <v>1047</v>
      </c>
      <c r="AH903" s="80">
        <v>4574</v>
      </c>
      <c r="AI903" s="80">
        <v>3251</v>
      </c>
      <c r="AJ903" s="80"/>
      <c r="AK903" s="80" t="s">
        <v>6676</v>
      </c>
      <c r="AL903" s="80" t="s">
        <v>7135</v>
      </c>
      <c r="AM903" s="84" t="str">
        <f>HYPERLINK("https://t.co/pYKNSLyQlY")</f>
        <v>https://t.co/pYKNSLyQlY</v>
      </c>
      <c r="AN903" s="80"/>
      <c r="AO903" s="82">
        <v>43731.438842592594</v>
      </c>
      <c r="AP903" s="84" t="str">
        <f>HYPERLINK("https://pbs.twimg.com/profile_banners/1176081656077111296/1622978951")</f>
        <v>https://pbs.twimg.com/profile_banners/1176081656077111296/1622978951</v>
      </c>
      <c r="AQ903" s="80" t="b">
        <v>1</v>
      </c>
      <c r="AR903" s="80" t="b">
        <v>0</v>
      </c>
      <c r="AS903" s="80" t="b">
        <v>1</v>
      </c>
      <c r="AT903" s="80"/>
      <c r="AU903" s="80">
        <v>0</v>
      </c>
      <c r="AV903" s="80"/>
      <c r="AW903" s="80" t="b">
        <v>0</v>
      </c>
      <c r="AX903" s="80" t="s">
        <v>7173</v>
      </c>
      <c r="AY903" s="84" t="str">
        <f>HYPERLINK("https://twitter.com/friskas__")</f>
        <v>https://twitter.com/friskas__</v>
      </c>
      <c r="AZ903" s="80" t="s">
        <v>65</v>
      </c>
      <c r="BA903" s="2"/>
      <c r="BB903" s="3"/>
      <c r="BC903" s="3"/>
      <c r="BD903" s="3"/>
      <c r="BE903" s="3"/>
    </row>
    <row r="904" spans="1:57" x14ac:dyDescent="0.35">
      <c r="A904" s="66" t="s">
        <v>923</v>
      </c>
      <c r="B904" s="67"/>
      <c r="C904" s="67"/>
      <c r="D904" s="68"/>
      <c r="E904" s="70"/>
      <c r="F904" s="106" t="str">
        <f>HYPERLINK("https://pbs.twimg.com/profile_images/964110187484266496/Qn-eoHrb_normal.jpg")</f>
        <v>https://pbs.twimg.com/profile_images/964110187484266496/Qn-eoHrb_normal.jpg</v>
      </c>
      <c r="G904" s="67"/>
      <c r="H904" s="71"/>
      <c r="I904" s="72"/>
      <c r="J904" s="72"/>
      <c r="K904" s="71" t="s">
        <v>8074</v>
      </c>
      <c r="L904" s="75"/>
      <c r="M904" s="76"/>
      <c r="N904" s="76"/>
      <c r="O904" s="77"/>
      <c r="P904" s="78"/>
      <c r="Q904" s="78"/>
      <c r="R904" s="90"/>
      <c r="S904" s="90"/>
      <c r="T904" s="90"/>
      <c r="U904" s="90"/>
      <c r="V904" s="52"/>
      <c r="W904" s="52"/>
      <c r="X904" s="52"/>
      <c r="Y904" s="52"/>
      <c r="Z904" s="51"/>
      <c r="AA904" s="73"/>
      <c r="AB904" s="73"/>
      <c r="AC904" s="74"/>
      <c r="AD904" s="80" t="s">
        <v>5069</v>
      </c>
      <c r="AE904" s="86" t="s">
        <v>5863</v>
      </c>
      <c r="AF904" s="80">
        <v>426</v>
      </c>
      <c r="AG904" s="80">
        <v>403</v>
      </c>
      <c r="AH904" s="80">
        <v>19124</v>
      </c>
      <c r="AI904" s="80">
        <v>448</v>
      </c>
      <c r="AJ904" s="80"/>
      <c r="AK904" s="80" t="s">
        <v>6677</v>
      </c>
      <c r="AL904" s="80" t="s">
        <v>7136</v>
      </c>
      <c r="AM904" s="80"/>
      <c r="AN904" s="80"/>
      <c r="AO904" s="82">
        <v>40153.335740740738</v>
      </c>
      <c r="AP904" s="84" t="str">
        <f>HYPERLINK("https://pbs.twimg.com/profile_banners/94959994/1386491383")</f>
        <v>https://pbs.twimg.com/profile_banners/94959994/1386491383</v>
      </c>
      <c r="AQ904" s="80" t="b">
        <v>0</v>
      </c>
      <c r="AR904" s="80" t="b">
        <v>0</v>
      </c>
      <c r="AS904" s="80" t="b">
        <v>1</v>
      </c>
      <c r="AT904" s="80"/>
      <c r="AU904" s="80">
        <v>0</v>
      </c>
      <c r="AV904" s="84" t="str">
        <f>HYPERLINK("https://abs.twimg.com/images/themes/theme1/bg.png")</f>
        <v>https://abs.twimg.com/images/themes/theme1/bg.png</v>
      </c>
      <c r="AW904" s="80" t="b">
        <v>0</v>
      </c>
      <c r="AX904" s="80" t="s">
        <v>7173</v>
      </c>
      <c r="AY904" s="84" t="str">
        <f>HYPERLINK("https://twitter.com/hafizatria")</f>
        <v>https://twitter.com/hafizatria</v>
      </c>
      <c r="AZ904" s="80" t="s">
        <v>66</v>
      </c>
      <c r="BA904" s="2"/>
      <c r="BB904" s="3"/>
      <c r="BC904" s="3"/>
      <c r="BD904" s="3"/>
      <c r="BE904" s="3"/>
    </row>
    <row r="905" spans="1:57" x14ac:dyDescent="0.35">
      <c r="A905" s="66" t="s">
        <v>924</v>
      </c>
      <c r="B905" s="67"/>
      <c r="C905" s="67"/>
      <c r="D905" s="68"/>
      <c r="E905" s="70"/>
      <c r="F905" s="106" t="str">
        <f>HYPERLINK("https://pbs.twimg.com/profile_images/1440979697379078153/gKns1faE_normal.jpg")</f>
        <v>https://pbs.twimg.com/profile_images/1440979697379078153/gKns1faE_normal.jpg</v>
      </c>
      <c r="G905" s="67"/>
      <c r="H905" s="71"/>
      <c r="I905" s="72"/>
      <c r="J905" s="72"/>
      <c r="K905" s="71" t="s">
        <v>8075</v>
      </c>
      <c r="L905" s="75"/>
      <c r="M905" s="76"/>
      <c r="N905" s="76"/>
      <c r="O905" s="77"/>
      <c r="P905" s="78"/>
      <c r="Q905" s="78"/>
      <c r="R905" s="90"/>
      <c r="S905" s="90"/>
      <c r="T905" s="90"/>
      <c r="U905" s="90"/>
      <c r="V905" s="52"/>
      <c r="W905" s="52"/>
      <c r="X905" s="52"/>
      <c r="Y905" s="52"/>
      <c r="Z905" s="51"/>
      <c r="AA905" s="73"/>
      <c r="AB905" s="73"/>
      <c r="AC905" s="74"/>
      <c r="AD905" s="80" t="s">
        <v>5070</v>
      </c>
      <c r="AE905" s="86" t="s">
        <v>5864</v>
      </c>
      <c r="AF905" s="80">
        <v>56</v>
      </c>
      <c r="AG905" s="80">
        <v>52</v>
      </c>
      <c r="AH905" s="80">
        <v>606</v>
      </c>
      <c r="AI905" s="80">
        <v>1140</v>
      </c>
      <c r="AJ905" s="80"/>
      <c r="AK905" s="80" t="s">
        <v>6678</v>
      </c>
      <c r="AL905" s="80"/>
      <c r="AM905" s="80"/>
      <c r="AN905" s="80"/>
      <c r="AO905" s="82">
        <v>43335.719768518517</v>
      </c>
      <c r="AP905" s="84" t="str">
        <f>HYPERLINK("https://pbs.twimg.com/profile_banners/1032677966424076288/1631206583")</f>
        <v>https://pbs.twimg.com/profile_banners/1032677966424076288/1631206583</v>
      </c>
      <c r="AQ905" s="80" t="b">
        <v>1</v>
      </c>
      <c r="AR905" s="80" t="b">
        <v>0</v>
      </c>
      <c r="AS905" s="80" t="b">
        <v>0</v>
      </c>
      <c r="AT905" s="80"/>
      <c r="AU905" s="80">
        <v>0</v>
      </c>
      <c r="AV905" s="80"/>
      <c r="AW905" s="80" t="b">
        <v>0</v>
      </c>
      <c r="AX905" s="80" t="s">
        <v>7173</v>
      </c>
      <c r="AY905" s="84" t="str">
        <f>HYPERLINK("https://twitter.com/deepperx")</f>
        <v>https://twitter.com/deepperx</v>
      </c>
      <c r="AZ905" s="80" t="s">
        <v>66</v>
      </c>
      <c r="BA905" s="2"/>
      <c r="BB905" s="3"/>
      <c r="BC905" s="3"/>
      <c r="BD905" s="3"/>
      <c r="BE905" s="3"/>
    </row>
    <row r="906" spans="1:57" x14ac:dyDescent="0.35">
      <c r="A906" s="66" t="s">
        <v>925</v>
      </c>
      <c r="B906" s="67"/>
      <c r="C906" s="67"/>
      <c r="D906" s="68"/>
      <c r="E906" s="70"/>
      <c r="F906" s="106" t="str">
        <f>HYPERLINK("https://pbs.twimg.com/profile_images/812107715338125312/Hho_ylHR_normal.jpg")</f>
        <v>https://pbs.twimg.com/profile_images/812107715338125312/Hho_ylHR_normal.jpg</v>
      </c>
      <c r="G906" s="67"/>
      <c r="H906" s="71"/>
      <c r="I906" s="72"/>
      <c r="J906" s="72"/>
      <c r="K906" s="71" t="s">
        <v>8076</v>
      </c>
      <c r="L906" s="75"/>
      <c r="M906" s="76"/>
      <c r="N906" s="76"/>
      <c r="O906" s="77"/>
      <c r="P906" s="78"/>
      <c r="Q906" s="78"/>
      <c r="R906" s="90"/>
      <c r="S906" s="90"/>
      <c r="T906" s="90"/>
      <c r="U906" s="90"/>
      <c r="V906" s="52"/>
      <c r="W906" s="52"/>
      <c r="X906" s="52"/>
      <c r="Y906" s="52"/>
      <c r="Z906" s="51"/>
      <c r="AA906" s="73"/>
      <c r="AB906" s="73"/>
      <c r="AC906" s="74"/>
      <c r="AD906" s="80" t="s">
        <v>5071</v>
      </c>
      <c r="AE906" s="86" t="s">
        <v>5865</v>
      </c>
      <c r="AF906" s="80">
        <v>354</v>
      </c>
      <c r="AG906" s="80">
        <v>932</v>
      </c>
      <c r="AH906" s="80">
        <v>3622</v>
      </c>
      <c r="AI906" s="80">
        <v>12</v>
      </c>
      <c r="AJ906" s="80"/>
      <c r="AK906" s="80" t="s">
        <v>6679</v>
      </c>
      <c r="AL906" s="80" t="s">
        <v>7079</v>
      </c>
      <c r="AM906" s="84" t="str">
        <f>HYPERLINK("https://t.co/mBqr2yw1vn")</f>
        <v>https://t.co/mBqr2yw1vn</v>
      </c>
      <c r="AN906" s="80"/>
      <c r="AO906" s="82">
        <v>40941.293009259258</v>
      </c>
      <c r="AP906" s="84" t="str">
        <f>HYPERLINK("https://pbs.twimg.com/profile_banners/481039005/1533739585")</f>
        <v>https://pbs.twimg.com/profile_banners/481039005/1533739585</v>
      </c>
      <c r="AQ906" s="80" t="b">
        <v>0</v>
      </c>
      <c r="AR906" s="80" t="b">
        <v>0</v>
      </c>
      <c r="AS906" s="80" t="b">
        <v>0</v>
      </c>
      <c r="AT906" s="80"/>
      <c r="AU906" s="80">
        <v>6</v>
      </c>
      <c r="AV906" s="84" t="str">
        <f>HYPERLINK("https://abs.twimg.com/images/themes/theme1/bg.png")</f>
        <v>https://abs.twimg.com/images/themes/theme1/bg.png</v>
      </c>
      <c r="AW906" s="80" t="b">
        <v>0</v>
      </c>
      <c r="AX906" s="80" t="s">
        <v>7173</v>
      </c>
      <c r="AY906" s="84" t="str">
        <f>HYPERLINK("https://twitter.com/himakompolban")</f>
        <v>https://twitter.com/himakompolban</v>
      </c>
      <c r="AZ906" s="80" t="s">
        <v>66</v>
      </c>
      <c r="BA906" s="2"/>
      <c r="BB906" s="3"/>
      <c r="BC906" s="3"/>
      <c r="BD906" s="3"/>
      <c r="BE906" s="3"/>
    </row>
    <row r="907" spans="1:57" x14ac:dyDescent="0.35">
      <c r="A907" s="66" t="s">
        <v>926</v>
      </c>
      <c r="B907" s="67"/>
      <c r="C907" s="67"/>
      <c r="D907" s="68"/>
      <c r="E907" s="70"/>
      <c r="F907" s="106" t="str">
        <f>HYPERLINK("https://pbs.twimg.com/profile_images/1366717356429348865/Xf7LKXij_normal.jpg")</f>
        <v>https://pbs.twimg.com/profile_images/1366717356429348865/Xf7LKXij_normal.jpg</v>
      </c>
      <c r="G907" s="67"/>
      <c r="H907" s="71"/>
      <c r="I907" s="72"/>
      <c r="J907" s="72"/>
      <c r="K907" s="71" t="s">
        <v>8077</v>
      </c>
      <c r="L907" s="75"/>
      <c r="M907" s="76"/>
      <c r="N907" s="76"/>
      <c r="O907" s="77"/>
      <c r="P907" s="78"/>
      <c r="Q907" s="78"/>
      <c r="R907" s="90"/>
      <c r="S907" s="90"/>
      <c r="T907" s="90"/>
      <c r="U907" s="90"/>
      <c r="V907" s="52"/>
      <c r="W907" s="52"/>
      <c r="X907" s="52"/>
      <c r="Y907" s="52"/>
      <c r="Z907" s="51"/>
      <c r="AA907" s="73"/>
      <c r="AB907" s="73"/>
      <c r="AC907" s="74"/>
      <c r="AD907" s="80" t="s">
        <v>5072</v>
      </c>
      <c r="AE907" s="86" t="s">
        <v>5866</v>
      </c>
      <c r="AF907" s="80">
        <v>213</v>
      </c>
      <c r="AG907" s="80">
        <v>19938</v>
      </c>
      <c r="AH907" s="80">
        <v>15077</v>
      </c>
      <c r="AI907" s="80">
        <v>128</v>
      </c>
      <c r="AJ907" s="80"/>
      <c r="AK907" s="80" t="s">
        <v>6680</v>
      </c>
      <c r="AL907" s="80" t="s">
        <v>7046</v>
      </c>
      <c r="AM907" s="84" t="str">
        <f>HYPERLINK("https://t.co/jsnUYL0NiR")</f>
        <v>https://t.co/jsnUYL0NiR</v>
      </c>
      <c r="AN907" s="80"/>
      <c r="AO907" s="82">
        <v>40934.495706018519</v>
      </c>
      <c r="AP907" s="84" t="str">
        <f>HYPERLINK("https://pbs.twimg.com/profile_banners/474836414/1614578818")</f>
        <v>https://pbs.twimg.com/profile_banners/474836414/1614578818</v>
      </c>
      <c r="AQ907" s="80" t="b">
        <v>0</v>
      </c>
      <c r="AR907" s="80" t="b">
        <v>0</v>
      </c>
      <c r="AS907" s="80" t="b">
        <v>1</v>
      </c>
      <c r="AT907" s="80"/>
      <c r="AU907" s="80">
        <v>42</v>
      </c>
      <c r="AV907" s="84" t="str">
        <f>HYPERLINK("https://abs.twimg.com/images/themes/theme14/bg.gif")</f>
        <v>https://abs.twimg.com/images/themes/theme14/bg.gif</v>
      </c>
      <c r="AW907" s="80" t="b">
        <v>1</v>
      </c>
      <c r="AX907" s="80" t="s">
        <v>7173</v>
      </c>
      <c r="AY907" s="84" t="str">
        <f>HYPERLINK("https://twitter.com/denpasarkota")</f>
        <v>https://twitter.com/denpasarkota</v>
      </c>
      <c r="AZ907" s="80" t="s">
        <v>66</v>
      </c>
      <c r="BA907" s="2"/>
      <c r="BB907" s="3"/>
      <c r="BC907" s="3"/>
      <c r="BD907" s="3"/>
      <c r="BE907" s="3"/>
    </row>
    <row r="908" spans="1:57" x14ac:dyDescent="0.35">
      <c r="A908" s="66" t="s">
        <v>927</v>
      </c>
      <c r="B908" s="67"/>
      <c r="C908" s="67"/>
      <c r="D908" s="68"/>
      <c r="E908" s="70"/>
      <c r="F908" s="106" t="str">
        <f>HYPERLINK("https://pbs.twimg.com/profile_images/1421706532840820736/O3dltU9S_normal.jpg")</f>
        <v>https://pbs.twimg.com/profile_images/1421706532840820736/O3dltU9S_normal.jpg</v>
      </c>
      <c r="G908" s="67"/>
      <c r="H908" s="71"/>
      <c r="I908" s="72"/>
      <c r="J908" s="72"/>
      <c r="K908" s="71" t="s">
        <v>8078</v>
      </c>
      <c r="L908" s="75"/>
      <c r="M908" s="76"/>
      <c r="N908" s="76"/>
      <c r="O908" s="77"/>
      <c r="P908" s="78"/>
      <c r="Q908" s="78"/>
      <c r="R908" s="90"/>
      <c r="S908" s="90"/>
      <c r="T908" s="90"/>
      <c r="U908" s="90"/>
      <c r="V908" s="52"/>
      <c r="W908" s="52"/>
      <c r="X908" s="52"/>
      <c r="Y908" s="52"/>
      <c r="Z908" s="51"/>
      <c r="AA908" s="73"/>
      <c r="AB908" s="73"/>
      <c r="AC908" s="74"/>
      <c r="AD908" s="80" t="s">
        <v>5073</v>
      </c>
      <c r="AE908" s="86" t="s">
        <v>5867</v>
      </c>
      <c r="AF908" s="80">
        <v>335</v>
      </c>
      <c r="AG908" s="80">
        <v>178</v>
      </c>
      <c r="AH908" s="80">
        <v>2378</v>
      </c>
      <c r="AI908" s="80">
        <v>6344</v>
      </c>
      <c r="AJ908" s="80"/>
      <c r="AK908" s="80" t="s">
        <v>6681</v>
      </c>
      <c r="AL908" s="80"/>
      <c r="AM908" s="80"/>
      <c r="AN908" s="80"/>
      <c r="AO908" s="82">
        <v>43666.394189814811</v>
      </c>
      <c r="AP908" s="84" t="str">
        <f>HYPERLINK("https://pbs.twimg.com/profile_banners/1152510363344101376/1627796484")</f>
        <v>https://pbs.twimg.com/profile_banners/1152510363344101376/1627796484</v>
      </c>
      <c r="AQ908" s="80" t="b">
        <v>1</v>
      </c>
      <c r="AR908" s="80" t="b">
        <v>0</v>
      </c>
      <c r="AS908" s="80" t="b">
        <v>0</v>
      </c>
      <c r="AT908" s="80"/>
      <c r="AU908" s="80">
        <v>0</v>
      </c>
      <c r="AV908" s="80"/>
      <c r="AW908" s="80" t="b">
        <v>0</v>
      </c>
      <c r="AX908" s="80" t="s">
        <v>7173</v>
      </c>
      <c r="AY908" s="84" t="str">
        <f>HYPERLINK("https://twitter.com/jejengjet_")</f>
        <v>https://twitter.com/jejengjet_</v>
      </c>
      <c r="AZ908" s="80" t="s">
        <v>66</v>
      </c>
      <c r="BA908" s="2"/>
      <c r="BB908" s="3"/>
      <c r="BC908" s="3"/>
      <c r="BD908" s="3"/>
      <c r="BE908" s="3"/>
    </row>
    <row r="909" spans="1:57" x14ac:dyDescent="0.35">
      <c r="A909" s="66" t="s">
        <v>1186</v>
      </c>
      <c r="B909" s="67"/>
      <c r="C909" s="67"/>
      <c r="D909" s="68"/>
      <c r="E909" s="70"/>
      <c r="F909" s="106" t="str">
        <f>HYPERLINK("https://pbs.twimg.com/profile_images/1418563454193979393/bWsVokWS_normal.jpg")</f>
        <v>https://pbs.twimg.com/profile_images/1418563454193979393/bWsVokWS_normal.jpg</v>
      </c>
      <c r="G909" s="67"/>
      <c r="H909" s="71"/>
      <c r="I909" s="72"/>
      <c r="J909" s="72"/>
      <c r="K909" s="71" t="s">
        <v>8079</v>
      </c>
      <c r="L909" s="75"/>
      <c r="M909" s="76"/>
      <c r="N909" s="76"/>
      <c r="O909" s="77"/>
      <c r="P909" s="78"/>
      <c r="Q909" s="78"/>
      <c r="R909" s="90"/>
      <c r="S909" s="90"/>
      <c r="T909" s="90"/>
      <c r="U909" s="90"/>
      <c r="V909" s="52"/>
      <c r="W909" s="52"/>
      <c r="X909" s="52"/>
      <c r="Y909" s="52"/>
      <c r="Z909" s="51"/>
      <c r="AA909" s="73"/>
      <c r="AB909" s="73"/>
      <c r="AC909" s="74"/>
      <c r="AD909" s="80" t="s">
        <v>5074</v>
      </c>
      <c r="AE909" s="86" t="s">
        <v>4068</v>
      </c>
      <c r="AF909" s="80">
        <v>1744</v>
      </c>
      <c r="AG909" s="80">
        <v>18581</v>
      </c>
      <c r="AH909" s="80">
        <v>6920</v>
      </c>
      <c r="AI909" s="80">
        <v>872</v>
      </c>
      <c r="AJ909" s="80"/>
      <c r="AK909" s="80" t="s">
        <v>6682</v>
      </c>
      <c r="AL909" s="80"/>
      <c r="AM909" s="84" t="str">
        <f>HYPERLINK("https://t.co/US31Wlnr6J")</f>
        <v>https://t.co/US31Wlnr6J</v>
      </c>
      <c r="AN909" s="80"/>
      <c r="AO909" s="82">
        <v>44265.597974537035</v>
      </c>
      <c r="AP909" s="84" t="str">
        <f>HYPERLINK("https://pbs.twimg.com/profile_banners/1369654434683183105/1615386500")</f>
        <v>https://pbs.twimg.com/profile_banners/1369654434683183105/1615386500</v>
      </c>
      <c r="AQ909" s="80" t="b">
        <v>1</v>
      </c>
      <c r="AR909" s="80" t="b">
        <v>0</v>
      </c>
      <c r="AS909" s="80" t="b">
        <v>1</v>
      </c>
      <c r="AT909" s="80"/>
      <c r="AU909" s="80">
        <v>9</v>
      </c>
      <c r="AV909" s="80"/>
      <c r="AW909" s="80" t="b">
        <v>0</v>
      </c>
      <c r="AX909" s="80" t="s">
        <v>7173</v>
      </c>
      <c r="AY909" s="84" t="str">
        <f>HYPERLINK("https://twitter.com/ntakisback")</f>
        <v>https://twitter.com/ntakisback</v>
      </c>
      <c r="AZ909" s="80" t="s">
        <v>65</v>
      </c>
      <c r="BA909" s="2"/>
      <c r="BB909" s="3"/>
      <c r="BC909" s="3"/>
      <c r="BD909" s="3"/>
      <c r="BE909" s="3"/>
    </row>
    <row r="910" spans="1:57" x14ac:dyDescent="0.35">
      <c r="A910" s="66" t="s">
        <v>928</v>
      </c>
      <c r="B910" s="67"/>
      <c r="C910" s="67"/>
      <c r="D910" s="68"/>
      <c r="E910" s="70"/>
      <c r="F910" s="106" t="str">
        <f>HYPERLINK("https://pbs.twimg.com/profile_images/1435937779603501064/TdkJ_Cxy_normal.jpg")</f>
        <v>https://pbs.twimg.com/profile_images/1435937779603501064/TdkJ_Cxy_normal.jpg</v>
      </c>
      <c r="G910" s="67"/>
      <c r="H910" s="71"/>
      <c r="I910" s="72"/>
      <c r="J910" s="72"/>
      <c r="K910" s="71" t="s">
        <v>8080</v>
      </c>
      <c r="L910" s="75"/>
      <c r="M910" s="76"/>
      <c r="N910" s="76"/>
      <c r="O910" s="77"/>
      <c r="P910" s="78"/>
      <c r="Q910" s="78"/>
      <c r="R910" s="90"/>
      <c r="S910" s="90"/>
      <c r="T910" s="90"/>
      <c r="U910" s="90"/>
      <c r="V910" s="52"/>
      <c r="W910" s="52"/>
      <c r="X910" s="52"/>
      <c r="Y910" s="52"/>
      <c r="Z910" s="51"/>
      <c r="AA910" s="73"/>
      <c r="AB910" s="73"/>
      <c r="AC910" s="74"/>
      <c r="AD910" s="80" t="s">
        <v>5075</v>
      </c>
      <c r="AE910" s="86" t="s">
        <v>5868</v>
      </c>
      <c r="AF910" s="80">
        <v>3588</v>
      </c>
      <c r="AG910" s="80">
        <v>3213</v>
      </c>
      <c r="AH910" s="80">
        <v>17109</v>
      </c>
      <c r="AI910" s="80">
        <v>34804</v>
      </c>
      <c r="AJ910" s="80"/>
      <c r="AK910" s="80" t="s">
        <v>6683</v>
      </c>
      <c r="AL910" s="80" t="s">
        <v>7137</v>
      </c>
      <c r="AM910" s="80"/>
      <c r="AN910" s="80"/>
      <c r="AO910" s="82">
        <v>44117.041331018518</v>
      </c>
      <c r="AP910" s="84" t="str">
        <f>HYPERLINK("https://pbs.twimg.com/profile_banners/1315819202033315840/1624052466")</f>
        <v>https://pbs.twimg.com/profile_banners/1315819202033315840/1624052466</v>
      </c>
      <c r="AQ910" s="80" t="b">
        <v>1</v>
      </c>
      <c r="AR910" s="80" t="b">
        <v>0</v>
      </c>
      <c r="AS910" s="80" t="b">
        <v>1</v>
      </c>
      <c r="AT910" s="80"/>
      <c r="AU910" s="80">
        <v>1</v>
      </c>
      <c r="AV910" s="80"/>
      <c r="AW910" s="80" t="b">
        <v>0</v>
      </c>
      <c r="AX910" s="80" t="s">
        <v>7173</v>
      </c>
      <c r="AY910" s="84" t="str">
        <f>HYPERLINK("https://twitter.com/fattireyz")</f>
        <v>https://twitter.com/fattireyz</v>
      </c>
      <c r="AZ910" s="80" t="s">
        <v>66</v>
      </c>
      <c r="BA910" s="2"/>
      <c r="BB910" s="3"/>
      <c r="BC910" s="3"/>
      <c r="BD910" s="3"/>
      <c r="BE910" s="3"/>
    </row>
    <row r="911" spans="1:57" x14ac:dyDescent="0.35">
      <c r="A911" s="66" t="s">
        <v>957</v>
      </c>
      <c r="B911" s="67"/>
      <c r="C911" s="67"/>
      <c r="D911" s="68"/>
      <c r="E911" s="70"/>
      <c r="F911" s="106" t="str">
        <f>HYPERLINK("https://pbs.twimg.com/profile_images/1407481907349053441/tfZyVC6S_normal.jpg")</f>
        <v>https://pbs.twimg.com/profile_images/1407481907349053441/tfZyVC6S_normal.jpg</v>
      </c>
      <c r="G911" s="67"/>
      <c r="H911" s="71"/>
      <c r="I911" s="72"/>
      <c r="J911" s="72"/>
      <c r="K911" s="71" t="s">
        <v>8081</v>
      </c>
      <c r="L911" s="75"/>
      <c r="M911" s="76"/>
      <c r="N911" s="76"/>
      <c r="O911" s="77"/>
      <c r="P911" s="78"/>
      <c r="Q911" s="78"/>
      <c r="R911" s="90"/>
      <c r="S911" s="90"/>
      <c r="T911" s="90"/>
      <c r="U911" s="90"/>
      <c r="V911" s="52"/>
      <c r="W911" s="52"/>
      <c r="X911" s="52"/>
      <c r="Y911" s="52"/>
      <c r="Z911" s="51"/>
      <c r="AA911" s="73"/>
      <c r="AB911" s="73"/>
      <c r="AC911" s="74"/>
      <c r="AD911" s="80" t="s">
        <v>5076</v>
      </c>
      <c r="AE911" s="86" t="s">
        <v>5869</v>
      </c>
      <c r="AF911" s="80">
        <v>3541</v>
      </c>
      <c r="AG911" s="80">
        <v>14914</v>
      </c>
      <c r="AH911" s="80">
        <v>12820</v>
      </c>
      <c r="AI911" s="80">
        <v>20166</v>
      </c>
      <c r="AJ911" s="80"/>
      <c r="AK911" s="80" t="s">
        <v>6684</v>
      </c>
      <c r="AL911" s="80" t="s">
        <v>6785</v>
      </c>
      <c r="AM911" s="80"/>
      <c r="AN911" s="80"/>
      <c r="AO911" s="82">
        <v>43767.6249537037</v>
      </c>
      <c r="AP911" s="84" t="str">
        <f>HYPERLINK("https://pbs.twimg.com/profile_banners/1189195077836398592/1611289611")</f>
        <v>https://pbs.twimg.com/profile_banners/1189195077836398592/1611289611</v>
      </c>
      <c r="AQ911" s="80" t="b">
        <v>1</v>
      </c>
      <c r="AR911" s="80" t="b">
        <v>0</v>
      </c>
      <c r="AS911" s="80" t="b">
        <v>0</v>
      </c>
      <c r="AT911" s="80"/>
      <c r="AU911" s="80">
        <v>5</v>
      </c>
      <c r="AV911" s="80"/>
      <c r="AW911" s="80" t="b">
        <v>0</v>
      </c>
      <c r="AX911" s="80" t="s">
        <v>7173</v>
      </c>
      <c r="AY911" s="84" t="str">
        <f>HYPERLINK("https://twitter.com/zomet13")</f>
        <v>https://twitter.com/zomet13</v>
      </c>
      <c r="AZ911" s="80" t="s">
        <v>66</v>
      </c>
      <c r="BA911" s="2"/>
      <c r="BB911" s="3"/>
      <c r="BC911" s="3"/>
      <c r="BD911" s="3"/>
      <c r="BE911" s="3"/>
    </row>
    <row r="912" spans="1:57" x14ac:dyDescent="0.35">
      <c r="A912" s="66" t="s">
        <v>929</v>
      </c>
      <c r="B912" s="67"/>
      <c r="C912" s="67"/>
      <c r="D912" s="68"/>
      <c r="E912" s="70"/>
      <c r="F912" s="106" t="str">
        <f>HYPERLINK("https://pbs.twimg.com/profile_images/1325232681269956608/T3Yleks7_normal.jpg")</f>
        <v>https://pbs.twimg.com/profile_images/1325232681269956608/T3Yleks7_normal.jpg</v>
      </c>
      <c r="G912" s="67"/>
      <c r="H912" s="71"/>
      <c r="I912" s="72"/>
      <c r="J912" s="72"/>
      <c r="K912" s="71" t="s">
        <v>8082</v>
      </c>
      <c r="L912" s="75"/>
      <c r="M912" s="76"/>
      <c r="N912" s="76"/>
      <c r="O912" s="77"/>
      <c r="P912" s="78"/>
      <c r="Q912" s="78"/>
      <c r="R912" s="90"/>
      <c r="S912" s="90"/>
      <c r="T912" s="90"/>
      <c r="U912" s="90"/>
      <c r="V912" s="52"/>
      <c r="W912" s="52"/>
      <c r="X912" s="52"/>
      <c r="Y912" s="52"/>
      <c r="Z912" s="51"/>
      <c r="AA912" s="73"/>
      <c r="AB912" s="73"/>
      <c r="AC912" s="74"/>
      <c r="AD912" s="80" t="s">
        <v>5077</v>
      </c>
      <c r="AE912" s="86" t="s">
        <v>5870</v>
      </c>
      <c r="AF912" s="80">
        <v>432</v>
      </c>
      <c r="AG912" s="80">
        <v>368</v>
      </c>
      <c r="AH912" s="80">
        <v>77981</v>
      </c>
      <c r="AI912" s="80">
        <v>1314</v>
      </c>
      <c r="AJ912" s="80"/>
      <c r="AK912" s="80" t="s">
        <v>6685</v>
      </c>
      <c r="AL912" s="80" t="s">
        <v>4145</v>
      </c>
      <c r="AM912" s="80"/>
      <c r="AN912" s="80"/>
      <c r="AO912" s="82">
        <v>41896.461597222224</v>
      </c>
      <c r="AP912" s="84" t="str">
        <f>HYPERLINK("https://pbs.twimg.com/profile_banners/2809209216/1626794041")</f>
        <v>https://pbs.twimg.com/profile_banners/2809209216/1626794041</v>
      </c>
      <c r="AQ912" s="80" t="b">
        <v>0</v>
      </c>
      <c r="AR912" s="80" t="b">
        <v>0</v>
      </c>
      <c r="AS912" s="80" t="b">
        <v>0</v>
      </c>
      <c r="AT912" s="80"/>
      <c r="AU912" s="80">
        <v>1</v>
      </c>
      <c r="AV912" s="84" t="str">
        <f>HYPERLINK("https://abs.twimg.com/images/themes/theme1/bg.png")</f>
        <v>https://abs.twimg.com/images/themes/theme1/bg.png</v>
      </c>
      <c r="AW912" s="80" t="b">
        <v>0</v>
      </c>
      <c r="AX912" s="80" t="s">
        <v>7173</v>
      </c>
      <c r="AY912" s="84" t="str">
        <f>HYPERLINK("https://twitter.com/squishyteddy12")</f>
        <v>https://twitter.com/squishyteddy12</v>
      </c>
      <c r="AZ912" s="80" t="s">
        <v>66</v>
      </c>
      <c r="BA912" s="2"/>
      <c r="BB912" s="3"/>
      <c r="BC912" s="3"/>
      <c r="BD912" s="3"/>
      <c r="BE912" s="3"/>
    </row>
    <row r="913" spans="1:57" x14ac:dyDescent="0.35">
      <c r="A913" s="66" t="s">
        <v>930</v>
      </c>
      <c r="B913" s="67"/>
      <c r="C913" s="67"/>
      <c r="D913" s="68"/>
      <c r="E913" s="70"/>
      <c r="F913" s="106" t="str">
        <f>HYPERLINK("https://pbs.twimg.com/profile_images/1428737669580787721/8guUhvGw_normal.jpg")</f>
        <v>https://pbs.twimg.com/profile_images/1428737669580787721/8guUhvGw_normal.jpg</v>
      </c>
      <c r="G913" s="67"/>
      <c r="H913" s="71"/>
      <c r="I913" s="72"/>
      <c r="J913" s="72"/>
      <c r="K913" s="71" t="s">
        <v>8083</v>
      </c>
      <c r="L913" s="75"/>
      <c r="M913" s="76"/>
      <c r="N913" s="76"/>
      <c r="O913" s="77"/>
      <c r="P913" s="78"/>
      <c r="Q913" s="78"/>
      <c r="R913" s="90"/>
      <c r="S913" s="90"/>
      <c r="T913" s="90"/>
      <c r="U913" s="90"/>
      <c r="V913" s="52"/>
      <c r="W913" s="52"/>
      <c r="X913" s="52"/>
      <c r="Y913" s="52"/>
      <c r="Z913" s="51"/>
      <c r="AA913" s="73"/>
      <c r="AB913" s="73"/>
      <c r="AC913" s="74"/>
      <c r="AD913" s="80" t="s">
        <v>5078</v>
      </c>
      <c r="AE913" s="86" t="s">
        <v>5871</v>
      </c>
      <c r="AF913" s="80">
        <v>386</v>
      </c>
      <c r="AG913" s="80">
        <v>297</v>
      </c>
      <c r="AH913" s="80">
        <v>18522</v>
      </c>
      <c r="AI913" s="80">
        <v>38636</v>
      </c>
      <c r="AJ913" s="80"/>
      <c r="AK913" s="80" t="s">
        <v>6686</v>
      </c>
      <c r="AL913" s="80" t="s">
        <v>7138</v>
      </c>
      <c r="AM913" s="80"/>
      <c r="AN913" s="80"/>
      <c r="AO913" s="82">
        <v>43917.463784722226</v>
      </c>
      <c r="AP913" s="84" t="str">
        <f>HYPERLINK("https://pbs.twimg.com/profile_banners/1243494712033439744/1629475645")</f>
        <v>https://pbs.twimg.com/profile_banners/1243494712033439744/1629475645</v>
      </c>
      <c r="AQ913" s="80" t="b">
        <v>1</v>
      </c>
      <c r="AR913" s="80" t="b">
        <v>0</v>
      </c>
      <c r="AS913" s="80" t="b">
        <v>0</v>
      </c>
      <c r="AT913" s="80"/>
      <c r="AU913" s="80">
        <v>0</v>
      </c>
      <c r="AV913" s="80"/>
      <c r="AW913" s="80" t="b">
        <v>0</v>
      </c>
      <c r="AX913" s="80" t="s">
        <v>7173</v>
      </c>
      <c r="AY913" s="84" t="str">
        <f>HYPERLINK("https://twitter.com/chittaprrrna")</f>
        <v>https://twitter.com/chittaprrrna</v>
      </c>
      <c r="AZ913" s="80" t="s">
        <v>66</v>
      </c>
      <c r="BA913" s="2"/>
      <c r="BB913" s="3"/>
      <c r="BC913" s="3"/>
      <c r="BD913" s="3"/>
      <c r="BE913" s="3"/>
    </row>
    <row r="914" spans="1:57" x14ac:dyDescent="0.35">
      <c r="A914" s="66" t="s">
        <v>1187</v>
      </c>
      <c r="B914" s="67"/>
      <c r="C914" s="67"/>
      <c r="D914" s="68"/>
      <c r="E914" s="70"/>
      <c r="F914" s="106" t="str">
        <f>HYPERLINK("https://pbs.twimg.com/profile_images/1375682095457046528/Q4-Z7PN3_normal.jpg")</f>
        <v>https://pbs.twimg.com/profile_images/1375682095457046528/Q4-Z7PN3_normal.jpg</v>
      </c>
      <c r="G914" s="67"/>
      <c r="H914" s="71"/>
      <c r="I914" s="72"/>
      <c r="J914" s="72"/>
      <c r="K914" s="71" t="s">
        <v>8084</v>
      </c>
      <c r="L914" s="75"/>
      <c r="M914" s="76"/>
      <c r="N914" s="76"/>
      <c r="O914" s="77"/>
      <c r="P914" s="78"/>
      <c r="Q914" s="78"/>
      <c r="R914" s="90"/>
      <c r="S914" s="90"/>
      <c r="T914" s="90"/>
      <c r="U914" s="90"/>
      <c r="V914" s="52"/>
      <c r="W914" s="52"/>
      <c r="X914" s="52"/>
      <c r="Y914" s="52"/>
      <c r="Z914" s="51"/>
      <c r="AA914" s="73"/>
      <c r="AB914" s="73"/>
      <c r="AC914" s="74"/>
      <c r="AD914" s="80" t="s">
        <v>5079</v>
      </c>
      <c r="AE914" s="86" t="s">
        <v>4069</v>
      </c>
      <c r="AF914" s="80">
        <v>106</v>
      </c>
      <c r="AG914" s="80">
        <v>4</v>
      </c>
      <c r="AH914" s="80">
        <v>4794</v>
      </c>
      <c r="AI914" s="80">
        <v>3999</v>
      </c>
      <c r="AJ914" s="80"/>
      <c r="AK914" s="80" t="s">
        <v>6687</v>
      </c>
      <c r="AL914" s="80"/>
      <c r="AM914" s="84" t="str">
        <f>HYPERLINK("https://t.co/Do9pXWr1T9")</f>
        <v>https://t.co/Do9pXWr1T9</v>
      </c>
      <c r="AN914" s="80"/>
      <c r="AO914" s="82">
        <v>43277.553726851853</v>
      </c>
      <c r="AP914" s="84" t="str">
        <f>HYPERLINK("https://pbs.twimg.com/profile_banners/1011599299644452865/1631638386")</f>
        <v>https://pbs.twimg.com/profile_banners/1011599299644452865/1631638386</v>
      </c>
      <c r="AQ914" s="80" t="b">
        <v>1</v>
      </c>
      <c r="AR914" s="80" t="b">
        <v>0</v>
      </c>
      <c r="AS914" s="80" t="b">
        <v>0</v>
      </c>
      <c r="AT914" s="80"/>
      <c r="AU914" s="80">
        <v>0</v>
      </c>
      <c r="AV914" s="80"/>
      <c r="AW914" s="80" t="b">
        <v>0</v>
      </c>
      <c r="AX914" s="80" t="s">
        <v>7173</v>
      </c>
      <c r="AY914" s="84" t="str">
        <f>HYPERLINK("https://twitter.com/ibitedonghan")</f>
        <v>https://twitter.com/ibitedonghan</v>
      </c>
      <c r="AZ914" s="80" t="s">
        <v>65</v>
      </c>
      <c r="BA914" s="2"/>
      <c r="BB914" s="3"/>
      <c r="BC914" s="3"/>
      <c r="BD914" s="3"/>
      <c r="BE914" s="3"/>
    </row>
    <row r="915" spans="1:57" x14ac:dyDescent="0.35">
      <c r="A915" s="66" t="s">
        <v>931</v>
      </c>
      <c r="B915" s="67"/>
      <c r="C915" s="67"/>
      <c r="D915" s="68"/>
      <c r="E915" s="70"/>
      <c r="F915" s="106" t="str">
        <f>HYPERLINK("https://pbs.twimg.com/profile_images/1216421119021830144/20vVEwz4_normal.jpg")</f>
        <v>https://pbs.twimg.com/profile_images/1216421119021830144/20vVEwz4_normal.jpg</v>
      </c>
      <c r="G915" s="67"/>
      <c r="H915" s="71"/>
      <c r="I915" s="72"/>
      <c r="J915" s="72"/>
      <c r="K915" s="71" t="s">
        <v>8085</v>
      </c>
      <c r="L915" s="75"/>
      <c r="M915" s="76"/>
      <c r="N915" s="76"/>
      <c r="O915" s="77"/>
      <c r="P915" s="78"/>
      <c r="Q915" s="78"/>
      <c r="R915" s="90"/>
      <c r="S915" s="90"/>
      <c r="T915" s="90"/>
      <c r="U915" s="90"/>
      <c r="V915" s="52"/>
      <c r="W915" s="52"/>
      <c r="X915" s="52"/>
      <c r="Y915" s="52"/>
      <c r="Z915" s="51"/>
      <c r="AA915" s="73"/>
      <c r="AB915" s="73"/>
      <c r="AC915" s="74"/>
      <c r="AD915" s="80" t="s">
        <v>5080</v>
      </c>
      <c r="AE915" s="86" t="s">
        <v>5872</v>
      </c>
      <c r="AF915" s="80">
        <v>146</v>
      </c>
      <c r="AG915" s="80">
        <v>97</v>
      </c>
      <c r="AH915" s="80">
        <v>795</v>
      </c>
      <c r="AI915" s="80">
        <v>1219</v>
      </c>
      <c r="AJ915" s="80"/>
      <c r="AK915" s="80" t="s">
        <v>6688</v>
      </c>
      <c r="AL915" s="80"/>
      <c r="AM915" s="80"/>
      <c r="AN915" s="80"/>
      <c r="AO915" s="82">
        <v>43726.065150462964</v>
      </c>
      <c r="AP915" s="84" t="str">
        <f>HYPERLINK("https://pbs.twimg.com/profile_banners/1174134337584844801/1590339387")</f>
        <v>https://pbs.twimg.com/profile_banners/1174134337584844801/1590339387</v>
      </c>
      <c r="AQ915" s="80" t="b">
        <v>1</v>
      </c>
      <c r="AR915" s="80" t="b">
        <v>0</v>
      </c>
      <c r="AS915" s="80" t="b">
        <v>0</v>
      </c>
      <c r="AT915" s="80"/>
      <c r="AU915" s="80">
        <v>0</v>
      </c>
      <c r="AV915" s="80"/>
      <c r="AW915" s="80" t="b">
        <v>0</v>
      </c>
      <c r="AX915" s="80" t="s">
        <v>7173</v>
      </c>
      <c r="AY915" s="84" t="str">
        <f>HYPERLINK("https://twitter.com/rifqi_frido")</f>
        <v>https://twitter.com/rifqi_frido</v>
      </c>
      <c r="AZ915" s="80" t="s">
        <v>66</v>
      </c>
      <c r="BA915" s="2"/>
      <c r="BB915" s="3"/>
      <c r="BC915" s="3"/>
      <c r="BD915" s="3"/>
      <c r="BE915" s="3"/>
    </row>
    <row r="916" spans="1:57" x14ac:dyDescent="0.35">
      <c r="A916" s="66" t="s">
        <v>932</v>
      </c>
      <c r="B916" s="67"/>
      <c r="C916" s="67"/>
      <c r="D916" s="68"/>
      <c r="E916" s="70"/>
      <c r="F916" s="106" t="str">
        <f>HYPERLINK("https://pbs.twimg.com/profile_images/1427476009440354306/SvtC46Ya_normal.jpg")</f>
        <v>https://pbs.twimg.com/profile_images/1427476009440354306/SvtC46Ya_normal.jpg</v>
      </c>
      <c r="G916" s="67"/>
      <c r="H916" s="71"/>
      <c r="I916" s="72"/>
      <c r="J916" s="72"/>
      <c r="K916" s="71" t="s">
        <v>8086</v>
      </c>
      <c r="L916" s="75"/>
      <c r="M916" s="76"/>
      <c r="N916" s="76"/>
      <c r="O916" s="77"/>
      <c r="P916" s="78"/>
      <c r="Q916" s="78"/>
      <c r="R916" s="90"/>
      <c r="S916" s="90"/>
      <c r="T916" s="90"/>
      <c r="U916" s="90"/>
      <c r="V916" s="52"/>
      <c r="W916" s="52"/>
      <c r="X916" s="52"/>
      <c r="Y916" s="52"/>
      <c r="Z916" s="51"/>
      <c r="AA916" s="73"/>
      <c r="AB916" s="73"/>
      <c r="AC916" s="74"/>
      <c r="AD916" s="80" t="s">
        <v>932</v>
      </c>
      <c r="AE916" s="86" t="s">
        <v>5873</v>
      </c>
      <c r="AF916" s="80">
        <v>1837</v>
      </c>
      <c r="AG916" s="80">
        <v>386</v>
      </c>
      <c r="AH916" s="80">
        <v>5419</v>
      </c>
      <c r="AI916" s="80">
        <v>1300</v>
      </c>
      <c r="AJ916" s="80"/>
      <c r="AK916" s="80" t="s">
        <v>6689</v>
      </c>
      <c r="AL916" s="80"/>
      <c r="AM916" s="80"/>
      <c r="AN916" s="80"/>
      <c r="AO916" s="82">
        <v>44425.149039351854</v>
      </c>
      <c r="AP916" s="80"/>
      <c r="AQ916" s="80" t="b">
        <v>1</v>
      </c>
      <c r="AR916" s="80" t="b">
        <v>0</v>
      </c>
      <c r="AS916" s="80" t="b">
        <v>0</v>
      </c>
      <c r="AT916" s="80"/>
      <c r="AU916" s="80">
        <v>0</v>
      </c>
      <c r="AV916" s="80"/>
      <c r="AW916" s="80" t="b">
        <v>0</v>
      </c>
      <c r="AX916" s="80" t="s">
        <v>7173</v>
      </c>
      <c r="AY916" s="84" t="str">
        <f>HYPERLINK("https://twitter.com/ide2nesia")</f>
        <v>https://twitter.com/ide2nesia</v>
      </c>
      <c r="AZ916" s="80" t="s">
        <v>66</v>
      </c>
      <c r="BA916" s="2"/>
      <c r="BB916" s="3"/>
      <c r="BC916" s="3"/>
      <c r="BD916" s="3"/>
      <c r="BE916" s="3"/>
    </row>
    <row r="917" spans="1:57" x14ac:dyDescent="0.35">
      <c r="A917" s="66" t="s">
        <v>933</v>
      </c>
      <c r="B917" s="67"/>
      <c r="C917" s="67"/>
      <c r="D917" s="68"/>
      <c r="E917" s="70"/>
      <c r="F917" s="106" t="str">
        <f>HYPERLINK("https://pbs.twimg.com/profile_images/780910181865496576/1MK7bwvI_normal.jpg")</f>
        <v>https://pbs.twimg.com/profile_images/780910181865496576/1MK7bwvI_normal.jpg</v>
      </c>
      <c r="G917" s="67"/>
      <c r="H917" s="71"/>
      <c r="I917" s="72"/>
      <c r="J917" s="72"/>
      <c r="K917" s="71" t="s">
        <v>8087</v>
      </c>
      <c r="L917" s="75"/>
      <c r="M917" s="76"/>
      <c r="N917" s="76"/>
      <c r="O917" s="77"/>
      <c r="P917" s="78"/>
      <c r="Q917" s="78"/>
      <c r="R917" s="90"/>
      <c r="S917" s="90"/>
      <c r="T917" s="90"/>
      <c r="U917" s="90"/>
      <c r="V917" s="52"/>
      <c r="W917" s="52"/>
      <c r="X917" s="52"/>
      <c r="Y917" s="52"/>
      <c r="Z917" s="51"/>
      <c r="AA917" s="73"/>
      <c r="AB917" s="73"/>
      <c r="AC917" s="74"/>
      <c r="AD917" s="80" t="s">
        <v>5081</v>
      </c>
      <c r="AE917" s="86" t="s">
        <v>5874</v>
      </c>
      <c r="AF917" s="80">
        <v>64</v>
      </c>
      <c r="AG917" s="80">
        <v>3781</v>
      </c>
      <c r="AH917" s="80">
        <v>83017</v>
      </c>
      <c r="AI917" s="80">
        <v>1587</v>
      </c>
      <c r="AJ917" s="80"/>
      <c r="AK917" s="80" t="s">
        <v>6690</v>
      </c>
      <c r="AL917" s="80" t="s">
        <v>7139</v>
      </c>
      <c r="AM917" s="80"/>
      <c r="AN917" s="80"/>
      <c r="AO917" s="82">
        <v>42217.299131944441</v>
      </c>
      <c r="AP917" s="84" t="str">
        <f>HYPERLINK("https://pbs.twimg.com/profile_banners/3303130106/1475018434")</f>
        <v>https://pbs.twimg.com/profile_banners/3303130106/1475018434</v>
      </c>
      <c r="AQ917" s="80" t="b">
        <v>1</v>
      </c>
      <c r="AR917" s="80" t="b">
        <v>0</v>
      </c>
      <c r="AS917" s="80" t="b">
        <v>0</v>
      </c>
      <c r="AT917" s="80"/>
      <c r="AU917" s="80">
        <v>9</v>
      </c>
      <c r="AV917" s="84" t="str">
        <f>HYPERLINK("https://abs.twimg.com/images/themes/theme1/bg.png")</f>
        <v>https://abs.twimg.com/images/themes/theme1/bg.png</v>
      </c>
      <c r="AW917" s="80" t="b">
        <v>0</v>
      </c>
      <c r="AX917" s="80" t="s">
        <v>7173</v>
      </c>
      <c r="AY917" s="84" t="str">
        <f>HYPERLINK("https://twitter.com/ayobogor")</f>
        <v>https://twitter.com/ayobogor</v>
      </c>
      <c r="AZ917" s="80" t="s">
        <v>66</v>
      </c>
      <c r="BA917" s="2"/>
      <c r="BB917" s="3"/>
      <c r="BC917" s="3"/>
      <c r="BD917" s="3"/>
      <c r="BE917" s="3"/>
    </row>
    <row r="918" spans="1:57" x14ac:dyDescent="0.35">
      <c r="A918" s="66" t="s">
        <v>934</v>
      </c>
      <c r="B918" s="67"/>
      <c r="C918" s="67"/>
      <c r="D918" s="68"/>
      <c r="E918" s="70"/>
      <c r="F918" s="106" t="str">
        <f>HYPERLINK("https://pbs.twimg.com/profile_images/1289357125274107906/08jh-FO5_normal.jpg")</f>
        <v>https://pbs.twimg.com/profile_images/1289357125274107906/08jh-FO5_normal.jpg</v>
      </c>
      <c r="G918" s="67"/>
      <c r="H918" s="71"/>
      <c r="I918" s="72"/>
      <c r="J918" s="72"/>
      <c r="K918" s="71" t="s">
        <v>8088</v>
      </c>
      <c r="L918" s="75"/>
      <c r="M918" s="76"/>
      <c r="N918" s="76"/>
      <c r="O918" s="77"/>
      <c r="P918" s="78"/>
      <c r="Q918" s="78"/>
      <c r="R918" s="90"/>
      <c r="S918" s="90"/>
      <c r="T918" s="90"/>
      <c r="U918" s="90"/>
      <c r="V918" s="52"/>
      <c r="W918" s="52"/>
      <c r="X918" s="52"/>
      <c r="Y918" s="52"/>
      <c r="Z918" s="51"/>
      <c r="AA918" s="73"/>
      <c r="AB918" s="73"/>
      <c r="AC918" s="74"/>
      <c r="AD918" s="80" t="s">
        <v>5082</v>
      </c>
      <c r="AE918" s="86" t="s">
        <v>5875</v>
      </c>
      <c r="AF918" s="80">
        <v>700</v>
      </c>
      <c r="AG918" s="80">
        <v>346</v>
      </c>
      <c r="AH918" s="80">
        <v>1325</v>
      </c>
      <c r="AI918" s="80">
        <v>132</v>
      </c>
      <c r="AJ918" s="80"/>
      <c r="AK918" s="80" t="s">
        <v>6691</v>
      </c>
      <c r="AL918" s="80" t="s">
        <v>7140</v>
      </c>
      <c r="AM918" s="84" t="str">
        <f>HYPERLINK("https://t.co/dn2dSrVX5H")</f>
        <v>https://t.co/dn2dSrVX5H</v>
      </c>
      <c r="AN918" s="80"/>
      <c r="AO918" s="82">
        <v>43394.448912037034</v>
      </c>
      <c r="AP918" s="84" t="str">
        <f>HYPERLINK("https://pbs.twimg.com/profile_banners/1053960694897369088/1597152108")</f>
        <v>https://pbs.twimg.com/profile_banners/1053960694897369088/1597152108</v>
      </c>
      <c r="AQ918" s="80" t="b">
        <v>1</v>
      </c>
      <c r="AR918" s="80" t="b">
        <v>0</v>
      </c>
      <c r="AS918" s="80" t="b">
        <v>0</v>
      </c>
      <c r="AT918" s="80"/>
      <c r="AU918" s="80">
        <v>0</v>
      </c>
      <c r="AV918" s="80"/>
      <c r="AW918" s="80" t="b">
        <v>0</v>
      </c>
      <c r="AX918" s="80" t="s">
        <v>7173</v>
      </c>
      <c r="AY918" s="84" t="str">
        <f>HYPERLINK("https://twitter.com/bawasluppu")</f>
        <v>https://twitter.com/bawasluppu</v>
      </c>
      <c r="AZ918" s="80" t="s">
        <v>66</v>
      </c>
      <c r="BA918" s="2"/>
      <c r="BB918" s="3"/>
      <c r="BC918" s="3"/>
      <c r="BD918" s="3"/>
      <c r="BE918" s="3"/>
    </row>
    <row r="919" spans="1:57" x14ac:dyDescent="0.35">
      <c r="A919" s="66" t="s">
        <v>935</v>
      </c>
      <c r="B919" s="67"/>
      <c r="C919" s="67"/>
      <c r="D919" s="68"/>
      <c r="E919" s="70"/>
      <c r="F919" s="106" t="str">
        <f>HYPERLINK("https://pbs.twimg.com/profile_images/1311900923942199297/-S8QxXTr_normal.jpg")</f>
        <v>https://pbs.twimg.com/profile_images/1311900923942199297/-S8QxXTr_normal.jpg</v>
      </c>
      <c r="G919" s="67"/>
      <c r="H919" s="71"/>
      <c r="I919" s="72"/>
      <c r="J919" s="72"/>
      <c r="K919" s="71" t="s">
        <v>8089</v>
      </c>
      <c r="L919" s="75"/>
      <c r="M919" s="76"/>
      <c r="N919" s="76"/>
      <c r="O919" s="77"/>
      <c r="P919" s="78"/>
      <c r="Q919" s="78"/>
      <c r="R919" s="90"/>
      <c r="S919" s="90"/>
      <c r="T919" s="90"/>
      <c r="U919" s="90"/>
      <c r="V919" s="52"/>
      <c r="W919" s="52"/>
      <c r="X919" s="52"/>
      <c r="Y919" s="52"/>
      <c r="Z919" s="51"/>
      <c r="AA919" s="73"/>
      <c r="AB919" s="73"/>
      <c r="AC919" s="74"/>
      <c r="AD919" s="80" t="s">
        <v>5083</v>
      </c>
      <c r="AE919" s="86" t="s">
        <v>5876</v>
      </c>
      <c r="AF919" s="80">
        <v>14</v>
      </c>
      <c r="AG919" s="80">
        <v>4</v>
      </c>
      <c r="AH919" s="80">
        <v>56</v>
      </c>
      <c r="AI919" s="80">
        <v>28</v>
      </c>
      <c r="AJ919" s="80"/>
      <c r="AK919" s="80" t="s">
        <v>6692</v>
      </c>
      <c r="AL919" s="80" t="s">
        <v>7141</v>
      </c>
      <c r="AM919" s="84" t="str">
        <f>HYPERLINK("https://t.co/jDZ63BNuQr")</f>
        <v>https://t.co/jDZ63BNuQr</v>
      </c>
      <c r="AN919" s="80"/>
      <c r="AO919" s="82">
        <v>44106.187152777777</v>
      </c>
      <c r="AP919" s="84" t="str">
        <f>HYPERLINK("https://pbs.twimg.com/profile_banners/1311885948683087872/1601620558")</f>
        <v>https://pbs.twimg.com/profile_banners/1311885948683087872/1601620558</v>
      </c>
      <c r="AQ919" s="80" t="b">
        <v>1</v>
      </c>
      <c r="AR919" s="80" t="b">
        <v>0</v>
      </c>
      <c r="AS919" s="80" t="b">
        <v>0</v>
      </c>
      <c r="AT919" s="80"/>
      <c r="AU919" s="80">
        <v>0</v>
      </c>
      <c r="AV919" s="80"/>
      <c r="AW919" s="80" t="b">
        <v>0</v>
      </c>
      <c r="AX919" s="80" t="s">
        <v>7173</v>
      </c>
      <c r="AY919" s="84" t="str">
        <f>HYPERLINK("https://twitter.com/ipm_smpalqolam")</f>
        <v>https://twitter.com/ipm_smpalqolam</v>
      </c>
      <c r="AZ919" s="80" t="s">
        <v>66</v>
      </c>
      <c r="BA919" s="2"/>
      <c r="BB919" s="3"/>
      <c r="BC919" s="3"/>
      <c r="BD919" s="3"/>
      <c r="BE919" s="3"/>
    </row>
    <row r="920" spans="1:57" x14ac:dyDescent="0.35">
      <c r="A920" s="66" t="s">
        <v>1188</v>
      </c>
      <c r="B920" s="67"/>
      <c r="C920" s="67"/>
      <c r="D920" s="68"/>
      <c r="E920" s="70"/>
      <c r="F920" s="106" t="str">
        <f>HYPERLINK("https://pbs.twimg.com/profile_images/771522852361076736/Y-uOo_6k_normal.jpg")</f>
        <v>https://pbs.twimg.com/profile_images/771522852361076736/Y-uOo_6k_normal.jpg</v>
      </c>
      <c r="G920" s="67"/>
      <c r="H920" s="71"/>
      <c r="I920" s="72"/>
      <c r="J920" s="72"/>
      <c r="K920" s="71" t="s">
        <v>8090</v>
      </c>
      <c r="L920" s="75"/>
      <c r="M920" s="76"/>
      <c r="N920" s="76"/>
      <c r="O920" s="77"/>
      <c r="P920" s="78"/>
      <c r="Q920" s="78"/>
      <c r="R920" s="90"/>
      <c r="S920" s="90"/>
      <c r="T920" s="90"/>
      <c r="U920" s="90"/>
      <c r="V920" s="52"/>
      <c r="W920" s="52"/>
      <c r="X920" s="52"/>
      <c r="Y920" s="52"/>
      <c r="Z920" s="51"/>
      <c r="AA920" s="73"/>
      <c r="AB920" s="73"/>
      <c r="AC920" s="74"/>
      <c r="AD920" s="80" t="s">
        <v>5084</v>
      </c>
      <c r="AE920" s="86" t="s">
        <v>5877</v>
      </c>
      <c r="AF920" s="80">
        <v>106</v>
      </c>
      <c r="AG920" s="80">
        <v>573</v>
      </c>
      <c r="AH920" s="80">
        <v>2085</v>
      </c>
      <c r="AI920" s="80">
        <v>19</v>
      </c>
      <c r="AJ920" s="80"/>
      <c r="AK920" s="80" t="s">
        <v>6693</v>
      </c>
      <c r="AL920" s="80" t="s">
        <v>7142</v>
      </c>
      <c r="AM920" s="80"/>
      <c r="AN920" s="80"/>
      <c r="AO920" s="82">
        <v>41384.972870370373</v>
      </c>
      <c r="AP920" s="84" t="str">
        <f>HYPERLINK("https://pbs.twimg.com/profile_banners/1368193494/1448424134")</f>
        <v>https://pbs.twimg.com/profile_banners/1368193494/1448424134</v>
      </c>
      <c r="AQ920" s="80" t="b">
        <v>0</v>
      </c>
      <c r="AR920" s="80" t="b">
        <v>0</v>
      </c>
      <c r="AS920" s="80" t="b">
        <v>0</v>
      </c>
      <c r="AT920" s="80"/>
      <c r="AU920" s="80">
        <v>2</v>
      </c>
      <c r="AV920" s="84" t="str">
        <f>HYPERLINK("https://abs.twimg.com/images/themes/theme1/bg.png")</f>
        <v>https://abs.twimg.com/images/themes/theme1/bg.png</v>
      </c>
      <c r="AW920" s="80" t="b">
        <v>0</v>
      </c>
      <c r="AX920" s="80" t="s">
        <v>7173</v>
      </c>
      <c r="AY920" s="84" t="str">
        <f>HYPERLINK("https://twitter.com/ipmsragen")</f>
        <v>https://twitter.com/ipmsragen</v>
      </c>
      <c r="AZ920" s="80" t="s">
        <v>65</v>
      </c>
      <c r="BA920" s="2"/>
      <c r="BB920" s="3"/>
      <c r="BC920" s="3"/>
      <c r="BD920" s="3"/>
      <c r="BE920" s="3"/>
    </row>
    <row r="921" spans="1:57" x14ac:dyDescent="0.35">
      <c r="A921" s="66" t="s">
        <v>1189</v>
      </c>
      <c r="B921" s="67"/>
      <c r="C921" s="67"/>
      <c r="D921" s="68"/>
      <c r="E921" s="70"/>
      <c r="F921" s="106" t="str">
        <f>HYPERLINK("https://pbs.twimg.com/profile_images/1267454595229310978/HeAvTzj__normal.jpg")</f>
        <v>https://pbs.twimg.com/profile_images/1267454595229310978/HeAvTzj__normal.jpg</v>
      </c>
      <c r="G921" s="67"/>
      <c r="H921" s="71"/>
      <c r="I921" s="72"/>
      <c r="J921" s="72"/>
      <c r="K921" s="71" t="s">
        <v>8091</v>
      </c>
      <c r="L921" s="75"/>
      <c r="M921" s="76"/>
      <c r="N921" s="76"/>
      <c r="O921" s="77"/>
      <c r="P921" s="78"/>
      <c r="Q921" s="78"/>
      <c r="R921" s="90"/>
      <c r="S921" s="90"/>
      <c r="T921" s="90"/>
      <c r="U921" s="90"/>
      <c r="V921" s="52"/>
      <c r="W921" s="52"/>
      <c r="X921" s="52"/>
      <c r="Y921" s="52"/>
      <c r="Z921" s="51"/>
      <c r="AA921" s="73"/>
      <c r="AB921" s="73"/>
      <c r="AC921" s="74"/>
      <c r="AD921" s="80" t="s">
        <v>5085</v>
      </c>
      <c r="AE921" s="86" t="s">
        <v>5878</v>
      </c>
      <c r="AF921" s="80">
        <v>165</v>
      </c>
      <c r="AG921" s="80">
        <v>2675</v>
      </c>
      <c r="AH921" s="80">
        <v>2666</v>
      </c>
      <c r="AI921" s="80">
        <v>172</v>
      </c>
      <c r="AJ921" s="80"/>
      <c r="AK921" s="80" t="s">
        <v>6694</v>
      </c>
      <c r="AL921" s="80" t="s">
        <v>7143</v>
      </c>
      <c r="AM921" s="84" t="str">
        <f>HYPERLINK("https://t.co/VdVkR1oG6q")</f>
        <v>https://t.co/VdVkR1oG6q</v>
      </c>
      <c r="AN921" s="80"/>
      <c r="AO921" s="82">
        <v>41350.015810185185</v>
      </c>
      <c r="AP921" s="84" t="str">
        <f>HYPERLINK("https://pbs.twimg.com/profile_banners/1273640899/1588047194")</f>
        <v>https://pbs.twimg.com/profile_banners/1273640899/1588047194</v>
      </c>
      <c r="AQ921" s="80" t="b">
        <v>0</v>
      </c>
      <c r="AR921" s="80" t="b">
        <v>0</v>
      </c>
      <c r="AS921" s="80" t="b">
        <v>1</v>
      </c>
      <c r="AT921" s="80"/>
      <c r="AU921" s="80">
        <v>4</v>
      </c>
      <c r="AV921" s="84" t="str">
        <f>HYPERLINK("https://abs.twimg.com/images/themes/theme19/bg.gif")</f>
        <v>https://abs.twimg.com/images/themes/theme19/bg.gif</v>
      </c>
      <c r="AW921" s="80" t="b">
        <v>0</v>
      </c>
      <c r="AX921" s="80" t="s">
        <v>7173</v>
      </c>
      <c r="AY921" s="84" t="str">
        <f>HYPERLINK("https://twitter.com/ipmjateng")</f>
        <v>https://twitter.com/ipmjateng</v>
      </c>
      <c r="AZ921" s="80" t="s">
        <v>65</v>
      </c>
      <c r="BA921" s="2"/>
      <c r="BB921" s="3"/>
      <c r="BC921" s="3"/>
      <c r="BD921" s="3"/>
      <c r="BE921" s="3"/>
    </row>
    <row r="922" spans="1:57" x14ac:dyDescent="0.35">
      <c r="A922" s="66" t="s">
        <v>936</v>
      </c>
      <c r="B922" s="67"/>
      <c r="C922" s="67"/>
      <c r="D922" s="68"/>
      <c r="E922" s="70"/>
      <c r="F922" s="106" t="str">
        <f>HYPERLINK("https://pbs.twimg.com/profile_images/1436919955828604933/ss6ZnITh_normal.jpg")</f>
        <v>https://pbs.twimg.com/profile_images/1436919955828604933/ss6ZnITh_normal.jpg</v>
      </c>
      <c r="G922" s="67"/>
      <c r="H922" s="71"/>
      <c r="I922" s="72"/>
      <c r="J922" s="72"/>
      <c r="K922" s="71" t="s">
        <v>8092</v>
      </c>
      <c r="L922" s="75"/>
      <c r="M922" s="76"/>
      <c r="N922" s="76"/>
      <c r="O922" s="77"/>
      <c r="P922" s="78"/>
      <c r="Q922" s="78"/>
      <c r="R922" s="90"/>
      <c r="S922" s="90"/>
      <c r="T922" s="90"/>
      <c r="U922" s="90"/>
      <c r="V922" s="52"/>
      <c r="W922" s="52"/>
      <c r="X922" s="52"/>
      <c r="Y922" s="52"/>
      <c r="Z922" s="51"/>
      <c r="AA922" s="73"/>
      <c r="AB922" s="73"/>
      <c r="AC922" s="74"/>
      <c r="AD922" s="80" t="s">
        <v>5086</v>
      </c>
      <c r="AE922" s="86" t="s">
        <v>5879</v>
      </c>
      <c r="AF922" s="80">
        <v>11229</v>
      </c>
      <c r="AG922" s="80">
        <v>16653</v>
      </c>
      <c r="AH922" s="80">
        <v>53421</v>
      </c>
      <c r="AI922" s="80">
        <v>116550</v>
      </c>
      <c r="AJ922" s="80"/>
      <c r="AK922" s="80" t="s">
        <v>6695</v>
      </c>
      <c r="AL922" s="80" t="s">
        <v>6785</v>
      </c>
      <c r="AM922" s="80"/>
      <c r="AN922" s="80"/>
      <c r="AO922" s="82">
        <v>43932.666701388887</v>
      </c>
      <c r="AP922" s="84" t="str">
        <f>HYPERLINK("https://pbs.twimg.com/profile_banners/1249004237004009474/1626715709")</f>
        <v>https://pbs.twimg.com/profile_banners/1249004237004009474/1626715709</v>
      </c>
      <c r="AQ922" s="80" t="b">
        <v>1</v>
      </c>
      <c r="AR922" s="80" t="b">
        <v>0</v>
      </c>
      <c r="AS922" s="80" t="b">
        <v>0</v>
      </c>
      <c r="AT922" s="80"/>
      <c r="AU922" s="80">
        <v>4</v>
      </c>
      <c r="AV922" s="80"/>
      <c r="AW922" s="80" t="b">
        <v>0</v>
      </c>
      <c r="AX922" s="80" t="s">
        <v>7173</v>
      </c>
      <c r="AY922" s="84" t="str">
        <f>HYPERLINK("https://twitter.com/gojekmilitan")</f>
        <v>https://twitter.com/gojekmilitan</v>
      </c>
      <c r="AZ922" s="80" t="s">
        <v>66</v>
      </c>
      <c r="BA922" s="2"/>
      <c r="BB922" s="3"/>
      <c r="BC922" s="3"/>
      <c r="BD922" s="3"/>
      <c r="BE922" s="3"/>
    </row>
    <row r="923" spans="1:57" x14ac:dyDescent="0.35">
      <c r="A923" s="66" t="s">
        <v>937</v>
      </c>
      <c r="B923" s="67"/>
      <c r="C923" s="67"/>
      <c r="D923" s="68"/>
      <c r="E923" s="70"/>
      <c r="F923" s="106" t="str">
        <f>HYPERLINK("https://pbs.twimg.com/profile_images/1437377026567000071/XmAc_Niu_normal.jpg")</f>
        <v>https://pbs.twimg.com/profile_images/1437377026567000071/XmAc_Niu_normal.jpg</v>
      </c>
      <c r="G923" s="67"/>
      <c r="H923" s="71"/>
      <c r="I923" s="72"/>
      <c r="J923" s="72"/>
      <c r="K923" s="71" t="s">
        <v>8093</v>
      </c>
      <c r="L923" s="75"/>
      <c r="M923" s="76"/>
      <c r="N923" s="76"/>
      <c r="O923" s="77"/>
      <c r="P923" s="78"/>
      <c r="Q923" s="78"/>
      <c r="R923" s="90"/>
      <c r="S923" s="90"/>
      <c r="T923" s="90"/>
      <c r="U923" s="90"/>
      <c r="V923" s="52"/>
      <c r="W923" s="52"/>
      <c r="X923" s="52"/>
      <c r="Y923" s="52"/>
      <c r="Z923" s="51"/>
      <c r="AA923" s="73"/>
      <c r="AB923" s="73"/>
      <c r="AC923" s="74"/>
      <c r="AD923" s="80" t="s">
        <v>5087</v>
      </c>
      <c r="AE923" s="86" t="s">
        <v>5880</v>
      </c>
      <c r="AF923" s="80">
        <v>55</v>
      </c>
      <c r="AG923" s="80">
        <v>44</v>
      </c>
      <c r="AH923" s="80">
        <v>15219</v>
      </c>
      <c r="AI923" s="80">
        <v>1623</v>
      </c>
      <c r="AJ923" s="80"/>
      <c r="AK923" s="80" t="s">
        <v>6696</v>
      </c>
      <c r="AL923" s="80"/>
      <c r="AM923" s="80"/>
      <c r="AN923" s="80"/>
      <c r="AO923" s="82">
        <v>43686.368576388886</v>
      </c>
      <c r="AP923" s="84" t="str">
        <f>HYPERLINK("https://pbs.twimg.com/profile_banners/1159748841576361984/1629244652")</f>
        <v>https://pbs.twimg.com/profile_banners/1159748841576361984/1629244652</v>
      </c>
      <c r="AQ923" s="80" t="b">
        <v>1</v>
      </c>
      <c r="AR923" s="80" t="b">
        <v>0</v>
      </c>
      <c r="AS923" s="80" t="b">
        <v>0</v>
      </c>
      <c r="AT923" s="80"/>
      <c r="AU923" s="80">
        <v>0</v>
      </c>
      <c r="AV923" s="80"/>
      <c r="AW923" s="80" t="b">
        <v>0</v>
      </c>
      <c r="AX923" s="80" t="s">
        <v>7173</v>
      </c>
      <c r="AY923" s="84" t="str">
        <f>HYPERLINK("https://twitter.com/notyours_k")</f>
        <v>https://twitter.com/notyours_k</v>
      </c>
      <c r="AZ923" s="80" t="s">
        <v>66</v>
      </c>
      <c r="BA923" s="2"/>
      <c r="BB923" s="3"/>
      <c r="BC923" s="3"/>
      <c r="BD923" s="3"/>
      <c r="BE923" s="3"/>
    </row>
    <row r="924" spans="1:57" x14ac:dyDescent="0.35">
      <c r="A924" s="66" t="s">
        <v>938</v>
      </c>
      <c r="B924" s="67"/>
      <c r="C924" s="67"/>
      <c r="D924" s="68"/>
      <c r="E924" s="70"/>
      <c r="F924" s="106" t="str">
        <f>HYPERLINK("https://pbs.twimg.com/profile_images/1442483139952082948/PLSpx5t7_normal.jpg")</f>
        <v>https://pbs.twimg.com/profile_images/1442483139952082948/PLSpx5t7_normal.jpg</v>
      </c>
      <c r="G924" s="67"/>
      <c r="H924" s="71"/>
      <c r="I924" s="72"/>
      <c r="J924" s="72"/>
      <c r="K924" s="71" t="s">
        <v>8094</v>
      </c>
      <c r="L924" s="75"/>
      <c r="M924" s="76"/>
      <c r="N924" s="76"/>
      <c r="O924" s="77"/>
      <c r="P924" s="78"/>
      <c r="Q924" s="78"/>
      <c r="R924" s="90"/>
      <c r="S924" s="90"/>
      <c r="T924" s="90"/>
      <c r="U924" s="90"/>
      <c r="V924" s="52"/>
      <c r="W924" s="52"/>
      <c r="X924" s="52"/>
      <c r="Y924" s="52"/>
      <c r="Z924" s="51"/>
      <c r="AA924" s="73"/>
      <c r="AB924" s="73"/>
      <c r="AC924" s="74"/>
      <c r="AD924" s="80" t="s">
        <v>5088</v>
      </c>
      <c r="AE924" s="86" t="s">
        <v>5881</v>
      </c>
      <c r="AF924" s="80">
        <v>446</v>
      </c>
      <c r="AG924" s="80">
        <v>349</v>
      </c>
      <c r="AH924" s="80">
        <v>1311</v>
      </c>
      <c r="AI924" s="80">
        <v>174</v>
      </c>
      <c r="AJ924" s="80"/>
      <c r="AK924" s="80" t="s">
        <v>6697</v>
      </c>
      <c r="AL924" s="80"/>
      <c r="AM924" s="80"/>
      <c r="AN924" s="80"/>
      <c r="AO924" s="82">
        <v>44462.283553240741</v>
      </c>
      <c r="AP924" s="84" t="str">
        <f>HYPERLINK("https://pbs.twimg.com/profile_banners/1440930966587908104/1632800803")</f>
        <v>https://pbs.twimg.com/profile_banners/1440930966587908104/1632800803</v>
      </c>
      <c r="AQ924" s="80" t="b">
        <v>1</v>
      </c>
      <c r="AR924" s="80" t="b">
        <v>0</v>
      </c>
      <c r="AS924" s="80" t="b">
        <v>0</v>
      </c>
      <c r="AT924" s="80"/>
      <c r="AU924" s="80">
        <v>0</v>
      </c>
      <c r="AV924" s="80"/>
      <c r="AW924" s="80" t="b">
        <v>0</v>
      </c>
      <c r="AX924" s="80" t="s">
        <v>7173</v>
      </c>
      <c r="AY924" s="84" t="str">
        <f>HYPERLINK("https://twitter.com/tiniebubss")</f>
        <v>https://twitter.com/tiniebubss</v>
      </c>
      <c r="AZ924" s="80" t="s">
        <v>66</v>
      </c>
      <c r="BA924" s="2"/>
      <c r="BB924" s="3"/>
      <c r="BC924" s="3"/>
      <c r="BD924" s="3"/>
      <c r="BE924" s="3"/>
    </row>
    <row r="925" spans="1:57" x14ac:dyDescent="0.35">
      <c r="A925" s="66" t="s">
        <v>969</v>
      </c>
      <c r="B925" s="67"/>
      <c r="C925" s="67"/>
      <c r="D925" s="68"/>
      <c r="E925" s="70"/>
      <c r="F925" s="106" t="str">
        <f>HYPERLINK("https://pbs.twimg.com/profile_images/1442000029997092865/YTX_f4DV_normal.jpg")</f>
        <v>https://pbs.twimg.com/profile_images/1442000029997092865/YTX_f4DV_normal.jpg</v>
      </c>
      <c r="G925" s="67"/>
      <c r="H925" s="71"/>
      <c r="I925" s="72"/>
      <c r="J925" s="72"/>
      <c r="K925" s="71" t="s">
        <v>8095</v>
      </c>
      <c r="L925" s="75"/>
      <c r="M925" s="76"/>
      <c r="N925" s="76"/>
      <c r="O925" s="77"/>
      <c r="P925" s="78"/>
      <c r="Q925" s="78"/>
      <c r="R925" s="90"/>
      <c r="S925" s="90"/>
      <c r="T925" s="90"/>
      <c r="U925" s="90"/>
      <c r="V925" s="52"/>
      <c r="W925" s="52"/>
      <c r="X925" s="52"/>
      <c r="Y925" s="52"/>
      <c r="Z925" s="51"/>
      <c r="AA925" s="73"/>
      <c r="AB925" s="73"/>
      <c r="AC925" s="74"/>
      <c r="AD925" s="80" t="s">
        <v>5089</v>
      </c>
      <c r="AE925" s="86" t="s">
        <v>4070</v>
      </c>
      <c r="AF925" s="80">
        <v>234</v>
      </c>
      <c r="AG925" s="80">
        <v>213</v>
      </c>
      <c r="AH925" s="80">
        <v>1358</v>
      </c>
      <c r="AI925" s="80">
        <v>1658</v>
      </c>
      <c r="AJ925" s="80"/>
      <c r="AK925" s="80" t="s">
        <v>6698</v>
      </c>
      <c r="AL925" s="80" t="s">
        <v>7144</v>
      </c>
      <c r="AM925" s="80"/>
      <c r="AN925" s="80"/>
      <c r="AO925" s="82">
        <v>44192.613576388889</v>
      </c>
      <c r="AP925" s="84" t="str">
        <f>HYPERLINK("https://pbs.twimg.com/profile_banners/1343205740060655617/1632634676")</f>
        <v>https://pbs.twimg.com/profile_banners/1343205740060655617/1632634676</v>
      </c>
      <c r="AQ925" s="80" t="b">
        <v>1</v>
      </c>
      <c r="AR925" s="80" t="b">
        <v>0</v>
      </c>
      <c r="AS925" s="80" t="b">
        <v>0</v>
      </c>
      <c r="AT925" s="80"/>
      <c r="AU925" s="80">
        <v>0</v>
      </c>
      <c r="AV925" s="80"/>
      <c r="AW925" s="80" t="b">
        <v>0</v>
      </c>
      <c r="AX925" s="80" t="s">
        <v>7173</v>
      </c>
      <c r="AY925" s="84" t="str">
        <f>HYPERLINK("https://twitter.com/candyyupiii")</f>
        <v>https://twitter.com/candyyupiii</v>
      </c>
      <c r="AZ925" s="80" t="s">
        <v>66</v>
      </c>
      <c r="BA925" s="2"/>
      <c r="BB925" s="3"/>
      <c r="BC925" s="3"/>
      <c r="BD925" s="3"/>
      <c r="BE925" s="3"/>
    </row>
    <row r="926" spans="1:57" x14ac:dyDescent="0.35">
      <c r="A926" s="66" t="s">
        <v>939</v>
      </c>
      <c r="B926" s="67"/>
      <c r="C926" s="67"/>
      <c r="D926" s="68"/>
      <c r="E926" s="70"/>
      <c r="F926" s="106" t="str">
        <f>HYPERLINK("https://pbs.twimg.com/profile_images/1265840072621883392/uUx7ESrO_normal.jpg")</f>
        <v>https://pbs.twimg.com/profile_images/1265840072621883392/uUx7ESrO_normal.jpg</v>
      </c>
      <c r="G926" s="67"/>
      <c r="H926" s="71"/>
      <c r="I926" s="72"/>
      <c r="J926" s="72"/>
      <c r="K926" s="71" t="s">
        <v>8096</v>
      </c>
      <c r="L926" s="75"/>
      <c r="M926" s="76"/>
      <c r="N926" s="76"/>
      <c r="O926" s="77"/>
      <c r="P926" s="78"/>
      <c r="Q926" s="78"/>
      <c r="R926" s="90"/>
      <c r="S926" s="90"/>
      <c r="T926" s="90"/>
      <c r="U926" s="90"/>
      <c r="V926" s="52"/>
      <c r="W926" s="52"/>
      <c r="X926" s="52"/>
      <c r="Y926" s="52"/>
      <c r="Z926" s="51"/>
      <c r="AA926" s="73"/>
      <c r="AB926" s="73"/>
      <c r="AC926" s="74"/>
      <c r="AD926" s="80" t="s">
        <v>5090</v>
      </c>
      <c r="AE926" s="86" t="s">
        <v>5882</v>
      </c>
      <c r="AF926" s="80">
        <v>3227</v>
      </c>
      <c r="AG926" s="80">
        <v>3210</v>
      </c>
      <c r="AH926" s="80">
        <v>72421</v>
      </c>
      <c r="AI926" s="80">
        <v>100037</v>
      </c>
      <c r="AJ926" s="80"/>
      <c r="AK926" s="80" t="s">
        <v>6699</v>
      </c>
      <c r="AL926" s="80" t="s">
        <v>7145</v>
      </c>
      <c r="AM926" s="80"/>
      <c r="AN926" s="80"/>
      <c r="AO926" s="82">
        <v>41857.380543981482</v>
      </c>
      <c r="AP926" s="84" t="str">
        <f>HYPERLINK("https://pbs.twimg.com/profile_banners/2711563154/1576738595")</f>
        <v>https://pbs.twimg.com/profile_banners/2711563154/1576738595</v>
      </c>
      <c r="AQ926" s="80" t="b">
        <v>1</v>
      </c>
      <c r="AR926" s="80" t="b">
        <v>0</v>
      </c>
      <c r="AS926" s="80" t="b">
        <v>1</v>
      </c>
      <c r="AT926" s="80"/>
      <c r="AU926" s="80">
        <v>0</v>
      </c>
      <c r="AV926" s="84" t="str">
        <f>HYPERLINK("https://abs.twimg.com/images/themes/theme1/bg.png")</f>
        <v>https://abs.twimg.com/images/themes/theme1/bg.png</v>
      </c>
      <c r="AW926" s="80" t="b">
        <v>0</v>
      </c>
      <c r="AX926" s="80" t="s">
        <v>7173</v>
      </c>
      <c r="AY926" s="84" t="str">
        <f>HYPERLINK("https://twitter.com/negarakecil")</f>
        <v>https://twitter.com/negarakecil</v>
      </c>
      <c r="AZ926" s="80" t="s">
        <v>66</v>
      </c>
      <c r="BA926" s="2"/>
      <c r="BB926" s="3"/>
      <c r="BC926" s="3"/>
      <c r="BD926" s="3"/>
      <c r="BE926" s="3"/>
    </row>
    <row r="927" spans="1:57" x14ac:dyDescent="0.35">
      <c r="A927" s="66" t="s">
        <v>940</v>
      </c>
      <c r="B927" s="67"/>
      <c r="C927" s="67"/>
      <c r="D927" s="68"/>
      <c r="E927" s="70"/>
      <c r="F927" s="106" t="str">
        <f>HYPERLINK("https://pbs.twimg.com/profile_images/1117006411081216001/IXidIh7F_normal.jpg")</f>
        <v>https://pbs.twimg.com/profile_images/1117006411081216001/IXidIh7F_normal.jpg</v>
      </c>
      <c r="G927" s="67"/>
      <c r="H927" s="71"/>
      <c r="I927" s="72"/>
      <c r="J927" s="72"/>
      <c r="K927" s="71" t="s">
        <v>8097</v>
      </c>
      <c r="L927" s="75"/>
      <c r="M927" s="76"/>
      <c r="N927" s="76"/>
      <c r="O927" s="77"/>
      <c r="P927" s="78"/>
      <c r="Q927" s="78"/>
      <c r="R927" s="90"/>
      <c r="S927" s="90"/>
      <c r="T927" s="90"/>
      <c r="U927" s="90"/>
      <c r="V927" s="52"/>
      <c r="W927" s="52"/>
      <c r="X927" s="52"/>
      <c r="Y927" s="52"/>
      <c r="Z927" s="51"/>
      <c r="AA927" s="73"/>
      <c r="AB927" s="73"/>
      <c r="AC927" s="74"/>
      <c r="AD927" s="80" t="s">
        <v>5091</v>
      </c>
      <c r="AE927" s="86" t="s">
        <v>5883</v>
      </c>
      <c r="AF927" s="80">
        <v>398</v>
      </c>
      <c r="AG927" s="80">
        <v>570</v>
      </c>
      <c r="AH927" s="80">
        <v>16510</v>
      </c>
      <c r="AI927" s="80">
        <v>336</v>
      </c>
      <c r="AJ927" s="80"/>
      <c r="AK927" s="80" t="s">
        <v>6700</v>
      </c>
      <c r="AL927" s="80" t="s">
        <v>6805</v>
      </c>
      <c r="AM927" s="80"/>
      <c r="AN927" s="80"/>
      <c r="AO927" s="82">
        <v>40007.59584490741</v>
      </c>
      <c r="AP927" s="84" t="str">
        <f>HYPERLINK("https://pbs.twimg.com/profile_banners/56383093/1367892895")</f>
        <v>https://pbs.twimg.com/profile_banners/56383093/1367892895</v>
      </c>
      <c r="AQ927" s="80" t="b">
        <v>0</v>
      </c>
      <c r="AR927" s="80" t="b">
        <v>0</v>
      </c>
      <c r="AS927" s="80" t="b">
        <v>1</v>
      </c>
      <c r="AT927" s="80"/>
      <c r="AU927" s="80">
        <v>3</v>
      </c>
      <c r="AV927" s="84" t="str">
        <f>HYPERLINK("https://abs.twimg.com/images/themes/theme10/bg.gif")</f>
        <v>https://abs.twimg.com/images/themes/theme10/bg.gif</v>
      </c>
      <c r="AW927" s="80" t="b">
        <v>0</v>
      </c>
      <c r="AX927" s="80" t="s">
        <v>7173</v>
      </c>
      <c r="AY927" s="84" t="str">
        <f>HYPERLINK("https://twitter.com/dwinoerk")</f>
        <v>https://twitter.com/dwinoerk</v>
      </c>
      <c r="AZ927" s="80" t="s">
        <v>66</v>
      </c>
      <c r="BA927" s="2"/>
      <c r="BB927" s="3"/>
      <c r="BC927" s="3"/>
      <c r="BD927" s="3"/>
      <c r="BE927" s="3"/>
    </row>
    <row r="928" spans="1:57" x14ac:dyDescent="0.35">
      <c r="A928" s="66" t="s">
        <v>1190</v>
      </c>
      <c r="B928" s="67"/>
      <c r="C928" s="67"/>
      <c r="D928" s="68"/>
      <c r="E928" s="70"/>
      <c r="F928" s="106" t="str">
        <f>HYPERLINK("https://pbs.twimg.com/profile_images/1440187260381511680/VHDs5S7L_normal.jpg")</f>
        <v>https://pbs.twimg.com/profile_images/1440187260381511680/VHDs5S7L_normal.jpg</v>
      </c>
      <c r="G928" s="67"/>
      <c r="H928" s="71"/>
      <c r="I928" s="72"/>
      <c r="J928" s="72"/>
      <c r="K928" s="71" t="s">
        <v>8098</v>
      </c>
      <c r="L928" s="75"/>
      <c r="M928" s="76"/>
      <c r="N928" s="76"/>
      <c r="O928" s="77"/>
      <c r="P928" s="78"/>
      <c r="Q928" s="78"/>
      <c r="R928" s="90"/>
      <c r="S928" s="90"/>
      <c r="T928" s="90"/>
      <c r="U928" s="90"/>
      <c r="V928" s="52"/>
      <c r="W928" s="52"/>
      <c r="X928" s="52"/>
      <c r="Y928" s="52"/>
      <c r="Z928" s="51"/>
      <c r="AA928" s="73"/>
      <c r="AB928" s="73"/>
      <c r="AC928" s="74"/>
      <c r="AD928" s="80" t="s">
        <v>5092</v>
      </c>
      <c r="AE928" s="86" t="s">
        <v>4071</v>
      </c>
      <c r="AF928" s="80">
        <v>66</v>
      </c>
      <c r="AG928" s="80">
        <v>252184</v>
      </c>
      <c r="AH928" s="80">
        <v>3090</v>
      </c>
      <c r="AI928" s="80">
        <v>10</v>
      </c>
      <c r="AJ928" s="80"/>
      <c r="AK928" s="80" t="s">
        <v>6701</v>
      </c>
      <c r="AL928" s="80" t="s">
        <v>4145</v>
      </c>
      <c r="AM928" s="84" t="str">
        <f>HYPERLINK("https://t.co/Z8NYjzePhP")</f>
        <v>https://t.co/Z8NYjzePhP</v>
      </c>
      <c r="AN928" s="80"/>
      <c r="AO928" s="82">
        <v>39961.461689814816</v>
      </c>
      <c r="AP928" s="84" t="str">
        <f>HYPERLINK("https://pbs.twimg.com/profile_banners/43088704/1548867892")</f>
        <v>https://pbs.twimg.com/profile_banners/43088704/1548867892</v>
      </c>
      <c r="AQ928" s="80" t="b">
        <v>1</v>
      </c>
      <c r="AR928" s="80" t="b">
        <v>0</v>
      </c>
      <c r="AS928" s="80" t="b">
        <v>0</v>
      </c>
      <c r="AT928" s="80"/>
      <c r="AU928" s="80">
        <v>246</v>
      </c>
      <c r="AV928" s="84" t="str">
        <f>HYPERLINK("https://abs.twimg.com/images/themes/theme1/bg.png")</f>
        <v>https://abs.twimg.com/images/themes/theme1/bg.png</v>
      </c>
      <c r="AW928" s="80" t="b">
        <v>1</v>
      </c>
      <c r="AX928" s="80" t="s">
        <v>7173</v>
      </c>
      <c r="AY928" s="84" t="str">
        <f>HYPERLINK("https://twitter.com/erickthohir")</f>
        <v>https://twitter.com/erickthohir</v>
      </c>
      <c r="AZ928" s="80" t="s">
        <v>65</v>
      </c>
      <c r="BA928" s="2"/>
      <c r="BB928" s="3"/>
      <c r="BC928" s="3"/>
      <c r="BD928" s="3"/>
      <c r="BE928" s="3"/>
    </row>
    <row r="929" spans="1:57" x14ac:dyDescent="0.35">
      <c r="A929" s="66" t="s">
        <v>941</v>
      </c>
      <c r="B929" s="67"/>
      <c r="C929" s="67"/>
      <c r="D929" s="68"/>
      <c r="E929" s="70"/>
      <c r="F929" s="106" t="str">
        <f>HYPERLINK("https://pbs.twimg.com/profile_images/1223811350800916480/_0APqqXo_normal.jpg")</f>
        <v>https://pbs.twimg.com/profile_images/1223811350800916480/_0APqqXo_normal.jpg</v>
      </c>
      <c r="G929" s="67"/>
      <c r="H929" s="71"/>
      <c r="I929" s="72"/>
      <c r="J929" s="72"/>
      <c r="K929" s="71" t="s">
        <v>8099</v>
      </c>
      <c r="L929" s="75"/>
      <c r="M929" s="76"/>
      <c r="N929" s="76"/>
      <c r="O929" s="77"/>
      <c r="P929" s="78"/>
      <c r="Q929" s="78"/>
      <c r="R929" s="90"/>
      <c r="S929" s="90"/>
      <c r="T929" s="90"/>
      <c r="U929" s="90"/>
      <c r="V929" s="52"/>
      <c r="W929" s="52"/>
      <c r="X929" s="52"/>
      <c r="Y929" s="52"/>
      <c r="Z929" s="51"/>
      <c r="AA929" s="73"/>
      <c r="AB929" s="73"/>
      <c r="AC929" s="74"/>
      <c r="AD929" s="80" t="s">
        <v>5093</v>
      </c>
      <c r="AE929" s="86" t="s">
        <v>5884</v>
      </c>
      <c r="AF929" s="80">
        <v>342</v>
      </c>
      <c r="AG929" s="80">
        <v>126</v>
      </c>
      <c r="AH929" s="80">
        <v>4926</v>
      </c>
      <c r="AI929" s="80">
        <v>24476</v>
      </c>
      <c r="AJ929" s="80"/>
      <c r="AK929" s="80" t="s">
        <v>6702</v>
      </c>
      <c r="AL929" s="80"/>
      <c r="AM929" s="80"/>
      <c r="AN929" s="80"/>
      <c r="AO929" s="82">
        <v>43450.203379629631</v>
      </c>
      <c r="AP929" s="84" t="str">
        <f>HYPERLINK("https://pbs.twimg.com/profile_banners/1074165436944547840/1623607179")</f>
        <v>https://pbs.twimg.com/profile_banners/1074165436944547840/1623607179</v>
      </c>
      <c r="AQ929" s="80" t="b">
        <v>1</v>
      </c>
      <c r="AR929" s="80" t="b">
        <v>0</v>
      </c>
      <c r="AS929" s="80" t="b">
        <v>1</v>
      </c>
      <c r="AT929" s="80"/>
      <c r="AU929" s="80">
        <v>0</v>
      </c>
      <c r="AV929" s="80"/>
      <c r="AW929" s="80" t="b">
        <v>0</v>
      </c>
      <c r="AX929" s="80" t="s">
        <v>7173</v>
      </c>
      <c r="AY929" s="84" t="str">
        <f>HYPERLINK("https://twitter.com/acengnurhid")</f>
        <v>https://twitter.com/acengnurhid</v>
      </c>
      <c r="AZ929" s="80" t="s">
        <v>66</v>
      </c>
      <c r="BA929" s="2"/>
      <c r="BB929" s="3"/>
      <c r="BC929" s="3"/>
      <c r="BD929" s="3"/>
      <c r="BE929" s="3"/>
    </row>
    <row r="930" spans="1:57" x14ac:dyDescent="0.35">
      <c r="A930" s="66" t="s">
        <v>1191</v>
      </c>
      <c r="B930" s="67"/>
      <c r="C930" s="67"/>
      <c r="D930" s="68"/>
      <c r="E930" s="70"/>
      <c r="F930" s="106" t="str">
        <f>HYPERLINK("https://pbs.twimg.com/profile_images/1436661938130280456/WfO8w4vr_normal.jpg")</f>
        <v>https://pbs.twimg.com/profile_images/1436661938130280456/WfO8w4vr_normal.jpg</v>
      </c>
      <c r="G930" s="67"/>
      <c r="H930" s="71"/>
      <c r="I930" s="72"/>
      <c r="J930" s="72"/>
      <c r="K930" s="71" t="s">
        <v>8100</v>
      </c>
      <c r="L930" s="75"/>
      <c r="M930" s="76"/>
      <c r="N930" s="76"/>
      <c r="O930" s="77"/>
      <c r="P930" s="78"/>
      <c r="Q930" s="78"/>
      <c r="R930" s="90"/>
      <c r="S930" s="90"/>
      <c r="T930" s="90"/>
      <c r="U930" s="90"/>
      <c r="V930" s="52"/>
      <c r="W930" s="52"/>
      <c r="X930" s="52"/>
      <c r="Y930" s="52"/>
      <c r="Z930" s="51"/>
      <c r="AA930" s="73"/>
      <c r="AB930" s="73"/>
      <c r="AC930" s="74"/>
      <c r="AD930" s="80" t="s">
        <v>5094</v>
      </c>
      <c r="AE930" s="86" t="s">
        <v>4072</v>
      </c>
      <c r="AF930" s="80">
        <v>99</v>
      </c>
      <c r="AG930" s="80">
        <v>46</v>
      </c>
      <c r="AH930" s="80">
        <v>6219</v>
      </c>
      <c r="AI930" s="80">
        <v>1445</v>
      </c>
      <c r="AJ930" s="80"/>
      <c r="AK930" s="80" t="s">
        <v>6703</v>
      </c>
      <c r="AL930" s="80" t="s">
        <v>7146</v>
      </c>
      <c r="AM930" s="80"/>
      <c r="AN930" s="80"/>
      <c r="AO930" s="82">
        <v>43710.323587962965</v>
      </c>
      <c r="AP930" s="84" t="str">
        <f>HYPERLINK("https://pbs.twimg.com/profile_banners/1168429741239500800/1570997333")</f>
        <v>https://pbs.twimg.com/profile_banners/1168429741239500800/1570997333</v>
      </c>
      <c r="AQ930" s="80" t="b">
        <v>1</v>
      </c>
      <c r="AR930" s="80" t="b">
        <v>0</v>
      </c>
      <c r="AS930" s="80" t="b">
        <v>1</v>
      </c>
      <c r="AT930" s="80"/>
      <c r="AU930" s="80">
        <v>0</v>
      </c>
      <c r="AV930" s="80"/>
      <c r="AW930" s="80" t="b">
        <v>0</v>
      </c>
      <c r="AX930" s="80" t="s">
        <v>7173</v>
      </c>
      <c r="AY930" s="84" t="str">
        <f>HYPERLINK("https://twitter.com/mnahiarn")</f>
        <v>https://twitter.com/mnahiarn</v>
      </c>
      <c r="AZ930" s="80" t="s">
        <v>65</v>
      </c>
      <c r="BA930" s="2"/>
      <c r="BB930" s="3"/>
      <c r="BC930" s="3"/>
      <c r="BD930" s="3"/>
      <c r="BE930" s="3"/>
    </row>
    <row r="931" spans="1:57" x14ac:dyDescent="0.35">
      <c r="A931" s="66" t="s">
        <v>942</v>
      </c>
      <c r="B931" s="67"/>
      <c r="C931" s="67"/>
      <c r="D931" s="68"/>
      <c r="E931" s="70"/>
      <c r="F931" s="106" t="str">
        <f>HYPERLINK("https://pbs.twimg.com/profile_images/1340814221630586880/3O_-VKtP_normal.png")</f>
        <v>https://pbs.twimg.com/profile_images/1340814221630586880/3O_-VKtP_normal.png</v>
      </c>
      <c r="G931" s="67"/>
      <c r="H931" s="71"/>
      <c r="I931" s="72"/>
      <c r="J931" s="72"/>
      <c r="K931" s="71" t="s">
        <v>8101</v>
      </c>
      <c r="L931" s="75"/>
      <c r="M931" s="76"/>
      <c r="N931" s="76"/>
      <c r="O931" s="77"/>
      <c r="P931" s="78"/>
      <c r="Q931" s="78"/>
      <c r="R931" s="90"/>
      <c r="S931" s="90"/>
      <c r="T931" s="90"/>
      <c r="U931" s="90"/>
      <c r="V931" s="52"/>
      <c r="W931" s="52"/>
      <c r="X931" s="52"/>
      <c r="Y931" s="52"/>
      <c r="Z931" s="51"/>
      <c r="AA931" s="73"/>
      <c r="AB931" s="73"/>
      <c r="AC931" s="74"/>
      <c r="AD931" s="80" t="s">
        <v>5095</v>
      </c>
      <c r="AE931" s="86" t="s">
        <v>5885</v>
      </c>
      <c r="AF931" s="80">
        <v>1899</v>
      </c>
      <c r="AG931" s="80">
        <v>1888</v>
      </c>
      <c r="AH931" s="80">
        <v>9240</v>
      </c>
      <c r="AI931" s="80">
        <v>44328</v>
      </c>
      <c r="AJ931" s="80"/>
      <c r="AK931" s="80"/>
      <c r="AL931" s="80" t="s">
        <v>4145</v>
      </c>
      <c r="AM931" s="80"/>
      <c r="AN931" s="80"/>
      <c r="AO931" s="82">
        <v>40500.686886574076</v>
      </c>
      <c r="AP931" s="80"/>
      <c r="AQ931" s="80" t="b">
        <v>0</v>
      </c>
      <c r="AR931" s="80" t="b">
        <v>0</v>
      </c>
      <c r="AS931" s="80" t="b">
        <v>0</v>
      </c>
      <c r="AT931" s="80"/>
      <c r="AU931" s="80">
        <v>0</v>
      </c>
      <c r="AV931" s="84" t="str">
        <f>HYPERLINK("https://abs.twimg.com/images/themes/theme8/bg.gif")</f>
        <v>https://abs.twimg.com/images/themes/theme8/bg.gif</v>
      </c>
      <c r="AW931" s="80" t="b">
        <v>0</v>
      </c>
      <c r="AX931" s="80" t="s">
        <v>7173</v>
      </c>
      <c r="AY931" s="84" t="str">
        <f>HYPERLINK("https://twitter.com/rmdharmasetia")</f>
        <v>https://twitter.com/rmdharmasetia</v>
      </c>
      <c r="AZ931" s="80" t="s">
        <v>66</v>
      </c>
      <c r="BA931" s="2"/>
      <c r="BB931" s="3"/>
      <c r="BC931" s="3"/>
      <c r="BD931" s="3"/>
      <c r="BE931" s="3"/>
    </row>
    <row r="932" spans="1:57" x14ac:dyDescent="0.35">
      <c r="A932" s="66" t="s">
        <v>943</v>
      </c>
      <c r="B932" s="67"/>
      <c r="C932" s="67"/>
      <c r="D932" s="68"/>
      <c r="E932" s="70"/>
      <c r="F932" s="106" t="str">
        <f>HYPERLINK("https://pbs.twimg.com/profile_images/1433705550605262848/-R8nyHHY_normal.jpg")</f>
        <v>https://pbs.twimg.com/profile_images/1433705550605262848/-R8nyHHY_normal.jpg</v>
      </c>
      <c r="G932" s="67"/>
      <c r="H932" s="71"/>
      <c r="I932" s="72"/>
      <c r="J932" s="72"/>
      <c r="K932" s="71" t="s">
        <v>8102</v>
      </c>
      <c r="L932" s="75"/>
      <c r="M932" s="76"/>
      <c r="N932" s="76"/>
      <c r="O932" s="77"/>
      <c r="P932" s="78"/>
      <c r="Q932" s="78"/>
      <c r="R932" s="90"/>
      <c r="S932" s="90"/>
      <c r="T932" s="90"/>
      <c r="U932" s="90"/>
      <c r="V932" s="52"/>
      <c r="W932" s="52"/>
      <c r="X932" s="52"/>
      <c r="Y932" s="52"/>
      <c r="Z932" s="51"/>
      <c r="AA932" s="73"/>
      <c r="AB932" s="73"/>
      <c r="AC932" s="74"/>
      <c r="AD932" s="80" t="s">
        <v>5096</v>
      </c>
      <c r="AE932" s="86" t="s">
        <v>5886</v>
      </c>
      <c r="AF932" s="80">
        <v>126</v>
      </c>
      <c r="AG932" s="80">
        <v>14</v>
      </c>
      <c r="AH932" s="80">
        <v>378</v>
      </c>
      <c r="AI932" s="80">
        <v>1840</v>
      </c>
      <c r="AJ932" s="80"/>
      <c r="AK932" s="80" t="s">
        <v>6704</v>
      </c>
      <c r="AL932" s="80"/>
      <c r="AM932" s="80"/>
      <c r="AN932" s="80"/>
      <c r="AO932" s="82">
        <v>44386.310601851852</v>
      </c>
      <c r="AP932" s="84" t="str">
        <f>HYPERLINK("https://pbs.twimg.com/profile_banners/1413399309337333763/1632755688")</f>
        <v>https://pbs.twimg.com/profile_banners/1413399309337333763/1632755688</v>
      </c>
      <c r="AQ932" s="80" t="b">
        <v>1</v>
      </c>
      <c r="AR932" s="80" t="b">
        <v>0</v>
      </c>
      <c r="AS932" s="80" t="b">
        <v>0</v>
      </c>
      <c r="AT932" s="80"/>
      <c r="AU932" s="80">
        <v>0</v>
      </c>
      <c r="AV932" s="80"/>
      <c r="AW932" s="80" t="b">
        <v>0</v>
      </c>
      <c r="AX932" s="80" t="s">
        <v>7173</v>
      </c>
      <c r="AY932" s="84" t="str">
        <f>HYPERLINK("https://twitter.com/wicaksono_pe")</f>
        <v>https://twitter.com/wicaksono_pe</v>
      </c>
      <c r="AZ932" s="80" t="s">
        <v>66</v>
      </c>
      <c r="BA932" s="2"/>
      <c r="BB932" s="3"/>
      <c r="BC932" s="3"/>
      <c r="BD932" s="3"/>
      <c r="BE932" s="3"/>
    </row>
    <row r="933" spans="1:57" x14ac:dyDescent="0.35">
      <c r="A933" s="66" t="s">
        <v>944</v>
      </c>
      <c r="B933" s="67"/>
      <c r="C933" s="67"/>
      <c r="D933" s="68"/>
      <c r="E933" s="70"/>
      <c r="F933" s="106" t="str">
        <f>HYPERLINK("https://pbs.twimg.com/profile_images/1434103240988119040/IWpRojT5_normal.jpg")</f>
        <v>https://pbs.twimg.com/profile_images/1434103240988119040/IWpRojT5_normal.jpg</v>
      </c>
      <c r="G933" s="67"/>
      <c r="H933" s="71"/>
      <c r="I933" s="72"/>
      <c r="J933" s="72"/>
      <c r="K933" s="71" t="s">
        <v>8103</v>
      </c>
      <c r="L933" s="75"/>
      <c r="M933" s="76"/>
      <c r="N933" s="76"/>
      <c r="O933" s="77"/>
      <c r="P933" s="78"/>
      <c r="Q933" s="78"/>
      <c r="R933" s="90"/>
      <c r="S933" s="90"/>
      <c r="T933" s="90"/>
      <c r="U933" s="90"/>
      <c r="V933" s="52"/>
      <c r="W933" s="52"/>
      <c r="X933" s="52"/>
      <c r="Y933" s="52"/>
      <c r="Z933" s="51"/>
      <c r="AA933" s="73"/>
      <c r="AB933" s="73"/>
      <c r="AC933" s="74"/>
      <c r="AD933" s="80" t="s">
        <v>5097</v>
      </c>
      <c r="AE933" s="86" t="s">
        <v>4073</v>
      </c>
      <c r="AF933" s="80">
        <v>83</v>
      </c>
      <c r="AG933" s="80">
        <v>86</v>
      </c>
      <c r="AH933" s="80">
        <v>1621</v>
      </c>
      <c r="AI933" s="80">
        <v>8645</v>
      </c>
      <c r="AJ933" s="80"/>
      <c r="AK933" s="80" t="s">
        <v>6705</v>
      </c>
      <c r="AL933" s="80" t="s">
        <v>7147</v>
      </c>
      <c r="AM933" s="84" t="str">
        <f>HYPERLINK("https://t.co/YsODCLjRiw")</f>
        <v>https://t.co/YsODCLjRiw</v>
      </c>
      <c r="AN933" s="80"/>
      <c r="AO933" s="82">
        <v>44443.442129629628</v>
      </c>
      <c r="AP933" s="84" t="str">
        <f>HYPERLINK("https://pbs.twimg.com/profile_banners/1434103080144961536/1631859945")</f>
        <v>https://pbs.twimg.com/profile_banners/1434103080144961536/1631859945</v>
      </c>
      <c r="AQ933" s="80" t="b">
        <v>1</v>
      </c>
      <c r="AR933" s="80" t="b">
        <v>0</v>
      </c>
      <c r="AS933" s="80" t="b">
        <v>0</v>
      </c>
      <c r="AT933" s="80"/>
      <c r="AU933" s="80">
        <v>0</v>
      </c>
      <c r="AV933" s="80"/>
      <c r="AW933" s="80" t="b">
        <v>0</v>
      </c>
      <c r="AX933" s="80" t="s">
        <v>7173</v>
      </c>
      <c r="AY933" s="84" t="str">
        <f>HYPERLINK("https://twitter.com/minanggermanic")</f>
        <v>https://twitter.com/minanggermanic</v>
      </c>
      <c r="AZ933" s="80" t="s">
        <v>66</v>
      </c>
      <c r="BA933" s="2"/>
      <c r="BB933" s="3"/>
      <c r="BC933" s="3"/>
      <c r="BD933" s="3"/>
      <c r="BE933" s="3"/>
    </row>
    <row r="934" spans="1:57" x14ac:dyDescent="0.35">
      <c r="A934" s="66" t="s">
        <v>945</v>
      </c>
      <c r="B934" s="67"/>
      <c r="C934" s="67"/>
      <c r="D934" s="68"/>
      <c r="E934" s="70"/>
      <c r="F934" s="106" t="str">
        <f>HYPERLINK("https://pbs.twimg.com/profile_images/1442654791893610497/WNgptmiR_normal.jpg")</f>
        <v>https://pbs.twimg.com/profile_images/1442654791893610497/WNgptmiR_normal.jpg</v>
      </c>
      <c r="G934" s="67"/>
      <c r="H934" s="71"/>
      <c r="I934" s="72"/>
      <c r="J934" s="72"/>
      <c r="K934" s="71" t="s">
        <v>8104</v>
      </c>
      <c r="L934" s="75"/>
      <c r="M934" s="76"/>
      <c r="N934" s="76"/>
      <c r="O934" s="77"/>
      <c r="P934" s="78"/>
      <c r="Q934" s="78"/>
      <c r="R934" s="90"/>
      <c r="S934" s="90"/>
      <c r="T934" s="90"/>
      <c r="U934" s="90"/>
      <c r="V934" s="52"/>
      <c r="W934" s="52"/>
      <c r="X934" s="52"/>
      <c r="Y934" s="52"/>
      <c r="Z934" s="51"/>
      <c r="AA934" s="73"/>
      <c r="AB934" s="73"/>
      <c r="AC934" s="74"/>
      <c r="AD934" s="80" t="s">
        <v>5098</v>
      </c>
      <c r="AE934" s="86" t="s">
        <v>5887</v>
      </c>
      <c r="AF934" s="80">
        <v>746</v>
      </c>
      <c r="AG934" s="80">
        <v>632</v>
      </c>
      <c r="AH934" s="80">
        <v>48277</v>
      </c>
      <c r="AI934" s="80">
        <v>79930</v>
      </c>
      <c r="AJ934" s="80"/>
      <c r="AK934" s="80" t="s">
        <v>6706</v>
      </c>
      <c r="AL934" s="80" t="s">
        <v>6817</v>
      </c>
      <c r="AM934" s="84" t="str">
        <f>HYPERLINK("https://t.co/1VG8lAfCO9")</f>
        <v>https://t.co/1VG8lAfCO9</v>
      </c>
      <c r="AN934" s="80"/>
      <c r="AO934" s="82">
        <v>44137.312222222223</v>
      </c>
      <c r="AP934" s="84" t="str">
        <f>HYPERLINK("https://pbs.twimg.com/profile_banners/1323165276049793024/1621952098")</f>
        <v>https://pbs.twimg.com/profile_banners/1323165276049793024/1621952098</v>
      </c>
      <c r="AQ934" s="80" t="b">
        <v>1</v>
      </c>
      <c r="AR934" s="80" t="b">
        <v>0</v>
      </c>
      <c r="AS934" s="80" t="b">
        <v>0</v>
      </c>
      <c r="AT934" s="80"/>
      <c r="AU934" s="80">
        <v>6</v>
      </c>
      <c r="AV934" s="80"/>
      <c r="AW934" s="80" t="b">
        <v>0</v>
      </c>
      <c r="AX934" s="80" t="s">
        <v>7173</v>
      </c>
      <c r="AY934" s="84" t="str">
        <f>HYPERLINK("https://twitter.com/kwangjoobi")</f>
        <v>https://twitter.com/kwangjoobi</v>
      </c>
      <c r="AZ934" s="80" t="s">
        <v>66</v>
      </c>
      <c r="BA934" s="2"/>
      <c r="BB934" s="3"/>
      <c r="BC934" s="3"/>
      <c r="BD934" s="3"/>
      <c r="BE934" s="3"/>
    </row>
    <row r="935" spans="1:57" x14ac:dyDescent="0.35">
      <c r="A935" s="66" t="s">
        <v>1192</v>
      </c>
      <c r="B935" s="67"/>
      <c r="C935" s="67"/>
      <c r="D935" s="68"/>
      <c r="E935" s="70"/>
      <c r="F935" s="106" t="str">
        <f>HYPERLINK("https://pbs.twimg.com/profile_images/1438072861252460546/n09tIMoM_normal.jpg")</f>
        <v>https://pbs.twimg.com/profile_images/1438072861252460546/n09tIMoM_normal.jpg</v>
      </c>
      <c r="G935" s="67"/>
      <c r="H935" s="71"/>
      <c r="I935" s="72"/>
      <c r="J935" s="72"/>
      <c r="K935" s="71" t="s">
        <v>8105</v>
      </c>
      <c r="L935" s="75"/>
      <c r="M935" s="76"/>
      <c r="N935" s="76"/>
      <c r="O935" s="77"/>
      <c r="P935" s="78"/>
      <c r="Q935" s="78"/>
      <c r="R935" s="90"/>
      <c r="S935" s="90"/>
      <c r="T935" s="90"/>
      <c r="U935" s="90"/>
      <c r="V935" s="52"/>
      <c r="W935" s="52"/>
      <c r="X935" s="52"/>
      <c r="Y935" s="52"/>
      <c r="Z935" s="51"/>
      <c r="AA935" s="73"/>
      <c r="AB935" s="73"/>
      <c r="AC935" s="74"/>
      <c r="AD935" s="80" t="s">
        <v>5099</v>
      </c>
      <c r="AE935" s="86" t="s">
        <v>4074</v>
      </c>
      <c r="AF935" s="80">
        <v>668</v>
      </c>
      <c r="AG935" s="80">
        <v>358</v>
      </c>
      <c r="AH935" s="80">
        <v>12707</v>
      </c>
      <c r="AI935" s="80">
        <v>13382</v>
      </c>
      <c r="AJ935" s="80"/>
      <c r="AK935" s="80" t="s">
        <v>6707</v>
      </c>
      <c r="AL935" s="80" t="s">
        <v>7148</v>
      </c>
      <c r="AM935" s="80"/>
      <c r="AN935" s="80"/>
      <c r="AO935" s="82">
        <v>44324.976215277777</v>
      </c>
      <c r="AP935" s="84" t="str">
        <f>HYPERLINK("https://pbs.twimg.com/profile_banners/1391172453427073025/1630761858")</f>
        <v>https://pbs.twimg.com/profile_banners/1391172453427073025/1630761858</v>
      </c>
      <c r="AQ935" s="80" t="b">
        <v>1</v>
      </c>
      <c r="AR935" s="80" t="b">
        <v>0</v>
      </c>
      <c r="AS935" s="80" t="b">
        <v>0</v>
      </c>
      <c r="AT935" s="80"/>
      <c r="AU935" s="80">
        <v>0</v>
      </c>
      <c r="AV935" s="80"/>
      <c r="AW935" s="80" t="b">
        <v>0</v>
      </c>
      <c r="AX935" s="80" t="s">
        <v>7173</v>
      </c>
      <c r="AY935" s="84" t="str">
        <f>HYPERLINK("https://twitter.com/hiiyulhee")</f>
        <v>https://twitter.com/hiiyulhee</v>
      </c>
      <c r="AZ935" s="80" t="s">
        <v>65</v>
      </c>
      <c r="BA935" s="2"/>
      <c r="BB935" s="3"/>
      <c r="BC935" s="3"/>
      <c r="BD935" s="3"/>
      <c r="BE935" s="3"/>
    </row>
    <row r="936" spans="1:57" x14ac:dyDescent="0.35">
      <c r="A936" s="66" t="s">
        <v>946</v>
      </c>
      <c r="B936" s="67"/>
      <c r="C936" s="67"/>
      <c r="D936" s="68"/>
      <c r="E936" s="70"/>
      <c r="F936" s="106" t="str">
        <f>HYPERLINK("https://pbs.twimg.com/profile_images/1440305315572973580/rSMwLam0_normal.jpg")</f>
        <v>https://pbs.twimg.com/profile_images/1440305315572973580/rSMwLam0_normal.jpg</v>
      </c>
      <c r="G936" s="67"/>
      <c r="H936" s="71"/>
      <c r="I936" s="72"/>
      <c r="J936" s="72"/>
      <c r="K936" s="71" t="s">
        <v>8106</v>
      </c>
      <c r="L936" s="75"/>
      <c r="M936" s="76"/>
      <c r="N936" s="76"/>
      <c r="O936" s="77"/>
      <c r="P936" s="78"/>
      <c r="Q936" s="78"/>
      <c r="R936" s="90"/>
      <c r="S936" s="90"/>
      <c r="T936" s="90"/>
      <c r="U936" s="90"/>
      <c r="V936" s="52"/>
      <c r="W936" s="52"/>
      <c r="X936" s="52"/>
      <c r="Y936" s="52"/>
      <c r="Z936" s="51"/>
      <c r="AA936" s="73"/>
      <c r="AB936" s="73"/>
      <c r="AC936" s="74"/>
      <c r="AD936" s="80" t="s">
        <v>5100</v>
      </c>
      <c r="AE936" s="86" t="s">
        <v>5888</v>
      </c>
      <c r="AF936" s="80">
        <v>694</v>
      </c>
      <c r="AG936" s="80">
        <v>301</v>
      </c>
      <c r="AH936" s="80">
        <v>45222</v>
      </c>
      <c r="AI936" s="80">
        <v>1357</v>
      </c>
      <c r="AJ936" s="80"/>
      <c r="AK936" s="80" t="s">
        <v>6708</v>
      </c>
      <c r="AL936" s="80" t="s">
        <v>7149</v>
      </c>
      <c r="AM936" s="84" t="str">
        <f>HYPERLINK("https://t.co/sHULTATu5o")</f>
        <v>https://t.co/sHULTATu5o</v>
      </c>
      <c r="AN936" s="80"/>
      <c r="AO936" s="82">
        <v>40691.10491898148</v>
      </c>
      <c r="AP936" s="84" t="str">
        <f>HYPERLINK("https://pbs.twimg.com/profile_banners/306551745/1546555322")</f>
        <v>https://pbs.twimg.com/profile_banners/306551745/1546555322</v>
      </c>
      <c r="AQ936" s="80" t="b">
        <v>0</v>
      </c>
      <c r="AR936" s="80" t="b">
        <v>0</v>
      </c>
      <c r="AS936" s="80" t="b">
        <v>1</v>
      </c>
      <c r="AT936" s="80"/>
      <c r="AU936" s="80">
        <v>2</v>
      </c>
      <c r="AV936" s="84" t="str">
        <f>HYPERLINK("https://abs.twimg.com/images/themes/theme14/bg.gif")</f>
        <v>https://abs.twimg.com/images/themes/theme14/bg.gif</v>
      </c>
      <c r="AW936" s="80" t="b">
        <v>0</v>
      </c>
      <c r="AX936" s="80" t="s">
        <v>7173</v>
      </c>
      <c r="AY936" s="84" t="str">
        <f>HYPERLINK("https://twitter.com/ardanisbergas")</f>
        <v>https://twitter.com/ardanisbergas</v>
      </c>
      <c r="AZ936" s="80" t="s">
        <v>66</v>
      </c>
      <c r="BA936" s="2"/>
      <c r="BB936" s="3"/>
      <c r="BC936" s="3"/>
      <c r="BD936" s="3"/>
      <c r="BE936" s="3"/>
    </row>
    <row r="937" spans="1:57" x14ac:dyDescent="0.35">
      <c r="A937" s="66" t="s">
        <v>1193</v>
      </c>
      <c r="B937" s="67"/>
      <c r="C937" s="67"/>
      <c r="D937" s="68"/>
      <c r="E937" s="70"/>
      <c r="F937" s="106" t="str">
        <f>HYPERLINK("https://pbs.twimg.com/profile_images/1097190606525222912/r5Mi3BRf_normal.jpg")</f>
        <v>https://pbs.twimg.com/profile_images/1097190606525222912/r5Mi3BRf_normal.jpg</v>
      </c>
      <c r="G937" s="67"/>
      <c r="H937" s="71"/>
      <c r="I937" s="72"/>
      <c r="J937" s="72"/>
      <c r="K937" s="71" t="s">
        <v>8107</v>
      </c>
      <c r="L937" s="75"/>
      <c r="M937" s="76"/>
      <c r="N937" s="76"/>
      <c r="O937" s="77"/>
      <c r="P937" s="78"/>
      <c r="Q937" s="78"/>
      <c r="R937" s="90"/>
      <c r="S937" s="90"/>
      <c r="T937" s="90"/>
      <c r="U937" s="90"/>
      <c r="V937" s="52"/>
      <c r="W937" s="52"/>
      <c r="X937" s="52"/>
      <c r="Y937" s="52"/>
      <c r="Z937" s="51"/>
      <c r="AA937" s="73"/>
      <c r="AB937" s="73"/>
      <c r="AC937" s="74"/>
      <c r="AD937" s="80" t="s">
        <v>5101</v>
      </c>
      <c r="AE937" s="86" t="s">
        <v>4075</v>
      </c>
      <c r="AF937" s="80">
        <v>197</v>
      </c>
      <c r="AG937" s="80">
        <v>13</v>
      </c>
      <c r="AH937" s="80">
        <v>12464</v>
      </c>
      <c r="AI937" s="80">
        <v>907</v>
      </c>
      <c r="AJ937" s="80"/>
      <c r="AK937" s="80" t="s">
        <v>6709</v>
      </c>
      <c r="AL937" s="80" t="s">
        <v>7150</v>
      </c>
      <c r="AM937" s="80"/>
      <c r="AN937" s="80"/>
      <c r="AO937" s="82">
        <v>43503.70579861111</v>
      </c>
      <c r="AP937" s="84" t="str">
        <f>HYPERLINK("https://pbs.twimg.com/profile_banners/1093554064481169408/1550425498")</f>
        <v>https://pbs.twimg.com/profile_banners/1093554064481169408/1550425498</v>
      </c>
      <c r="AQ937" s="80" t="b">
        <v>0</v>
      </c>
      <c r="AR937" s="80" t="b">
        <v>0</v>
      </c>
      <c r="AS937" s="80" t="b">
        <v>1</v>
      </c>
      <c r="AT937" s="80"/>
      <c r="AU937" s="80">
        <v>0</v>
      </c>
      <c r="AV937" s="84" t="str">
        <f>HYPERLINK("https://abs.twimg.com/images/themes/theme1/bg.png")</f>
        <v>https://abs.twimg.com/images/themes/theme1/bg.png</v>
      </c>
      <c r="AW937" s="80" t="b">
        <v>0</v>
      </c>
      <c r="AX937" s="80" t="s">
        <v>7173</v>
      </c>
      <c r="AY937" s="84" t="str">
        <f>HYPERLINK("https://twitter.com/namakubayangan")</f>
        <v>https://twitter.com/namakubayangan</v>
      </c>
      <c r="AZ937" s="80" t="s">
        <v>65</v>
      </c>
      <c r="BA937" s="2"/>
      <c r="BB937" s="3"/>
      <c r="BC937" s="3"/>
      <c r="BD937" s="3"/>
      <c r="BE937" s="3"/>
    </row>
    <row r="938" spans="1:57" x14ac:dyDescent="0.35">
      <c r="A938" s="66" t="s">
        <v>947</v>
      </c>
      <c r="B938" s="67"/>
      <c r="C938" s="67"/>
      <c r="D938" s="68"/>
      <c r="E938" s="70"/>
      <c r="F938" s="106" t="str">
        <f>HYPERLINK("https://pbs.twimg.com/profile_images/1442129025686593540/1p6LvjF4_normal.jpg")</f>
        <v>https://pbs.twimg.com/profile_images/1442129025686593540/1p6LvjF4_normal.jpg</v>
      </c>
      <c r="G938" s="67"/>
      <c r="H938" s="71"/>
      <c r="I938" s="72"/>
      <c r="J938" s="72"/>
      <c r="K938" s="71" t="s">
        <v>8108</v>
      </c>
      <c r="L938" s="75"/>
      <c r="M938" s="76"/>
      <c r="N938" s="76"/>
      <c r="O938" s="77"/>
      <c r="P938" s="78"/>
      <c r="Q938" s="78"/>
      <c r="R938" s="90"/>
      <c r="S938" s="90"/>
      <c r="T938" s="90"/>
      <c r="U938" s="90"/>
      <c r="V938" s="52"/>
      <c r="W938" s="52"/>
      <c r="X938" s="52"/>
      <c r="Y938" s="52"/>
      <c r="Z938" s="51"/>
      <c r="AA938" s="73"/>
      <c r="AB938" s="73"/>
      <c r="AC938" s="74"/>
      <c r="AD938" s="80" t="s">
        <v>5102</v>
      </c>
      <c r="AE938" s="86" t="s">
        <v>4077</v>
      </c>
      <c r="AF938" s="80">
        <v>944</v>
      </c>
      <c r="AG938" s="80">
        <v>1036</v>
      </c>
      <c r="AH938" s="80">
        <v>27409</v>
      </c>
      <c r="AI938" s="80">
        <v>4762</v>
      </c>
      <c r="AJ938" s="80"/>
      <c r="AK938" s="80" t="s">
        <v>6710</v>
      </c>
      <c r="AL938" s="80" t="s">
        <v>6762</v>
      </c>
      <c r="AM938" s="80"/>
      <c r="AN938" s="80"/>
      <c r="AO938" s="82">
        <v>41523.450011574074</v>
      </c>
      <c r="AP938" s="84" t="str">
        <f>HYPERLINK("https://pbs.twimg.com/profile_banners/1734773143/1620251429")</f>
        <v>https://pbs.twimg.com/profile_banners/1734773143/1620251429</v>
      </c>
      <c r="AQ938" s="80" t="b">
        <v>0</v>
      </c>
      <c r="AR938" s="80" t="b">
        <v>0</v>
      </c>
      <c r="AS938" s="80" t="b">
        <v>1</v>
      </c>
      <c r="AT938" s="80"/>
      <c r="AU938" s="80">
        <v>0</v>
      </c>
      <c r="AV938" s="84" t="str">
        <f>HYPERLINK("https://abs.twimg.com/images/themes/theme15/bg.png")</f>
        <v>https://abs.twimg.com/images/themes/theme15/bg.png</v>
      </c>
      <c r="AW938" s="80" t="b">
        <v>0</v>
      </c>
      <c r="AX938" s="80" t="s">
        <v>7173</v>
      </c>
      <c r="AY938" s="84" t="str">
        <f>HYPERLINK("https://twitter.com/msucn_")</f>
        <v>https://twitter.com/msucn_</v>
      </c>
      <c r="AZ938" s="80" t="s">
        <v>66</v>
      </c>
      <c r="BA938" s="2"/>
      <c r="BB938" s="3"/>
      <c r="BC938" s="3"/>
      <c r="BD938" s="3"/>
      <c r="BE938" s="3"/>
    </row>
    <row r="939" spans="1:57" x14ac:dyDescent="0.35">
      <c r="A939" s="66" t="s">
        <v>948</v>
      </c>
      <c r="B939" s="67"/>
      <c r="C939" s="67"/>
      <c r="D939" s="68"/>
      <c r="E939" s="70"/>
      <c r="F939" s="106" t="str">
        <f>HYPERLINK("https://pbs.twimg.com/profile_images/1433247112926429187/jdB1hbbj_normal.jpg")</f>
        <v>https://pbs.twimg.com/profile_images/1433247112926429187/jdB1hbbj_normal.jpg</v>
      </c>
      <c r="G939" s="67"/>
      <c r="H939" s="71"/>
      <c r="I939" s="72"/>
      <c r="J939" s="72"/>
      <c r="K939" s="71" t="s">
        <v>8109</v>
      </c>
      <c r="L939" s="75"/>
      <c r="M939" s="76"/>
      <c r="N939" s="76"/>
      <c r="O939" s="77"/>
      <c r="P939" s="78"/>
      <c r="Q939" s="78"/>
      <c r="R939" s="90"/>
      <c r="S939" s="90"/>
      <c r="T939" s="90"/>
      <c r="U939" s="90"/>
      <c r="V939" s="52"/>
      <c r="W939" s="52"/>
      <c r="X939" s="52"/>
      <c r="Y939" s="52"/>
      <c r="Z939" s="51"/>
      <c r="AA939" s="73"/>
      <c r="AB939" s="73"/>
      <c r="AC939" s="74"/>
      <c r="AD939" s="80" t="s">
        <v>5103</v>
      </c>
      <c r="AE939" s="86" t="s">
        <v>4076</v>
      </c>
      <c r="AF939" s="80">
        <v>104</v>
      </c>
      <c r="AG939" s="80">
        <v>193</v>
      </c>
      <c r="AH939" s="80">
        <v>2415</v>
      </c>
      <c r="AI939" s="80">
        <v>923</v>
      </c>
      <c r="AJ939" s="80"/>
      <c r="AK939" s="80" t="s">
        <v>6711</v>
      </c>
      <c r="AL939" s="80" t="s">
        <v>6875</v>
      </c>
      <c r="AM939" s="80"/>
      <c r="AN939" s="80"/>
      <c r="AO939" s="82">
        <v>41944.491111111114</v>
      </c>
      <c r="AP939" s="84" t="str">
        <f>HYPERLINK("https://pbs.twimg.com/profile_banners/2886182706/1618938218")</f>
        <v>https://pbs.twimg.com/profile_banners/2886182706/1618938218</v>
      </c>
      <c r="AQ939" s="80" t="b">
        <v>1</v>
      </c>
      <c r="AR939" s="80" t="b">
        <v>0</v>
      </c>
      <c r="AS939" s="80" t="b">
        <v>1</v>
      </c>
      <c r="AT939" s="80"/>
      <c r="AU939" s="80">
        <v>0</v>
      </c>
      <c r="AV939" s="84" t="str">
        <f>HYPERLINK("https://abs.twimg.com/images/themes/theme1/bg.png")</f>
        <v>https://abs.twimg.com/images/themes/theme1/bg.png</v>
      </c>
      <c r="AW939" s="80" t="b">
        <v>0</v>
      </c>
      <c r="AX939" s="80" t="s">
        <v>7173</v>
      </c>
      <c r="AY939" s="84" t="str">
        <f>HYPERLINK("https://twitter.com/avwwt")</f>
        <v>https://twitter.com/avwwt</v>
      </c>
      <c r="AZ939" s="80" t="s">
        <v>66</v>
      </c>
      <c r="BA939" s="2"/>
      <c r="BB939" s="3"/>
      <c r="BC939" s="3"/>
      <c r="BD939" s="3"/>
      <c r="BE939" s="3"/>
    </row>
    <row r="940" spans="1:57" x14ac:dyDescent="0.35">
      <c r="A940" s="66" t="s">
        <v>1194</v>
      </c>
      <c r="B940" s="67"/>
      <c r="C940" s="67"/>
      <c r="D940" s="68"/>
      <c r="E940" s="70"/>
      <c r="F940" s="106" t="str">
        <f>HYPERLINK("https://pbs.twimg.com/profile_images/1427648681965232142/yyJeSIBq_normal.jpg")</f>
        <v>https://pbs.twimg.com/profile_images/1427648681965232142/yyJeSIBq_normal.jpg</v>
      </c>
      <c r="G940" s="67"/>
      <c r="H940" s="71"/>
      <c r="I940" s="72"/>
      <c r="J940" s="72"/>
      <c r="K940" s="71" t="s">
        <v>8110</v>
      </c>
      <c r="L940" s="75"/>
      <c r="M940" s="76"/>
      <c r="N940" s="76"/>
      <c r="O940" s="77"/>
      <c r="P940" s="78"/>
      <c r="Q940" s="78"/>
      <c r="R940" s="90"/>
      <c r="S940" s="90"/>
      <c r="T940" s="90"/>
      <c r="U940" s="90"/>
      <c r="V940" s="52"/>
      <c r="W940" s="52"/>
      <c r="X940" s="52"/>
      <c r="Y940" s="52"/>
      <c r="Z940" s="51"/>
      <c r="AA940" s="73"/>
      <c r="AB940" s="73"/>
      <c r="AC940" s="74"/>
      <c r="AD940" s="80" t="s">
        <v>5104</v>
      </c>
      <c r="AE940" s="86" t="s">
        <v>5889</v>
      </c>
      <c r="AF940" s="80">
        <v>952</v>
      </c>
      <c r="AG940" s="80">
        <v>57057</v>
      </c>
      <c r="AH940" s="80">
        <v>10899</v>
      </c>
      <c r="AI940" s="80">
        <v>3</v>
      </c>
      <c r="AJ940" s="80"/>
      <c r="AK940" s="80" t="s">
        <v>6712</v>
      </c>
      <c r="AL940" s="80"/>
      <c r="AM940" s="80"/>
      <c r="AN940" s="80"/>
      <c r="AO940" s="82">
        <v>44017.659189814818</v>
      </c>
      <c r="AP940" s="84" t="str">
        <f>HYPERLINK("https://pbs.twimg.com/profile_banners/1279804428724211712/1602073447")</f>
        <v>https://pbs.twimg.com/profile_banners/1279804428724211712/1602073447</v>
      </c>
      <c r="AQ940" s="80" t="b">
        <v>1</v>
      </c>
      <c r="AR940" s="80" t="b">
        <v>0</v>
      </c>
      <c r="AS940" s="80" t="b">
        <v>1</v>
      </c>
      <c r="AT940" s="80"/>
      <c r="AU940" s="80">
        <v>37</v>
      </c>
      <c r="AV940" s="80"/>
      <c r="AW940" s="80" t="b">
        <v>0</v>
      </c>
      <c r="AX940" s="80" t="s">
        <v>7173</v>
      </c>
      <c r="AY940" s="84" t="str">
        <f>HYPERLINK("https://twitter.com/merapi_uncover")</f>
        <v>https://twitter.com/merapi_uncover</v>
      </c>
      <c r="AZ940" s="80" t="s">
        <v>65</v>
      </c>
      <c r="BA940" s="2"/>
      <c r="BB940" s="3"/>
      <c r="BC940" s="3"/>
      <c r="BD940" s="3"/>
      <c r="BE940" s="3"/>
    </row>
    <row r="941" spans="1:57" x14ac:dyDescent="0.35">
      <c r="A941" s="66" t="s">
        <v>949</v>
      </c>
      <c r="B941" s="67"/>
      <c r="C941" s="67"/>
      <c r="D941" s="68"/>
      <c r="E941" s="70"/>
      <c r="F941" s="106" t="str">
        <f>HYPERLINK("https://pbs.twimg.com/profile_images/1442430824108806146/Few8x3Gx_normal.jpg")</f>
        <v>https://pbs.twimg.com/profile_images/1442430824108806146/Few8x3Gx_normal.jpg</v>
      </c>
      <c r="G941" s="67"/>
      <c r="H941" s="71"/>
      <c r="I941" s="72"/>
      <c r="J941" s="72"/>
      <c r="K941" s="71" t="s">
        <v>8111</v>
      </c>
      <c r="L941" s="75"/>
      <c r="M941" s="76"/>
      <c r="N941" s="76"/>
      <c r="O941" s="77"/>
      <c r="P941" s="78"/>
      <c r="Q941" s="78"/>
      <c r="R941" s="90"/>
      <c r="S941" s="90"/>
      <c r="T941" s="90"/>
      <c r="U941" s="90"/>
      <c r="V941" s="52"/>
      <c r="W941" s="52"/>
      <c r="X941" s="52"/>
      <c r="Y941" s="52"/>
      <c r="Z941" s="51"/>
      <c r="AA941" s="73"/>
      <c r="AB941" s="73"/>
      <c r="AC941" s="74"/>
      <c r="AD941" s="80" t="s">
        <v>5105</v>
      </c>
      <c r="AE941" s="86" t="s">
        <v>5890</v>
      </c>
      <c r="AF941" s="80">
        <v>102</v>
      </c>
      <c r="AG941" s="80">
        <v>122</v>
      </c>
      <c r="AH941" s="80">
        <v>9202</v>
      </c>
      <c r="AI941" s="80">
        <v>260</v>
      </c>
      <c r="AJ941" s="80"/>
      <c r="AK941" s="80" t="s">
        <v>6713</v>
      </c>
      <c r="AL941" s="80" t="s">
        <v>7151</v>
      </c>
      <c r="AM941" s="84" t="str">
        <f>HYPERLINK("https://t.co/wWaCqZ60wy")</f>
        <v>https://t.co/wWaCqZ60wy</v>
      </c>
      <c r="AN941" s="80"/>
      <c r="AO941" s="82">
        <v>42450.037800925929</v>
      </c>
      <c r="AP941" s="84" t="str">
        <f>HYPERLINK("https://pbs.twimg.com/profile_banners/711717568734748676/1632721219")</f>
        <v>https://pbs.twimg.com/profile_banners/711717568734748676/1632721219</v>
      </c>
      <c r="AQ941" s="80" t="b">
        <v>1</v>
      </c>
      <c r="AR941" s="80" t="b">
        <v>0</v>
      </c>
      <c r="AS941" s="80" t="b">
        <v>0</v>
      </c>
      <c r="AT941" s="80"/>
      <c r="AU941" s="80">
        <v>0</v>
      </c>
      <c r="AV941" s="80"/>
      <c r="AW941" s="80" t="b">
        <v>0</v>
      </c>
      <c r="AX941" s="80" t="s">
        <v>7173</v>
      </c>
      <c r="AY941" s="84" t="str">
        <f>HYPERLINK("https://twitter.com/94jinyoungfey")</f>
        <v>https://twitter.com/94jinyoungfey</v>
      </c>
      <c r="AZ941" s="80" t="s">
        <v>66</v>
      </c>
      <c r="BA941" s="2"/>
      <c r="BB941" s="3"/>
      <c r="BC941" s="3"/>
      <c r="BD941" s="3"/>
      <c r="BE941" s="3"/>
    </row>
    <row r="942" spans="1:57" x14ac:dyDescent="0.35">
      <c r="A942" s="66" t="s">
        <v>1195</v>
      </c>
      <c r="B942" s="67"/>
      <c r="C942" s="67"/>
      <c r="D942" s="68"/>
      <c r="E942" s="70"/>
      <c r="F942" s="106" t="str">
        <f>HYPERLINK("https://pbs.twimg.com/profile_images/1442380367466426368/3u7p_qeg_normal.jpg")</f>
        <v>https://pbs.twimg.com/profile_images/1442380367466426368/3u7p_qeg_normal.jpg</v>
      </c>
      <c r="G942" s="67"/>
      <c r="H942" s="71"/>
      <c r="I942" s="72"/>
      <c r="J942" s="72"/>
      <c r="K942" s="71" t="s">
        <v>8112</v>
      </c>
      <c r="L942" s="75"/>
      <c r="M942" s="76"/>
      <c r="N942" s="76"/>
      <c r="O942" s="77"/>
      <c r="P942" s="78"/>
      <c r="Q942" s="78"/>
      <c r="R942" s="90"/>
      <c r="S942" s="90"/>
      <c r="T942" s="90"/>
      <c r="U942" s="90"/>
      <c r="V942" s="52"/>
      <c r="W942" s="52"/>
      <c r="X942" s="52"/>
      <c r="Y942" s="52"/>
      <c r="Z942" s="51"/>
      <c r="AA942" s="73"/>
      <c r="AB942" s="73"/>
      <c r="AC942" s="74"/>
      <c r="AD942" s="80" t="s">
        <v>5106</v>
      </c>
      <c r="AE942" s="86" t="s">
        <v>4078</v>
      </c>
      <c r="AF942" s="80">
        <v>122</v>
      </c>
      <c r="AG942" s="80">
        <v>416</v>
      </c>
      <c r="AH942" s="80">
        <v>46852</v>
      </c>
      <c r="AI942" s="80">
        <v>1785</v>
      </c>
      <c r="AJ942" s="80"/>
      <c r="AK942" s="80" t="s">
        <v>6714</v>
      </c>
      <c r="AL942" s="80"/>
      <c r="AM942" s="80"/>
      <c r="AN942" s="80"/>
      <c r="AO942" s="82">
        <v>41800.614351851851</v>
      </c>
      <c r="AP942" s="84" t="str">
        <f>HYPERLINK("https://pbs.twimg.com/profile_banners/2559167748/1632705878")</f>
        <v>https://pbs.twimg.com/profile_banners/2559167748/1632705878</v>
      </c>
      <c r="AQ942" s="80" t="b">
        <v>0</v>
      </c>
      <c r="AR942" s="80" t="b">
        <v>0</v>
      </c>
      <c r="AS942" s="80" t="b">
        <v>1</v>
      </c>
      <c r="AT942" s="80"/>
      <c r="AU942" s="80">
        <v>3</v>
      </c>
      <c r="AV942" s="84" t="str">
        <f>HYPERLINK("https://abs.twimg.com/images/themes/theme1/bg.png")</f>
        <v>https://abs.twimg.com/images/themes/theme1/bg.png</v>
      </c>
      <c r="AW942" s="80" t="b">
        <v>0</v>
      </c>
      <c r="AX942" s="80" t="s">
        <v>7173</v>
      </c>
      <c r="AY942" s="84" t="str">
        <f>HYPERLINK("https://twitter.com/96jenniefey")</f>
        <v>https://twitter.com/96jenniefey</v>
      </c>
      <c r="AZ942" s="80" t="s">
        <v>65</v>
      </c>
      <c r="BA942" s="2"/>
      <c r="BB942" s="3"/>
      <c r="BC942" s="3"/>
      <c r="BD942" s="3"/>
      <c r="BE942" s="3"/>
    </row>
    <row r="943" spans="1:57" x14ac:dyDescent="0.35">
      <c r="A943" s="66" t="s">
        <v>950</v>
      </c>
      <c r="B943" s="67"/>
      <c r="C943" s="67"/>
      <c r="D943" s="68"/>
      <c r="E943" s="70"/>
      <c r="F943" s="106" t="str">
        <f>HYPERLINK("https://pbs.twimg.com/profile_images/1421894410938114055/K_6XzuMD_normal.jpg")</f>
        <v>https://pbs.twimg.com/profile_images/1421894410938114055/K_6XzuMD_normal.jpg</v>
      </c>
      <c r="G943" s="67"/>
      <c r="H943" s="71"/>
      <c r="I943" s="72"/>
      <c r="J943" s="72"/>
      <c r="K943" s="71" t="s">
        <v>8113</v>
      </c>
      <c r="L943" s="75"/>
      <c r="M943" s="76"/>
      <c r="N943" s="76"/>
      <c r="O943" s="77"/>
      <c r="P943" s="78"/>
      <c r="Q943" s="78"/>
      <c r="R943" s="90"/>
      <c r="S943" s="90"/>
      <c r="T943" s="90"/>
      <c r="U943" s="90"/>
      <c r="V943" s="52"/>
      <c r="W943" s="52"/>
      <c r="X943" s="52"/>
      <c r="Y943" s="52"/>
      <c r="Z943" s="51"/>
      <c r="AA943" s="73"/>
      <c r="AB943" s="73"/>
      <c r="AC943" s="74"/>
      <c r="AD943" s="80" t="s">
        <v>5107</v>
      </c>
      <c r="AE943" s="86" t="s">
        <v>5891</v>
      </c>
      <c r="AF943" s="80">
        <v>26</v>
      </c>
      <c r="AG943" s="80">
        <v>11</v>
      </c>
      <c r="AH943" s="80">
        <v>203</v>
      </c>
      <c r="AI943" s="80">
        <v>107</v>
      </c>
      <c r="AJ943" s="80"/>
      <c r="AK943" s="80" t="s">
        <v>6715</v>
      </c>
      <c r="AL943" s="80" t="s">
        <v>7152</v>
      </c>
      <c r="AM943" s="80"/>
      <c r="AN943" s="80"/>
      <c r="AO943" s="82">
        <v>44408.705694444441</v>
      </c>
      <c r="AP943" s="84" t="str">
        <f>HYPERLINK("https://pbs.twimg.com/profile_banners/1421514992415694851/1632590377")</f>
        <v>https://pbs.twimg.com/profile_banners/1421514992415694851/1632590377</v>
      </c>
      <c r="AQ943" s="80" t="b">
        <v>1</v>
      </c>
      <c r="AR943" s="80" t="b">
        <v>0</v>
      </c>
      <c r="AS943" s="80" t="b">
        <v>0</v>
      </c>
      <c r="AT943" s="80"/>
      <c r="AU943" s="80">
        <v>0</v>
      </c>
      <c r="AV943" s="80"/>
      <c r="AW943" s="80" t="b">
        <v>0</v>
      </c>
      <c r="AX943" s="80" t="s">
        <v>7173</v>
      </c>
      <c r="AY943" s="84" t="str">
        <f>HYPERLINK("https://twitter.com/mantovanintens")</f>
        <v>https://twitter.com/mantovanintens</v>
      </c>
      <c r="AZ943" s="80" t="s">
        <v>66</v>
      </c>
      <c r="BA943" s="2"/>
      <c r="BB943" s="3"/>
      <c r="BC943" s="3"/>
      <c r="BD943" s="3"/>
      <c r="BE943" s="3"/>
    </row>
    <row r="944" spans="1:57" x14ac:dyDescent="0.35">
      <c r="A944" s="66" t="s">
        <v>951</v>
      </c>
      <c r="B944" s="67"/>
      <c r="C944" s="67"/>
      <c r="D944" s="68"/>
      <c r="E944" s="70"/>
      <c r="F944" s="106" t="str">
        <f>HYPERLINK("https://pbs.twimg.com/profile_images/1405138706256699393/e9YJeydz_normal.jpg")</f>
        <v>https://pbs.twimg.com/profile_images/1405138706256699393/e9YJeydz_normal.jpg</v>
      </c>
      <c r="G944" s="67"/>
      <c r="H944" s="71"/>
      <c r="I944" s="72"/>
      <c r="J944" s="72"/>
      <c r="K944" s="71" t="s">
        <v>8114</v>
      </c>
      <c r="L944" s="75"/>
      <c r="M944" s="76"/>
      <c r="N944" s="76"/>
      <c r="O944" s="77"/>
      <c r="P944" s="78"/>
      <c r="Q944" s="78"/>
      <c r="R944" s="90"/>
      <c r="S944" s="90"/>
      <c r="T944" s="90"/>
      <c r="U944" s="90"/>
      <c r="V944" s="52"/>
      <c r="W944" s="52"/>
      <c r="X944" s="52"/>
      <c r="Y944" s="52"/>
      <c r="Z944" s="51"/>
      <c r="AA944" s="73"/>
      <c r="AB944" s="73"/>
      <c r="AC944" s="74"/>
      <c r="AD944" s="80" t="s">
        <v>5108</v>
      </c>
      <c r="AE944" s="86" t="s">
        <v>5892</v>
      </c>
      <c r="AF944" s="80">
        <v>1932</v>
      </c>
      <c r="AG944" s="80">
        <v>820</v>
      </c>
      <c r="AH944" s="80">
        <v>28939</v>
      </c>
      <c r="AI944" s="80">
        <v>15142</v>
      </c>
      <c r="AJ944" s="80"/>
      <c r="AK944" s="80" t="s">
        <v>6716</v>
      </c>
      <c r="AL944" s="80"/>
      <c r="AM944" s="80"/>
      <c r="AN944" s="80"/>
      <c r="AO944" s="82">
        <v>44332.09202546296</v>
      </c>
      <c r="AP944" s="84" t="str">
        <f>HYPERLINK("https://pbs.twimg.com/profile_banners/1393751130983698435/1623469159")</f>
        <v>https://pbs.twimg.com/profile_banners/1393751130983698435/1623469159</v>
      </c>
      <c r="AQ944" s="80" t="b">
        <v>1</v>
      </c>
      <c r="AR944" s="80" t="b">
        <v>0</v>
      </c>
      <c r="AS944" s="80" t="b">
        <v>0</v>
      </c>
      <c r="AT944" s="80"/>
      <c r="AU944" s="80">
        <v>0</v>
      </c>
      <c r="AV944" s="80"/>
      <c r="AW944" s="80" t="b">
        <v>0</v>
      </c>
      <c r="AX944" s="80" t="s">
        <v>7173</v>
      </c>
      <c r="AY944" s="84" t="str">
        <f>HYPERLINK("https://twitter.com/3andalas")</f>
        <v>https://twitter.com/3andalas</v>
      </c>
      <c r="AZ944" s="80" t="s">
        <v>66</v>
      </c>
      <c r="BA944" s="2"/>
      <c r="BB944" s="3"/>
      <c r="BC944" s="3"/>
      <c r="BD944" s="3"/>
      <c r="BE944" s="3"/>
    </row>
    <row r="945" spans="1:57" x14ac:dyDescent="0.35">
      <c r="A945" s="66" t="s">
        <v>952</v>
      </c>
      <c r="B945" s="67"/>
      <c r="C945" s="67"/>
      <c r="D945" s="68"/>
      <c r="E945" s="70"/>
      <c r="F945" s="106" t="str">
        <f>HYPERLINK("https://pbs.twimg.com/profile_images/1441391506829373443/0vMPE9XO_normal.jpg")</f>
        <v>https://pbs.twimg.com/profile_images/1441391506829373443/0vMPE9XO_normal.jpg</v>
      </c>
      <c r="G945" s="67"/>
      <c r="H945" s="71"/>
      <c r="I945" s="72"/>
      <c r="J945" s="72"/>
      <c r="K945" s="71" t="s">
        <v>8115</v>
      </c>
      <c r="L945" s="75"/>
      <c r="M945" s="76"/>
      <c r="N945" s="76"/>
      <c r="O945" s="77"/>
      <c r="P945" s="78"/>
      <c r="Q945" s="78"/>
      <c r="R945" s="90"/>
      <c r="S945" s="90"/>
      <c r="T945" s="90"/>
      <c r="U945" s="90"/>
      <c r="V945" s="52"/>
      <c r="W945" s="52"/>
      <c r="X945" s="52"/>
      <c r="Y945" s="52"/>
      <c r="Z945" s="51"/>
      <c r="AA945" s="73"/>
      <c r="AB945" s="73"/>
      <c r="AC945" s="74"/>
      <c r="AD945" s="80" t="s">
        <v>5109</v>
      </c>
      <c r="AE945" s="86" t="s">
        <v>5893</v>
      </c>
      <c r="AF945" s="80">
        <v>1373</v>
      </c>
      <c r="AG945" s="80">
        <v>1405</v>
      </c>
      <c r="AH945" s="80">
        <v>9525</v>
      </c>
      <c r="AI945" s="80">
        <v>3411</v>
      </c>
      <c r="AJ945" s="80"/>
      <c r="AK945" s="80" t="s">
        <v>6717</v>
      </c>
      <c r="AL945" s="80" t="s">
        <v>7153</v>
      </c>
      <c r="AM945" s="84" t="str">
        <f>HYPERLINK("https://t.co/J4En7G54oI")</f>
        <v>https://t.co/J4En7G54oI</v>
      </c>
      <c r="AN945" s="80"/>
      <c r="AO945" s="82">
        <v>43834.137280092589</v>
      </c>
      <c r="AP945" s="84" t="str">
        <f>HYPERLINK("https://pbs.twimg.com/profile_banners/1213298383886024704/1610766864")</f>
        <v>https://pbs.twimg.com/profile_banners/1213298383886024704/1610766864</v>
      </c>
      <c r="AQ945" s="80" t="b">
        <v>1</v>
      </c>
      <c r="AR945" s="80" t="b">
        <v>0</v>
      </c>
      <c r="AS945" s="80" t="b">
        <v>1</v>
      </c>
      <c r="AT945" s="80"/>
      <c r="AU945" s="80">
        <v>0</v>
      </c>
      <c r="AV945" s="80"/>
      <c r="AW945" s="80" t="b">
        <v>0</v>
      </c>
      <c r="AX945" s="80" t="s">
        <v>7173</v>
      </c>
      <c r="AY945" s="84" t="str">
        <f>HYPERLINK("https://twitter.com/hmmribet")</f>
        <v>https://twitter.com/hmmribet</v>
      </c>
      <c r="AZ945" s="80" t="s">
        <v>66</v>
      </c>
      <c r="BA945" s="2"/>
      <c r="BB945" s="3"/>
      <c r="BC945" s="3"/>
      <c r="BD945" s="3"/>
      <c r="BE945" s="3"/>
    </row>
    <row r="946" spans="1:57" x14ac:dyDescent="0.35">
      <c r="A946" s="66" t="s">
        <v>953</v>
      </c>
      <c r="B946" s="67"/>
      <c r="C946" s="67"/>
      <c r="D946" s="68"/>
      <c r="E946" s="70"/>
      <c r="F946" s="106" t="str">
        <f>HYPERLINK("https://pbs.twimg.com/profile_images/1438458760263979008/HWTI7NDR_normal.jpg")</f>
        <v>https://pbs.twimg.com/profile_images/1438458760263979008/HWTI7NDR_normal.jpg</v>
      </c>
      <c r="G946" s="67"/>
      <c r="H946" s="71"/>
      <c r="I946" s="72"/>
      <c r="J946" s="72"/>
      <c r="K946" s="71" t="s">
        <v>8116</v>
      </c>
      <c r="L946" s="75"/>
      <c r="M946" s="76"/>
      <c r="N946" s="76"/>
      <c r="O946" s="77"/>
      <c r="P946" s="78"/>
      <c r="Q946" s="78"/>
      <c r="R946" s="90"/>
      <c r="S946" s="90"/>
      <c r="T946" s="90"/>
      <c r="U946" s="90"/>
      <c r="V946" s="52"/>
      <c r="W946" s="52"/>
      <c r="X946" s="52"/>
      <c r="Y946" s="52"/>
      <c r="Z946" s="51"/>
      <c r="AA946" s="73"/>
      <c r="AB946" s="73"/>
      <c r="AC946" s="74"/>
      <c r="AD946" s="80" t="s">
        <v>5110</v>
      </c>
      <c r="AE946" s="86" t="s">
        <v>4080</v>
      </c>
      <c r="AF946" s="80">
        <v>64</v>
      </c>
      <c r="AG946" s="80">
        <v>49</v>
      </c>
      <c r="AH946" s="80">
        <v>828</v>
      </c>
      <c r="AI946" s="80">
        <v>304</v>
      </c>
      <c r="AJ946" s="80"/>
      <c r="AK946" s="80" t="s">
        <v>6718</v>
      </c>
      <c r="AL946" s="80"/>
      <c r="AM946" s="84" t="str">
        <f>HYPERLINK("https://t.co/lPdM8yDjB0")</f>
        <v>https://t.co/lPdM8yDjB0</v>
      </c>
      <c r="AN946" s="80"/>
      <c r="AO946" s="82">
        <v>44392.199131944442</v>
      </c>
      <c r="AP946" s="84" t="str">
        <f>HYPERLINK("https://pbs.twimg.com/profile_banners/1415533173463654400/1626325796")</f>
        <v>https://pbs.twimg.com/profile_banners/1415533173463654400/1626325796</v>
      </c>
      <c r="AQ946" s="80" t="b">
        <v>1</v>
      </c>
      <c r="AR946" s="80" t="b">
        <v>0</v>
      </c>
      <c r="AS946" s="80" t="b">
        <v>0</v>
      </c>
      <c r="AT946" s="80"/>
      <c r="AU946" s="80">
        <v>0</v>
      </c>
      <c r="AV946" s="80"/>
      <c r="AW946" s="80" t="b">
        <v>0</v>
      </c>
      <c r="AX946" s="80" t="s">
        <v>7173</v>
      </c>
      <c r="AY946" s="84" t="str">
        <f>HYPERLINK("https://twitter.com/merthurslove")</f>
        <v>https://twitter.com/merthurslove</v>
      </c>
      <c r="AZ946" s="80" t="s">
        <v>66</v>
      </c>
      <c r="BA946" s="2"/>
      <c r="BB946" s="3"/>
      <c r="BC946" s="3"/>
      <c r="BD946" s="3"/>
      <c r="BE946" s="3"/>
    </row>
    <row r="947" spans="1:57" x14ac:dyDescent="0.35">
      <c r="A947" s="66" t="s">
        <v>954</v>
      </c>
      <c r="B947" s="67"/>
      <c r="C947" s="67"/>
      <c r="D947" s="68"/>
      <c r="E947" s="70"/>
      <c r="F947" s="106" t="str">
        <f>HYPERLINK("https://pbs.twimg.com/profile_images/1428009614474301440/eUhd8Mhe_normal.jpg")</f>
        <v>https://pbs.twimg.com/profile_images/1428009614474301440/eUhd8Mhe_normal.jpg</v>
      </c>
      <c r="G947" s="67"/>
      <c r="H947" s="71"/>
      <c r="I947" s="72"/>
      <c r="J947" s="72"/>
      <c r="K947" s="71" t="s">
        <v>8117</v>
      </c>
      <c r="L947" s="75"/>
      <c r="M947" s="76"/>
      <c r="N947" s="76"/>
      <c r="O947" s="77"/>
      <c r="P947" s="78"/>
      <c r="Q947" s="78"/>
      <c r="R947" s="90"/>
      <c r="S947" s="90"/>
      <c r="T947" s="90"/>
      <c r="U947" s="90"/>
      <c r="V947" s="52"/>
      <c r="W947" s="52"/>
      <c r="X947" s="52"/>
      <c r="Y947" s="52"/>
      <c r="Z947" s="51"/>
      <c r="AA947" s="73"/>
      <c r="AB947" s="73"/>
      <c r="AC947" s="74"/>
      <c r="AD947" s="80" t="s">
        <v>5111</v>
      </c>
      <c r="AE947" s="86" t="s">
        <v>5894</v>
      </c>
      <c r="AF947" s="80">
        <v>3026</v>
      </c>
      <c r="AG947" s="80">
        <v>2870</v>
      </c>
      <c r="AH947" s="80">
        <v>11083</v>
      </c>
      <c r="AI947" s="80">
        <v>18223</v>
      </c>
      <c r="AJ947" s="80"/>
      <c r="AK947" s="80" t="s">
        <v>6719</v>
      </c>
      <c r="AL947" s="80"/>
      <c r="AM947" s="80"/>
      <c r="AN947" s="80"/>
      <c r="AO947" s="82">
        <v>44346.162152777775</v>
      </c>
      <c r="AP947" s="84" t="str">
        <f>HYPERLINK("https://pbs.twimg.com/profile_banners/1398849952881668099/1627746664")</f>
        <v>https://pbs.twimg.com/profile_banners/1398849952881668099/1627746664</v>
      </c>
      <c r="AQ947" s="80" t="b">
        <v>1</v>
      </c>
      <c r="AR947" s="80" t="b">
        <v>0</v>
      </c>
      <c r="AS947" s="80" t="b">
        <v>1</v>
      </c>
      <c r="AT947" s="80"/>
      <c r="AU947" s="80">
        <v>0</v>
      </c>
      <c r="AV947" s="80"/>
      <c r="AW947" s="80" t="b">
        <v>0</v>
      </c>
      <c r="AX947" s="80" t="s">
        <v>7173</v>
      </c>
      <c r="AY947" s="84" t="str">
        <f>HYPERLINK("https://twitter.com/alkecilsaja")</f>
        <v>https://twitter.com/alkecilsaja</v>
      </c>
      <c r="AZ947" s="80" t="s">
        <v>66</v>
      </c>
      <c r="BA947" s="2"/>
      <c r="BB947" s="3"/>
      <c r="BC947" s="3"/>
      <c r="BD947" s="3"/>
      <c r="BE947" s="3"/>
    </row>
    <row r="948" spans="1:57" x14ac:dyDescent="0.35">
      <c r="A948" s="66" t="s">
        <v>955</v>
      </c>
      <c r="B948" s="67"/>
      <c r="C948" s="67"/>
      <c r="D948" s="68"/>
      <c r="E948" s="70"/>
      <c r="F948" s="106" t="str">
        <f>HYPERLINK("https://pbs.twimg.com/profile_images/1432063690627448835/jHPVXIcO_normal.jpg")</f>
        <v>https://pbs.twimg.com/profile_images/1432063690627448835/jHPVXIcO_normal.jpg</v>
      </c>
      <c r="G948" s="67"/>
      <c r="H948" s="71"/>
      <c r="I948" s="72"/>
      <c r="J948" s="72"/>
      <c r="K948" s="71" t="s">
        <v>8118</v>
      </c>
      <c r="L948" s="75"/>
      <c r="M948" s="76"/>
      <c r="N948" s="76"/>
      <c r="O948" s="77"/>
      <c r="P948" s="78"/>
      <c r="Q948" s="78"/>
      <c r="R948" s="90"/>
      <c r="S948" s="90"/>
      <c r="T948" s="90"/>
      <c r="U948" s="90"/>
      <c r="V948" s="52"/>
      <c r="W948" s="52"/>
      <c r="X948" s="52"/>
      <c r="Y948" s="52"/>
      <c r="Z948" s="51"/>
      <c r="AA948" s="73"/>
      <c r="AB948" s="73"/>
      <c r="AC948" s="74"/>
      <c r="AD948" s="80" t="s">
        <v>5112</v>
      </c>
      <c r="AE948" s="86" t="s">
        <v>5895</v>
      </c>
      <c r="AF948" s="80">
        <v>2104</v>
      </c>
      <c r="AG948" s="80">
        <v>2977</v>
      </c>
      <c r="AH948" s="80">
        <v>21019</v>
      </c>
      <c r="AI948" s="80">
        <v>24524</v>
      </c>
      <c r="AJ948" s="80"/>
      <c r="AK948" s="80"/>
      <c r="AL948" s="80"/>
      <c r="AM948" s="80"/>
      <c r="AN948" s="80"/>
      <c r="AO948" s="82">
        <v>43352.758437500001</v>
      </c>
      <c r="AP948" s="84" t="str">
        <f>HYPERLINK("https://pbs.twimg.com/profile_banners/1038852574378582017/1619336275")</f>
        <v>https://pbs.twimg.com/profile_banners/1038852574378582017/1619336275</v>
      </c>
      <c r="AQ948" s="80" t="b">
        <v>1</v>
      </c>
      <c r="AR948" s="80" t="b">
        <v>0</v>
      </c>
      <c r="AS948" s="80" t="b">
        <v>1</v>
      </c>
      <c r="AT948" s="80"/>
      <c r="AU948" s="80">
        <v>1</v>
      </c>
      <c r="AV948" s="80"/>
      <c r="AW948" s="80" t="b">
        <v>0</v>
      </c>
      <c r="AX948" s="80" t="s">
        <v>7173</v>
      </c>
      <c r="AY948" s="84" t="str">
        <f>HYPERLINK("https://twitter.com/yanguning2")</f>
        <v>https://twitter.com/yanguning2</v>
      </c>
      <c r="AZ948" s="80" t="s">
        <v>66</v>
      </c>
      <c r="BA948" s="2"/>
      <c r="BB948" s="3"/>
      <c r="BC948" s="3"/>
      <c r="BD948" s="3"/>
      <c r="BE948" s="3"/>
    </row>
    <row r="949" spans="1:57" x14ac:dyDescent="0.35">
      <c r="A949" s="66" t="s">
        <v>956</v>
      </c>
      <c r="B949" s="67"/>
      <c r="C949" s="67"/>
      <c r="D949" s="68"/>
      <c r="E949" s="70"/>
      <c r="F949" s="106" t="str">
        <f>HYPERLINK("https://pbs.twimg.com/profile_images/1371054343017795584/xcr1EY2r_normal.jpg")</f>
        <v>https://pbs.twimg.com/profile_images/1371054343017795584/xcr1EY2r_normal.jpg</v>
      </c>
      <c r="G949" s="67"/>
      <c r="H949" s="71"/>
      <c r="I949" s="72"/>
      <c r="J949" s="72"/>
      <c r="K949" s="71" t="s">
        <v>8119</v>
      </c>
      <c r="L949" s="75"/>
      <c r="M949" s="76"/>
      <c r="N949" s="76"/>
      <c r="O949" s="77"/>
      <c r="P949" s="78"/>
      <c r="Q949" s="78"/>
      <c r="R949" s="90"/>
      <c r="S949" s="90"/>
      <c r="T949" s="90"/>
      <c r="U949" s="90"/>
      <c r="V949" s="52"/>
      <c r="W949" s="52"/>
      <c r="X949" s="52"/>
      <c r="Y949" s="52"/>
      <c r="Z949" s="51"/>
      <c r="AA949" s="73"/>
      <c r="AB949" s="73"/>
      <c r="AC949" s="74"/>
      <c r="AD949" s="80" t="s">
        <v>5113</v>
      </c>
      <c r="AE949" s="86" t="s">
        <v>5896</v>
      </c>
      <c r="AF949" s="80">
        <v>585</v>
      </c>
      <c r="AG949" s="80">
        <v>373</v>
      </c>
      <c r="AH949" s="80">
        <v>18748</v>
      </c>
      <c r="AI949" s="80">
        <v>4395</v>
      </c>
      <c r="AJ949" s="80"/>
      <c r="AK949" s="80" t="s">
        <v>6720</v>
      </c>
      <c r="AL949" s="80"/>
      <c r="AM949" s="84" t="str">
        <f>HYPERLINK("https://t.co/dklr51Lamj")</f>
        <v>https://t.co/dklr51Lamj</v>
      </c>
      <c r="AN949" s="80"/>
      <c r="AO949" s="82">
        <v>40186.548298611109</v>
      </c>
      <c r="AP949" s="84" t="str">
        <f>HYPERLINK("https://pbs.twimg.com/profile_banners/102978388/1588434138")</f>
        <v>https://pbs.twimg.com/profile_banners/102978388/1588434138</v>
      </c>
      <c r="AQ949" s="80" t="b">
        <v>0</v>
      </c>
      <c r="AR949" s="80" t="b">
        <v>0</v>
      </c>
      <c r="AS949" s="80" t="b">
        <v>0</v>
      </c>
      <c r="AT949" s="80"/>
      <c r="AU949" s="80">
        <v>0</v>
      </c>
      <c r="AV949" s="84" t="str">
        <f>HYPERLINK("https://abs.twimg.com/images/themes/theme1/bg.png")</f>
        <v>https://abs.twimg.com/images/themes/theme1/bg.png</v>
      </c>
      <c r="AW949" s="80" t="b">
        <v>0</v>
      </c>
      <c r="AX949" s="80" t="s">
        <v>7173</v>
      </c>
      <c r="AY949" s="84" t="str">
        <f>HYPERLINK("https://twitter.com/danicdanic")</f>
        <v>https://twitter.com/danicdanic</v>
      </c>
      <c r="AZ949" s="80" t="s">
        <v>66</v>
      </c>
      <c r="BA949" s="2"/>
      <c r="BB949" s="3"/>
      <c r="BC949" s="3"/>
      <c r="BD949" s="3"/>
      <c r="BE949" s="3"/>
    </row>
    <row r="950" spans="1:57" x14ac:dyDescent="0.35">
      <c r="A950" s="66" t="s">
        <v>958</v>
      </c>
      <c r="B950" s="67"/>
      <c r="C950" s="67"/>
      <c r="D950" s="68"/>
      <c r="E950" s="70"/>
      <c r="F950" s="106" t="str">
        <f>HYPERLINK("https://pbs.twimg.com/profile_images/1369087031788281856/SHFfO1Ey_normal.jpg")</f>
        <v>https://pbs.twimg.com/profile_images/1369087031788281856/SHFfO1Ey_normal.jpg</v>
      </c>
      <c r="G950" s="67"/>
      <c r="H950" s="71"/>
      <c r="I950" s="72"/>
      <c r="J950" s="72"/>
      <c r="K950" s="71" t="s">
        <v>8120</v>
      </c>
      <c r="L950" s="75"/>
      <c r="M950" s="76"/>
      <c r="N950" s="76"/>
      <c r="O950" s="77"/>
      <c r="P950" s="78"/>
      <c r="Q950" s="78"/>
      <c r="R950" s="90"/>
      <c r="S950" s="90"/>
      <c r="T950" s="90"/>
      <c r="U950" s="90"/>
      <c r="V950" s="52"/>
      <c r="W950" s="52"/>
      <c r="X950" s="52"/>
      <c r="Y950" s="52"/>
      <c r="Z950" s="51"/>
      <c r="AA950" s="73"/>
      <c r="AB950" s="73"/>
      <c r="AC950" s="74"/>
      <c r="AD950" s="80" t="s">
        <v>5114</v>
      </c>
      <c r="AE950" s="86" t="s">
        <v>5897</v>
      </c>
      <c r="AF950" s="80">
        <v>3982</v>
      </c>
      <c r="AG950" s="80">
        <v>2799</v>
      </c>
      <c r="AH950" s="80">
        <v>42452</v>
      </c>
      <c r="AI950" s="80">
        <v>63058</v>
      </c>
      <c r="AJ950" s="80"/>
      <c r="AK950" s="80" t="s">
        <v>6721</v>
      </c>
      <c r="AL950" s="80"/>
      <c r="AM950" s="80"/>
      <c r="AN950" s="80"/>
      <c r="AO950" s="82">
        <v>44242.529479166667</v>
      </c>
      <c r="AP950" s="84" t="str">
        <f>HYPERLINK("https://pbs.twimg.com/profile_banners/1361294716172525569/1615250759")</f>
        <v>https://pbs.twimg.com/profile_banners/1361294716172525569/1615250759</v>
      </c>
      <c r="AQ950" s="80" t="b">
        <v>1</v>
      </c>
      <c r="AR950" s="80" t="b">
        <v>0</v>
      </c>
      <c r="AS950" s="80" t="b">
        <v>1</v>
      </c>
      <c r="AT950" s="80"/>
      <c r="AU950" s="80">
        <v>0</v>
      </c>
      <c r="AV950" s="80"/>
      <c r="AW950" s="80" t="b">
        <v>0</v>
      </c>
      <c r="AX950" s="80" t="s">
        <v>7173</v>
      </c>
      <c r="AY950" s="84" t="str">
        <f>HYPERLINK("https://twitter.com/camelaila1")</f>
        <v>https://twitter.com/camelaila1</v>
      </c>
      <c r="AZ950" s="80" t="s">
        <v>66</v>
      </c>
      <c r="BA950" s="2"/>
      <c r="BB950" s="3"/>
      <c r="BC950" s="3"/>
      <c r="BD950" s="3"/>
      <c r="BE950" s="3"/>
    </row>
    <row r="951" spans="1:57" x14ac:dyDescent="0.35">
      <c r="A951" s="66" t="s">
        <v>959</v>
      </c>
      <c r="B951" s="67"/>
      <c r="C951" s="67"/>
      <c r="D951" s="68"/>
      <c r="E951" s="70"/>
      <c r="F951" s="106" t="str">
        <f>HYPERLINK("https://pbs.twimg.com/profile_images/1442066538694012930/8ywlVDte_normal.jpg")</f>
        <v>https://pbs.twimg.com/profile_images/1442066538694012930/8ywlVDte_normal.jpg</v>
      </c>
      <c r="G951" s="67"/>
      <c r="H951" s="71"/>
      <c r="I951" s="72"/>
      <c r="J951" s="72"/>
      <c r="K951" s="71" t="s">
        <v>8121</v>
      </c>
      <c r="L951" s="75"/>
      <c r="M951" s="76"/>
      <c r="N951" s="76"/>
      <c r="O951" s="77"/>
      <c r="P951" s="78"/>
      <c r="Q951" s="78"/>
      <c r="R951" s="90"/>
      <c r="S951" s="90"/>
      <c r="T951" s="90"/>
      <c r="U951" s="90"/>
      <c r="V951" s="52"/>
      <c r="W951" s="52"/>
      <c r="X951" s="52"/>
      <c r="Y951" s="52"/>
      <c r="Z951" s="51"/>
      <c r="AA951" s="73"/>
      <c r="AB951" s="73"/>
      <c r="AC951" s="74"/>
      <c r="AD951" s="80" t="s">
        <v>5115</v>
      </c>
      <c r="AE951" s="86" t="s">
        <v>5898</v>
      </c>
      <c r="AF951" s="80">
        <v>874</v>
      </c>
      <c r="AG951" s="80">
        <v>1118</v>
      </c>
      <c r="AH951" s="80">
        <v>6698</v>
      </c>
      <c r="AI951" s="80">
        <v>3224</v>
      </c>
      <c r="AJ951" s="80"/>
      <c r="AK951" s="80"/>
      <c r="AL951" s="80" t="s">
        <v>7154</v>
      </c>
      <c r="AM951" s="80"/>
      <c r="AN951" s="80"/>
      <c r="AO951" s="82">
        <v>44234.225439814814</v>
      </c>
      <c r="AP951" s="80"/>
      <c r="AQ951" s="80" t="b">
        <v>1</v>
      </c>
      <c r="AR951" s="80" t="b">
        <v>0</v>
      </c>
      <c r="AS951" s="80" t="b">
        <v>0</v>
      </c>
      <c r="AT951" s="80"/>
      <c r="AU951" s="80">
        <v>1</v>
      </c>
      <c r="AV951" s="80"/>
      <c r="AW951" s="80" t="b">
        <v>0</v>
      </c>
      <c r="AX951" s="80" t="s">
        <v>7173</v>
      </c>
      <c r="AY951" s="84" t="str">
        <f>HYPERLINK("https://twitter.com/punyanyongrote")</f>
        <v>https://twitter.com/punyanyongrote</v>
      </c>
      <c r="AZ951" s="80" t="s">
        <v>66</v>
      </c>
      <c r="BA951" s="2"/>
      <c r="BB951" s="3"/>
      <c r="BC951" s="3"/>
      <c r="BD951" s="3"/>
      <c r="BE951" s="3"/>
    </row>
    <row r="952" spans="1:57" x14ac:dyDescent="0.35">
      <c r="A952" s="66" t="s">
        <v>960</v>
      </c>
      <c r="B952" s="67"/>
      <c r="C952" s="67"/>
      <c r="D952" s="68"/>
      <c r="E952" s="70"/>
      <c r="F952" s="106" t="str">
        <f>HYPERLINK("https://pbs.twimg.com/profile_images/866050032352378880/jzItH7kT_normal.jpg")</f>
        <v>https://pbs.twimg.com/profile_images/866050032352378880/jzItH7kT_normal.jpg</v>
      </c>
      <c r="G952" s="67"/>
      <c r="H952" s="71"/>
      <c r="I952" s="72"/>
      <c r="J952" s="72"/>
      <c r="K952" s="71" t="s">
        <v>8122</v>
      </c>
      <c r="L952" s="75"/>
      <c r="M952" s="76"/>
      <c r="N952" s="76"/>
      <c r="O952" s="77"/>
      <c r="P952" s="78"/>
      <c r="Q952" s="78"/>
      <c r="R952" s="90"/>
      <c r="S952" s="90"/>
      <c r="T952" s="90"/>
      <c r="U952" s="90"/>
      <c r="V952" s="52"/>
      <c r="W952" s="52"/>
      <c r="X952" s="52"/>
      <c r="Y952" s="52"/>
      <c r="Z952" s="51"/>
      <c r="AA952" s="73"/>
      <c r="AB952" s="73"/>
      <c r="AC952" s="74"/>
      <c r="AD952" s="80" t="s">
        <v>5116</v>
      </c>
      <c r="AE952" s="86" t="s">
        <v>5899</v>
      </c>
      <c r="AF952" s="80">
        <v>792</v>
      </c>
      <c r="AG952" s="80">
        <v>419</v>
      </c>
      <c r="AH952" s="80">
        <v>61361</v>
      </c>
      <c r="AI952" s="80">
        <v>95194</v>
      </c>
      <c r="AJ952" s="80"/>
      <c r="AK952" s="80"/>
      <c r="AL952" s="80" t="s">
        <v>6824</v>
      </c>
      <c r="AM952" s="80"/>
      <c r="AN952" s="80"/>
      <c r="AO952" s="82">
        <v>40432.229166666664</v>
      </c>
      <c r="AP952" s="84" t="str">
        <f>HYPERLINK("https://pbs.twimg.com/profile_banners/189414934/1480207737")</f>
        <v>https://pbs.twimg.com/profile_banners/189414934/1480207737</v>
      </c>
      <c r="AQ952" s="80" t="b">
        <v>1</v>
      </c>
      <c r="AR952" s="80" t="b">
        <v>0</v>
      </c>
      <c r="AS952" s="80" t="b">
        <v>1</v>
      </c>
      <c r="AT952" s="80"/>
      <c r="AU952" s="80">
        <v>3</v>
      </c>
      <c r="AV952" s="84" t="str">
        <f>HYPERLINK("https://abs.twimg.com/images/themes/theme1/bg.png")</f>
        <v>https://abs.twimg.com/images/themes/theme1/bg.png</v>
      </c>
      <c r="AW952" s="80" t="b">
        <v>0</v>
      </c>
      <c r="AX952" s="80" t="s">
        <v>7173</v>
      </c>
      <c r="AY952" s="84" t="str">
        <f>HYPERLINK("https://twitter.com/deddyhariadi")</f>
        <v>https://twitter.com/deddyhariadi</v>
      </c>
      <c r="AZ952" s="80" t="s">
        <v>66</v>
      </c>
      <c r="BA952" s="2"/>
      <c r="BB952" s="3"/>
      <c r="BC952" s="3"/>
      <c r="BD952" s="3"/>
      <c r="BE952" s="3"/>
    </row>
    <row r="953" spans="1:57" x14ac:dyDescent="0.35">
      <c r="A953" s="66" t="s">
        <v>961</v>
      </c>
      <c r="B953" s="67"/>
      <c r="C953" s="67"/>
      <c r="D953" s="68"/>
      <c r="E953" s="70"/>
      <c r="F953" s="106" t="str">
        <f>HYPERLINK("https://pbs.twimg.com/profile_images/1212307733984100352/v--XpYtt_normal.jpg")</f>
        <v>https://pbs.twimg.com/profile_images/1212307733984100352/v--XpYtt_normal.jpg</v>
      </c>
      <c r="G953" s="67"/>
      <c r="H953" s="71"/>
      <c r="I953" s="72"/>
      <c r="J953" s="72"/>
      <c r="K953" s="71" t="s">
        <v>8123</v>
      </c>
      <c r="L953" s="75"/>
      <c r="M953" s="76"/>
      <c r="N953" s="76"/>
      <c r="O953" s="77"/>
      <c r="P953" s="78"/>
      <c r="Q953" s="78"/>
      <c r="R953" s="90"/>
      <c r="S953" s="90"/>
      <c r="T953" s="90"/>
      <c r="U953" s="90"/>
      <c r="V953" s="52"/>
      <c r="W953" s="52"/>
      <c r="X953" s="52"/>
      <c r="Y953" s="52"/>
      <c r="Z953" s="51"/>
      <c r="AA953" s="73"/>
      <c r="AB953" s="73"/>
      <c r="AC953" s="74"/>
      <c r="AD953" s="80" t="s">
        <v>5117</v>
      </c>
      <c r="AE953" s="86" t="s">
        <v>5900</v>
      </c>
      <c r="AF953" s="80">
        <v>61</v>
      </c>
      <c r="AG953" s="80">
        <v>71</v>
      </c>
      <c r="AH953" s="80">
        <v>11460</v>
      </c>
      <c r="AI953" s="80">
        <v>146</v>
      </c>
      <c r="AJ953" s="80"/>
      <c r="AK953" s="80" t="s">
        <v>6722</v>
      </c>
      <c r="AL953" s="80" t="s">
        <v>7155</v>
      </c>
      <c r="AM953" s="80"/>
      <c r="AN953" s="80"/>
      <c r="AO953" s="82">
        <v>40887.680497685185</v>
      </c>
      <c r="AP953" s="84" t="str">
        <f>HYPERLINK("https://pbs.twimg.com/profile_banners/433472137/1507072457")</f>
        <v>https://pbs.twimg.com/profile_banners/433472137/1507072457</v>
      </c>
      <c r="AQ953" s="80" t="b">
        <v>1</v>
      </c>
      <c r="AR953" s="80" t="b">
        <v>0</v>
      </c>
      <c r="AS953" s="80" t="b">
        <v>1</v>
      </c>
      <c r="AT953" s="80"/>
      <c r="AU953" s="80">
        <v>1</v>
      </c>
      <c r="AV953" s="84" t="str">
        <f>HYPERLINK("https://abs.twimg.com/images/themes/theme1/bg.png")</f>
        <v>https://abs.twimg.com/images/themes/theme1/bg.png</v>
      </c>
      <c r="AW953" s="80" t="b">
        <v>0</v>
      </c>
      <c r="AX953" s="80" t="s">
        <v>7173</v>
      </c>
      <c r="AY953" s="84" t="str">
        <f>HYPERLINK("https://twitter.com/helmybobo")</f>
        <v>https://twitter.com/helmybobo</v>
      </c>
      <c r="AZ953" s="80" t="s">
        <v>66</v>
      </c>
      <c r="BA953" s="2"/>
      <c r="BB953" s="3"/>
      <c r="BC953" s="3"/>
      <c r="BD953" s="3"/>
      <c r="BE953" s="3"/>
    </row>
    <row r="954" spans="1:57" x14ac:dyDescent="0.35">
      <c r="A954" s="66" t="s">
        <v>962</v>
      </c>
      <c r="B954" s="67"/>
      <c r="C954" s="67"/>
      <c r="D954" s="68"/>
      <c r="E954" s="70"/>
      <c r="F954" s="106" t="str">
        <f>HYPERLINK("https://pbs.twimg.com/profile_images/1363817669103816704/DGyfJ7wT_normal.jpg")</f>
        <v>https://pbs.twimg.com/profile_images/1363817669103816704/DGyfJ7wT_normal.jpg</v>
      </c>
      <c r="G954" s="67"/>
      <c r="H954" s="71"/>
      <c r="I954" s="72"/>
      <c r="J954" s="72"/>
      <c r="K954" s="71" t="s">
        <v>8124</v>
      </c>
      <c r="L954" s="75"/>
      <c r="M954" s="76"/>
      <c r="N954" s="76"/>
      <c r="O954" s="77"/>
      <c r="P954" s="78"/>
      <c r="Q954" s="78"/>
      <c r="R954" s="90"/>
      <c r="S954" s="90"/>
      <c r="T954" s="90"/>
      <c r="U954" s="90"/>
      <c r="V954" s="52"/>
      <c r="W954" s="52"/>
      <c r="X954" s="52"/>
      <c r="Y954" s="52"/>
      <c r="Z954" s="51"/>
      <c r="AA954" s="73"/>
      <c r="AB954" s="73"/>
      <c r="AC954" s="74"/>
      <c r="AD954" s="80" t="s">
        <v>5118</v>
      </c>
      <c r="AE954" s="86" t="s">
        <v>5901</v>
      </c>
      <c r="AF954" s="80">
        <v>11</v>
      </c>
      <c r="AG954" s="80">
        <v>3642466</v>
      </c>
      <c r="AH954" s="80">
        <v>1270474</v>
      </c>
      <c r="AI954" s="80">
        <v>1264</v>
      </c>
      <c r="AJ954" s="80"/>
      <c r="AK954" s="80" t="s">
        <v>6723</v>
      </c>
      <c r="AL954" s="80" t="s">
        <v>7156</v>
      </c>
      <c r="AM954" s="84" t="str">
        <f>HYPERLINK("https://t.co/zZGHy1xmWi")</f>
        <v>https://t.co/zZGHy1xmWi</v>
      </c>
      <c r="AN954" s="80"/>
      <c r="AO954" s="82">
        <v>40247.161643518521</v>
      </c>
      <c r="AP954" s="84" t="str">
        <f>HYPERLINK("https://pbs.twimg.com/profile_banners/121640063/1620070135")</f>
        <v>https://pbs.twimg.com/profile_banners/121640063/1620070135</v>
      </c>
      <c r="AQ954" s="80" t="b">
        <v>0</v>
      </c>
      <c r="AR954" s="80" t="b">
        <v>0</v>
      </c>
      <c r="AS954" s="80" t="b">
        <v>1</v>
      </c>
      <c r="AT954" s="80"/>
      <c r="AU954" s="80">
        <v>3759</v>
      </c>
      <c r="AV954" s="84" t="str">
        <f>HYPERLINK("https://abs.twimg.com/images/themes/theme4/bg.gif")</f>
        <v>https://abs.twimg.com/images/themes/theme4/bg.gif</v>
      </c>
      <c r="AW954" s="80" t="b">
        <v>1</v>
      </c>
      <c r="AX954" s="80" t="s">
        <v>7173</v>
      </c>
      <c r="AY954" s="84" t="str">
        <f>HYPERLINK("https://twitter.com/radioelshinta")</f>
        <v>https://twitter.com/radioelshinta</v>
      </c>
      <c r="AZ954" s="80" t="s">
        <v>66</v>
      </c>
      <c r="BA954" s="2"/>
      <c r="BB954" s="3"/>
      <c r="BC954" s="3"/>
      <c r="BD954" s="3"/>
      <c r="BE954" s="3"/>
    </row>
    <row r="955" spans="1:57" x14ac:dyDescent="0.35">
      <c r="A955" s="66" t="s">
        <v>963</v>
      </c>
      <c r="B955" s="67"/>
      <c r="C955" s="67"/>
      <c r="D955" s="68"/>
      <c r="E955" s="70"/>
      <c r="F955" s="106" t="str">
        <f>HYPERLINK("https://pbs.twimg.com/profile_images/1410493292035252229/WJtGTERO_normal.jpg")</f>
        <v>https://pbs.twimg.com/profile_images/1410493292035252229/WJtGTERO_normal.jpg</v>
      </c>
      <c r="G955" s="67"/>
      <c r="H955" s="71"/>
      <c r="I955" s="72"/>
      <c r="J955" s="72"/>
      <c r="K955" s="71" t="s">
        <v>8125</v>
      </c>
      <c r="L955" s="75"/>
      <c r="M955" s="76"/>
      <c r="N955" s="76"/>
      <c r="O955" s="77"/>
      <c r="P955" s="78"/>
      <c r="Q955" s="78"/>
      <c r="R955" s="90"/>
      <c r="S955" s="90"/>
      <c r="T955" s="90"/>
      <c r="U955" s="90"/>
      <c r="V955" s="52"/>
      <c r="W955" s="52"/>
      <c r="X955" s="52"/>
      <c r="Y955" s="52"/>
      <c r="Z955" s="51"/>
      <c r="AA955" s="73"/>
      <c r="AB955" s="73"/>
      <c r="AC955" s="74"/>
      <c r="AD955" s="80" t="s">
        <v>5119</v>
      </c>
      <c r="AE955" s="86" t="s">
        <v>5902</v>
      </c>
      <c r="AF955" s="80">
        <v>138</v>
      </c>
      <c r="AG955" s="80">
        <v>301671</v>
      </c>
      <c r="AH955" s="80">
        <v>752862</v>
      </c>
      <c r="AI955" s="80">
        <v>8922</v>
      </c>
      <c r="AJ955" s="80"/>
      <c r="AK955" s="80" t="s">
        <v>6724</v>
      </c>
      <c r="AL955" s="80" t="s">
        <v>6758</v>
      </c>
      <c r="AM955" s="84" t="str">
        <f>HYPERLINK("https://t.co/GxmOTAY3Vm")</f>
        <v>https://t.co/GxmOTAY3Vm</v>
      </c>
      <c r="AN955" s="80"/>
      <c r="AO955" s="82">
        <v>40410.297303240739</v>
      </c>
      <c r="AP955" s="84" t="str">
        <f>HYPERLINK("https://pbs.twimg.com/profile_banners/180696019/1510369310")</f>
        <v>https://pbs.twimg.com/profile_banners/180696019/1510369310</v>
      </c>
      <c r="AQ955" s="80" t="b">
        <v>0</v>
      </c>
      <c r="AR955" s="80" t="b">
        <v>0</v>
      </c>
      <c r="AS955" s="80" t="b">
        <v>1</v>
      </c>
      <c r="AT955" s="80"/>
      <c r="AU955" s="80">
        <v>673</v>
      </c>
      <c r="AV955" s="84" t="str">
        <f>HYPERLINK("https://abs.twimg.com/images/themes/theme1/bg.png")</f>
        <v>https://abs.twimg.com/images/themes/theme1/bg.png</v>
      </c>
      <c r="AW955" s="80" t="b">
        <v>1</v>
      </c>
      <c r="AX955" s="80" t="s">
        <v>7173</v>
      </c>
      <c r="AY955" s="84" t="str">
        <f>HYPERLINK("https://twitter.com/sonorafm92")</f>
        <v>https://twitter.com/sonorafm92</v>
      </c>
      <c r="AZ955" s="80" t="s">
        <v>66</v>
      </c>
      <c r="BA955" s="2"/>
      <c r="BB955" s="3"/>
      <c r="BC955" s="3"/>
      <c r="BD955" s="3"/>
      <c r="BE955" s="3"/>
    </row>
    <row r="956" spans="1:57" x14ac:dyDescent="0.35">
      <c r="A956" s="66" t="s">
        <v>964</v>
      </c>
      <c r="B956" s="67"/>
      <c r="C956" s="67"/>
      <c r="D956" s="68"/>
      <c r="E956" s="70"/>
      <c r="F956" s="106" t="str">
        <f>HYPERLINK("https://pbs.twimg.com/profile_images/1156799149716594688/KFgTdPWD_normal.jpg")</f>
        <v>https://pbs.twimg.com/profile_images/1156799149716594688/KFgTdPWD_normal.jpg</v>
      </c>
      <c r="G956" s="67"/>
      <c r="H956" s="71"/>
      <c r="I956" s="72"/>
      <c r="J956" s="72"/>
      <c r="K956" s="71" t="s">
        <v>8126</v>
      </c>
      <c r="L956" s="75"/>
      <c r="M956" s="76"/>
      <c r="N956" s="76"/>
      <c r="O956" s="77"/>
      <c r="P956" s="78"/>
      <c r="Q956" s="78"/>
      <c r="R956" s="90"/>
      <c r="S956" s="90"/>
      <c r="T956" s="90"/>
      <c r="U956" s="90"/>
      <c r="V956" s="52"/>
      <c r="W956" s="52"/>
      <c r="X956" s="52"/>
      <c r="Y956" s="52"/>
      <c r="Z956" s="51"/>
      <c r="AA956" s="73"/>
      <c r="AB956" s="73"/>
      <c r="AC956" s="74"/>
      <c r="AD956" s="80" t="s">
        <v>5120</v>
      </c>
      <c r="AE956" s="86" t="s">
        <v>5903</v>
      </c>
      <c r="AF956" s="80">
        <v>21</v>
      </c>
      <c r="AG956" s="80">
        <v>1600</v>
      </c>
      <c r="AH956" s="80">
        <v>1072</v>
      </c>
      <c r="AI956" s="80">
        <v>23</v>
      </c>
      <c r="AJ956" s="80"/>
      <c r="AK956" s="80" t="s">
        <v>6725</v>
      </c>
      <c r="AL956" s="80"/>
      <c r="AM956" s="84" t="str">
        <f>HYPERLINK("https://t.co/OIjgDQsOGC")</f>
        <v>https://t.co/OIjgDQsOGC</v>
      </c>
      <c r="AN956" s="80"/>
      <c r="AO956" s="82">
        <v>43678.228541666664</v>
      </c>
      <c r="AP956" s="84" t="str">
        <f>HYPERLINK("https://pbs.twimg.com/profile_banners/1156798991331295239/1564656513")</f>
        <v>https://pbs.twimg.com/profile_banners/1156798991331295239/1564656513</v>
      </c>
      <c r="AQ956" s="80" t="b">
        <v>1</v>
      </c>
      <c r="AR956" s="80" t="b">
        <v>0</v>
      </c>
      <c r="AS956" s="80" t="b">
        <v>1</v>
      </c>
      <c r="AT956" s="80"/>
      <c r="AU956" s="80">
        <v>1</v>
      </c>
      <c r="AV956" s="80"/>
      <c r="AW956" s="80" t="b">
        <v>0</v>
      </c>
      <c r="AX956" s="80" t="s">
        <v>7173</v>
      </c>
      <c r="AY956" s="84" t="str">
        <f>HYPERLINK("https://twitter.com/satpasmetrojaya")</f>
        <v>https://twitter.com/satpasmetrojaya</v>
      </c>
      <c r="AZ956" s="80" t="s">
        <v>66</v>
      </c>
      <c r="BA956" s="2"/>
      <c r="BB956" s="3"/>
      <c r="BC956" s="3"/>
      <c r="BD956" s="3"/>
      <c r="BE956" s="3"/>
    </row>
    <row r="957" spans="1:57" x14ac:dyDescent="0.35">
      <c r="A957" s="66" t="s">
        <v>965</v>
      </c>
      <c r="B957" s="67"/>
      <c r="C957" s="67"/>
      <c r="D957" s="68"/>
      <c r="E957" s="70"/>
      <c r="F957" s="106" t="str">
        <f>HYPERLINK("https://pbs.twimg.com/profile_images/1309333317771165702/FYVW43Lp_normal.jpg")</f>
        <v>https://pbs.twimg.com/profile_images/1309333317771165702/FYVW43Lp_normal.jpg</v>
      </c>
      <c r="G957" s="67"/>
      <c r="H957" s="71"/>
      <c r="I957" s="72"/>
      <c r="J957" s="72"/>
      <c r="K957" s="71" t="s">
        <v>8127</v>
      </c>
      <c r="L957" s="75"/>
      <c r="M957" s="76"/>
      <c r="N957" s="76"/>
      <c r="O957" s="77"/>
      <c r="P957" s="78"/>
      <c r="Q957" s="78"/>
      <c r="R957" s="90"/>
      <c r="S957" s="90"/>
      <c r="T957" s="90"/>
      <c r="U957" s="90"/>
      <c r="V957" s="52"/>
      <c r="W957" s="52"/>
      <c r="X957" s="52"/>
      <c r="Y957" s="52"/>
      <c r="Z957" s="51"/>
      <c r="AA957" s="73"/>
      <c r="AB957" s="73"/>
      <c r="AC957" s="74"/>
      <c r="AD957" s="80" t="s">
        <v>5121</v>
      </c>
      <c r="AE957" s="86" t="s">
        <v>5904</v>
      </c>
      <c r="AF957" s="80">
        <v>53</v>
      </c>
      <c r="AG957" s="80">
        <v>238</v>
      </c>
      <c r="AH957" s="80">
        <v>12891</v>
      </c>
      <c r="AI957" s="80">
        <v>23</v>
      </c>
      <c r="AJ957" s="80"/>
      <c r="AK957" s="80" t="s">
        <v>6726</v>
      </c>
      <c r="AL957" s="80"/>
      <c r="AM957" s="84" t="str">
        <f>HYPERLINK("https://t.co/55RvWx6ooT")</f>
        <v>https://t.co/55RvWx6ooT</v>
      </c>
      <c r="AN957" s="80"/>
      <c r="AO957" s="82">
        <v>44099.14203703704</v>
      </c>
      <c r="AP957" s="84" t="str">
        <f>HYPERLINK("https://pbs.twimg.com/profile_banners/1309332727972339713/1601038991")</f>
        <v>https://pbs.twimg.com/profile_banners/1309332727972339713/1601038991</v>
      </c>
      <c r="AQ957" s="80" t="b">
        <v>1</v>
      </c>
      <c r="AR957" s="80" t="b">
        <v>0</v>
      </c>
      <c r="AS957" s="80" t="b">
        <v>0</v>
      </c>
      <c r="AT957" s="80"/>
      <c r="AU957" s="80">
        <v>1</v>
      </c>
      <c r="AV957" s="80"/>
      <c r="AW957" s="80" t="b">
        <v>0</v>
      </c>
      <c r="AX957" s="80" t="s">
        <v>7173</v>
      </c>
      <c r="AY957" s="84" t="str">
        <f>HYPERLINK("https://twitter.com/ntmc_info")</f>
        <v>https://twitter.com/ntmc_info</v>
      </c>
      <c r="AZ957" s="80" t="s">
        <v>66</v>
      </c>
      <c r="BA957" s="2"/>
      <c r="BB957" s="3"/>
      <c r="BC957" s="3"/>
      <c r="BD957" s="3"/>
      <c r="BE957" s="3"/>
    </row>
    <row r="958" spans="1:57" x14ac:dyDescent="0.35">
      <c r="A958" s="66" t="s">
        <v>966</v>
      </c>
      <c r="B958" s="67"/>
      <c r="C958" s="67"/>
      <c r="D958" s="68"/>
      <c r="E958" s="70"/>
      <c r="F958" s="106" t="str">
        <f>HYPERLINK("https://pbs.twimg.com/profile_images/1045532153419685888/tI5IrzoY_normal.jpg")</f>
        <v>https://pbs.twimg.com/profile_images/1045532153419685888/tI5IrzoY_normal.jpg</v>
      </c>
      <c r="G958" s="67"/>
      <c r="H958" s="71"/>
      <c r="I958" s="72"/>
      <c r="J958" s="72"/>
      <c r="K958" s="71" t="s">
        <v>8128</v>
      </c>
      <c r="L958" s="75"/>
      <c r="M958" s="76"/>
      <c r="N958" s="76"/>
      <c r="O958" s="77"/>
      <c r="P958" s="78"/>
      <c r="Q958" s="78"/>
      <c r="R958" s="90"/>
      <c r="S958" s="90"/>
      <c r="T958" s="90"/>
      <c r="U958" s="90"/>
      <c r="V958" s="52"/>
      <c r="W958" s="52"/>
      <c r="X958" s="52"/>
      <c r="Y958" s="52"/>
      <c r="Z958" s="51"/>
      <c r="AA958" s="73"/>
      <c r="AB958" s="73"/>
      <c r="AC958" s="74"/>
      <c r="AD958" s="80" t="s">
        <v>5122</v>
      </c>
      <c r="AE958" s="86" t="s">
        <v>5905</v>
      </c>
      <c r="AF958" s="80">
        <v>50</v>
      </c>
      <c r="AG958" s="80">
        <v>6423</v>
      </c>
      <c r="AH958" s="80">
        <v>9021</v>
      </c>
      <c r="AI958" s="80">
        <v>63</v>
      </c>
      <c r="AJ958" s="80"/>
      <c r="AK958" s="80" t="s">
        <v>6727</v>
      </c>
      <c r="AL958" s="80" t="s">
        <v>4145</v>
      </c>
      <c r="AM958" s="84" t="str">
        <f>HYPERLINK("https://t.co/QifpQfWrKs")</f>
        <v>https://t.co/QifpQfWrKs</v>
      </c>
      <c r="AN958" s="80"/>
      <c r="AO958" s="82">
        <v>41872.933506944442</v>
      </c>
      <c r="AP958" s="84" t="str">
        <f>HYPERLINK("https://pbs.twimg.com/profile_banners/2753228456/1533602801")</f>
        <v>https://pbs.twimg.com/profile_banners/2753228456/1533602801</v>
      </c>
      <c r="AQ958" s="80" t="b">
        <v>0</v>
      </c>
      <c r="AR958" s="80" t="b">
        <v>0</v>
      </c>
      <c r="AS958" s="80" t="b">
        <v>1</v>
      </c>
      <c r="AT958" s="80"/>
      <c r="AU958" s="80">
        <v>15</v>
      </c>
      <c r="AV958" s="84" t="str">
        <f>HYPERLINK("https://abs.twimg.com/images/themes/theme1/bg.png")</f>
        <v>https://abs.twimg.com/images/themes/theme1/bg.png</v>
      </c>
      <c r="AW958" s="80" t="b">
        <v>0</v>
      </c>
      <c r="AX958" s="80" t="s">
        <v>7173</v>
      </c>
      <c r="AY958" s="84" t="str">
        <f>HYPERLINK("https://twitter.com/openkerja")</f>
        <v>https://twitter.com/openkerja</v>
      </c>
      <c r="AZ958" s="80" t="s">
        <v>66</v>
      </c>
      <c r="BA958" s="2"/>
      <c r="BB958" s="3"/>
      <c r="BC958" s="3"/>
      <c r="BD958" s="3"/>
      <c r="BE958" s="3"/>
    </row>
    <row r="959" spans="1:57" x14ac:dyDescent="0.35">
      <c r="A959" s="66" t="s">
        <v>967</v>
      </c>
      <c r="B959" s="67"/>
      <c r="C959" s="67"/>
      <c r="D959" s="68"/>
      <c r="E959" s="70"/>
      <c r="F959" s="106" t="str">
        <f>HYPERLINK("https://pbs.twimg.com/profile_images/1431114466331009026/5TOVbNFH_normal.jpg")</f>
        <v>https://pbs.twimg.com/profile_images/1431114466331009026/5TOVbNFH_normal.jpg</v>
      </c>
      <c r="G959" s="67"/>
      <c r="H959" s="71"/>
      <c r="I959" s="72"/>
      <c r="J959" s="72"/>
      <c r="K959" s="71" t="s">
        <v>8129</v>
      </c>
      <c r="L959" s="75"/>
      <c r="M959" s="76"/>
      <c r="N959" s="76"/>
      <c r="O959" s="77"/>
      <c r="P959" s="78"/>
      <c r="Q959" s="78"/>
      <c r="R959" s="90"/>
      <c r="S959" s="90"/>
      <c r="T959" s="90"/>
      <c r="U959" s="90"/>
      <c r="V959" s="52"/>
      <c r="W959" s="52"/>
      <c r="X959" s="52"/>
      <c r="Y959" s="52"/>
      <c r="Z959" s="51"/>
      <c r="AA959" s="73"/>
      <c r="AB959" s="73"/>
      <c r="AC959" s="74"/>
      <c r="AD959" s="80" t="s">
        <v>5123</v>
      </c>
      <c r="AE959" s="86" t="s">
        <v>5906</v>
      </c>
      <c r="AF959" s="80">
        <v>1340</v>
      </c>
      <c r="AG959" s="80">
        <v>1225</v>
      </c>
      <c r="AH959" s="80">
        <v>9488</v>
      </c>
      <c r="AI959" s="80">
        <v>17385</v>
      </c>
      <c r="AJ959" s="80"/>
      <c r="AK959" s="80" t="s">
        <v>6728</v>
      </c>
      <c r="AL959" s="80" t="s">
        <v>7157</v>
      </c>
      <c r="AM959" s="80"/>
      <c r="AN959" s="80"/>
      <c r="AO959" s="82">
        <v>43816.286006944443</v>
      </c>
      <c r="AP959" s="84" t="str">
        <f>HYPERLINK("https://pbs.twimg.com/profile_banners/1206829256338100225/1631534919")</f>
        <v>https://pbs.twimg.com/profile_banners/1206829256338100225/1631534919</v>
      </c>
      <c r="AQ959" s="80" t="b">
        <v>1</v>
      </c>
      <c r="AR959" s="80" t="b">
        <v>0</v>
      </c>
      <c r="AS959" s="80" t="b">
        <v>1</v>
      </c>
      <c r="AT959" s="80"/>
      <c r="AU959" s="80">
        <v>3</v>
      </c>
      <c r="AV959" s="80"/>
      <c r="AW959" s="80" t="b">
        <v>0</v>
      </c>
      <c r="AX959" s="80" t="s">
        <v>7173</v>
      </c>
      <c r="AY959" s="84" t="str">
        <f>HYPERLINK("https://twitter.com/peninggidosa")</f>
        <v>https://twitter.com/peninggidosa</v>
      </c>
      <c r="AZ959" s="80" t="s">
        <v>66</v>
      </c>
      <c r="BA959" s="2"/>
      <c r="BB959" s="3"/>
      <c r="BC959" s="3"/>
      <c r="BD959" s="3"/>
      <c r="BE959" s="3"/>
    </row>
    <row r="960" spans="1:57" x14ac:dyDescent="0.35">
      <c r="A960" s="66" t="s">
        <v>968</v>
      </c>
      <c r="B960" s="67"/>
      <c r="C960" s="67"/>
      <c r="D960" s="68"/>
      <c r="E960" s="70"/>
      <c r="F960" s="106" t="str">
        <f>HYPERLINK("https://pbs.twimg.com/profile_images/1400316561982824448/GI53rZTE_normal.jpg")</f>
        <v>https://pbs.twimg.com/profile_images/1400316561982824448/GI53rZTE_normal.jpg</v>
      </c>
      <c r="G960" s="67"/>
      <c r="H960" s="71"/>
      <c r="I960" s="72"/>
      <c r="J960" s="72"/>
      <c r="K960" s="71" t="s">
        <v>8130</v>
      </c>
      <c r="L960" s="75"/>
      <c r="M960" s="76"/>
      <c r="N960" s="76"/>
      <c r="O960" s="77"/>
      <c r="P960" s="78"/>
      <c r="Q960" s="78"/>
      <c r="R960" s="90"/>
      <c r="S960" s="90"/>
      <c r="T960" s="90"/>
      <c r="U960" s="90"/>
      <c r="V960" s="52"/>
      <c r="W960" s="52"/>
      <c r="X960" s="52"/>
      <c r="Y960" s="52"/>
      <c r="Z960" s="51"/>
      <c r="AA960" s="73"/>
      <c r="AB960" s="73"/>
      <c r="AC960" s="74"/>
      <c r="AD960" s="80" t="s">
        <v>5124</v>
      </c>
      <c r="AE960" s="86" t="s">
        <v>5907</v>
      </c>
      <c r="AF960" s="80">
        <v>0</v>
      </c>
      <c r="AG960" s="80">
        <v>25</v>
      </c>
      <c r="AH960" s="80">
        <v>1707</v>
      </c>
      <c r="AI960" s="80">
        <v>0</v>
      </c>
      <c r="AJ960" s="80"/>
      <c r="AK960" s="80" t="s">
        <v>6729</v>
      </c>
      <c r="AL960" s="80" t="s">
        <v>7158</v>
      </c>
      <c r="AM960" s="84" t="str">
        <f>HYPERLINK("https://t.co/qYYUAAcVEY")</f>
        <v>https://t.co/qYYUAAcVEY</v>
      </c>
      <c r="AN960" s="80"/>
      <c r="AO960" s="82">
        <v>44350.208657407406</v>
      </c>
      <c r="AP960" s="80"/>
      <c r="AQ960" s="80" t="b">
        <v>1</v>
      </c>
      <c r="AR960" s="80" t="b">
        <v>0</v>
      </c>
      <c r="AS960" s="80" t="b">
        <v>0</v>
      </c>
      <c r="AT960" s="80"/>
      <c r="AU960" s="80">
        <v>0</v>
      </c>
      <c r="AV960" s="80"/>
      <c r="AW960" s="80" t="b">
        <v>0</v>
      </c>
      <c r="AX960" s="80" t="s">
        <v>7173</v>
      </c>
      <c r="AY960" s="84" t="str">
        <f>HYPERLINK("https://twitter.com/sange_bo")</f>
        <v>https://twitter.com/sange_bo</v>
      </c>
      <c r="AZ960" s="80" t="s">
        <v>66</v>
      </c>
      <c r="BA960" s="2"/>
      <c r="BB960" s="3"/>
      <c r="BC960" s="3"/>
      <c r="BD960" s="3"/>
      <c r="BE960" s="3"/>
    </row>
    <row r="961" spans="1:57" x14ac:dyDescent="0.35">
      <c r="A961" s="66" t="s">
        <v>970</v>
      </c>
      <c r="B961" s="67"/>
      <c r="C961" s="67"/>
      <c r="D961" s="68"/>
      <c r="E961" s="70"/>
      <c r="F961" s="106" t="str">
        <f>HYPERLINK("https://pbs.twimg.com/profile_images/3036631203/9404d83a3202d44a4fcbbb75b2bd6b81_normal.jpeg")</f>
        <v>https://pbs.twimg.com/profile_images/3036631203/9404d83a3202d44a4fcbbb75b2bd6b81_normal.jpeg</v>
      </c>
      <c r="G961" s="67"/>
      <c r="H961" s="71"/>
      <c r="I961" s="72"/>
      <c r="J961" s="72"/>
      <c r="K961" s="71" t="s">
        <v>8131</v>
      </c>
      <c r="L961" s="75"/>
      <c r="M961" s="76"/>
      <c r="N961" s="76"/>
      <c r="O961" s="77"/>
      <c r="P961" s="78"/>
      <c r="Q961" s="78"/>
      <c r="R961" s="90"/>
      <c r="S961" s="90"/>
      <c r="T961" s="90"/>
      <c r="U961" s="90"/>
      <c r="V961" s="52"/>
      <c r="W961" s="52"/>
      <c r="X961" s="52"/>
      <c r="Y961" s="52"/>
      <c r="Z961" s="51"/>
      <c r="AA961" s="73"/>
      <c r="AB961" s="73"/>
      <c r="AC961" s="74"/>
      <c r="AD961" s="80" t="s">
        <v>5125</v>
      </c>
      <c r="AE961" s="86" t="s">
        <v>5908</v>
      </c>
      <c r="AF961" s="80">
        <v>115</v>
      </c>
      <c r="AG961" s="80">
        <v>208</v>
      </c>
      <c r="AH961" s="80">
        <v>140143</v>
      </c>
      <c r="AI961" s="80">
        <v>14</v>
      </c>
      <c r="AJ961" s="80"/>
      <c r="AK961" s="80" t="s">
        <v>6730</v>
      </c>
      <c r="AL961" s="80"/>
      <c r="AM961" s="80"/>
      <c r="AN961" s="80"/>
      <c r="AO961" s="82">
        <v>41199.434872685182</v>
      </c>
      <c r="AP961" s="84" t="str">
        <f>HYPERLINK("https://pbs.twimg.com/profile_banners/886545902/1356851169")</f>
        <v>https://pbs.twimg.com/profile_banners/886545902/1356851169</v>
      </c>
      <c r="AQ961" s="80" t="b">
        <v>0</v>
      </c>
      <c r="AR961" s="80" t="b">
        <v>0</v>
      </c>
      <c r="AS961" s="80" t="b">
        <v>0</v>
      </c>
      <c r="AT961" s="80"/>
      <c r="AU961" s="80">
        <v>9</v>
      </c>
      <c r="AV961" s="84" t="str">
        <f>HYPERLINK("https://abs.twimg.com/images/themes/theme1/bg.png")</f>
        <v>https://abs.twimg.com/images/themes/theme1/bg.png</v>
      </c>
      <c r="AW961" s="80" t="b">
        <v>0</v>
      </c>
      <c r="AX961" s="80" t="s">
        <v>7173</v>
      </c>
      <c r="AY961" s="84" t="str">
        <f>HYPERLINK("https://twitter.com/yeppeomikki")</f>
        <v>https://twitter.com/yeppeomikki</v>
      </c>
      <c r="AZ961" s="80" t="s">
        <v>66</v>
      </c>
      <c r="BA961" s="2"/>
      <c r="BB961" s="3"/>
      <c r="BC961" s="3"/>
      <c r="BD961" s="3"/>
      <c r="BE961" s="3"/>
    </row>
    <row r="962" spans="1:57" x14ac:dyDescent="0.35">
      <c r="A962" s="66" t="s">
        <v>971</v>
      </c>
      <c r="B962" s="67"/>
      <c r="C962" s="67"/>
      <c r="D962" s="68"/>
      <c r="E962" s="70"/>
      <c r="F962" s="106" t="str">
        <f>HYPERLINK("https://pbs.twimg.com/profile_images/1282901608313925632/_h9Sn5wA_normal.jpg")</f>
        <v>https://pbs.twimg.com/profile_images/1282901608313925632/_h9Sn5wA_normal.jpg</v>
      </c>
      <c r="G962" s="67"/>
      <c r="H962" s="71"/>
      <c r="I962" s="72"/>
      <c r="J962" s="72"/>
      <c r="K962" s="71" t="s">
        <v>8132</v>
      </c>
      <c r="L962" s="75"/>
      <c r="M962" s="76"/>
      <c r="N962" s="76"/>
      <c r="O962" s="77"/>
      <c r="P962" s="78"/>
      <c r="Q962" s="78"/>
      <c r="R962" s="90"/>
      <c r="S962" s="90"/>
      <c r="T962" s="90"/>
      <c r="U962" s="90"/>
      <c r="V962" s="52"/>
      <c r="W962" s="52"/>
      <c r="X962" s="52"/>
      <c r="Y962" s="52"/>
      <c r="Z962" s="51"/>
      <c r="AA962" s="73"/>
      <c r="AB962" s="73"/>
      <c r="AC962" s="74"/>
      <c r="AD962" s="80" t="s">
        <v>5126</v>
      </c>
      <c r="AE962" s="86" t="s">
        <v>4082</v>
      </c>
      <c r="AF962" s="80">
        <v>240</v>
      </c>
      <c r="AG962" s="80">
        <v>217</v>
      </c>
      <c r="AH962" s="80">
        <v>13664</v>
      </c>
      <c r="AI962" s="80">
        <v>646</v>
      </c>
      <c r="AJ962" s="80"/>
      <c r="AK962" s="80" t="s">
        <v>6731</v>
      </c>
      <c r="AL962" s="80" t="s">
        <v>7159</v>
      </c>
      <c r="AM962" s="80"/>
      <c r="AN962" s="80"/>
      <c r="AO962" s="82">
        <v>40128.04855324074</v>
      </c>
      <c r="AP962" s="80"/>
      <c r="AQ962" s="80" t="b">
        <v>0</v>
      </c>
      <c r="AR962" s="80" t="b">
        <v>0</v>
      </c>
      <c r="AS962" s="80" t="b">
        <v>1</v>
      </c>
      <c r="AT962" s="80"/>
      <c r="AU962" s="80">
        <v>1</v>
      </c>
      <c r="AV962" s="84" t="str">
        <f>HYPERLINK("https://abs.twimg.com/images/themes/theme14/bg.gif")</f>
        <v>https://abs.twimg.com/images/themes/theme14/bg.gif</v>
      </c>
      <c r="AW962" s="80" t="b">
        <v>0</v>
      </c>
      <c r="AX962" s="80" t="s">
        <v>7173</v>
      </c>
      <c r="AY962" s="84" t="str">
        <f>HYPERLINK("https://twitter.com/ekiiiiw")</f>
        <v>https://twitter.com/ekiiiiw</v>
      </c>
      <c r="AZ962" s="80" t="s">
        <v>66</v>
      </c>
      <c r="BA962" s="2"/>
      <c r="BB962" s="3"/>
      <c r="BC962" s="3"/>
      <c r="BD962" s="3"/>
      <c r="BE962" s="3"/>
    </row>
    <row r="963" spans="1:57" x14ac:dyDescent="0.35">
      <c r="A963" s="66" t="s">
        <v>973</v>
      </c>
      <c r="B963" s="67"/>
      <c r="C963" s="67"/>
      <c r="D963" s="68"/>
      <c r="E963" s="70"/>
      <c r="F963" s="106" t="str">
        <f>HYPERLINK("https://pbs.twimg.com/profile_images/1440728638370959362/t6lbkuQu_normal.jpg")</f>
        <v>https://pbs.twimg.com/profile_images/1440728638370959362/t6lbkuQu_normal.jpg</v>
      </c>
      <c r="G963" s="67"/>
      <c r="H963" s="71"/>
      <c r="I963" s="72"/>
      <c r="J963" s="72"/>
      <c r="K963" s="71" t="s">
        <v>8133</v>
      </c>
      <c r="L963" s="75"/>
      <c r="M963" s="76"/>
      <c r="N963" s="76"/>
      <c r="O963" s="77"/>
      <c r="P963" s="78"/>
      <c r="Q963" s="78"/>
      <c r="R963" s="90"/>
      <c r="S963" s="90"/>
      <c r="T963" s="90"/>
      <c r="U963" s="90"/>
      <c r="V963" s="52"/>
      <c r="W963" s="52"/>
      <c r="X963" s="52"/>
      <c r="Y963" s="52"/>
      <c r="Z963" s="51"/>
      <c r="AA963" s="73"/>
      <c r="AB963" s="73"/>
      <c r="AC963" s="74"/>
      <c r="AD963" s="80" t="s">
        <v>5127</v>
      </c>
      <c r="AE963" s="86" t="s">
        <v>4083</v>
      </c>
      <c r="AF963" s="80">
        <v>161</v>
      </c>
      <c r="AG963" s="80">
        <v>6</v>
      </c>
      <c r="AH963" s="80">
        <v>1676</v>
      </c>
      <c r="AI963" s="80">
        <v>3473</v>
      </c>
      <c r="AJ963" s="80"/>
      <c r="AK963" s="80"/>
      <c r="AL963" s="80"/>
      <c r="AM963" s="80"/>
      <c r="AN963" s="80"/>
      <c r="AO963" s="82">
        <v>43944.229432870372</v>
      </c>
      <c r="AP963" s="84" t="str">
        <f>HYPERLINK("https://pbs.twimg.com/profile_banners/1253194426676985856/1613706708")</f>
        <v>https://pbs.twimg.com/profile_banners/1253194426676985856/1613706708</v>
      </c>
      <c r="AQ963" s="80" t="b">
        <v>1</v>
      </c>
      <c r="AR963" s="80" t="b">
        <v>0</v>
      </c>
      <c r="AS963" s="80" t="b">
        <v>0</v>
      </c>
      <c r="AT963" s="80"/>
      <c r="AU963" s="80">
        <v>0</v>
      </c>
      <c r="AV963" s="80"/>
      <c r="AW963" s="80" t="b">
        <v>0</v>
      </c>
      <c r="AX963" s="80" t="s">
        <v>7173</v>
      </c>
      <c r="AY963" s="84" t="str">
        <f>HYPERLINK("https://twitter.com/for__dy")</f>
        <v>https://twitter.com/for__dy</v>
      </c>
      <c r="AZ963" s="80" t="s">
        <v>66</v>
      </c>
      <c r="BA963" s="2"/>
      <c r="BB963" s="3"/>
      <c r="BC963" s="3"/>
      <c r="BD963" s="3"/>
      <c r="BE963" s="3"/>
    </row>
    <row r="964" spans="1:57" x14ac:dyDescent="0.35">
      <c r="A964" s="66" t="s">
        <v>974</v>
      </c>
      <c r="B964" s="67"/>
      <c r="C964" s="67"/>
      <c r="D964" s="68"/>
      <c r="E964" s="70"/>
      <c r="F964" s="106" t="str">
        <f>HYPERLINK("https://pbs.twimg.com/profile_images/1323835481730162691/2IFgKzHd_normal.jpg")</f>
        <v>https://pbs.twimg.com/profile_images/1323835481730162691/2IFgKzHd_normal.jpg</v>
      </c>
      <c r="G964" s="67"/>
      <c r="H964" s="71"/>
      <c r="I964" s="72"/>
      <c r="J964" s="72"/>
      <c r="K964" s="71" t="s">
        <v>8134</v>
      </c>
      <c r="L964" s="75"/>
      <c r="M964" s="76"/>
      <c r="N964" s="76"/>
      <c r="O964" s="77"/>
      <c r="P964" s="78"/>
      <c r="Q964" s="78"/>
      <c r="R964" s="90"/>
      <c r="S964" s="90"/>
      <c r="T964" s="90"/>
      <c r="U964" s="90"/>
      <c r="V964" s="52"/>
      <c r="W964" s="52"/>
      <c r="X964" s="52"/>
      <c r="Y964" s="52"/>
      <c r="Z964" s="51"/>
      <c r="AA964" s="73"/>
      <c r="AB964" s="73"/>
      <c r="AC964" s="74"/>
      <c r="AD964" s="80" t="s">
        <v>5128</v>
      </c>
      <c r="AE964" s="86" t="s">
        <v>5909</v>
      </c>
      <c r="AF964" s="80">
        <v>334</v>
      </c>
      <c r="AG964" s="80">
        <v>167</v>
      </c>
      <c r="AH964" s="80">
        <v>5064</v>
      </c>
      <c r="AI964" s="80">
        <v>854</v>
      </c>
      <c r="AJ964" s="80"/>
      <c r="AK964" s="80" t="s">
        <v>6732</v>
      </c>
      <c r="AL964" s="80" t="s">
        <v>6775</v>
      </c>
      <c r="AM964" s="80"/>
      <c r="AN964" s="80"/>
      <c r="AO964" s="82">
        <v>39952.420694444445</v>
      </c>
      <c r="AP964" s="84" t="str">
        <f>HYPERLINK("https://pbs.twimg.com/profile_banners/41088831/1604461948")</f>
        <v>https://pbs.twimg.com/profile_banners/41088831/1604461948</v>
      </c>
      <c r="AQ964" s="80" t="b">
        <v>0</v>
      </c>
      <c r="AR964" s="80" t="b">
        <v>0</v>
      </c>
      <c r="AS964" s="80" t="b">
        <v>1</v>
      </c>
      <c r="AT964" s="80"/>
      <c r="AU964" s="80">
        <v>2</v>
      </c>
      <c r="AV964" s="84" t="str">
        <f>HYPERLINK("https://abs.twimg.com/images/themes/theme9/bg.gif")</f>
        <v>https://abs.twimg.com/images/themes/theme9/bg.gif</v>
      </c>
      <c r="AW964" s="80" t="b">
        <v>0</v>
      </c>
      <c r="AX964" s="80" t="s">
        <v>7173</v>
      </c>
      <c r="AY964" s="84" t="str">
        <f>HYPERLINK("https://twitter.com/penggariskala")</f>
        <v>https://twitter.com/penggariskala</v>
      </c>
      <c r="AZ964" s="80" t="s">
        <v>66</v>
      </c>
      <c r="BA964" s="2"/>
      <c r="BB964" s="3"/>
      <c r="BC964" s="3"/>
      <c r="BD964" s="3"/>
      <c r="BE964" s="3"/>
    </row>
    <row r="965" spans="1:57" x14ac:dyDescent="0.35">
      <c r="A965" s="66" t="s">
        <v>1196</v>
      </c>
      <c r="B965" s="67"/>
      <c r="C965" s="67"/>
      <c r="D965" s="68"/>
      <c r="E965" s="70"/>
      <c r="F965" s="106" t="str">
        <f>HYPERLINK("https://pbs.twimg.com/profile_images/1168446973726220288/bK6pLcVe_normal.jpg")</f>
        <v>https://pbs.twimg.com/profile_images/1168446973726220288/bK6pLcVe_normal.jpg</v>
      </c>
      <c r="G965" s="67"/>
      <c r="H965" s="71"/>
      <c r="I965" s="72"/>
      <c r="J965" s="72"/>
      <c r="K965" s="71" t="s">
        <v>8135</v>
      </c>
      <c r="L965" s="75"/>
      <c r="M965" s="76"/>
      <c r="N965" s="76"/>
      <c r="O965" s="77"/>
      <c r="P965" s="78"/>
      <c r="Q965" s="78"/>
      <c r="R965" s="90"/>
      <c r="S965" s="90"/>
      <c r="T965" s="90"/>
      <c r="U965" s="90"/>
      <c r="V965" s="52"/>
      <c r="W965" s="52"/>
      <c r="X965" s="52"/>
      <c r="Y965" s="52"/>
      <c r="Z965" s="51"/>
      <c r="AA965" s="73"/>
      <c r="AB965" s="73"/>
      <c r="AC965" s="74"/>
      <c r="AD965" s="80" t="s">
        <v>5129</v>
      </c>
      <c r="AE965" s="86" t="s">
        <v>5910</v>
      </c>
      <c r="AF965" s="80">
        <v>248</v>
      </c>
      <c r="AG965" s="80">
        <v>2764</v>
      </c>
      <c r="AH965" s="80">
        <v>4741</v>
      </c>
      <c r="AI965" s="80">
        <v>4572</v>
      </c>
      <c r="AJ965" s="80"/>
      <c r="AK965" s="80" t="s">
        <v>6733</v>
      </c>
      <c r="AL965" s="80" t="s">
        <v>6779</v>
      </c>
      <c r="AM965" s="84" t="str">
        <f>HYPERLINK("https://t.co/LFqYcq2mok")</f>
        <v>https://t.co/LFqYcq2mok</v>
      </c>
      <c r="AN965" s="80"/>
      <c r="AO965" s="82">
        <v>43710.370740740742</v>
      </c>
      <c r="AP965" s="84" t="str">
        <f>HYPERLINK("https://pbs.twimg.com/profile_banners/1168446893765976064/1597241747")</f>
        <v>https://pbs.twimg.com/profile_banners/1168446893765976064/1597241747</v>
      </c>
      <c r="AQ965" s="80" t="b">
        <v>1</v>
      </c>
      <c r="AR965" s="80" t="b">
        <v>0</v>
      </c>
      <c r="AS965" s="80" t="b">
        <v>1</v>
      </c>
      <c r="AT965" s="80"/>
      <c r="AU965" s="80">
        <v>7</v>
      </c>
      <c r="AV965" s="80"/>
      <c r="AW965" s="80" t="b">
        <v>0</v>
      </c>
      <c r="AX965" s="80" t="s">
        <v>7173</v>
      </c>
      <c r="AY965" s="84" t="str">
        <f>HYPERLINK("https://twitter.com/tfsurabaya")</f>
        <v>https://twitter.com/tfsurabaya</v>
      </c>
      <c r="AZ965" s="80" t="s">
        <v>65</v>
      </c>
      <c r="BA965" s="2"/>
      <c r="BB965" s="3"/>
      <c r="BC965" s="3"/>
      <c r="BD965" s="3"/>
      <c r="BE965" s="3"/>
    </row>
    <row r="966" spans="1:57" x14ac:dyDescent="0.35">
      <c r="A966" s="66" t="s">
        <v>1197</v>
      </c>
      <c r="B966" s="67"/>
      <c r="C966" s="67"/>
      <c r="D966" s="68"/>
      <c r="E966" s="70"/>
      <c r="F966" s="106" t="str">
        <f>HYPERLINK("https://pbs.twimg.com/profile_images/378800000127846542/d5bcb2d4f46ea75b7103e5e44c4a2396_normal.jpeg")</f>
        <v>https://pbs.twimg.com/profile_images/378800000127846542/d5bcb2d4f46ea75b7103e5e44c4a2396_normal.jpeg</v>
      </c>
      <c r="G966" s="67"/>
      <c r="H966" s="71"/>
      <c r="I966" s="72"/>
      <c r="J966" s="72"/>
      <c r="K966" s="71" t="s">
        <v>8136</v>
      </c>
      <c r="L966" s="75"/>
      <c r="M966" s="76"/>
      <c r="N966" s="76"/>
      <c r="O966" s="77"/>
      <c r="P966" s="78"/>
      <c r="Q966" s="78"/>
      <c r="R966" s="90"/>
      <c r="S966" s="90"/>
      <c r="T966" s="90"/>
      <c r="U966" s="90"/>
      <c r="V966" s="52"/>
      <c r="W966" s="52"/>
      <c r="X966" s="52"/>
      <c r="Y966" s="52"/>
      <c r="Z966" s="51"/>
      <c r="AA966" s="73"/>
      <c r="AB966" s="73"/>
      <c r="AC966" s="74"/>
      <c r="AD966" s="80" t="s">
        <v>5130</v>
      </c>
      <c r="AE966" s="86" t="s">
        <v>4084</v>
      </c>
      <c r="AF966" s="80">
        <v>1145</v>
      </c>
      <c r="AG966" s="80">
        <v>559</v>
      </c>
      <c r="AH966" s="80">
        <v>5271</v>
      </c>
      <c r="AI966" s="80">
        <v>12229</v>
      </c>
      <c r="AJ966" s="80"/>
      <c r="AK966" s="80" t="s">
        <v>6734</v>
      </c>
      <c r="AL966" s="80" t="s">
        <v>6898</v>
      </c>
      <c r="AM966" s="80"/>
      <c r="AN966" s="80"/>
      <c r="AO966" s="82">
        <v>39988.436782407407</v>
      </c>
      <c r="AP966" s="80"/>
      <c r="AQ966" s="80" t="b">
        <v>1</v>
      </c>
      <c r="AR966" s="80" t="b">
        <v>0</v>
      </c>
      <c r="AS966" s="80" t="b">
        <v>1</v>
      </c>
      <c r="AT966" s="80"/>
      <c r="AU966" s="80">
        <v>5</v>
      </c>
      <c r="AV966" s="84" t="str">
        <f>HYPERLINK("https://abs.twimg.com/images/themes/theme1/bg.png")</f>
        <v>https://abs.twimg.com/images/themes/theme1/bg.png</v>
      </c>
      <c r="AW966" s="80" t="b">
        <v>0</v>
      </c>
      <c r="AX966" s="80" t="s">
        <v>7173</v>
      </c>
      <c r="AY966" s="84" t="str">
        <f>HYPERLINK("https://twitter.com/rizkiadrian")</f>
        <v>https://twitter.com/rizkiadrian</v>
      </c>
      <c r="AZ966" s="80" t="s">
        <v>65</v>
      </c>
      <c r="BA966" s="2"/>
      <c r="BB966" s="3"/>
      <c r="BC966" s="3"/>
      <c r="BD966" s="3"/>
      <c r="BE966" s="3"/>
    </row>
    <row r="967" spans="1:57" x14ac:dyDescent="0.35">
      <c r="A967" s="66" t="s">
        <v>1198</v>
      </c>
      <c r="B967" s="67"/>
      <c r="C967" s="67"/>
      <c r="D967" s="68"/>
      <c r="E967" s="70"/>
      <c r="F967" s="106" t="str">
        <f>HYPERLINK("https://pbs.twimg.com/profile_images/1411234879384133636/3_ol7m0y_normal.jpg")</f>
        <v>https://pbs.twimg.com/profile_images/1411234879384133636/3_ol7m0y_normal.jpg</v>
      </c>
      <c r="G967" s="67"/>
      <c r="H967" s="71"/>
      <c r="I967" s="72"/>
      <c r="J967" s="72"/>
      <c r="K967" s="71" t="s">
        <v>8137</v>
      </c>
      <c r="L967" s="75"/>
      <c r="M967" s="76"/>
      <c r="N967" s="76"/>
      <c r="O967" s="77"/>
      <c r="P967" s="78"/>
      <c r="Q967" s="78"/>
      <c r="R967" s="90"/>
      <c r="S967" s="90"/>
      <c r="T967" s="90"/>
      <c r="U967" s="90"/>
      <c r="V967" s="52"/>
      <c r="W967" s="52"/>
      <c r="X967" s="52"/>
      <c r="Y967" s="52"/>
      <c r="Z967" s="51"/>
      <c r="AA967" s="73"/>
      <c r="AB967" s="73"/>
      <c r="AC967" s="74"/>
      <c r="AD967" s="80" t="s">
        <v>1198</v>
      </c>
      <c r="AE967" s="86" t="s">
        <v>4085</v>
      </c>
      <c r="AF967" s="80">
        <v>793</v>
      </c>
      <c r="AG967" s="80">
        <v>4328</v>
      </c>
      <c r="AH967" s="80">
        <v>13319</v>
      </c>
      <c r="AI967" s="80">
        <v>267</v>
      </c>
      <c r="AJ967" s="80"/>
      <c r="AK967" s="80" t="s">
        <v>6735</v>
      </c>
      <c r="AL967" s="80" t="s">
        <v>7160</v>
      </c>
      <c r="AM967" s="84" t="str">
        <f>HYPERLINK("https://t.co/Yg995VDu1X")</f>
        <v>https://t.co/Yg995VDu1X</v>
      </c>
      <c r="AN967" s="80"/>
      <c r="AO967" s="82">
        <v>39976.230034722219</v>
      </c>
      <c r="AP967" s="84" t="str">
        <f>HYPERLINK("https://pbs.twimg.com/profile_banners/46590150/1625299662")</f>
        <v>https://pbs.twimg.com/profile_banners/46590150/1625299662</v>
      </c>
      <c r="AQ967" s="80" t="b">
        <v>0</v>
      </c>
      <c r="AR967" s="80" t="b">
        <v>0</v>
      </c>
      <c r="AS967" s="80" t="b">
        <v>1</v>
      </c>
      <c r="AT967" s="80"/>
      <c r="AU967" s="80">
        <v>24</v>
      </c>
      <c r="AV967" s="84" t="str">
        <f>HYPERLINK("https://abs.twimg.com/images/themes/theme6/bg.gif")</f>
        <v>https://abs.twimg.com/images/themes/theme6/bg.gif</v>
      </c>
      <c r="AW967" s="80" t="b">
        <v>0</v>
      </c>
      <c r="AX967" s="80" t="s">
        <v>7173</v>
      </c>
      <c r="AY967" s="84" t="str">
        <f>HYPERLINK("https://twitter.com/wahyuacum")</f>
        <v>https://twitter.com/wahyuacum</v>
      </c>
      <c r="AZ967" s="80" t="s">
        <v>65</v>
      </c>
      <c r="BA967" s="2"/>
      <c r="BB967" s="3"/>
      <c r="BC967" s="3"/>
      <c r="BD967" s="3"/>
      <c r="BE967" s="3"/>
    </row>
    <row r="968" spans="1:57" x14ac:dyDescent="0.35">
      <c r="A968" s="66" t="s">
        <v>975</v>
      </c>
      <c r="B968" s="67"/>
      <c r="C968" s="67"/>
      <c r="D968" s="68"/>
      <c r="E968" s="70"/>
      <c r="F968" s="106" t="str">
        <f>HYPERLINK("https://pbs.twimg.com/profile_images/1415506755375681539/7eWFs4sj_normal.png")</f>
        <v>https://pbs.twimg.com/profile_images/1415506755375681539/7eWFs4sj_normal.png</v>
      </c>
      <c r="G968" s="67"/>
      <c r="H968" s="71"/>
      <c r="I968" s="72"/>
      <c r="J968" s="72"/>
      <c r="K968" s="71" t="s">
        <v>8138</v>
      </c>
      <c r="L968" s="75"/>
      <c r="M968" s="76"/>
      <c r="N968" s="76"/>
      <c r="O968" s="77"/>
      <c r="P968" s="78"/>
      <c r="Q968" s="78"/>
      <c r="R968" s="90"/>
      <c r="S968" s="90"/>
      <c r="T968" s="90"/>
      <c r="U968" s="90"/>
      <c r="V968" s="52"/>
      <c r="W968" s="52"/>
      <c r="X968" s="52"/>
      <c r="Y968" s="52"/>
      <c r="Z968" s="51"/>
      <c r="AA968" s="73"/>
      <c r="AB968" s="73"/>
      <c r="AC968" s="74"/>
      <c r="AD968" s="80" t="s">
        <v>5131</v>
      </c>
      <c r="AE968" s="86" t="s">
        <v>5911</v>
      </c>
      <c r="AF968" s="80">
        <v>1564</v>
      </c>
      <c r="AG968" s="80">
        <v>1773</v>
      </c>
      <c r="AH968" s="80">
        <v>30084</v>
      </c>
      <c r="AI968" s="80">
        <v>0</v>
      </c>
      <c r="AJ968" s="80"/>
      <c r="AK968" s="80" t="s">
        <v>6736</v>
      </c>
      <c r="AL968" s="80" t="s">
        <v>7161</v>
      </c>
      <c r="AM968" s="84" t="str">
        <f>HYPERLINK("https://t.co/FNgImngGjS")</f>
        <v>https://t.co/FNgImngGjS</v>
      </c>
      <c r="AN968" s="80"/>
      <c r="AO968" s="82">
        <v>43279.559467592589</v>
      </c>
      <c r="AP968" s="84" t="str">
        <f>HYPERLINK("https://pbs.twimg.com/profile_banners/1012326155351875585/1626318087")</f>
        <v>https://pbs.twimg.com/profile_banners/1012326155351875585/1626318087</v>
      </c>
      <c r="AQ968" s="80" t="b">
        <v>1</v>
      </c>
      <c r="AR968" s="80" t="b">
        <v>0</v>
      </c>
      <c r="AS968" s="80" t="b">
        <v>1</v>
      </c>
      <c r="AT968" s="80"/>
      <c r="AU968" s="80">
        <v>2</v>
      </c>
      <c r="AV968" s="80"/>
      <c r="AW968" s="80" t="b">
        <v>0</v>
      </c>
      <c r="AX968" s="80" t="s">
        <v>7173</v>
      </c>
      <c r="AY968" s="84" t="str">
        <f>HYPERLINK("https://twitter.com/rroxsky")</f>
        <v>https://twitter.com/rroxsky</v>
      </c>
      <c r="AZ968" s="80" t="s">
        <v>66</v>
      </c>
      <c r="BA968" s="2"/>
      <c r="BB968" s="3"/>
      <c r="BC968" s="3"/>
      <c r="BD968" s="3"/>
      <c r="BE968" s="3"/>
    </row>
    <row r="969" spans="1:57" x14ac:dyDescent="0.35">
      <c r="A969" s="66" t="s">
        <v>976</v>
      </c>
      <c r="B969" s="67"/>
      <c r="C969" s="67"/>
      <c r="D969" s="68"/>
      <c r="E969" s="70"/>
      <c r="F969" s="106" t="str">
        <f>HYPERLINK("https://pbs.twimg.com/profile_images/1437269851723079680/aLz3GiH9_normal.jpg")</f>
        <v>https://pbs.twimg.com/profile_images/1437269851723079680/aLz3GiH9_normal.jpg</v>
      </c>
      <c r="G969" s="67"/>
      <c r="H969" s="71"/>
      <c r="I969" s="72"/>
      <c r="J969" s="72"/>
      <c r="K969" s="71" t="s">
        <v>8139</v>
      </c>
      <c r="L969" s="75"/>
      <c r="M969" s="76"/>
      <c r="N969" s="76"/>
      <c r="O969" s="77"/>
      <c r="P969" s="78"/>
      <c r="Q969" s="78"/>
      <c r="R969" s="90"/>
      <c r="S969" s="90"/>
      <c r="T969" s="90"/>
      <c r="U969" s="90"/>
      <c r="V969" s="52"/>
      <c r="W969" s="52"/>
      <c r="X969" s="52"/>
      <c r="Y969" s="52"/>
      <c r="Z969" s="51"/>
      <c r="AA969" s="73"/>
      <c r="AB969" s="73"/>
      <c r="AC969" s="74"/>
      <c r="AD969" s="80" t="s">
        <v>5132</v>
      </c>
      <c r="AE969" s="86" t="s">
        <v>5912</v>
      </c>
      <c r="AF969" s="80">
        <v>13</v>
      </c>
      <c r="AG969" s="80">
        <v>1</v>
      </c>
      <c r="AH969" s="80">
        <v>172</v>
      </c>
      <c r="AI969" s="80">
        <v>1</v>
      </c>
      <c r="AJ969" s="80"/>
      <c r="AK969" s="80" t="s">
        <v>6737</v>
      </c>
      <c r="AL969" s="80" t="s">
        <v>7162</v>
      </c>
      <c r="AM969" s="84" t="str">
        <f>HYPERLINK("https://t.co/SsYPJsNWGG")</f>
        <v>https://t.co/SsYPJsNWGG</v>
      </c>
      <c r="AN969" s="80"/>
      <c r="AO969" s="82">
        <v>44285.184039351851</v>
      </c>
      <c r="AP969" s="84" t="str">
        <f>HYPERLINK("https://pbs.twimg.com/profile_banners/1376752161137197056/1631506811")</f>
        <v>https://pbs.twimg.com/profile_banners/1376752161137197056/1631506811</v>
      </c>
      <c r="AQ969" s="80" t="b">
        <v>1</v>
      </c>
      <c r="AR969" s="80" t="b">
        <v>0</v>
      </c>
      <c r="AS969" s="80" t="b">
        <v>0</v>
      </c>
      <c r="AT969" s="80"/>
      <c r="AU969" s="80">
        <v>0</v>
      </c>
      <c r="AV969" s="80"/>
      <c r="AW969" s="80" t="b">
        <v>0</v>
      </c>
      <c r="AX969" s="80" t="s">
        <v>7173</v>
      </c>
      <c r="AY969" s="84" t="str">
        <f>HYPERLINK("https://twitter.com/karangpos")</f>
        <v>https://twitter.com/karangpos</v>
      </c>
      <c r="AZ969" s="80" t="s">
        <v>66</v>
      </c>
      <c r="BA969" s="2"/>
      <c r="BB969" s="3"/>
      <c r="BC969" s="3"/>
      <c r="BD969" s="3"/>
      <c r="BE969" s="3"/>
    </row>
    <row r="970" spans="1:57" x14ac:dyDescent="0.35">
      <c r="A970" s="66" t="s">
        <v>977</v>
      </c>
      <c r="B970" s="67"/>
      <c r="C970" s="67"/>
      <c r="D970" s="68"/>
      <c r="E970" s="70"/>
      <c r="F970" s="106" t="str">
        <f>HYPERLINK("https://pbs.twimg.com/profile_images/1439236384191963138/PNmsjplz_normal.jpg")</f>
        <v>https://pbs.twimg.com/profile_images/1439236384191963138/PNmsjplz_normal.jpg</v>
      </c>
      <c r="G970" s="67"/>
      <c r="H970" s="71"/>
      <c r="I970" s="72"/>
      <c r="J970" s="72"/>
      <c r="K970" s="71" t="s">
        <v>8140</v>
      </c>
      <c r="L970" s="75"/>
      <c r="M970" s="76"/>
      <c r="N970" s="76"/>
      <c r="O970" s="77"/>
      <c r="P970" s="78"/>
      <c r="Q970" s="78"/>
      <c r="R970" s="90"/>
      <c r="S970" s="90"/>
      <c r="T970" s="90"/>
      <c r="U970" s="90"/>
      <c r="V970" s="52"/>
      <c r="W970" s="52"/>
      <c r="X970" s="52"/>
      <c r="Y970" s="52"/>
      <c r="Z970" s="51"/>
      <c r="AA970" s="73"/>
      <c r="AB970" s="73"/>
      <c r="AC970" s="74"/>
      <c r="AD970" s="80" t="s">
        <v>5133</v>
      </c>
      <c r="AE970" s="86" t="s">
        <v>5913</v>
      </c>
      <c r="AF970" s="80">
        <v>25</v>
      </c>
      <c r="AG970" s="80">
        <v>22</v>
      </c>
      <c r="AH970" s="80">
        <v>48</v>
      </c>
      <c r="AI970" s="80">
        <v>11</v>
      </c>
      <c r="AJ970" s="80"/>
      <c r="AK970" s="80" t="s">
        <v>6738</v>
      </c>
      <c r="AL970" s="80"/>
      <c r="AM970" s="80"/>
      <c r="AN970" s="80"/>
      <c r="AO970" s="82">
        <v>44457.525509259256</v>
      </c>
      <c r="AP970" s="84" t="str">
        <f>HYPERLINK("https://pbs.twimg.com/profile_banners/1439206735118405638/1631971968")</f>
        <v>https://pbs.twimg.com/profile_banners/1439206735118405638/1631971968</v>
      </c>
      <c r="AQ970" s="80" t="b">
        <v>1</v>
      </c>
      <c r="AR970" s="80" t="b">
        <v>0</v>
      </c>
      <c r="AS970" s="80" t="b">
        <v>0</v>
      </c>
      <c r="AT970" s="80"/>
      <c r="AU970" s="80">
        <v>0</v>
      </c>
      <c r="AV970" s="80"/>
      <c r="AW970" s="80" t="b">
        <v>0</v>
      </c>
      <c r="AX970" s="80" t="s">
        <v>7173</v>
      </c>
      <c r="AY970" s="84" t="str">
        <f>HYPERLINK("https://twitter.com/_sarcomere")</f>
        <v>https://twitter.com/_sarcomere</v>
      </c>
      <c r="AZ970" s="80" t="s">
        <v>66</v>
      </c>
      <c r="BA970" s="2"/>
      <c r="BB970" s="3"/>
      <c r="BC970" s="3"/>
      <c r="BD970" s="3"/>
      <c r="BE970" s="3"/>
    </row>
    <row r="971" spans="1:57" x14ac:dyDescent="0.35">
      <c r="A971" s="66" t="s">
        <v>1199</v>
      </c>
      <c r="B971" s="67"/>
      <c r="C971" s="67"/>
      <c r="D971" s="68"/>
      <c r="E971" s="70"/>
      <c r="F971" s="106" t="str">
        <f>HYPERLINK("https://pbs.twimg.com/profile_images/1440109014851850248/daIFCyoZ_normal.png")</f>
        <v>https://pbs.twimg.com/profile_images/1440109014851850248/daIFCyoZ_normal.png</v>
      </c>
      <c r="G971" s="67"/>
      <c r="H971" s="71"/>
      <c r="I971" s="72"/>
      <c r="J971" s="72"/>
      <c r="K971" s="71" t="s">
        <v>8141</v>
      </c>
      <c r="L971" s="75"/>
      <c r="M971" s="76"/>
      <c r="N971" s="76"/>
      <c r="O971" s="77"/>
      <c r="P971" s="78"/>
      <c r="Q971" s="78"/>
      <c r="R971" s="90"/>
      <c r="S971" s="90"/>
      <c r="T971" s="90"/>
      <c r="U971" s="90"/>
      <c r="V971" s="52"/>
      <c r="W971" s="52"/>
      <c r="X971" s="52"/>
      <c r="Y971" s="52"/>
      <c r="Z971" s="51"/>
      <c r="AA971" s="73"/>
      <c r="AB971" s="73"/>
      <c r="AC971" s="74"/>
      <c r="AD971" s="80" t="s">
        <v>5134</v>
      </c>
      <c r="AE971" s="86" t="s">
        <v>4086</v>
      </c>
      <c r="AF971" s="80">
        <v>151</v>
      </c>
      <c r="AG971" s="80">
        <v>164</v>
      </c>
      <c r="AH971" s="80">
        <v>3364</v>
      </c>
      <c r="AI971" s="80">
        <v>26</v>
      </c>
      <c r="AJ971" s="80"/>
      <c r="AK971" s="80" t="s">
        <v>6739</v>
      </c>
      <c r="AL971" s="80" t="s">
        <v>7163</v>
      </c>
      <c r="AM971" s="84" t="str">
        <f>HYPERLINK("https://t.co/G79ptZqVfm")</f>
        <v>https://t.co/G79ptZqVfm</v>
      </c>
      <c r="AN971" s="80"/>
      <c r="AO971" s="82">
        <v>44110.245370370372</v>
      </c>
      <c r="AP971" s="84" t="str">
        <f>HYPERLINK("https://pbs.twimg.com/profile_banners/1313356611537104896/1610991690")</f>
        <v>https://pbs.twimg.com/profile_banners/1313356611537104896/1610991690</v>
      </c>
      <c r="AQ971" s="80" t="b">
        <v>1</v>
      </c>
      <c r="AR971" s="80" t="b">
        <v>0</v>
      </c>
      <c r="AS971" s="80" t="b">
        <v>0</v>
      </c>
      <c r="AT971" s="80"/>
      <c r="AU971" s="80">
        <v>0</v>
      </c>
      <c r="AV971" s="80"/>
      <c r="AW971" s="80" t="b">
        <v>0</v>
      </c>
      <c r="AX971" s="80" t="s">
        <v>7173</v>
      </c>
      <c r="AY971" s="84" t="str">
        <f>HYPERLINK("https://twitter.com/devioudessa")</f>
        <v>https://twitter.com/devioudessa</v>
      </c>
      <c r="AZ971" s="80" t="s">
        <v>65</v>
      </c>
      <c r="BA971" s="2"/>
      <c r="BB971" s="3"/>
      <c r="BC971" s="3"/>
      <c r="BD971" s="3"/>
      <c r="BE971" s="3"/>
    </row>
    <row r="972" spans="1:57" x14ac:dyDescent="0.35">
      <c r="A972" s="66" t="s">
        <v>978</v>
      </c>
      <c r="B972" s="67"/>
      <c r="C972" s="67"/>
      <c r="D972" s="68"/>
      <c r="E972" s="70"/>
      <c r="F972" s="106" t="str">
        <f>HYPERLINK("https://pbs.twimg.com/profile_images/1442101349814919168/LnqIJJYC_normal.jpg")</f>
        <v>https://pbs.twimg.com/profile_images/1442101349814919168/LnqIJJYC_normal.jpg</v>
      </c>
      <c r="G972" s="67"/>
      <c r="H972" s="71"/>
      <c r="I972" s="72"/>
      <c r="J972" s="72"/>
      <c r="K972" s="71" t="s">
        <v>8142</v>
      </c>
      <c r="L972" s="75"/>
      <c r="M972" s="76"/>
      <c r="N972" s="76"/>
      <c r="O972" s="77"/>
      <c r="P972" s="78"/>
      <c r="Q972" s="78"/>
      <c r="R972" s="90"/>
      <c r="S972" s="90"/>
      <c r="T972" s="90"/>
      <c r="U972" s="90"/>
      <c r="V972" s="52"/>
      <c r="W972" s="52"/>
      <c r="X972" s="52"/>
      <c r="Y972" s="52"/>
      <c r="Z972" s="51"/>
      <c r="AA972" s="73"/>
      <c r="AB972" s="73"/>
      <c r="AC972" s="74"/>
      <c r="AD972" s="80" t="s">
        <v>5135</v>
      </c>
      <c r="AE972" s="86" t="s">
        <v>5914</v>
      </c>
      <c r="AF972" s="80">
        <v>328</v>
      </c>
      <c r="AG972" s="80">
        <v>243</v>
      </c>
      <c r="AH972" s="80">
        <v>9783</v>
      </c>
      <c r="AI972" s="80">
        <v>10192</v>
      </c>
      <c r="AJ972" s="80"/>
      <c r="AK972" s="80" t="s">
        <v>6740</v>
      </c>
      <c r="AL972" s="80" t="s">
        <v>7070</v>
      </c>
      <c r="AM972" s="84" t="str">
        <f>HYPERLINK("https://t.co/O80rdGURZn")</f>
        <v>https://t.co/O80rdGURZn</v>
      </c>
      <c r="AN972" s="80"/>
      <c r="AO972" s="82">
        <v>42463.725810185184</v>
      </c>
      <c r="AP972" s="84" t="str">
        <f>HYPERLINK("https://pbs.twimg.com/profile_banners/716677939723546624/1630062555")</f>
        <v>https://pbs.twimg.com/profile_banners/716677939723546624/1630062555</v>
      </c>
      <c r="AQ972" s="80" t="b">
        <v>1</v>
      </c>
      <c r="AR972" s="80" t="b">
        <v>0</v>
      </c>
      <c r="AS972" s="80" t="b">
        <v>0</v>
      </c>
      <c r="AT972" s="80"/>
      <c r="AU972" s="80">
        <v>0</v>
      </c>
      <c r="AV972" s="80"/>
      <c r="AW972" s="80" t="b">
        <v>0</v>
      </c>
      <c r="AX972" s="80" t="s">
        <v>7173</v>
      </c>
      <c r="AY972" s="84" t="str">
        <f>HYPERLINK("https://twitter.com/printsu_k")</f>
        <v>https://twitter.com/printsu_k</v>
      </c>
      <c r="AZ972" s="80" t="s">
        <v>66</v>
      </c>
      <c r="BA972" s="2"/>
      <c r="BB972" s="3"/>
      <c r="BC972" s="3"/>
      <c r="BD972" s="3"/>
      <c r="BE972" s="3"/>
    </row>
    <row r="973" spans="1:57" x14ac:dyDescent="0.35">
      <c r="A973" s="66" t="s">
        <v>1200</v>
      </c>
      <c r="B973" s="67"/>
      <c r="C973" s="67"/>
      <c r="D973" s="68"/>
      <c r="E973" s="70"/>
      <c r="F973" s="106" t="str">
        <f>HYPERLINK("https://pbs.twimg.com/profile_images/1441792931069788162/-Qp0h9wy_normal.jpg")</f>
        <v>https://pbs.twimg.com/profile_images/1441792931069788162/-Qp0h9wy_normal.jpg</v>
      </c>
      <c r="G973" s="67"/>
      <c r="H973" s="71"/>
      <c r="I973" s="72"/>
      <c r="J973" s="72"/>
      <c r="K973" s="71" t="s">
        <v>8143</v>
      </c>
      <c r="L973" s="75"/>
      <c r="M973" s="76"/>
      <c r="N973" s="76"/>
      <c r="O973" s="77"/>
      <c r="P973" s="78"/>
      <c r="Q973" s="78"/>
      <c r="R973" s="90"/>
      <c r="S973" s="90"/>
      <c r="T973" s="90"/>
      <c r="U973" s="90"/>
      <c r="V973" s="52"/>
      <c r="W973" s="52"/>
      <c r="X973" s="52"/>
      <c r="Y973" s="52"/>
      <c r="Z973" s="51"/>
      <c r="AA973" s="73"/>
      <c r="AB973" s="73"/>
      <c r="AC973" s="74"/>
      <c r="AD973" s="80" t="s">
        <v>5136</v>
      </c>
      <c r="AE973" s="86" t="s">
        <v>5915</v>
      </c>
      <c r="AF973" s="80">
        <v>229</v>
      </c>
      <c r="AG973" s="80">
        <v>113817</v>
      </c>
      <c r="AH973" s="80">
        <v>3864</v>
      </c>
      <c r="AI973" s="80">
        <v>1682</v>
      </c>
      <c r="AJ973" s="80"/>
      <c r="AK973" s="80" t="s">
        <v>6741</v>
      </c>
      <c r="AL973" s="80" t="s">
        <v>6867</v>
      </c>
      <c r="AM973" s="84" t="str">
        <f>HYPERLINK("https://t.co/3jsQVx3Wrt")</f>
        <v>https://t.co/3jsQVx3Wrt</v>
      </c>
      <c r="AN973" s="80"/>
      <c r="AO973" s="82">
        <v>43605.514884259261</v>
      </c>
      <c r="AP973" s="84" t="str">
        <f>HYPERLINK("https://pbs.twimg.com/profile_banners/1130448444282232832/1616549449")</f>
        <v>https://pbs.twimg.com/profile_banners/1130448444282232832/1616549449</v>
      </c>
      <c r="AQ973" s="80" t="b">
        <v>1</v>
      </c>
      <c r="AR973" s="80" t="b">
        <v>0</v>
      </c>
      <c r="AS973" s="80" t="b">
        <v>0</v>
      </c>
      <c r="AT973" s="80"/>
      <c r="AU973" s="80">
        <v>535</v>
      </c>
      <c r="AV973" s="80"/>
      <c r="AW973" s="80" t="b">
        <v>1</v>
      </c>
      <c r="AX973" s="80" t="s">
        <v>7173</v>
      </c>
      <c r="AY973" s="84" t="str">
        <f>HYPERLINK("https://twitter.com/a_fionyjkt48")</f>
        <v>https://twitter.com/a_fionyjkt48</v>
      </c>
      <c r="AZ973" s="80" t="s">
        <v>65</v>
      </c>
      <c r="BA973" s="2"/>
      <c r="BB973" s="3"/>
      <c r="BC973" s="3"/>
      <c r="BD973" s="3"/>
      <c r="BE973" s="3"/>
    </row>
    <row r="974" spans="1:57" x14ac:dyDescent="0.35">
      <c r="A974" s="66" t="s">
        <v>979</v>
      </c>
      <c r="B974" s="67"/>
      <c r="C974" s="67"/>
      <c r="D974" s="68"/>
      <c r="E974" s="70"/>
      <c r="F974" s="106" t="str">
        <f>HYPERLINK("https://pbs.twimg.com/profile_images/1224188091721752576/Zg8FRx4L_normal.jpg")</f>
        <v>https://pbs.twimg.com/profile_images/1224188091721752576/Zg8FRx4L_normal.jpg</v>
      </c>
      <c r="G974" s="67"/>
      <c r="H974" s="71"/>
      <c r="I974" s="72"/>
      <c r="J974" s="72"/>
      <c r="K974" s="71" t="s">
        <v>8144</v>
      </c>
      <c r="L974" s="75"/>
      <c r="M974" s="76"/>
      <c r="N974" s="76"/>
      <c r="O974" s="77"/>
      <c r="P974" s="78"/>
      <c r="Q974" s="78"/>
      <c r="R974" s="90"/>
      <c r="S974" s="90"/>
      <c r="T974" s="90"/>
      <c r="U974" s="90"/>
      <c r="V974" s="52"/>
      <c r="W974" s="52"/>
      <c r="X974" s="52"/>
      <c r="Y974" s="52"/>
      <c r="Z974" s="51"/>
      <c r="AA974" s="73"/>
      <c r="AB974" s="73"/>
      <c r="AC974" s="74"/>
      <c r="AD974" s="80" t="s">
        <v>5137</v>
      </c>
      <c r="AE974" s="86" t="s">
        <v>5916</v>
      </c>
      <c r="AF974" s="80">
        <v>4</v>
      </c>
      <c r="AG974" s="80">
        <v>133</v>
      </c>
      <c r="AH974" s="80">
        <v>19827</v>
      </c>
      <c r="AI974" s="80">
        <v>0</v>
      </c>
      <c r="AJ974" s="80"/>
      <c r="AK974" s="80" t="s">
        <v>6742</v>
      </c>
      <c r="AL974" s="80" t="s">
        <v>4158</v>
      </c>
      <c r="AM974" s="84" t="str">
        <f>HYPERLINK("https://t.co/ZJrYD9903O")</f>
        <v>https://t.co/ZJrYD9903O</v>
      </c>
      <c r="AN974" s="80"/>
      <c r="AO974" s="82">
        <v>41949.510300925926</v>
      </c>
      <c r="AP974" s="84" t="str">
        <f>HYPERLINK("https://pbs.twimg.com/profile_banners/2892183325/1415278159")</f>
        <v>https://pbs.twimg.com/profile_banners/2892183325/1415278159</v>
      </c>
      <c r="AQ974" s="80" t="b">
        <v>1</v>
      </c>
      <c r="AR974" s="80" t="b">
        <v>0</v>
      </c>
      <c r="AS974" s="80" t="b">
        <v>0</v>
      </c>
      <c r="AT974" s="80"/>
      <c r="AU974" s="80">
        <v>1</v>
      </c>
      <c r="AV974" s="84" t="str">
        <f>HYPERLINK("https://abs.twimg.com/images/themes/theme1/bg.png")</f>
        <v>https://abs.twimg.com/images/themes/theme1/bg.png</v>
      </c>
      <c r="AW974" s="80" t="b">
        <v>0</v>
      </c>
      <c r="AX974" s="80" t="s">
        <v>7173</v>
      </c>
      <c r="AY974" s="84" t="str">
        <f>HYPERLINK("https://twitter.com/chscproject")</f>
        <v>https://twitter.com/chscproject</v>
      </c>
      <c r="AZ974" s="80" t="s">
        <v>66</v>
      </c>
      <c r="BA974" s="2"/>
      <c r="BB974" s="3"/>
      <c r="BC974" s="3"/>
      <c r="BD974" s="3"/>
      <c r="BE974" s="3"/>
    </row>
    <row r="975" spans="1:57" x14ac:dyDescent="0.35">
      <c r="A975" s="66" t="s">
        <v>980</v>
      </c>
      <c r="B975" s="67"/>
      <c r="C975" s="67"/>
      <c r="D975" s="68"/>
      <c r="E975" s="70"/>
      <c r="F975" s="106" t="str">
        <f>HYPERLINK("https://pbs.twimg.com/profile_images/1428709889350672387/Zabalhzh_normal.jpg")</f>
        <v>https://pbs.twimg.com/profile_images/1428709889350672387/Zabalhzh_normal.jpg</v>
      </c>
      <c r="G975" s="67"/>
      <c r="H975" s="71"/>
      <c r="I975" s="72"/>
      <c r="J975" s="72"/>
      <c r="K975" s="71" t="s">
        <v>8145</v>
      </c>
      <c r="L975" s="75"/>
      <c r="M975" s="76"/>
      <c r="N975" s="76"/>
      <c r="O975" s="77"/>
      <c r="P975" s="78"/>
      <c r="Q975" s="78"/>
      <c r="R975" s="90"/>
      <c r="S975" s="90"/>
      <c r="T975" s="90"/>
      <c r="U975" s="90"/>
      <c r="V975" s="52"/>
      <c r="W975" s="52"/>
      <c r="X975" s="52"/>
      <c r="Y975" s="52"/>
      <c r="Z975" s="51"/>
      <c r="AA975" s="73"/>
      <c r="AB975" s="73"/>
      <c r="AC975" s="74"/>
      <c r="AD975" s="80" t="s">
        <v>5138</v>
      </c>
      <c r="AE975" s="86" t="s">
        <v>5917</v>
      </c>
      <c r="AF975" s="80">
        <v>192</v>
      </c>
      <c r="AG975" s="80">
        <v>116</v>
      </c>
      <c r="AH975" s="80">
        <v>1200</v>
      </c>
      <c r="AI975" s="80">
        <v>509</v>
      </c>
      <c r="AJ975" s="80"/>
      <c r="AK975" s="80" t="s">
        <v>6743</v>
      </c>
      <c r="AL975" s="80"/>
      <c r="AM975" s="80"/>
      <c r="AN975" s="80"/>
      <c r="AO975" s="82">
        <v>44192.521261574075</v>
      </c>
      <c r="AP975" s="84" t="str">
        <f>HYPERLINK("https://pbs.twimg.com/profile_banners/1343172369787961344/1631244659")</f>
        <v>https://pbs.twimg.com/profile_banners/1343172369787961344/1631244659</v>
      </c>
      <c r="AQ975" s="80" t="b">
        <v>1</v>
      </c>
      <c r="AR975" s="80" t="b">
        <v>0</v>
      </c>
      <c r="AS975" s="80" t="b">
        <v>0</v>
      </c>
      <c r="AT975" s="80"/>
      <c r="AU975" s="80">
        <v>0</v>
      </c>
      <c r="AV975" s="80"/>
      <c r="AW975" s="80" t="b">
        <v>0</v>
      </c>
      <c r="AX975" s="80" t="s">
        <v>7173</v>
      </c>
      <c r="AY975" s="84" t="str">
        <f>HYPERLINK("https://twitter.com/xuxilion_")</f>
        <v>https://twitter.com/xuxilion_</v>
      </c>
      <c r="AZ975" s="80" t="s">
        <v>66</v>
      </c>
      <c r="BA975" s="2"/>
      <c r="BB975" s="3"/>
      <c r="BC975" s="3"/>
      <c r="BD975" s="3"/>
      <c r="BE975" s="3"/>
    </row>
    <row r="976" spans="1:57" x14ac:dyDescent="0.35">
      <c r="A976" s="66" t="s">
        <v>1201</v>
      </c>
      <c r="B976" s="67"/>
      <c r="C976" s="67"/>
      <c r="D976" s="68"/>
      <c r="E976" s="70"/>
      <c r="F976" s="106" t="str">
        <f>HYPERLINK("https://pbs.twimg.com/profile_images/1442046097849925633/a5dvWGhX_normal.jpg")</f>
        <v>https://pbs.twimg.com/profile_images/1442046097849925633/a5dvWGhX_normal.jpg</v>
      </c>
      <c r="G976" s="67"/>
      <c r="H976" s="71"/>
      <c r="I976" s="72"/>
      <c r="J976" s="72"/>
      <c r="K976" s="71" t="s">
        <v>8146</v>
      </c>
      <c r="L976" s="75"/>
      <c r="M976" s="76"/>
      <c r="N976" s="76"/>
      <c r="O976" s="77"/>
      <c r="P976" s="78"/>
      <c r="Q976" s="78"/>
      <c r="R976" s="90"/>
      <c r="S976" s="90"/>
      <c r="T976" s="90"/>
      <c r="U976" s="90"/>
      <c r="V976" s="52"/>
      <c r="W976" s="52"/>
      <c r="X976" s="52"/>
      <c r="Y976" s="52"/>
      <c r="Z976" s="51"/>
      <c r="AA976" s="73"/>
      <c r="AB976" s="73"/>
      <c r="AC976" s="74"/>
      <c r="AD976" s="80" t="s">
        <v>5139</v>
      </c>
      <c r="AE976" s="86" t="s">
        <v>4087</v>
      </c>
      <c r="AF976" s="80">
        <v>79</v>
      </c>
      <c r="AG976" s="80">
        <v>96</v>
      </c>
      <c r="AH976" s="80">
        <v>16971</v>
      </c>
      <c r="AI976" s="80">
        <v>62</v>
      </c>
      <c r="AJ976" s="80"/>
      <c r="AK976" s="80" t="s">
        <v>6744</v>
      </c>
      <c r="AL976" s="80"/>
      <c r="AM976" s="80"/>
      <c r="AN976" s="80"/>
      <c r="AO976" s="82">
        <v>40897.41615740741</v>
      </c>
      <c r="AP976" s="84" t="str">
        <f>HYPERLINK("https://pbs.twimg.com/profile_banners/441691114/1631701728")</f>
        <v>https://pbs.twimg.com/profile_banners/441691114/1631701728</v>
      </c>
      <c r="AQ976" s="80" t="b">
        <v>0</v>
      </c>
      <c r="AR976" s="80" t="b">
        <v>0</v>
      </c>
      <c r="AS976" s="80" t="b">
        <v>0</v>
      </c>
      <c r="AT976" s="80"/>
      <c r="AU976" s="80">
        <v>0</v>
      </c>
      <c r="AV976" s="84" t="str">
        <f>HYPERLINK("https://abs.twimg.com/images/themes/theme5/bg.gif")</f>
        <v>https://abs.twimg.com/images/themes/theme5/bg.gif</v>
      </c>
      <c r="AW976" s="80" t="b">
        <v>0</v>
      </c>
      <c r="AX976" s="80" t="s">
        <v>7173</v>
      </c>
      <c r="AY976" s="84" t="str">
        <f>HYPERLINK("https://twitter.com/hanxuei")</f>
        <v>https://twitter.com/hanxuei</v>
      </c>
      <c r="AZ976" s="80" t="s">
        <v>65</v>
      </c>
      <c r="BA976" s="2"/>
      <c r="BB976" s="3"/>
      <c r="BC976" s="3"/>
      <c r="BD976" s="3"/>
      <c r="BE976" s="3"/>
    </row>
    <row r="977" spans="1:57" x14ac:dyDescent="0.35">
      <c r="A977" s="66" t="s">
        <v>982</v>
      </c>
      <c r="B977" s="67"/>
      <c r="C977" s="67"/>
      <c r="D977" s="68"/>
      <c r="E977" s="70"/>
      <c r="F977" s="106" t="str">
        <f>HYPERLINK("https://pbs.twimg.com/profile_images/1435753561854394368/1rXzeCIA_normal.jpg")</f>
        <v>https://pbs.twimg.com/profile_images/1435753561854394368/1rXzeCIA_normal.jpg</v>
      </c>
      <c r="G977" s="67"/>
      <c r="H977" s="71"/>
      <c r="I977" s="72"/>
      <c r="J977" s="72"/>
      <c r="K977" s="71" t="s">
        <v>8147</v>
      </c>
      <c r="L977" s="75"/>
      <c r="M977" s="76"/>
      <c r="N977" s="76"/>
      <c r="O977" s="77"/>
      <c r="P977" s="78"/>
      <c r="Q977" s="78"/>
      <c r="R977" s="90"/>
      <c r="S977" s="90"/>
      <c r="T977" s="90"/>
      <c r="U977" s="90"/>
      <c r="V977" s="52"/>
      <c r="W977" s="52"/>
      <c r="X977" s="52"/>
      <c r="Y977" s="52"/>
      <c r="Z977" s="51"/>
      <c r="AA977" s="73"/>
      <c r="AB977" s="73"/>
      <c r="AC977" s="74"/>
      <c r="AD977" s="80" t="s">
        <v>5140</v>
      </c>
      <c r="AE977" s="86" t="s">
        <v>5918</v>
      </c>
      <c r="AF977" s="80">
        <v>1401</v>
      </c>
      <c r="AG977" s="80">
        <v>757</v>
      </c>
      <c r="AH977" s="80">
        <v>16831</v>
      </c>
      <c r="AI977" s="80">
        <v>12209</v>
      </c>
      <c r="AJ977" s="80"/>
      <c r="AK977" s="80" t="s">
        <v>6745</v>
      </c>
      <c r="AL977" s="80" t="s">
        <v>7164</v>
      </c>
      <c r="AM977" s="80"/>
      <c r="AN977" s="80"/>
      <c r="AO977" s="82">
        <v>44394.869814814818</v>
      </c>
      <c r="AP977" s="84" t="str">
        <f>HYPERLINK("https://pbs.twimg.com/profile_banners/1416501028753604611/1627912402")</f>
        <v>https://pbs.twimg.com/profile_banners/1416501028753604611/1627912402</v>
      </c>
      <c r="AQ977" s="80" t="b">
        <v>1</v>
      </c>
      <c r="AR977" s="80" t="b">
        <v>0</v>
      </c>
      <c r="AS977" s="80" t="b">
        <v>0</v>
      </c>
      <c r="AT977" s="80"/>
      <c r="AU977" s="80">
        <v>1</v>
      </c>
      <c r="AV977" s="80"/>
      <c r="AW977" s="80" t="b">
        <v>0</v>
      </c>
      <c r="AX977" s="80" t="s">
        <v>7173</v>
      </c>
      <c r="AY977" s="84" t="str">
        <f>HYPERLINK("https://twitter.com/laskarnasbung")</f>
        <v>https://twitter.com/laskarnasbung</v>
      </c>
      <c r="AZ977" s="80" t="s">
        <v>66</v>
      </c>
      <c r="BA977" s="2"/>
      <c r="BB977" s="3"/>
      <c r="BC977" s="3"/>
      <c r="BD977" s="3"/>
      <c r="BE977" s="3"/>
    </row>
    <row r="978" spans="1:57" x14ac:dyDescent="0.35">
      <c r="A978" s="66" t="s">
        <v>983</v>
      </c>
      <c r="B978" s="67"/>
      <c r="C978" s="67"/>
      <c r="D978" s="68"/>
      <c r="E978" s="70"/>
      <c r="F978" s="106" t="str">
        <f>HYPERLINK("https://pbs.twimg.com/profile_images/1148864747703611392/IePDISgT_normal.jpg")</f>
        <v>https://pbs.twimg.com/profile_images/1148864747703611392/IePDISgT_normal.jpg</v>
      </c>
      <c r="G978" s="67"/>
      <c r="H978" s="71"/>
      <c r="I978" s="72"/>
      <c r="J978" s="72"/>
      <c r="K978" s="71" t="s">
        <v>8148</v>
      </c>
      <c r="L978" s="75"/>
      <c r="M978" s="76"/>
      <c r="N978" s="76"/>
      <c r="O978" s="77"/>
      <c r="P978" s="78"/>
      <c r="Q978" s="78"/>
      <c r="R978" s="90"/>
      <c r="S978" s="90"/>
      <c r="T978" s="90"/>
      <c r="U978" s="90"/>
      <c r="V978" s="52"/>
      <c r="W978" s="52"/>
      <c r="X978" s="52"/>
      <c r="Y978" s="52"/>
      <c r="Z978" s="51"/>
      <c r="AA978" s="73"/>
      <c r="AB978" s="73"/>
      <c r="AC978" s="74"/>
      <c r="AD978" s="80" t="s">
        <v>5141</v>
      </c>
      <c r="AE978" s="86" t="s">
        <v>5919</v>
      </c>
      <c r="AF978" s="80">
        <v>0</v>
      </c>
      <c r="AG978" s="80">
        <v>12071</v>
      </c>
      <c r="AH978" s="80">
        <v>129579</v>
      </c>
      <c r="AI978" s="80">
        <v>45</v>
      </c>
      <c r="AJ978" s="80"/>
      <c r="AK978" s="80" t="s">
        <v>6746</v>
      </c>
      <c r="AL978" s="80" t="s">
        <v>7165</v>
      </c>
      <c r="AM978" s="84" t="str">
        <f>HYPERLINK("https://t.co/GC6HHjuQAM")</f>
        <v>https://t.co/GC6HHjuQAM</v>
      </c>
      <c r="AN978" s="80"/>
      <c r="AO978" s="82">
        <v>40563.00681712963</v>
      </c>
      <c r="AP978" s="80"/>
      <c r="AQ978" s="80" t="b">
        <v>0</v>
      </c>
      <c r="AR978" s="80" t="b">
        <v>0</v>
      </c>
      <c r="AS978" s="80" t="b">
        <v>1</v>
      </c>
      <c r="AT978" s="80"/>
      <c r="AU978" s="80">
        <v>25</v>
      </c>
      <c r="AV978" s="84" t="str">
        <f>HYPERLINK("https://abs.twimg.com/images/themes/theme1/bg.png")</f>
        <v>https://abs.twimg.com/images/themes/theme1/bg.png</v>
      </c>
      <c r="AW978" s="80" t="b">
        <v>0</v>
      </c>
      <c r="AX978" s="80" t="s">
        <v>7173</v>
      </c>
      <c r="AY978" s="84" t="str">
        <f>HYPERLINK("https://twitter.com/atcs_samarinda")</f>
        <v>https://twitter.com/atcs_samarinda</v>
      </c>
      <c r="AZ978" s="80" t="s">
        <v>66</v>
      </c>
      <c r="BA978" s="2"/>
      <c r="BB978" s="3"/>
      <c r="BC978" s="3"/>
      <c r="BD978" s="3"/>
      <c r="BE978" s="3"/>
    </row>
    <row r="979" spans="1:57" x14ac:dyDescent="0.35">
      <c r="A979" s="66" t="s">
        <v>984</v>
      </c>
      <c r="B979" s="67"/>
      <c r="C979" s="67"/>
      <c r="D979" s="68"/>
      <c r="E979" s="70"/>
      <c r="F979" s="106" t="str">
        <f>HYPERLINK("https://pbs.twimg.com/profile_images/1442340843226951682/IExh8XWv_normal.jpg")</f>
        <v>https://pbs.twimg.com/profile_images/1442340843226951682/IExh8XWv_normal.jpg</v>
      </c>
      <c r="G979" s="67"/>
      <c r="H979" s="71"/>
      <c r="I979" s="72"/>
      <c r="J979" s="72"/>
      <c r="K979" s="71" t="s">
        <v>8149</v>
      </c>
      <c r="L979" s="75"/>
      <c r="M979" s="76"/>
      <c r="N979" s="76"/>
      <c r="O979" s="77"/>
      <c r="P979" s="78"/>
      <c r="Q979" s="78"/>
      <c r="R979" s="90"/>
      <c r="S979" s="90"/>
      <c r="T979" s="90"/>
      <c r="U979" s="90"/>
      <c r="V979" s="52"/>
      <c r="W979" s="52"/>
      <c r="X979" s="52"/>
      <c r="Y979" s="52"/>
      <c r="Z979" s="51"/>
      <c r="AA979" s="73"/>
      <c r="AB979" s="73"/>
      <c r="AC979" s="74"/>
      <c r="AD979" s="80" t="s">
        <v>5142</v>
      </c>
      <c r="AE979" s="86" t="s">
        <v>5920</v>
      </c>
      <c r="AF979" s="80">
        <v>75</v>
      </c>
      <c r="AG979" s="80">
        <v>73</v>
      </c>
      <c r="AH979" s="80">
        <v>592</v>
      </c>
      <c r="AI979" s="80">
        <v>71</v>
      </c>
      <c r="AJ979" s="80"/>
      <c r="AK979" s="80" t="s">
        <v>6747</v>
      </c>
      <c r="AL979" s="80" t="s">
        <v>7166</v>
      </c>
      <c r="AM979" s="84" t="str">
        <f>HYPERLINK("https://t.co/ZdIDNPvnL5")</f>
        <v>https://t.co/ZdIDNPvnL5</v>
      </c>
      <c r="AN979" s="80"/>
      <c r="AO979" s="82">
        <v>44455.561793981484</v>
      </c>
      <c r="AP979" s="84" t="str">
        <f>HYPERLINK("https://pbs.twimg.com/profile_banners/1438495070961889285/1632355390")</f>
        <v>https://pbs.twimg.com/profile_banners/1438495070961889285/1632355390</v>
      </c>
      <c r="AQ979" s="80" t="b">
        <v>1</v>
      </c>
      <c r="AR979" s="80" t="b">
        <v>0</v>
      </c>
      <c r="AS979" s="80" t="b">
        <v>0</v>
      </c>
      <c r="AT979" s="80"/>
      <c r="AU979" s="80">
        <v>1</v>
      </c>
      <c r="AV979" s="80"/>
      <c r="AW979" s="80" t="b">
        <v>0</v>
      </c>
      <c r="AX979" s="80" t="s">
        <v>7173</v>
      </c>
      <c r="AY979" s="84" t="str">
        <f>HYPERLINK("https://twitter.com/athreksa")</f>
        <v>https://twitter.com/athreksa</v>
      </c>
      <c r="AZ979" s="80" t="s">
        <v>66</v>
      </c>
      <c r="BA979" s="2"/>
      <c r="BB979" s="3"/>
      <c r="BC979" s="3"/>
      <c r="BD979" s="3"/>
      <c r="BE979" s="3"/>
    </row>
    <row r="980" spans="1:57" x14ac:dyDescent="0.35">
      <c r="A980" s="66" t="s">
        <v>1202</v>
      </c>
      <c r="B980" s="67"/>
      <c r="C980" s="67"/>
      <c r="D980" s="68"/>
      <c r="E980" s="70"/>
      <c r="F980" s="106" t="str">
        <f>HYPERLINK("https://pbs.twimg.com/profile_images/1441938948276711434/-FJcyoh2_normal.jpg")</f>
        <v>https://pbs.twimg.com/profile_images/1441938948276711434/-FJcyoh2_normal.jpg</v>
      </c>
      <c r="G980" s="67"/>
      <c r="H980" s="71"/>
      <c r="I980" s="72"/>
      <c r="J980" s="72"/>
      <c r="K980" s="71" t="s">
        <v>8150</v>
      </c>
      <c r="L980" s="75"/>
      <c r="M980" s="76"/>
      <c r="N980" s="76"/>
      <c r="O980" s="77"/>
      <c r="P980" s="78"/>
      <c r="Q980" s="78"/>
      <c r="R980" s="90"/>
      <c r="S980" s="90"/>
      <c r="T980" s="90"/>
      <c r="U980" s="90"/>
      <c r="V980" s="52"/>
      <c r="W980" s="52"/>
      <c r="X980" s="52"/>
      <c r="Y980" s="52"/>
      <c r="Z980" s="51"/>
      <c r="AA980" s="73"/>
      <c r="AB980" s="73"/>
      <c r="AC980" s="74"/>
      <c r="AD980" s="80" t="s">
        <v>5143</v>
      </c>
      <c r="AE980" s="86" t="s">
        <v>4088</v>
      </c>
      <c r="AF980" s="80">
        <v>204</v>
      </c>
      <c r="AG980" s="80">
        <v>354</v>
      </c>
      <c r="AH980" s="80">
        <v>4847</v>
      </c>
      <c r="AI980" s="80">
        <v>1547</v>
      </c>
      <c r="AJ980" s="80"/>
      <c r="AK980" s="80" t="s">
        <v>6748</v>
      </c>
      <c r="AL980" s="80" t="s">
        <v>6873</v>
      </c>
      <c r="AM980" s="84" t="str">
        <f>HYPERLINK("https://t.co/YoBX7IqpPC")</f>
        <v>https://t.co/YoBX7IqpPC</v>
      </c>
      <c r="AN980" s="80"/>
      <c r="AO980" s="82">
        <v>43737.361805555556</v>
      </c>
      <c r="AP980" s="84" t="str">
        <f>HYPERLINK("https://pbs.twimg.com/profile_banners/1178228134690189313/1632387938")</f>
        <v>https://pbs.twimg.com/profile_banners/1178228134690189313/1632387938</v>
      </c>
      <c r="AQ980" s="80" t="b">
        <v>1</v>
      </c>
      <c r="AR980" s="80" t="b">
        <v>0</v>
      </c>
      <c r="AS980" s="80" t="b">
        <v>0</v>
      </c>
      <c r="AT980" s="80"/>
      <c r="AU980" s="80">
        <v>1</v>
      </c>
      <c r="AV980" s="80"/>
      <c r="AW980" s="80" t="b">
        <v>0</v>
      </c>
      <c r="AX980" s="80" t="s">
        <v>7173</v>
      </c>
      <c r="AY980" s="84" t="str">
        <f>HYPERLINK("https://twitter.com/kiwsah")</f>
        <v>https://twitter.com/kiwsah</v>
      </c>
      <c r="AZ980" s="80" t="s">
        <v>65</v>
      </c>
      <c r="BA980" s="2"/>
      <c r="BB980" s="3"/>
      <c r="BC980" s="3"/>
      <c r="BD980" s="3"/>
      <c r="BE980" s="3"/>
    </row>
    <row r="981" spans="1:57" x14ac:dyDescent="0.35">
      <c r="A981" s="66" t="s">
        <v>985</v>
      </c>
      <c r="B981" s="67"/>
      <c r="C981" s="67"/>
      <c r="D981" s="68"/>
      <c r="E981" s="70"/>
      <c r="F981" s="106" t="str">
        <f>HYPERLINK("https://pbs.twimg.com/profile_images/1427684967656558593/wS5esZLi_normal.jpg")</f>
        <v>https://pbs.twimg.com/profile_images/1427684967656558593/wS5esZLi_normal.jpg</v>
      </c>
      <c r="G981" s="67"/>
      <c r="H981" s="71"/>
      <c r="I981" s="72"/>
      <c r="J981" s="72"/>
      <c r="K981" s="71" t="s">
        <v>8151</v>
      </c>
      <c r="L981" s="75"/>
      <c r="M981" s="76"/>
      <c r="N981" s="76"/>
      <c r="O981" s="77"/>
      <c r="P981" s="78"/>
      <c r="Q981" s="78"/>
      <c r="R981" s="90"/>
      <c r="S981" s="90"/>
      <c r="T981" s="90"/>
      <c r="U981" s="90"/>
      <c r="V981" s="52"/>
      <c r="W981" s="52"/>
      <c r="X981" s="52"/>
      <c r="Y981" s="52"/>
      <c r="Z981" s="51"/>
      <c r="AA981" s="73"/>
      <c r="AB981" s="73"/>
      <c r="AC981" s="74"/>
      <c r="AD981" s="80" t="s">
        <v>5144</v>
      </c>
      <c r="AE981" s="86" t="s">
        <v>5921</v>
      </c>
      <c r="AF981" s="80">
        <v>3855</v>
      </c>
      <c r="AG981" s="80">
        <v>305</v>
      </c>
      <c r="AH981" s="80">
        <v>18762</v>
      </c>
      <c r="AI981" s="80">
        <v>45916</v>
      </c>
      <c r="AJ981" s="80"/>
      <c r="AK981" s="80"/>
      <c r="AL981" s="80"/>
      <c r="AM981" s="80"/>
      <c r="AN981" s="80"/>
      <c r="AO981" s="82">
        <v>41411.684571759259</v>
      </c>
      <c r="AP981" s="84" t="str">
        <f>HYPERLINK("https://pbs.twimg.com/profile_banners/1436091596/1626412580")</f>
        <v>https://pbs.twimg.com/profile_banners/1436091596/1626412580</v>
      </c>
      <c r="AQ981" s="80" t="b">
        <v>1</v>
      </c>
      <c r="AR981" s="80" t="b">
        <v>0</v>
      </c>
      <c r="AS981" s="80" t="b">
        <v>0</v>
      </c>
      <c r="AT981" s="80"/>
      <c r="AU981" s="80">
        <v>4</v>
      </c>
      <c r="AV981" s="84" t="str">
        <f>HYPERLINK("https://abs.twimg.com/images/themes/theme1/bg.png")</f>
        <v>https://abs.twimg.com/images/themes/theme1/bg.png</v>
      </c>
      <c r="AW981" s="80" t="b">
        <v>0</v>
      </c>
      <c r="AX981" s="80" t="s">
        <v>7173</v>
      </c>
      <c r="AY981" s="84" t="str">
        <f>HYPERLINK("https://twitter.com/ckurnia_k")</f>
        <v>https://twitter.com/ckurnia_k</v>
      </c>
      <c r="AZ981" s="80" t="s">
        <v>66</v>
      </c>
      <c r="BA981" s="2"/>
      <c r="BB981" s="3"/>
      <c r="BC981" s="3"/>
      <c r="BD981" s="3"/>
      <c r="BE981" s="3"/>
    </row>
    <row r="982" spans="1:57" x14ac:dyDescent="0.35">
      <c r="A982" s="66" t="s">
        <v>1203</v>
      </c>
      <c r="B982" s="67"/>
      <c r="C982" s="67"/>
      <c r="D982" s="68"/>
      <c r="E982" s="70"/>
      <c r="F982" s="106" t="str">
        <f>HYPERLINK("https://pbs.twimg.com/profile_images/1441692608435159042/daZgRpXZ_normal.jpg")</f>
        <v>https://pbs.twimg.com/profile_images/1441692608435159042/daZgRpXZ_normal.jpg</v>
      </c>
      <c r="G982" s="67"/>
      <c r="H982" s="71"/>
      <c r="I982" s="72"/>
      <c r="J982" s="72"/>
      <c r="K982" s="71" t="s">
        <v>8152</v>
      </c>
      <c r="L982" s="75"/>
      <c r="M982" s="76"/>
      <c r="N982" s="76"/>
      <c r="O982" s="77"/>
      <c r="P982" s="78"/>
      <c r="Q982" s="78"/>
      <c r="R982" s="90"/>
      <c r="S982" s="90"/>
      <c r="T982" s="90"/>
      <c r="U982" s="90"/>
      <c r="V982" s="52"/>
      <c r="W982" s="52"/>
      <c r="X982" s="52"/>
      <c r="Y982" s="52"/>
      <c r="Z982" s="51"/>
      <c r="AA982" s="73"/>
      <c r="AB982" s="73"/>
      <c r="AC982" s="74"/>
      <c r="AD982" s="80" t="s">
        <v>5145</v>
      </c>
      <c r="AE982" s="86" t="s">
        <v>4089</v>
      </c>
      <c r="AF982" s="80">
        <v>76</v>
      </c>
      <c r="AG982" s="80">
        <v>164</v>
      </c>
      <c r="AH982" s="80">
        <v>29841</v>
      </c>
      <c r="AI982" s="80">
        <v>841</v>
      </c>
      <c r="AJ982" s="80"/>
      <c r="AK982" s="80" t="s">
        <v>6749</v>
      </c>
      <c r="AL982" s="80"/>
      <c r="AM982" s="84" t="str">
        <f>HYPERLINK("https://t.co/iK15URton7")</f>
        <v>https://t.co/iK15URton7</v>
      </c>
      <c r="AN982" s="80"/>
      <c r="AO982" s="82">
        <v>42803.1090625</v>
      </c>
      <c r="AP982" s="84" t="str">
        <f>HYPERLINK("https://pbs.twimg.com/profile_banners/839666310485204992/1631155767")</f>
        <v>https://pbs.twimg.com/profile_banners/839666310485204992/1631155767</v>
      </c>
      <c r="AQ982" s="80" t="b">
        <v>1</v>
      </c>
      <c r="AR982" s="80" t="b">
        <v>0</v>
      </c>
      <c r="AS982" s="80" t="b">
        <v>0</v>
      </c>
      <c r="AT982" s="80"/>
      <c r="AU982" s="80">
        <v>0</v>
      </c>
      <c r="AV982" s="80"/>
      <c r="AW982" s="80" t="b">
        <v>0</v>
      </c>
      <c r="AX982" s="80" t="s">
        <v>7173</v>
      </c>
      <c r="AY982" s="84" t="str">
        <f>HYPERLINK("https://twitter.com/fearnaughtb")</f>
        <v>https://twitter.com/fearnaughtb</v>
      </c>
      <c r="AZ982" s="80" t="s">
        <v>65</v>
      </c>
      <c r="BA982" s="2"/>
      <c r="BB982" s="3"/>
      <c r="BC982" s="3"/>
      <c r="BD982" s="3"/>
      <c r="BE982" s="3"/>
    </row>
    <row r="983" spans="1:57" x14ac:dyDescent="0.35">
      <c r="A983" s="66" t="s">
        <v>986</v>
      </c>
      <c r="B983" s="67"/>
      <c r="C983" s="67"/>
      <c r="D983" s="68"/>
      <c r="E983" s="70"/>
      <c r="F983" s="106" t="str">
        <f>HYPERLINK("https://pbs.twimg.com/profile_images/1105859251593867265/XTxsX6YN_normal.jpg")</f>
        <v>https://pbs.twimg.com/profile_images/1105859251593867265/XTxsX6YN_normal.jpg</v>
      </c>
      <c r="G983" s="67"/>
      <c r="H983" s="71"/>
      <c r="I983" s="72"/>
      <c r="J983" s="72"/>
      <c r="K983" s="71" t="s">
        <v>8153</v>
      </c>
      <c r="L983" s="75"/>
      <c r="M983" s="76"/>
      <c r="N983" s="76"/>
      <c r="O983" s="77"/>
      <c r="P983" s="78"/>
      <c r="Q983" s="78"/>
      <c r="R983" s="90"/>
      <c r="S983" s="90"/>
      <c r="T983" s="90"/>
      <c r="U983" s="90"/>
      <c r="V983" s="52"/>
      <c r="W983" s="52"/>
      <c r="X983" s="52"/>
      <c r="Y983" s="52"/>
      <c r="Z983" s="51"/>
      <c r="AA983" s="73"/>
      <c r="AB983" s="73"/>
      <c r="AC983" s="74"/>
      <c r="AD983" s="80" t="s">
        <v>5146</v>
      </c>
      <c r="AE983" s="86" t="s">
        <v>5922</v>
      </c>
      <c r="AF983" s="80">
        <v>11</v>
      </c>
      <c r="AG983" s="80">
        <v>6</v>
      </c>
      <c r="AH983" s="80">
        <v>3632</v>
      </c>
      <c r="AI983" s="80">
        <v>49</v>
      </c>
      <c r="AJ983" s="80"/>
      <c r="AK983" s="80" t="s">
        <v>6750</v>
      </c>
      <c r="AL983" s="80" t="s">
        <v>7167</v>
      </c>
      <c r="AM983" s="80"/>
      <c r="AN983" s="80"/>
      <c r="AO983" s="82">
        <v>43537.637361111112</v>
      </c>
      <c r="AP983" s="80"/>
      <c r="AQ983" s="80" t="b">
        <v>1</v>
      </c>
      <c r="AR983" s="80" t="b">
        <v>0</v>
      </c>
      <c r="AS983" s="80" t="b">
        <v>0</v>
      </c>
      <c r="AT983" s="80"/>
      <c r="AU983" s="80">
        <v>0</v>
      </c>
      <c r="AV983" s="80"/>
      <c r="AW983" s="80" t="b">
        <v>0</v>
      </c>
      <c r="AX983" s="80" t="s">
        <v>7173</v>
      </c>
      <c r="AY983" s="84" t="str">
        <f>HYPERLINK("https://twitter.com/almashumorg")</f>
        <v>https://twitter.com/almashumorg</v>
      </c>
      <c r="AZ983" s="80" t="s">
        <v>66</v>
      </c>
      <c r="BA983" s="2"/>
      <c r="BB983" s="3"/>
      <c r="BC983" s="3"/>
      <c r="BD983" s="3"/>
      <c r="BE983" s="3"/>
    </row>
    <row r="984" spans="1:57" x14ac:dyDescent="0.35">
      <c r="A984" s="66" t="s">
        <v>987</v>
      </c>
      <c r="B984" s="67"/>
      <c r="C984" s="67"/>
      <c r="D984" s="68"/>
      <c r="E984" s="70"/>
      <c r="F984" s="106" t="str">
        <f>HYPERLINK("https://pbs.twimg.com/profile_images/1430508609742331905/i_647L0f_normal.jpg")</f>
        <v>https://pbs.twimg.com/profile_images/1430508609742331905/i_647L0f_normal.jpg</v>
      </c>
      <c r="G984" s="67"/>
      <c r="H984" s="71"/>
      <c r="I984" s="72"/>
      <c r="J984" s="72"/>
      <c r="K984" s="71" t="s">
        <v>8154</v>
      </c>
      <c r="L984" s="75"/>
      <c r="M984" s="76"/>
      <c r="N984" s="76"/>
      <c r="O984" s="77"/>
      <c r="P984" s="78"/>
      <c r="Q984" s="78"/>
      <c r="R984" s="90"/>
      <c r="S984" s="90"/>
      <c r="T984" s="90"/>
      <c r="U984" s="90"/>
      <c r="V984" s="52"/>
      <c r="W984" s="52"/>
      <c r="X984" s="52"/>
      <c r="Y984" s="52"/>
      <c r="Z984" s="51"/>
      <c r="AA984" s="73"/>
      <c r="AB984" s="73"/>
      <c r="AC984" s="74"/>
      <c r="AD984" s="80" t="s">
        <v>5147</v>
      </c>
      <c r="AE984" s="86" t="s">
        <v>5923</v>
      </c>
      <c r="AF984" s="80">
        <v>988</v>
      </c>
      <c r="AG984" s="80">
        <v>1836</v>
      </c>
      <c r="AH984" s="80">
        <v>60041</v>
      </c>
      <c r="AI984" s="80">
        <v>19844</v>
      </c>
      <c r="AJ984" s="80"/>
      <c r="AK984" s="80" t="s">
        <v>6751</v>
      </c>
      <c r="AL984" s="80" t="s">
        <v>7168</v>
      </c>
      <c r="AM984" s="84" t="str">
        <f>HYPERLINK("https://t.co/fN6Cqsv7JY")</f>
        <v>https://t.co/fN6Cqsv7JY</v>
      </c>
      <c r="AN984" s="80"/>
      <c r="AO984" s="82">
        <v>43478.354421296295</v>
      </c>
      <c r="AP984" s="84" t="str">
        <f>HYPERLINK("https://pbs.twimg.com/profile_banners/1084367034148806657/1626608227")</f>
        <v>https://pbs.twimg.com/profile_banners/1084367034148806657/1626608227</v>
      </c>
      <c r="AQ984" s="80" t="b">
        <v>1</v>
      </c>
      <c r="AR984" s="80" t="b">
        <v>0</v>
      </c>
      <c r="AS984" s="80" t="b">
        <v>1</v>
      </c>
      <c r="AT984" s="80"/>
      <c r="AU984" s="80">
        <v>8</v>
      </c>
      <c r="AV984" s="80"/>
      <c r="AW984" s="80" t="b">
        <v>0</v>
      </c>
      <c r="AX984" s="80" t="s">
        <v>7173</v>
      </c>
      <c r="AY984" s="84" t="str">
        <f>HYPERLINK("https://twitter.com/natcha_jong")</f>
        <v>https://twitter.com/natcha_jong</v>
      </c>
      <c r="AZ984" s="80" t="s">
        <v>66</v>
      </c>
      <c r="BA984" s="2"/>
      <c r="BB984" s="3"/>
      <c r="BC984" s="3"/>
      <c r="BD984" s="3"/>
      <c r="BE984" s="3"/>
    </row>
    <row r="985" spans="1:57" x14ac:dyDescent="0.35">
      <c r="A985" s="66" t="s">
        <v>988</v>
      </c>
      <c r="B985" s="67"/>
      <c r="C985" s="67"/>
      <c r="D985" s="68"/>
      <c r="E985" s="70"/>
      <c r="F985" s="106" t="str">
        <f>HYPERLINK("https://pbs.twimg.com/profile_images/550290774579896320/acKuYMO3_normal.jpeg")</f>
        <v>https://pbs.twimg.com/profile_images/550290774579896320/acKuYMO3_normal.jpeg</v>
      </c>
      <c r="G985" s="67"/>
      <c r="H985" s="71"/>
      <c r="I985" s="72"/>
      <c r="J985" s="72"/>
      <c r="K985" s="71" t="s">
        <v>8155</v>
      </c>
      <c r="L985" s="75"/>
      <c r="M985" s="76"/>
      <c r="N985" s="76"/>
      <c r="O985" s="77"/>
      <c r="P985" s="78"/>
      <c r="Q985" s="78"/>
      <c r="R985" s="90"/>
      <c r="S985" s="90"/>
      <c r="T985" s="90"/>
      <c r="U985" s="90"/>
      <c r="V985" s="52"/>
      <c r="W985" s="52"/>
      <c r="X985" s="52"/>
      <c r="Y985" s="52"/>
      <c r="Z985" s="51"/>
      <c r="AA985" s="73"/>
      <c r="AB985" s="73"/>
      <c r="AC985" s="74"/>
      <c r="AD985" s="80" t="s">
        <v>5148</v>
      </c>
      <c r="AE985" s="86" t="s">
        <v>4090</v>
      </c>
      <c r="AF985" s="80">
        <v>259</v>
      </c>
      <c r="AG985" s="80">
        <v>111</v>
      </c>
      <c r="AH985" s="80">
        <v>6176</v>
      </c>
      <c r="AI985" s="80">
        <v>176</v>
      </c>
      <c r="AJ985" s="80"/>
      <c r="AK985" s="80"/>
      <c r="AL985" s="80" t="s">
        <v>7169</v>
      </c>
      <c r="AM985" s="80"/>
      <c r="AN985" s="80"/>
      <c r="AO985" s="82">
        <v>40824.555486111109</v>
      </c>
      <c r="AP985" s="84" t="str">
        <f>HYPERLINK("https://pbs.twimg.com/profile_banners/387096096/1377431331")</f>
        <v>https://pbs.twimg.com/profile_banners/387096096/1377431331</v>
      </c>
      <c r="AQ985" s="80" t="b">
        <v>1</v>
      </c>
      <c r="AR985" s="80" t="b">
        <v>0</v>
      </c>
      <c r="AS985" s="80" t="b">
        <v>1</v>
      </c>
      <c r="AT985" s="80"/>
      <c r="AU985" s="80">
        <v>0</v>
      </c>
      <c r="AV985" s="84" t="str">
        <f>HYPERLINK("https://abs.twimg.com/images/themes/theme1/bg.png")</f>
        <v>https://abs.twimg.com/images/themes/theme1/bg.png</v>
      </c>
      <c r="AW985" s="80" t="b">
        <v>0</v>
      </c>
      <c r="AX985" s="80" t="s">
        <v>7173</v>
      </c>
      <c r="AY985" s="84" t="str">
        <f>HYPERLINK("https://twitter.com/dzunotnewacc")</f>
        <v>https://twitter.com/dzunotnewacc</v>
      </c>
      <c r="AZ985" s="80" t="s">
        <v>66</v>
      </c>
      <c r="BA985" s="2"/>
      <c r="BB985" s="3"/>
      <c r="BC985" s="3"/>
      <c r="BD985" s="3"/>
      <c r="BE985" s="3"/>
    </row>
    <row r="986" spans="1:57" x14ac:dyDescent="0.35">
      <c r="A986" s="66" t="s">
        <v>989</v>
      </c>
      <c r="B986" s="67"/>
      <c r="C986" s="67"/>
      <c r="D986" s="68"/>
      <c r="E986" s="70"/>
      <c r="F986" s="106" t="str">
        <f>HYPERLINK("https://pbs.twimg.com/profile_images/1436571630902284289/ciC4LI3k_normal.jpg")</f>
        <v>https://pbs.twimg.com/profile_images/1436571630902284289/ciC4LI3k_normal.jpg</v>
      </c>
      <c r="G986" s="67"/>
      <c r="H986" s="71"/>
      <c r="I986" s="72"/>
      <c r="J986" s="72"/>
      <c r="K986" s="71" t="s">
        <v>8156</v>
      </c>
      <c r="L986" s="75"/>
      <c r="M986" s="76"/>
      <c r="N986" s="76"/>
      <c r="O986" s="77"/>
      <c r="P986" s="78"/>
      <c r="Q986" s="78"/>
      <c r="R986" s="90"/>
      <c r="S986" s="90"/>
      <c r="T986" s="90"/>
      <c r="U986" s="90"/>
      <c r="V986" s="52"/>
      <c r="W986" s="52"/>
      <c r="X986" s="52"/>
      <c r="Y986" s="52"/>
      <c r="Z986" s="51"/>
      <c r="AA986" s="73"/>
      <c r="AB986" s="73"/>
      <c r="AC986" s="74"/>
      <c r="AD986" s="80" t="s">
        <v>5149</v>
      </c>
      <c r="AE986" s="86" t="s">
        <v>5924</v>
      </c>
      <c r="AF986" s="80">
        <v>915</v>
      </c>
      <c r="AG986" s="80">
        <v>250</v>
      </c>
      <c r="AH986" s="80">
        <v>19254</v>
      </c>
      <c r="AI986" s="80">
        <v>7225</v>
      </c>
      <c r="AJ986" s="80"/>
      <c r="AK986" s="80" t="s">
        <v>6752</v>
      </c>
      <c r="AL986" s="80" t="s">
        <v>7170</v>
      </c>
      <c r="AM986" s="80"/>
      <c r="AN986" s="80"/>
      <c r="AO986" s="82">
        <v>41736.255810185183</v>
      </c>
      <c r="AP986" s="84" t="str">
        <f>HYPERLINK("https://pbs.twimg.com/profile_banners/2431560648/1592753175")</f>
        <v>https://pbs.twimg.com/profile_banners/2431560648/1592753175</v>
      </c>
      <c r="AQ986" s="80" t="b">
        <v>0</v>
      </c>
      <c r="AR986" s="80" t="b">
        <v>0</v>
      </c>
      <c r="AS986" s="80" t="b">
        <v>0</v>
      </c>
      <c r="AT986" s="80"/>
      <c r="AU986" s="80">
        <v>3</v>
      </c>
      <c r="AV986" s="84" t="str">
        <f>HYPERLINK("https://abs.twimg.com/images/themes/theme1/bg.png")</f>
        <v>https://abs.twimg.com/images/themes/theme1/bg.png</v>
      </c>
      <c r="AW986" s="80" t="b">
        <v>0</v>
      </c>
      <c r="AX986" s="80" t="s">
        <v>7173</v>
      </c>
      <c r="AY986" s="84" t="str">
        <f>HYPERLINK("https://twitter.com/mathildanita")</f>
        <v>https://twitter.com/mathildanita</v>
      </c>
      <c r="AZ986" s="80" t="s">
        <v>66</v>
      </c>
      <c r="BA986" s="2"/>
      <c r="BB986" s="3"/>
      <c r="BC986" s="3"/>
      <c r="BD986" s="3"/>
      <c r="BE986" s="3"/>
    </row>
    <row r="987" spans="1:57" x14ac:dyDescent="0.35">
      <c r="A987" s="66" t="s">
        <v>990</v>
      </c>
      <c r="B987" s="67"/>
      <c r="C987" s="67"/>
      <c r="D987" s="68"/>
      <c r="E987" s="70"/>
      <c r="F987" s="106" t="str">
        <f>HYPERLINK("https://pbs.twimg.com/profile_images/1307739037084446720/sf0ubTyy_normal.jpg")</f>
        <v>https://pbs.twimg.com/profile_images/1307739037084446720/sf0ubTyy_normal.jpg</v>
      </c>
      <c r="G987" s="67"/>
      <c r="H987" s="71"/>
      <c r="I987" s="72"/>
      <c r="J987" s="72"/>
      <c r="K987" s="71" t="s">
        <v>8157</v>
      </c>
      <c r="L987" s="75"/>
      <c r="M987" s="76"/>
      <c r="N987" s="76"/>
      <c r="O987" s="77"/>
      <c r="P987" s="78"/>
      <c r="Q987" s="78"/>
      <c r="R987" s="90"/>
      <c r="S987" s="90"/>
      <c r="T987" s="90"/>
      <c r="U987" s="90"/>
      <c r="V987" s="52"/>
      <c r="W987" s="52"/>
      <c r="X987" s="52"/>
      <c r="Y987" s="52"/>
      <c r="Z987" s="51"/>
      <c r="AA987" s="73"/>
      <c r="AB987" s="73"/>
      <c r="AC987" s="74"/>
      <c r="AD987" s="80" t="s">
        <v>5150</v>
      </c>
      <c r="AE987" s="86" t="s">
        <v>5925</v>
      </c>
      <c r="AF987" s="80">
        <v>348</v>
      </c>
      <c r="AG987" s="80">
        <v>573</v>
      </c>
      <c r="AH987" s="80">
        <v>13364</v>
      </c>
      <c r="AI987" s="80">
        <v>122</v>
      </c>
      <c r="AJ987" s="80"/>
      <c r="AK987" s="80" t="s">
        <v>6753</v>
      </c>
      <c r="AL987" s="80" t="s">
        <v>7171</v>
      </c>
      <c r="AM987" s="80"/>
      <c r="AN987" s="80"/>
      <c r="AO987" s="82">
        <v>40587.616608796299</v>
      </c>
      <c r="AP987" s="84" t="str">
        <f>HYPERLINK("https://pbs.twimg.com/profile_banners/251628740/1581211613")</f>
        <v>https://pbs.twimg.com/profile_banners/251628740/1581211613</v>
      </c>
      <c r="AQ987" s="80" t="b">
        <v>0</v>
      </c>
      <c r="AR987" s="80" t="b">
        <v>0</v>
      </c>
      <c r="AS987" s="80" t="b">
        <v>1</v>
      </c>
      <c r="AT987" s="80"/>
      <c r="AU987" s="80">
        <v>0</v>
      </c>
      <c r="AV987" s="84" t="str">
        <f>HYPERLINK("https://abs.twimg.com/images/themes/theme1/bg.png")</f>
        <v>https://abs.twimg.com/images/themes/theme1/bg.png</v>
      </c>
      <c r="AW987" s="80" t="b">
        <v>0</v>
      </c>
      <c r="AX987" s="80" t="s">
        <v>7173</v>
      </c>
      <c r="AY987" s="84" t="str">
        <f>HYPERLINK("https://twitter.com/caaankk")</f>
        <v>https://twitter.com/caaankk</v>
      </c>
      <c r="AZ987" s="80" t="s">
        <v>66</v>
      </c>
      <c r="BA987" s="2"/>
      <c r="BB987" s="3"/>
      <c r="BC987" s="3"/>
      <c r="BD987" s="3"/>
      <c r="BE987" s="3"/>
    </row>
    <row r="988" spans="1:57" x14ac:dyDescent="0.35">
      <c r="A988" s="66" t="s">
        <v>1204</v>
      </c>
      <c r="B988" s="67"/>
      <c r="C988" s="67"/>
      <c r="D988" s="68"/>
      <c r="E988" s="70"/>
      <c r="F988" s="106" t="str">
        <f>HYPERLINK("https://pbs.twimg.com/profile_images/1397926069261377551/ff2dB_Bj_normal.jpg")</f>
        <v>https://pbs.twimg.com/profile_images/1397926069261377551/ff2dB_Bj_normal.jpg</v>
      </c>
      <c r="G988" s="67"/>
      <c r="H988" s="71"/>
      <c r="I988" s="72"/>
      <c r="J988" s="72"/>
      <c r="K988" s="71" t="s">
        <v>8158</v>
      </c>
      <c r="L988" s="75"/>
      <c r="M988" s="76"/>
      <c r="N988" s="76"/>
      <c r="O988" s="77"/>
      <c r="P988" s="78"/>
      <c r="Q988" s="78"/>
      <c r="R988" s="90"/>
      <c r="S988" s="90"/>
      <c r="T988" s="90"/>
      <c r="U988" s="90"/>
      <c r="V988" s="52"/>
      <c r="W988" s="52"/>
      <c r="X988" s="52"/>
      <c r="Y988" s="52"/>
      <c r="Z988" s="51"/>
      <c r="AA988" s="73"/>
      <c r="AB988" s="73"/>
      <c r="AC988" s="74"/>
      <c r="AD988" s="80" t="s">
        <v>5151</v>
      </c>
      <c r="AE988" s="86" t="s">
        <v>4091</v>
      </c>
      <c r="AF988" s="80">
        <v>502</v>
      </c>
      <c r="AG988" s="80">
        <v>729</v>
      </c>
      <c r="AH988" s="80">
        <v>11039</v>
      </c>
      <c r="AI988" s="80">
        <v>168</v>
      </c>
      <c r="AJ988" s="80"/>
      <c r="AK988" s="80"/>
      <c r="AL988" s="80"/>
      <c r="AM988" s="84" t="str">
        <f>HYPERLINK("https://t.co/UGSFzqGPVk")</f>
        <v>https://t.co/UGSFzqGPVk</v>
      </c>
      <c r="AN988" s="80"/>
      <c r="AO988" s="82">
        <v>40629.308067129627</v>
      </c>
      <c r="AP988" s="80"/>
      <c r="AQ988" s="80" t="b">
        <v>0</v>
      </c>
      <c r="AR988" s="80" t="b">
        <v>0</v>
      </c>
      <c r="AS988" s="80" t="b">
        <v>1</v>
      </c>
      <c r="AT988" s="80"/>
      <c r="AU988" s="80">
        <v>2</v>
      </c>
      <c r="AV988" s="84" t="str">
        <f>HYPERLINK("https://abs.twimg.com/images/themes/theme19/bg.gif")</f>
        <v>https://abs.twimg.com/images/themes/theme19/bg.gif</v>
      </c>
      <c r="AW988" s="80" t="b">
        <v>0</v>
      </c>
      <c r="AX988" s="80" t="s">
        <v>7173</v>
      </c>
      <c r="AY988" s="84" t="str">
        <f>HYPERLINK("https://twitter.com/thyy_94")</f>
        <v>https://twitter.com/thyy_94</v>
      </c>
      <c r="AZ988" s="80" t="s">
        <v>65</v>
      </c>
      <c r="BA988" s="2"/>
      <c r="BB988" s="3"/>
      <c r="BC988" s="3"/>
      <c r="BD988" s="3"/>
      <c r="BE988" s="3"/>
    </row>
    <row r="989" spans="1:57" x14ac:dyDescent="0.35">
      <c r="A989" s="66" t="s">
        <v>991</v>
      </c>
      <c r="B989" s="67"/>
      <c r="C989" s="67"/>
      <c r="D989" s="68"/>
      <c r="E989" s="70"/>
      <c r="F989" s="106" t="str">
        <f>HYPERLINK("https://pbs.twimg.com/profile_images/1359121371301773312/gOLCV77s_normal.jpg")</f>
        <v>https://pbs.twimg.com/profile_images/1359121371301773312/gOLCV77s_normal.jpg</v>
      </c>
      <c r="G989" s="67"/>
      <c r="H989" s="71"/>
      <c r="I989" s="72"/>
      <c r="J989" s="72"/>
      <c r="K989" s="71" t="s">
        <v>8159</v>
      </c>
      <c r="L989" s="75"/>
      <c r="M989" s="76"/>
      <c r="N989" s="76"/>
      <c r="O989" s="77"/>
      <c r="P989" s="78"/>
      <c r="Q989" s="78"/>
      <c r="R989" s="90"/>
      <c r="S989" s="90"/>
      <c r="T989" s="90"/>
      <c r="U989" s="90"/>
      <c r="V989" s="52"/>
      <c r="W989" s="52"/>
      <c r="X989" s="52"/>
      <c r="Y989" s="52"/>
      <c r="Z989" s="51"/>
      <c r="AA989" s="73"/>
      <c r="AB989" s="73"/>
      <c r="AC989" s="74"/>
      <c r="AD989" s="80" t="s">
        <v>5152</v>
      </c>
      <c r="AE989" s="86" t="s">
        <v>5926</v>
      </c>
      <c r="AF989" s="80">
        <v>41</v>
      </c>
      <c r="AG989" s="80">
        <v>5</v>
      </c>
      <c r="AH989" s="80">
        <v>419</v>
      </c>
      <c r="AI989" s="80">
        <v>0</v>
      </c>
      <c r="AJ989" s="80"/>
      <c r="AK989" s="80" t="s">
        <v>6754</v>
      </c>
      <c r="AL989" s="80"/>
      <c r="AM989" s="80"/>
      <c r="AN989" s="80"/>
      <c r="AO989" s="82">
        <v>44236.491701388892</v>
      </c>
      <c r="AP989" s="80"/>
      <c r="AQ989" s="80" t="b">
        <v>1</v>
      </c>
      <c r="AR989" s="80" t="b">
        <v>0</v>
      </c>
      <c r="AS989" s="80" t="b">
        <v>0</v>
      </c>
      <c r="AT989" s="80"/>
      <c r="AU989" s="80">
        <v>0</v>
      </c>
      <c r="AV989" s="80"/>
      <c r="AW989" s="80" t="b">
        <v>0</v>
      </c>
      <c r="AX989" s="80" t="s">
        <v>7173</v>
      </c>
      <c r="AY989" s="84" t="str">
        <f>HYPERLINK("https://twitter.com/pendimbm")</f>
        <v>https://twitter.com/pendimbm</v>
      </c>
      <c r="AZ989" s="80" t="s">
        <v>66</v>
      </c>
      <c r="BA989" s="2"/>
      <c r="BB989" s="3"/>
      <c r="BC989" s="3"/>
      <c r="BD989" s="3"/>
      <c r="BE989" s="3"/>
    </row>
    <row r="990" spans="1:57" x14ac:dyDescent="0.35">
      <c r="A990" s="91" t="s">
        <v>992</v>
      </c>
      <c r="B990" s="92"/>
      <c r="C990" s="92"/>
      <c r="D990" s="93"/>
      <c r="E990" s="94"/>
      <c r="F990" s="107" t="str">
        <f>HYPERLINK("https://pbs.twimg.com/profile_images/1440626758512885770/VaaFBQfU_normal.jpg")</f>
        <v>https://pbs.twimg.com/profile_images/1440626758512885770/VaaFBQfU_normal.jpg</v>
      </c>
      <c r="G990" s="92"/>
      <c r="H990" s="95"/>
      <c r="I990" s="96"/>
      <c r="J990" s="96"/>
      <c r="K990" s="95" t="s">
        <v>8160</v>
      </c>
      <c r="L990" s="97"/>
      <c r="M990" s="98"/>
      <c r="N990" s="98"/>
      <c r="O990" s="99"/>
      <c r="P990" s="100"/>
      <c r="Q990" s="100"/>
      <c r="R990" s="101"/>
      <c r="S990" s="101"/>
      <c r="T990" s="101"/>
      <c r="U990" s="101"/>
      <c r="V990" s="102"/>
      <c r="W990" s="102"/>
      <c r="X990" s="102"/>
      <c r="Y990" s="102"/>
      <c r="Z990" s="103"/>
      <c r="AA990" s="104"/>
      <c r="AB990" s="104"/>
      <c r="AC990" s="105"/>
      <c r="AD990" s="80" t="s">
        <v>5153</v>
      </c>
      <c r="AE990" s="86" t="s">
        <v>5927</v>
      </c>
      <c r="AF990" s="80">
        <v>99</v>
      </c>
      <c r="AG990" s="80">
        <v>58</v>
      </c>
      <c r="AH990" s="80">
        <v>771</v>
      </c>
      <c r="AI990" s="80">
        <v>1076</v>
      </c>
      <c r="AJ990" s="80"/>
      <c r="AK990" s="80" t="s">
        <v>6755</v>
      </c>
      <c r="AL990" s="80" t="s">
        <v>7172</v>
      </c>
      <c r="AM990" s="84" t="str">
        <f>HYPERLINK("https://t.co/1VEMaw1oXv")</f>
        <v>https://t.co/1VEMaw1oXv</v>
      </c>
      <c r="AN990" s="80"/>
      <c r="AO990" s="82">
        <v>44277.597615740742</v>
      </c>
      <c r="AP990" s="84" t="str">
        <f>HYPERLINK("https://pbs.twimg.com/profile_banners/1374003015082930182/1632307156")</f>
        <v>https://pbs.twimg.com/profile_banners/1374003015082930182/1632307156</v>
      </c>
      <c r="AQ990" s="80" t="b">
        <v>1</v>
      </c>
      <c r="AR990" s="80" t="b">
        <v>0</v>
      </c>
      <c r="AS990" s="80" t="b">
        <v>0</v>
      </c>
      <c r="AT990" s="80"/>
      <c r="AU990" s="80">
        <v>0</v>
      </c>
      <c r="AV990" s="80"/>
      <c r="AW990" s="80" t="b">
        <v>0</v>
      </c>
      <c r="AX990" s="80" t="s">
        <v>7173</v>
      </c>
      <c r="AY990" s="84" t="str">
        <f>HYPERLINK("https://twitter.com/sgrskless")</f>
        <v>https://twitter.com/sgrskless</v>
      </c>
      <c r="AZ990" s="80" t="s">
        <v>66</v>
      </c>
      <c r="BA990" s="2"/>
      <c r="BB990" s="3"/>
      <c r="BC990" s="3"/>
      <c r="BD990" s="3"/>
      <c r="BE990"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990" xr:uid="{00000000-0002-0000-0100-000000000000}"/>
    <dataValidation allowBlank="1" errorTitle="Invalid Vertex Visibility" error="You have entered an unrecognized vertex visibility.  Try selecting from the drop-down list instead." sqref="BA3" xr:uid="{00000000-0002-0000-0100-000001000000}"/>
    <dataValidation allowBlank="1" showErrorMessage="1" sqref="BA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990"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990"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990"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990"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990" xr:uid="{00000000-0002-0000-0100-000007000000}"/>
    <dataValidation allowBlank="1" showInputMessage="1" errorTitle="Invalid Vertex Image Key" promptTitle="Vertex Tooltip" prompt="Enter optional text that will pop up when the mouse is hovered over the vertex." sqref="K3:K990"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990"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990"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990" xr:uid="{00000000-0002-0000-0100-00000B000000}"/>
    <dataValidation allowBlank="1" showInputMessage="1" promptTitle="Vertex Label Fill Color" prompt="To select an optional fill color for the Label shape, right-click and select Select Color on the right-click menu." sqref="I3:I990" xr:uid="{00000000-0002-0000-0100-00000C000000}"/>
    <dataValidation allowBlank="1" showInputMessage="1" errorTitle="Invalid Vertex Image Key" promptTitle="Vertex Image File" prompt="Enter the path to an image file.  Hover over the column header for examples." sqref="F3:F990" xr:uid="{00000000-0002-0000-0100-00000D000000}"/>
    <dataValidation allowBlank="1" showInputMessage="1" promptTitle="Vertex Color" prompt="To select an optional vertex color, right-click and select Select Color on the right-click menu." sqref="B3:B990"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990"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990"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990"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990" xr:uid="{00000000-0002-0000-0100-000012000000}">
      <formula1>ValidVertexLabelPositions</formula1>
    </dataValidation>
    <dataValidation allowBlank="1" showInputMessage="1" showErrorMessage="1" promptTitle="Vertex Name" prompt="Enter the name of the vertex." sqref="A3:A990"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49</v>
      </c>
    </row>
    <row r="2" spans="1:1" ht="15" customHeight="1" x14ac:dyDescent="0.35"/>
    <row r="3" spans="1:1" ht="15" customHeight="1" x14ac:dyDescent="0.35">
      <c r="A3" s="32" t="s">
        <v>50</v>
      </c>
    </row>
    <row r="21" spans="4:4" x14ac:dyDescent="0.35">
      <c r="D21" s="7"/>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3" sqref="A3"/>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hidden="1" customWidth="1"/>
    <col min="12" max="12" width="9.7265625" hidden="1" customWidth="1"/>
    <col min="13" max="13" width="13.1796875" hidden="1" customWidth="1"/>
    <col min="14" max="15" width="8.453125" hidden="1" customWidth="1"/>
    <col min="16" max="16" width="18.26953125" hidden="1" customWidth="1"/>
    <col min="17" max="17" width="14.81640625" hidden="1" customWidth="1"/>
    <col min="18" max="18" width="14.54296875" hidden="1" customWidth="1"/>
    <col min="19" max="21" width="24.1796875" hidden="1" customWidth="1"/>
    <col min="22" max="22" width="21.26953125" hidden="1" customWidth="1"/>
    <col min="23" max="23" width="19.26953125" hidden="1" customWidth="1"/>
    <col min="24" max="24" width="10" hidden="1" customWidth="1"/>
    <col min="25" max="25" width="13" customWidth="1"/>
  </cols>
  <sheetData>
    <row r="1" spans="1:24" x14ac:dyDescent="0.3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3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3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144</v>
      </c>
      <c r="B1" s="1" t="s">
        <v>5</v>
      </c>
      <c r="C1" s="1" t="s">
        <v>147</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68"/>
  <sheetViews>
    <sheetView workbookViewId="0">
      <selection activeCell="B48" sqref="B48"/>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25" ca="1" si="0">COUNTIF(INDIRECT(DynamicFilterSourceColumnRange), "&gt;= " &amp; T2) - COUNTIF(INDIRECT(DynamicFilterSourceColumnRange), "&gt;=" &amp; T3)</f>
        <v>#REF!</v>
      </c>
      <c r="W2" t="s">
        <v>124</v>
      </c>
      <c r="X2">
        <f>ROWS(HistogramBins[Degree Bin]) - 1</f>
        <v>34</v>
      </c>
    </row>
    <row r="3" spans="1:24" x14ac:dyDescent="0.35">
      <c r="D3" s="34">
        <f t="shared" ref="D3:D35" si="1">D2+($D$36-$D$2)/BinDivisor</f>
        <v>0</v>
      </c>
      <c r="E3" s="3">
        <f>COUNTIF(Vertices[Degree], "&gt;= " &amp; D3) - COUNTIF(Vertices[Degree], "&gt;=" &amp; D4)</f>
        <v>0</v>
      </c>
      <c r="F3" s="41">
        <f t="shared" ref="F3:F35" si="2">F2+($F$36-$F$2)/BinDivisor</f>
        <v>0</v>
      </c>
      <c r="G3" s="42">
        <f>COUNTIF(Vertices[In-Degree], "&gt;= " &amp; F3) - COUNTIF(Vertices[In-Degree], "&gt;=" &amp; F4)</f>
        <v>0</v>
      </c>
      <c r="H3" s="41">
        <f t="shared" ref="H3:H35" si="3">H2+($H$36-$H$2)/BinDivisor</f>
        <v>0</v>
      </c>
      <c r="I3" s="42">
        <f>COUNTIF(Vertices[Out-Degree], "&gt;= " &amp; H3) - COUNTIF(Vertices[Out-Degree], "&gt;=" &amp; H4)</f>
        <v>0</v>
      </c>
      <c r="J3" s="41">
        <f t="shared" ref="J3:J35" si="4">J2+($J$36-$J$2)/BinDivisor</f>
        <v>0</v>
      </c>
      <c r="K3" s="42">
        <f>COUNTIF(Vertices[Betweenness Centrality], "&gt;= " &amp; J3) - COUNTIF(Vertices[Betweenness Centrality], "&gt;=" &amp; J4)</f>
        <v>0</v>
      </c>
      <c r="L3" s="41">
        <f t="shared" ref="L3:L35" si="5">L2+($L$36-$L$2)/BinDivisor</f>
        <v>0</v>
      </c>
      <c r="M3" s="42">
        <f>COUNTIF(Vertices[Closeness Centrality], "&gt;= " &amp; L3) - COUNTIF(Vertices[Closeness Centrality], "&gt;=" &amp; L4)</f>
        <v>0</v>
      </c>
      <c r="N3" s="41">
        <f t="shared" ref="N3:N35" si="6">N2+($N$36-$N$2)/BinDivisor</f>
        <v>0</v>
      </c>
      <c r="O3" s="42">
        <f>COUNTIF(Vertices[Eigenvector Centrality], "&gt;= " &amp; N3) - COUNTIF(Vertices[Eigenvector Centrality], "&gt;=" &amp; N4)</f>
        <v>0</v>
      </c>
      <c r="P3" s="41">
        <f t="shared" ref="P3:P35" si="7">P2+($P$36-$P$2)/BinDivisor</f>
        <v>0</v>
      </c>
      <c r="Q3" s="42">
        <f>COUNTIF(Vertices[PageRank], "&gt;= " &amp; P3) - COUNTIF(Vertices[PageRank], "&gt;=" &amp; P4)</f>
        <v>0</v>
      </c>
      <c r="R3" s="41">
        <f t="shared" ref="R3:R35" si="8">R2+($R$36-$R$2)/BinDivisor</f>
        <v>0</v>
      </c>
      <c r="S3" s="46">
        <f>COUNTIF(Vertices[Clustering Coefficient], "&gt;= " &amp; R3) - COUNTIF(Vertices[Clustering Coefficient], "&gt;=" &amp; R4)</f>
        <v>0</v>
      </c>
      <c r="T3" s="41" t="e">
        <f t="shared" ref="T3:T35" ca="1" si="9">T2+($T$36-$T$2)/BinDivisor</f>
        <v>#REF!</v>
      </c>
      <c r="U3" s="42" t="e">
        <f t="shared" ca="1" si="0"/>
        <v>#REF!</v>
      </c>
      <c r="W3" t="s">
        <v>125</v>
      </c>
      <c r="X3" t="s">
        <v>85</v>
      </c>
    </row>
    <row r="4" spans="1:24" x14ac:dyDescent="0.3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3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4:21" x14ac:dyDescent="0.3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4:21" x14ac:dyDescent="0.3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4:21" x14ac:dyDescent="0.3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4:21" x14ac:dyDescent="0.3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4:21" x14ac:dyDescent="0.3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4:21" x14ac:dyDescent="0.3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4:21" x14ac:dyDescent="0.3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4:21" x14ac:dyDescent="0.3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4:21" x14ac:dyDescent="0.3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4:21" x14ac:dyDescent="0.3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ref="U26:U35" ca="1" si="10">COUNTIF(INDIRECT(DynamicFilterSourceColumnRange), "&gt;= " &amp; T26) - COUNTIF(INDIRECT(DynamicFilterSourceColumnRange), "&gt;=" &amp; T27)</f>
        <v>#REF!</v>
      </c>
    </row>
    <row r="27" spans="4:21" x14ac:dyDescent="0.3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10"/>
        <v>#REF!</v>
      </c>
    </row>
    <row r="28" spans="4:21" x14ac:dyDescent="0.3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10"/>
        <v>#REF!</v>
      </c>
    </row>
    <row r="29" spans="4:21" x14ac:dyDescent="0.35">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10"/>
        <v>#REF!</v>
      </c>
    </row>
    <row r="30" spans="4:21" x14ac:dyDescent="0.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10"/>
        <v>#REF!</v>
      </c>
    </row>
    <row r="31" spans="4:21" x14ac:dyDescent="0.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10"/>
        <v>#REF!</v>
      </c>
    </row>
    <row r="32" spans="4:21" x14ac:dyDescent="0.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10"/>
        <v>#REF!</v>
      </c>
    </row>
    <row r="33" spans="4:21" x14ac:dyDescent="0.3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10"/>
        <v>#REF!</v>
      </c>
    </row>
    <row r="34" spans="4:21" x14ac:dyDescent="0.3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10"/>
        <v>#REF!</v>
      </c>
    </row>
    <row r="35" spans="4:21" x14ac:dyDescent="0.3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10"/>
        <v>#REF!</v>
      </c>
    </row>
    <row r="36" spans="4:21" x14ac:dyDescent="0.35">
      <c r="D36" s="34">
        <f>MAX(Vertices[Degree])</f>
        <v>0</v>
      </c>
      <c r="E36" s="3">
        <f>COUNTIF(Vertices[Degree], "&gt;= " &amp; D36) - COUNTIF(Vertices[Degree], "&gt;=" &amp;#REF!)</f>
        <v>0</v>
      </c>
      <c r="F36" s="43">
        <f>MAX(Vertices[In-Degree])</f>
        <v>0</v>
      </c>
      <c r="G36" s="44">
        <f>COUNTIF(Vertices[In-Degree], "&gt;= " &amp; F36) - COUNTIF(Vertices[In-Degree], "&gt;=" &amp;#REF!)</f>
        <v>0</v>
      </c>
      <c r="H36" s="43">
        <f>MAX(Vertices[Out-Degree])</f>
        <v>0</v>
      </c>
      <c r="I36" s="44">
        <f>COUNTIF(Vertices[Out-Degree], "&gt;= " &amp; H36) - COUNTIF(Vertices[Out-Degree], "&gt;=" &amp;#REF!)</f>
        <v>0</v>
      </c>
      <c r="J36" s="43">
        <f>MAX(Vertices[Betweenness Centrality])</f>
        <v>0</v>
      </c>
      <c r="K36" s="44">
        <f>COUNTIF(Vertices[Betweenness Centrality], "&gt;= " &amp; J36) - COUNTIF(Vertices[Betweenness Centrality], "&gt;=" &amp;#REF!)</f>
        <v>0</v>
      </c>
      <c r="L36" s="43">
        <f>MAX(Vertices[Closeness Centrality])</f>
        <v>0</v>
      </c>
      <c r="M36" s="44">
        <f>COUNTIF(Vertices[Closeness Centrality], "&gt;= " &amp; L36) - COUNTIF(Vertices[Closeness Centrality], "&gt;=" &amp;#REF!)</f>
        <v>0</v>
      </c>
      <c r="N36" s="43">
        <f>MAX(Vertices[Eigenvector Centrality])</f>
        <v>0</v>
      </c>
      <c r="O36" s="44">
        <f>COUNTIF(Vertices[Eigenvector Centrality], "&gt;= " &amp; N36) - COUNTIF(Vertices[Eigenvector Centrality], "&gt;=" &amp;#REF!)</f>
        <v>0</v>
      </c>
      <c r="P36" s="43">
        <f>MAX(Vertices[PageRank])</f>
        <v>0</v>
      </c>
      <c r="Q36" s="44">
        <f>COUNTIF(Vertices[PageRank], "&gt;= " &amp; P36) - COUNTIF(Vertices[PageRank], "&gt;=" &amp;#REF!)</f>
        <v>0</v>
      </c>
      <c r="R36" s="43">
        <f>MAX(Vertices[Clustering Coefficient])</f>
        <v>0</v>
      </c>
      <c r="S36" s="47">
        <f>COUNTIF(Vertices[Clustering Coefficient], "&gt;= " &amp; R36) - COUNTIF(Vertices[Clustering Coefficient], "&gt;=" &amp;#REF!)</f>
        <v>0</v>
      </c>
      <c r="T36" s="43" t="e">
        <f ca="1">MAX(INDIRECT(DynamicFilterSourceColumnRange))</f>
        <v>#REF!</v>
      </c>
      <c r="U36" s="44" t="e">
        <f ca="1">COUNTIF(INDIRECT(DynamicFilterSourceColumnRange), "&gt;= " &amp; T36) - COUNTIF(INDIRECT(DynamicFilterSourceColumnRange), "&gt;=" &amp;#REF!)</f>
        <v>#REF!</v>
      </c>
    </row>
    <row r="53" spans="1:2" x14ac:dyDescent="0.35">
      <c r="A53" t="s">
        <v>163</v>
      </c>
      <c r="B53" t="s">
        <v>17</v>
      </c>
    </row>
    <row r="54" spans="1:2" x14ac:dyDescent="0.35">
      <c r="A54" s="35"/>
      <c r="B54" s="35"/>
    </row>
    <row r="67" spans="1:2" x14ac:dyDescent="0.35">
      <c r="A67" s="35" t="s">
        <v>81</v>
      </c>
      <c r="B67" s="48" t="str">
        <f>IF(COUNT(Vertices[Degree])&gt;0, D2, NoMetricMessage)</f>
        <v>Not Available</v>
      </c>
    </row>
    <row r="68" spans="1:2" x14ac:dyDescent="0.35">
      <c r="A68" s="35" t="s">
        <v>82</v>
      </c>
      <c r="B68" s="48" t="str">
        <f>IF(COUNT(Vertices[Degree])&gt;0, D36, NoMetricMessage)</f>
        <v>Not Available</v>
      </c>
    </row>
    <row r="69" spans="1:2" x14ac:dyDescent="0.35">
      <c r="A69" s="35" t="s">
        <v>83</v>
      </c>
      <c r="B69" s="49" t="str">
        <f>IFERROR(AVERAGE(Vertices[Degree]),NoMetricMessage)</f>
        <v>Not Available</v>
      </c>
    </row>
    <row r="70" spans="1:2" x14ac:dyDescent="0.35">
      <c r="A70" s="35" t="s">
        <v>84</v>
      </c>
      <c r="B70" s="49" t="str">
        <f>IFERROR(MEDIAN(Vertices[Degree]),NoMetricMessage)</f>
        <v>Not Available</v>
      </c>
    </row>
    <row r="81" spans="1:2" x14ac:dyDescent="0.35">
      <c r="A81" s="35" t="s">
        <v>88</v>
      </c>
      <c r="B81" s="48" t="str">
        <f>IF(COUNT(Vertices[In-Degree])&gt;0, F2, NoMetricMessage)</f>
        <v>Not Available</v>
      </c>
    </row>
    <row r="82" spans="1:2" x14ac:dyDescent="0.35">
      <c r="A82" s="35" t="s">
        <v>89</v>
      </c>
      <c r="B82" s="48" t="str">
        <f>IF(COUNT(Vertices[In-Degree])&gt;0, F36, NoMetricMessage)</f>
        <v>Not Available</v>
      </c>
    </row>
    <row r="83" spans="1:2" x14ac:dyDescent="0.35">
      <c r="A83" s="35" t="s">
        <v>90</v>
      </c>
      <c r="B83" s="49" t="str">
        <f>IFERROR(AVERAGE(Vertices[In-Degree]),NoMetricMessage)</f>
        <v>Not Available</v>
      </c>
    </row>
    <row r="84" spans="1:2" x14ac:dyDescent="0.35">
      <c r="A84" s="35" t="s">
        <v>91</v>
      </c>
      <c r="B84" s="49" t="str">
        <f>IFERROR(MEDIAN(Vertices[In-Degree]),NoMetricMessage)</f>
        <v>Not Available</v>
      </c>
    </row>
    <row r="95" spans="1:2" x14ac:dyDescent="0.35">
      <c r="A95" s="35" t="s">
        <v>94</v>
      </c>
      <c r="B95" s="48" t="str">
        <f>IF(COUNT(Vertices[Out-Degree])&gt;0, H2, NoMetricMessage)</f>
        <v>Not Available</v>
      </c>
    </row>
    <row r="96" spans="1:2" x14ac:dyDescent="0.35">
      <c r="A96" s="35" t="s">
        <v>95</v>
      </c>
      <c r="B96" s="48" t="str">
        <f>IF(COUNT(Vertices[Out-Degree])&gt;0, H36, NoMetricMessage)</f>
        <v>Not Available</v>
      </c>
    </row>
    <row r="97" spans="1:2" x14ac:dyDescent="0.35">
      <c r="A97" s="35" t="s">
        <v>96</v>
      </c>
      <c r="B97" s="49" t="str">
        <f>IFERROR(AVERAGE(Vertices[Out-Degree]),NoMetricMessage)</f>
        <v>Not Available</v>
      </c>
    </row>
    <row r="98" spans="1:2" x14ac:dyDescent="0.35">
      <c r="A98" s="35" t="s">
        <v>97</v>
      </c>
      <c r="B98" s="49" t="str">
        <f>IFERROR(MEDIAN(Vertices[Out-Degree]),NoMetricMessage)</f>
        <v>Not Available</v>
      </c>
    </row>
    <row r="109" spans="1:2" x14ac:dyDescent="0.35">
      <c r="A109" s="35" t="s">
        <v>100</v>
      </c>
      <c r="B109" s="49" t="str">
        <f>IF(COUNT(Vertices[Betweenness Centrality])&gt;0, J2, NoMetricMessage)</f>
        <v>Not Available</v>
      </c>
    </row>
    <row r="110" spans="1:2" x14ac:dyDescent="0.35">
      <c r="A110" s="35" t="s">
        <v>101</v>
      </c>
      <c r="B110" s="49" t="str">
        <f>IF(COUNT(Vertices[Betweenness Centrality])&gt;0, J36, NoMetricMessage)</f>
        <v>Not Available</v>
      </c>
    </row>
    <row r="111" spans="1:2" x14ac:dyDescent="0.35">
      <c r="A111" s="35" t="s">
        <v>102</v>
      </c>
      <c r="B111" s="49" t="str">
        <f>IFERROR(AVERAGE(Vertices[Betweenness Centrality]),NoMetricMessage)</f>
        <v>Not Available</v>
      </c>
    </row>
    <row r="112" spans="1:2" x14ac:dyDescent="0.35">
      <c r="A112" s="35" t="s">
        <v>103</v>
      </c>
      <c r="B112" s="49" t="str">
        <f>IFERROR(MEDIAN(Vertices[Betweenness Centrality]),NoMetricMessage)</f>
        <v>Not Available</v>
      </c>
    </row>
    <row r="123" spans="1:2" x14ac:dyDescent="0.35">
      <c r="A123" s="35" t="s">
        <v>106</v>
      </c>
      <c r="B123" s="49" t="str">
        <f>IF(COUNT(Vertices[Closeness Centrality])&gt;0, L2, NoMetricMessage)</f>
        <v>Not Available</v>
      </c>
    </row>
    <row r="124" spans="1:2" x14ac:dyDescent="0.35">
      <c r="A124" s="35" t="s">
        <v>107</v>
      </c>
      <c r="B124" s="49" t="str">
        <f>IF(COUNT(Vertices[Closeness Centrality])&gt;0, L36, NoMetricMessage)</f>
        <v>Not Available</v>
      </c>
    </row>
    <row r="125" spans="1:2" x14ac:dyDescent="0.35">
      <c r="A125" s="35" t="s">
        <v>108</v>
      </c>
      <c r="B125" s="49" t="str">
        <f>IFERROR(AVERAGE(Vertices[Closeness Centrality]),NoMetricMessage)</f>
        <v>Not Available</v>
      </c>
    </row>
    <row r="126" spans="1:2" x14ac:dyDescent="0.35">
      <c r="A126" s="35" t="s">
        <v>109</v>
      </c>
      <c r="B126" s="49" t="str">
        <f>IFERROR(MEDIAN(Vertices[Closeness Centrality]),NoMetricMessage)</f>
        <v>Not Available</v>
      </c>
    </row>
    <row r="137" spans="1:2" x14ac:dyDescent="0.35">
      <c r="A137" s="35" t="s">
        <v>112</v>
      </c>
      <c r="B137" s="49" t="str">
        <f>IF(COUNT(Vertices[Eigenvector Centrality])&gt;0, N2, NoMetricMessage)</f>
        <v>Not Available</v>
      </c>
    </row>
    <row r="138" spans="1:2" x14ac:dyDescent="0.35">
      <c r="A138" s="35" t="s">
        <v>113</v>
      </c>
      <c r="B138" s="49" t="str">
        <f>IF(COUNT(Vertices[Eigenvector Centrality])&gt;0, N36, NoMetricMessage)</f>
        <v>Not Available</v>
      </c>
    </row>
    <row r="139" spans="1:2" x14ac:dyDescent="0.35">
      <c r="A139" s="35" t="s">
        <v>114</v>
      </c>
      <c r="B139" s="49" t="str">
        <f>IFERROR(AVERAGE(Vertices[Eigenvector Centrality]),NoMetricMessage)</f>
        <v>Not Available</v>
      </c>
    </row>
    <row r="140" spans="1:2" x14ac:dyDescent="0.35">
      <c r="A140" s="35" t="s">
        <v>115</v>
      </c>
      <c r="B140" s="49" t="str">
        <f>IFERROR(MEDIAN(Vertices[Eigenvector Centrality]),NoMetricMessage)</f>
        <v>Not Available</v>
      </c>
    </row>
    <row r="151" spans="1:2" x14ac:dyDescent="0.35">
      <c r="A151" s="35" t="s">
        <v>140</v>
      </c>
      <c r="B151" s="49" t="str">
        <f>IF(COUNT(Vertices[PageRank])&gt;0, P2, NoMetricMessage)</f>
        <v>Not Available</v>
      </c>
    </row>
    <row r="152" spans="1:2" x14ac:dyDescent="0.35">
      <c r="A152" s="35" t="s">
        <v>141</v>
      </c>
      <c r="B152" s="49" t="str">
        <f>IF(COUNT(Vertices[PageRank])&gt;0, P36, NoMetricMessage)</f>
        <v>Not Available</v>
      </c>
    </row>
    <row r="153" spans="1:2" x14ac:dyDescent="0.35">
      <c r="A153" s="35" t="s">
        <v>142</v>
      </c>
      <c r="B153" s="49" t="str">
        <f>IFERROR(AVERAGE(Vertices[PageRank]),NoMetricMessage)</f>
        <v>Not Available</v>
      </c>
    </row>
    <row r="154" spans="1:2" x14ac:dyDescent="0.35">
      <c r="A154" s="35" t="s">
        <v>143</v>
      </c>
      <c r="B154" s="49" t="str">
        <f>IFERROR(MEDIAN(Vertices[PageRank]),NoMetricMessage)</f>
        <v>Not Available</v>
      </c>
    </row>
    <row r="165" spans="1:2" x14ac:dyDescent="0.35">
      <c r="A165" s="35" t="s">
        <v>118</v>
      </c>
      <c r="B165" s="49" t="str">
        <f>IF(COUNT(Vertices[Clustering Coefficient])&gt;0, R2, NoMetricMessage)</f>
        <v>Not Available</v>
      </c>
    </row>
    <row r="166" spans="1:2" x14ac:dyDescent="0.35">
      <c r="A166" s="35" t="s">
        <v>119</v>
      </c>
      <c r="B166" s="49" t="str">
        <f>IF(COUNT(Vertices[Clustering Coefficient])&gt;0, R36, NoMetricMessage)</f>
        <v>Not Available</v>
      </c>
    </row>
    <row r="167" spans="1:2" x14ac:dyDescent="0.35">
      <c r="A167" s="35" t="s">
        <v>120</v>
      </c>
      <c r="B167" s="49" t="str">
        <f>IFERROR(AVERAGE(Vertices[Clustering Coefficient]),NoMetricMessage)</f>
        <v>Not Available</v>
      </c>
    </row>
    <row r="168" spans="1:2" x14ac:dyDescent="0.35">
      <c r="A168" s="35" t="s">
        <v>121</v>
      </c>
      <c r="B168" s="49"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5">
      <c r="A2" s="1" t="s">
        <v>51</v>
      </c>
      <c r="B2" s="1" t="s">
        <v>132</v>
      </c>
      <c r="C2" t="s">
        <v>54</v>
      </c>
      <c r="D2" t="s">
        <v>55</v>
      </c>
      <c r="E2" t="s">
        <v>55</v>
      </c>
      <c r="F2" s="1" t="s">
        <v>51</v>
      </c>
      <c r="G2" t="s">
        <v>65</v>
      </c>
      <c r="H2" t="s">
        <v>159</v>
      </c>
      <c r="J2" t="s">
        <v>19</v>
      </c>
      <c r="K2">
        <v>108</v>
      </c>
    </row>
    <row r="3" spans="1:18" x14ac:dyDescent="0.35">
      <c r="A3" s="1" t="s">
        <v>52</v>
      </c>
      <c r="B3" s="1" t="s">
        <v>133</v>
      </c>
      <c r="C3" t="s">
        <v>52</v>
      </c>
      <c r="D3" t="s">
        <v>56</v>
      </c>
      <c r="E3" t="s">
        <v>56</v>
      </c>
      <c r="F3" s="1" t="s">
        <v>52</v>
      </c>
      <c r="G3" t="s">
        <v>66</v>
      </c>
      <c r="H3" t="s">
        <v>68</v>
      </c>
      <c r="J3" t="s">
        <v>30</v>
      </c>
      <c r="K3" t="s">
        <v>8163</v>
      </c>
    </row>
    <row r="4" spans="1:18" x14ac:dyDescent="0.35">
      <c r="A4" s="1" t="s">
        <v>53</v>
      </c>
      <c r="B4" s="1" t="s">
        <v>134</v>
      </c>
      <c r="C4" t="s">
        <v>53</v>
      </c>
      <c r="D4" t="s">
        <v>57</v>
      </c>
      <c r="E4" t="s">
        <v>57</v>
      </c>
      <c r="F4" s="1" t="s">
        <v>53</v>
      </c>
      <c r="G4">
        <v>0</v>
      </c>
      <c r="H4" t="s">
        <v>69</v>
      </c>
      <c r="J4" s="12" t="s">
        <v>78</v>
      </c>
      <c r="K4" s="12"/>
    </row>
    <row r="5" spans="1:18" ht="409.5" x14ac:dyDescent="0.35">
      <c r="A5">
        <v>1</v>
      </c>
      <c r="B5" s="1" t="s">
        <v>135</v>
      </c>
      <c r="C5" t="s">
        <v>51</v>
      </c>
      <c r="D5" t="s">
        <v>58</v>
      </c>
      <c r="E5" t="s">
        <v>58</v>
      </c>
      <c r="F5">
        <v>1</v>
      </c>
      <c r="G5">
        <v>1</v>
      </c>
      <c r="H5" t="s">
        <v>70</v>
      </c>
      <c r="J5" t="s">
        <v>172</v>
      </c>
      <c r="K5" s="13" t="s">
        <v>8164</v>
      </c>
    </row>
    <row r="6" spans="1:18" x14ac:dyDescent="0.35">
      <c r="A6">
        <v>0</v>
      </c>
      <c r="B6" s="1" t="s">
        <v>136</v>
      </c>
      <c r="C6">
        <v>1</v>
      </c>
      <c r="D6" t="s">
        <v>59</v>
      </c>
      <c r="E6" t="s">
        <v>59</v>
      </c>
      <c r="F6">
        <v>0</v>
      </c>
      <c r="H6" t="s">
        <v>71</v>
      </c>
      <c r="J6" t="s">
        <v>173</v>
      </c>
      <c r="K6">
        <v>1</v>
      </c>
      <c r="R6" t="s">
        <v>129</v>
      </c>
    </row>
    <row r="7" spans="1:18" x14ac:dyDescent="0.35">
      <c r="A7">
        <v>2</v>
      </c>
      <c r="B7">
        <v>1</v>
      </c>
      <c r="C7">
        <v>0</v>
      </c>
      <c r="D7" t="s">
        <v>60</v>
      </c>
      <c r="E7" t="s">
        <v>60</v>
      </c>
      <c r="F7">
        <v>2</v>
      </c>
      <c r="H7" t="s">
        <v>72</v>
      </c>
      <c r="J7" t="s">
        <v>174</v>
      </c>
      <c r="K7" t="s">
        <v>175</v>
      </c>
    </row>
    <row r="8" spans="1:18" ht="409.5" x14ac:dyDescent="0.35">
      <c r="A8"/>
      <c r="B8">
        <v>2</v>
      </c>
      <c r="C8">
        <v>2</v>
      </c>
      <c r="D8" t="s">
        <v>61</v>
      </c>
      <c r="E8" t="s">
        <v>61</v>
      </c>
      <c r="H8" t="s">
        <v>73</v>
      </c>
      <c r="J8" t="s">
        <v>176</v>
      </c>
      <c r="K8" s="13" t="s">
        <v>8162</v>
      </c>
    </row>
    <row r="9" spans="1:18" x14ac:dyDescent="0.35">
      <c r="A9"/>
      <c r="B9">
        <v>3</v>
      </c>
      <c r="C9">
        <v>4</v>
      </c>
      <c r="D9" t="s">
        <v>62</v>
      </c>
      <c r="E9" t="s">
        <v>62</v>
      </c>
      <c r="H9" t="s">
        <v>74</v>
      </c>
    </row>
    <row r="10" spans="1:18" x14ac:dyDescent="0.35">
      <c r="A10"/>
      <c r="B10">
        <v>4</v>
      </c>
      <c r="D10" t="s">
        <v>63</v>
      </c>
      <c r="E10" t="s">
        <v>63</v>
      </c>
      <c r="H10" t="s">
        <v>75</v>
      </c>
    </row>
    <row r="11" spans="1:18" x14ac:dyDescent="0.35">
      <c r="A11"/>
      <c r="B11">
        <v>5</v>
      </c>
      <c r="D11" t="s">
        <v>46</v>
      </c>
      <c r="E11">
        <v>1</v>
      </c>
      <c r="H11" t="s">
        <v>76</v>
      </c>
    </row>
    <row r="12" spans="1:18" x14ac:dyDescent="0.35">
      <c r="A12"/>
      <c r="B12"/>
      <c r="D12" t="s">
        <v>64</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D4F3AF7C-4F9C-476D-93B1-FB937B37814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ALIF</dc:creator>
  <cp:lastModifiedBy>ALIF</cp:lastModifiedBy>
  <dcterms:created xsi:type="dcterms:W3CDTF">2008-01-30T00:41:58Z</dcterms:created>
  <dcterms:modified xsi:type="dcterms:W3CDTF">2021-09-28T06:15:34Z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