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485" windowWidth="15240" windowHeight="8910"/>
  </bookViews>
  <sheets>
    <sheet name="Introduction" sheetId="2" r:id="rId1"/>
    <sheet name="Macro Results Summary" sheetId="3" r:id="rId2"/>
    <sheet name="1-2-3 Model" sheetId="1" r:id="rId3"/>
  </sheets>
  <definedNames>
    <definedName name="_scenchg_count" localSheetId="2" hidden="1">14</definedName>
    <definedName name="_scenchg1" localSheetId="2" hidden="1">'1-2-3 Model'!$F$20</definedName>
    <definedName name="_scenchg10" localSheetId="2" hidden="1">'1-2-3 Model'!$I$23</definedName>
    <definedName name="_scenchg11" localSheetId="2" hidden="1">'1-2-3 Model'!$I$14</definedName>
    <definedName name="_scenchg12" localSheetId="2" hidden="1">'1-2-3 Model'!$I$16</definedName>
    <definedName name="_scenchg13" localSheetId="2" hidden="1">'1-2-3 Model'!$I$26</definedName>
    <definedName name="_scenchg14" localSheetId="2" hidden="1">'1-2-3 Model'!$I$27</definedName>
    <definedName name="_scenchg2" localSheetId="2" hidden="1">'1-2-3 Model'!$I$6</definedName>
    <definedName name="_scenchg3" localSheetId="2" hidden="1">'1-2-3 Model'!$I$8</definedName>
    <definedName name="_scenchg4" localSheetId="2" hidden="1">'1-2-3 Model'!$I$7</definedName>
    <definedName name="_scenchg5" localSheetId="2" hidden="1">'1-2-3 Model'!$I$10</definedName>
    <definedName name="_scenchg6" localSheetId="2" hidden="1">'1-2-3 Model'!#REF!</definedName>
    <definedName name="_scenchg7" localSheetId="2" hidden="1">'1-2-3 Model'!#REF!</definedName>
    <definedName name="_scenchg8" localSheetId="2" hidden="1">'1-2-3 Model'!$I$22</definedName>
    <definedName name="_scenchg9" localSheetId="2" hidden="1">'1-2-3 Model'!$I$21</definedName>
    <definedName name="aq">'1-2-3 Model'!$C$13</definedName>
    <definedName name="ARMG">'1-2-3 Model'!$M$7</definedName>
    <definedName name="at">'1-2-3 Model'!$C$9</definedName>
    <definedName name="B">'1-2-3 Model'!$F$19</definedName>
    <definedName name="B0">'1-2-3 Model'!$E$19</definedName>
    <definedName name="bq">'1-2-3 Model'!$C$14</definedName>
    <definedName name="bt">'1-2-3 Model'!$C$10</definedName>
    <definedName name="CABAL">'1-2-3 Model'!$M$26</definedName>
    <definedName name="CETEQ">'1-2-3 Model'!$M$6</definedName>
    <definedName name="Cn">'1-2-3 Model'!$I$16</definedName>
    <definedName name="Cn0">'1-2-3 Model'!$H$16</definedName>
    <definedName name="CONS">'1-2-3 Model'!$M$15</definedName>
    <definedName name="Dd">'1-2-3 Model'!$I$9</definedName>
    <definedName name="Dd0">'1-2-3 Model'!$H$9</definedName>
    <definedName name="DEM">'1-2-3 Model'!$M$8</definedName>
    <definedName name="DEQ">'1-2-3 Model'!$M$24</definedName>
    <definedName name="Ds">'1-2-3 Model'!$I$8</definedName>
    <definedName name="Ds0">'1-2-3 Model'!$H$8</definedName>
    <definedName name="E">'1-2-3 Model'!$I$6</definedName>
    <definedName name="E0">'1-2-3 Model'!$H$6</definedName>
    <definedName name="EDRAT">'1-2-3 Model'!$M$9</definedName>
    <definedName name="Er">'1-2-3 Model'!$I$24</definedName>
    <definedName name="Er0">'1-2-3 Model'!$H$24</definedName>
    <definedName name="ft">'1-2-3 Model'!$F$17</definedName>
    <definedName name="ft0">'1-2-3 Model'!$E$17</definedName>
    <definedName name="G">'1-2-3 Model'!$F$15</definedName>
    <definedName name="G0">'1-2-3 Model'!$E$15</definedName>
    <definedName name="GBUD">'1-2-3 Model'!$M$27</definedName>
    <definedName name="INC">'1-2-3 Model'!$M$13</definedName>
    <definedName name="M">'1-2-3 Model'!$I$7</definedName>
    <definedName name="M0">'1-2-3 Model'!$H$7</definedName>
    <definedName name="MDRAT">'1-2-3 Model'!$M$10</definedName>
    <definedName name="Pd">'1-2-3 Model'!$I$23</definedName>
    <definedName name="Pd0">'1-2-3 Model'!$H$23</definedName>
    <definedName name="Pe">'1-2-3 Model'!$I$19</definedName>
    <definedName name="Pe0">'1-2-3 Model'!$H$19</definedName>
    <definedName name="PEEQ">'1-2-3 Model'!$M$18</definedName>
    <definedName name="Pm">'1-2-3 Model'!$I$18</definedName>
    <definedName name="Pm0">'1-2-3 Model'!$H$18</definedName>
    <definedName name="PMEQ">'1-2-3 Model'!$M$17</definedName>
    <definedName name="Pq">'1-2-3 Model'!$I$21</definedName>
    <definedName name="Pq0">'1-2-3 Model'!$H$21</definedName>
    <definedName name="PQEQ">'1-2-3 Model'!$M$21</definedName>
    <definedName name="_xlnm.Print_Area" localSheetId="2">'1-2-3 Model'!$K$3:$M$28</definedName>
    <definedName name="Pt">'1-2-3 Model'!$I$20</definedName>
    <definedName name="Pt0">'1-2-3 Model'!$H$20</definedName>
    <definedName name="PTEQ">'1-2-3 Model'!$M$19</definedName>
    <definedName name="Px">'1-2-3 Model'!$I$22</definedName>
    <definedName name="Px0">'1-2-3 Model'!$H$22</definedName>
    <definedName name="PXEQ">'1-2-3 Model'!$M$20</definedName>
    <definedName name="Qd">'1-2-3 Model'!$I$11</definedName>
    <definedName name="Qd0">'1-2-3 Model'!$H$11</definedName>
    <definedName name="QEQ">'1-2-3 Model'!$M$25</definedName>
    <definedName name="Qs">'1-2-3 Model'!$I$10</definedName>
    <definedName name="Qs0">'1-2-3 Model'!$H$10</definedName>
    <definedName name="re">'1-2-3 Model'!$F$18</definedName>
    <definedName name="re0">'1-2-3 Model'!$E$18</definedName>
    <definedName name="REQ">'1-2-3 Model'!$M$22</definedName>
    <definedName name="rq">'1-2-3 Model'!$C$15</definedName>
    <definedName name="rt">'1-2-3 Model'!$C$11</definedName>
    <definedName name="S">'1-2-3 Model'!$I$15</definedName>
    <definedName name="S0">'1-2-3 Model'!$H$15</definedName>
    <definedName name="SAV">'1-2-3 Model'!$M$14</definedName>
    <definedName name="scen_change" localSheetId="2" hidden="1">'1-2-3 Model'!$I$6:$I$10,'1-2-3 Model'!$I$22:$I$25,'1-2-3 Model'!$I$14:$I$27</definedName>
    <definedName name="scen_result" localSheetId="2" hidden="1">'1-2-3 Model'!#REF!,'1-2-3 Model'!#REF!,'1-2-3 Model'!#REF!,'1-2-3 Model'!$M$6,'1-2-3 Model'!$M$9,'1-2-3 Model'!$M$20,'1-2-3 Model'!$M$7,'1-2-3 Model'!$M$10,'1-2-3 Model'!$M$21,'1-2-3 Model'!$M$13,'1-2-3 Model'!$M$15,'1-2-3 Model'!$M$26,'1-2-3 Model'!$M$8,'1-2-3 Model'!$M$27</definedName>
    <definedName name="Sg">'1-2-3 Model'!$I$27</definedName>
    <definedName name="Sg0">'1-2-3 Model'!$H$27</definedName>
    <definedName name="solver_adj" localSheetId="2" hidden="1">'1-2-3 Model'!$I$6,'1-2-3 Model'!$I$7,'1-2-3 Model'!$I$8,'1-2-3 Model'!$I$9,'1-2-3 Model'!$I$10,'1-2-3 Model'!$I$11,'1-2-3 Model'!$I$13,'1-2-3 Model'!$I$14,'1-2-3 Model'!$I$15,'1-2-3 Model'!$I$16,'1-2-3 Model'!$I$18,'1-2-3 Model'!$I$19,'1-2-3 Model'!$I$20,'1-2-3 Model'!$I$21,'1-2-3 Model'!$I$22,'1-2-3 Model'!$I$23,'1-2-3 Model'!$I$26,'1-2-3 Model'!$I$27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500</definedName>
    <definedName name="solver_lhs1" localSheetId="2" hidden="1">'1-2-3 Model'!$M$6</definedName>
    <definedName name="solver_lhs10" localSheetId="2" hidden="1">'1-2-3 Model'!$M$27</definedName>
    <definedName name="solver_lhs11" localSheetId="2" hidden="1">'1-2-3 Model'!$M$12</definedName>
    <definedName name="solver_lhs12" localSheetId="2" hidden="1">'1-2-3 Model'!$M$14</definedName>
    <definedName name="solver_lhs13" localSheetId="2" hidden="1">'1-2-3 Model'!$M$17</definedName>
    <definedName name="solver_lhs14" localSheetId="2" hidden="1">'1-2-3 Model'!$M$18</definedName>
    <definedName name="solver_lhs15" localSheetId="2" hidden="1">'1-2-3 Model'!$M$19</definedName>
    <definedName name="solver_lhs16" localSheetId="2" hidden="1">'1-2-3 Model'!$M$20</definedName>
    <definedName name="solver_lhs17" localSheetId="2" hidden="1">'1-2-3 Model'!$M$24</definedName>
    <definedName name="solver_lhs18" localSheetId="2" hidden="1">'1-2-3 Model'!$M$25</definedName>
    <definedName name="solver_lhs19" localSheetId="2" hidden="1">'1-2-3 Model'!$M$22</definedName>
    <definedName name="solver_lhs2" localSheetId="2" hidden="1">'1-2-3 Model'!$M$9</definedName>
    <definedName name="solver_lhs3" localSheetId="2" hidden="1">'1-2-3 Model'!$M$7</definedName>
    <definedName name="solver_lhs4" localSheetId="2" hidden="1">'1-2-3 Model'!$M$10</definedName>
    <definedName name="solver_lhs5" localSheetId="2" hidden="1">'1-2-3 Model'!$M$21</definedName>
    <definedName name="solver_lhs6" localSheetId="2" hidden="1">'1-2-3 Model'!$M$13</definedName>
    <definedName name="solver_lhs7" localSheetId="2" hidden="1">'1-2-3 Model'!$M$15</definedName>
    <definedName name="solver_lhs8" localSheetId="2" hidden="1">'1-2-3 Model'!$M$26</definedName>
    <definedName name="solver_lhs9" localSheetId="2" hidden="1">'1-2-3 Model'!$M$8</definedName>
    <definedName name="solver_lin" localSheetId="2" hidden="1">2</definedName>
    <definedName name="solver_neg" localSheetId="2" hidden="1">2</definedName>
    <definedName name="solver_num" localSheetId="2" hidden="1">19</definedName>
    <definedName name="solver_nwt" localSheetId="2" hidden="1">1</definedName>
    <definedName name="solver_opt" localSheetId="2" hidden="1">'1-2-3 Model'!$I$16</definedName>
    <definedName name="solver_pre" localSheetId="2" hidden="1">0.001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16" localSheetId="2" hidden="1">2</definedName>
    <definedName name="solver_rel17" localSheetId="2" hidden="1">2</definedName>
    <definedName name="solver_rel18" localSheetId="2" hidden="1">2</definedName>
    <definedName name="solver_rel19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X</definedName>
    <definedName name="solver_rhs10" localSheetId="2" hidden="1">Sg</definedName>
    <definedName name="solver_rhs11" localSheetId="2" hidden="1">Tax</definedName>
    <definedName name="solver_rhs12" localSheetId="2" hidden="1">S</definedName>
    <definedName name="solver_rhs13" localSheetId="2" hidden="1">Pm</definedName>
    <definedName name="solver_rhs14" localSheetId="2" hidden="1">Pe</definedName>
    <definedName name="solver_rhs15" localSheetId="2" hidden="1">Pt</definedName>
    <definedName name="solver_rhs16" localSheetId="2" hidden="1">Px</definedName>
    <definedName name="solver_rhs17" localSheetId="2" hidden="1">0</definedName>
    <definedName name="solver_rhs18" localSheetId="2" hidden="1">0</definedName>
    <definedName name="solver_rhs19" localSheetId="2" hidden="1">Er</definedName>
    <definedName name="solver_rhs2" localSheetId="2" hidden="1">E/Ds</definedName>
    <definedName name="solver_rhs3" localSheetId="2" hidden="1">Qs</definedName>
    <definedName name="solver_rhs4" localSheetId="2" hidden="1">M/Dd</definedName>
    <definedName name="solver_rhs5" localSheetId="2" hidden="1">Pq</definedName>
    <definedName name="solver_rhs6" localSheetId="2" hidden="1">Y</definedName>
    <definedName name="solver_rhs7" localSheetId="2" hidden="1">Cn</definedName>
    <definedName name="solver_rhs8" localSheetId="2" hidden="1">B</definedName>
    <definedName name="solver_rhs9" localSheetId="2" hidden="1">Qd</definedName>
    <definedName name="solver_scl" localSheetId="2" hidden="1">2</definedName>
    <definedName name="solver_sho" localSheetId="2" hidden="1">2</definedName>
    <definedName name="solver_tim" localSheetId="2" hidden="1">300</definedName>
    <definedName name="solver_tmp" localSheetId="2" hidden="1">Er</definedName>
    <definedName name="solver_tol" localSheetId="2" hidden="1">0.05</definedName>
    <definedName name="solver_typ" localSheetId="2" hidden="1">1</definedName>
    <definedName name="solver_val" localSheetId="2" hidden="1">0</definedName>
    <definedName name="sq">'1-2-3 Model'!$C$7</definedName>
    <definedName name="st">'1-2-3 Model'!$C$6</definedName>
    <definedName name="sy">'1-2-3 Model'!$F$14</definedName>
    <definedName name="sy0">'1-2-3 Model'!$E$14</definedName>
    <definedName name="Tax">'1-2-3 Model'!$I$13</definedName>
    <definedName name="Tax0">'1-2-3 Model'!$H$13</definedName>
    <definedName name="TAXEQ">'1-2-3 Model'!$M$12</definedName>
    <definedName name="te">'1-2-3 Model'!$F$10</definedName>
    <definedName name="te0">'1-2-3 Model'!$E$10</definedName>
    <definedName name="tm">'1-2-3 Model'!$F$9</definedName>
    <definedName name="tm0">'1-2-3 Model'!$E$9</definedName>
    <definedName name="tr">'1-2-3 Model'!$F$16</definedName>
    <definedName name="tr0">'1-2-3 Model'!$E$16</definedName>
    <definedName name="ts">'1-2-3 Model'!$F$11</definedName>
    <definedName name="ts0">'1-2-3 Model'!$E$11</definedName>
    <definedName name="ty">'1-2-3 Model'!$F$12</definedName>
    <definedName name="ty0">'1-2-3 Model'!$E$12</definedName>
    <definedName name="we">'1-2-3 Model'!$F$7</definedName>
    <definedName name="we0">'1-2-3 Model'!$E$7</definedName>
    <definedName name="wm">'1-2-3 Model'!$F$6</definedName>
    <definedName name="wm0">'1-2-3 Model'!$E$6</definedName>
    <definedName name="wrn.table1." localSheetId="2" hidden="1">{#N/A,#N/A,FALSE}</definedName>
    <definedName name="X">'1-2-3 Model'!$F$20</definedName>
    <definedName name="X0">'1-2-3 Model'!$E$20</definedName>
    <definedName name="Y">'1-2-3 Model'!$I$14</definedName>
    <definedName name="Y0">'1-2-3 Model'!$H$14</definedName>
    <definedName name="Z">'1-2-3 Model'!$I$26</definedName>
    <definedName name="Z0">'1-2-3 Model'!$H$26</definedName>
  </definedName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E6" i="1"/>
  <c r="F6"/>
  <c r="H6"/>
  <c r="J6"/>
  <c r="M6"/>
  <c r="E7"/>
  <c r="F7"/>
  <c r="H7"/>
  <c r="J7"/>
  <c r="M7"/>
  <c r="Q7"/>
  <c r="U7"/>
  <c r="H8"/>
  <c r="J8"/>
  <c r="M8"/>
  <c r="Q8"/>
  <c r="T8"/>
  <c r="U8"/>
  <c r="C9"/>
  <c r="E9"/>
  <c r="F9"/>
  <c r="H9"/>
  <c r="J9"/>
  <c r="M9"/>
  <c r="T9"/>
  <c r="U9"/>
  <c r="C10"/>
  <c r="E10"/>
  <c r="F10"/>
  <c r="H10"/>
  <c r="J10"/>
  <c r="M10"/>
  <c r="Q10"/>
  <c r="U10"/>
  <c r="C11"/>
  <c r="E11"/>
  <c r="F11"/>
  <c r="H11"/>
  <c r="J11"/>
  <c r="Q11"/>
  <c r="U11"/>
  <c r="E12"/>
  <c r="F12"/>
  <c r="M12"/>
  <c r="Q12"/>
  <c r="U12"/>
  <c r="C13"/>
  <c r="H13"/>
  <c r="J13"/>
  <c r="M13"/>
  <c r="Q13"/>
  <c r="U13"/>
  <c r="C14"/>
  <c r="E14"/>
  <c r="F14"/>
  <c r="H14"/>
  <c r="J14"/>
  <c r="M14"/>
  <c r="Q14"/>
  <c r="T14"/>
  <c r="U14"/>
  <c r="C15"/>
  <c r="E15"/>
  <c r="F15"/>
  <c r="H15"/>
  <c r="J15"/>
  <c r="M15"/>
  <c r="Q15"/>
  <c r="E16"/>
  <c r="F16"/>
  <c r="H16"/>
  <c r="J16"/>
  <c r="E17"/>
  <c r="F17"/>
  <c r="M17"/>
  <c r="E18"/>
  <c r="F18"/>
  <c r="J18"/>
  <c r="M18"/>
  <c r="Q18"/>
  <c r="T18"/>
  <c r="U18"/>
  <c r="E19"/>
  <c r="F19"/>
  <c r="J19"/>
  <c r="M19"/>
  <c r="Q19"/>
  <c r="U19"/>
  <c r="F20"/>
  <c r="H20"/>
  <c r="J20"/>
  <c r="M20"/>
  <c r="Q20"/>
  <c r="U20"/>
  <c r="J21"/>
  <c r="M21"/>
  <c r="Q21"/>
  <c r="U21"/>
  <c r="J22"/>
  <c r="M22"/>
  <c r="Q22"/>
  <c r="U22"/>
  <c r="J23"/>
  <c r="Q23"/>
  <c r="U23"/>
  <c r="J24"/>
  <c r="M24"/>
  <c r="P24"/>
  <c r="Q24"/>
  <c r="M25"/>
  <c r="U25"/>
  <c r="H26"/>
  <c r="J26"/>
  <c r="M26"/>
  <c r="U26"/>
  <c r="H27"/>
  <c r="J27"/>
  <c r="M27"/>
  <c r="H28"/>
  <c r="I28"/>
  <c r="B4" i="3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</calcChain>
</file>

<file path=xl/sharedStrings.xml><?xml version="1.0" encoding="utf-8"?>
<sst xmlns="http://schemas.openxmlformats.org/spreadsheetml/2006/main" count="145" uniqueCount="135">
  <si>
    <t>Parameters</t>
  </si>
  <si>
    <t>Exogenous Variables</t>
  </si>
  <si>
    <t>Base Year</t>
  </si>
  <si>
    <t>Current</t>
  </si>
  <si>
    <t>Endogenous Variables</t>
  </si>
  <si>
    <t>Cur/Base</t>
  </si>
  <si>
    <t>Eq.#</t>
  </si>
  <si>
    <t>Equations</t>
  </si>
  <si>
    <t>Real Flows</t>
  </si>
  <si>
    <t>Output=1</t>
  </si>
  <si>
    <t>Elasticity for CET  (st)</t>
  </si>
  <si>
    <t>World Price of Imports (wm)</t>
  </si>
  <si>
    <t>Export Good (E)</t>
  </si>
  <si>
    <t>CET  Transformation (CETEQ)</t>
  </si>
  <si>
    <t>National Accounts</t>
  </si>
  <si>
    <t>Fiscal Account</t>
  </si>
  <si>
    <t>Elasticity for CES/Q (sq)</t>
  </si>
  <si>
    <t>World Price of Exports (we)</t>
  </si>
  <si>
    <t>Import Good (M)</t>
  </si>
  <si>
    <t>Supply of Goods (ARMG)</t>
  </si>
  <si>
    <t xml:space="preserve"> Output (Value Added)</t>
  </si>
  <si>
    <t>Revenue</t>
  </si>
  <si>
    <t>Supply of Domestic Good (Ds)</t>
  </si>
  <si>
    <t>Domestic Demand (DEM)</t>
  </si>
  <si>
    <t xml:space="preserve">  Wages</t>
  </si>
  <si>
    <t xml:space="preserve">  NonTax</t>
  </si>
  <si>
    <t>Scale for CET (at)</t>
  </si>
  <si>
    <t>Demand of Domestic Good (Dd)</t>
  </si>
  <si>
    <t>E/D Ratio (EDRAT)</t>
  </si>
  <si>
    <t>Current Expenditure</t>
  </si>
  <si>
    <t>Share for CET (bt)</t>
  </si>
  <si>
    <t>Export Duties (te)</t>
  </si>
  <si>
    <t>Supply of Composite Good (Qs)</t>
  </si>
  <si>
    <t>M/D Ratio (MDRAT)</t>
  </si>
  <si>
    <t>GDP at  market prices</t>
  </si>
  <si>
    <t xml:space="preserve">  Goods &amp; Services</t>
  </si>
  <si>
    <t>Rho for CET (rt)</t>
  </si>
  <si>
    <t>Indirect Taxes (ts)</t>
  </si>
  <si>
    <t>Demand of Composite Good (Qd)</t>
  </si>
  <si>
    <t>Nominal Flows</t>
  </si>
  <si>
    <t xml:space="preserve">  Private Consumption</t>
  </si>
  <si>
    <t xml:space="preserve">  Interest Payments</t>
  </si>
  <si>
    <t xml:space="preserve">Direct Taxes (ty) </t>
  </si>
  <si>
    <t>Revenue Equation (TAXEQ)</t>
  </si>
  <si>
    <t xml:space="preserve">  Public Consumption</t>
  </si>
  <si>
    <t xml:space="preserve">  Transfers &amp; Subsidies</t>
  </si>
  <si>
    <t>Scale for CES/Q (aq)</t>
  </si>
  <si>
    <t>Tax Revenue (TAX)</t>
  </si>
  <si>
    <t>Total Income Equation (INC)</t>
  </si>
  <si>
    <t xml:space="preserve">  Investment</t>
  </si>
  <si>
    <t>Capital Expenditure</t>
  </si>
  <si>
    <t>Share for CES/Q (bq)</t>
  </si>
  <si>
    <t>Savings rate (sy)</t>
  </si>
  <si>
    <t>Total Income (Y)</t>
  </si>
  <si>
    <t xml:space="preserve"> Savings Equation (SAV)</t>
  </si>
  <si>
    <t xml:space="preserve">  Exports</t>
  </si>
  <si>
    <t>Fiscal Balance</t>
  </si>
  <si>
    <t>Rho for CES/Q (rq)</t>
  </si>
  <si>
    <t>Govt. Consumption (G)</t>
  </si>
  <si>
    <t>Aggregate Savings (S)</t>
  </si>
  <si>
    <t>Consumption Function (CONS)</t>
  </si>
  <si>
    <t xml:space="preserve">  Imports</t>
  </si>
  <si>
    <t xml:space="preserve"> </t>
  </si>
  <si>
    <t>Govt. Transfers (tr)</t>
  </si>
  <si>
    <t>Consumption (Cn)</t>
  </si>
  <si>
    <t>Prices</t>
  </si>
  <si>
    <t>Foreign Grants (ft)</t>
  </si>
  <si>
    <t>Import Price Equation (PMEQ)</t>
  </si>
  <si>
    <t>Tax Revenue</t>
  </si>
  <si>
    <t>Balance of Payments</t>
  </si>
  <si>
    <t>Net Priv  Remittances (re)</t>
  </si>
  <si>
    <t>Import Price (Pm)</t>
  </si>
  <si>
    <t>Export Price Equation (PEEQ)</t>
  </si>
  <si>
    <t xml:space="preserve">  Sales &amp; Excise Tax</t>
  </si>
  <si>
    <t>Exports - Imports</t>
  </si>
  <si>
    <t>Foreign Saving (B)</t>
  </si>
  <si>
    <t>Export Price (Pe)</t>
  </si>
  <si>
    <t>Sales Price Equation (PTEQ)</t>
  </si>
  <si>
    <t xml:space="preserve">  Import Tariffs</t>
  </si>
  <si>
    <t>Output (X)</t>
  </si>
  <si>
    <t>Sales Price (Pt)</t>
  </si>
  <si>
    <t>Output Price Equation (PXEQ)</t>
  </si>
  <si>
    <t xml:space="preserve">  Export Duties</t>
  </si>
  <si>
    <t>Price of Supply (Pq)</t>
  </si>
  <si>
    <t>Supply Price Equation (PQEQ)</t>
  </si>
  <si>
    <t xml:space="preserve">  Payroll Tax</t>
  </si>
  <si>
    <t>Net Private Transfers</t>
  </si>
  <si>
    <t>Price of Output (Px)</t>
  </si>
  <si>
    <t>Numeraire (REQ)</t>
  </si>
  <si>
    <t xml:space="preserve">  Personal Income Tax</t>
  </si>
  <si>
    <t>Net Official Transfers</t>
  </si>
  <si>
    <t>Price of Dom. Good (Pd)</t>
  </si>
  <si>
    <t>Equilibrium Conditions</t>
  </si>
  <si>
    <t xml:space="preserve">  Capital Income Tax</t>
  </si>
  <si>
    <t>Current Account Balance</t>
  </si>
  <si>
    <t>Exchange Rate (Er)</t>
  </si>
  <si>
    <t>Domestic Good Market (DEQ)</t>
  </si>
  <si>
    <t>Total</t>
  </si>
  <si>
    <t>Composite Good Market (QEQ)</t>
  </si>
  <si>
    <t>External Debt</t>
  </si>
  <si>
    <t>Investment (Z)</t>
  </si>
  <si>
    <t>Current Account  Balance (CABAL)</t>
  </si>
  <si>
    <t>Debt   Service Payments</t>
  </si>
  <si>
    <t>Government Savings (Sg)</t>
  </si>
  <si>
    <t>Government Budget (GBUD)</t>
  </si>
  <si>
    <t>Walras Law (Z-S)</t>
  </si>
  <si>
    <r>
      <t>Chapter 6 of</t>
    </r>
    <r>
      <rPr>
        <i/>
        <sz val="10"/>
        <rFont val="MS Sans Serif"/>
        <family val="2"/>
      </rPr>
      <t xml:space="preserve"> Applied methods in trade policy analysis: A  Handbook</t>
    </r>
    <r>
      <rPr>
        <sz val="10"/>
        <rFont val="MS Sans Serif"/>
      </rPr>
      <t>,</t>
    </r>
  </si>
  <si>
    <t>note:  use "solver", under the "Tools" menu.  Solver settings have been set.</t>
  </si>
  <si>
    <t>This workbook contains an Excel spreadsheet version of the 123 CGE model of</t>
  </si>
  <si>
    <t>J.F. Francois and K.A. Reinert, eds., Cambridge University Press.</t>
  </si>
  <si>
    <t>This version of the model should work with Excel 5.0/95 and Excel97.</t>
  </si>
  <si>
    <t>Consumption</t>
  </si>
  <si>
    <t>Aggregate Savings</t>
  </si>
  <si>
    <t>Benchmark</t>
  </si>
  <si>
    <t>Experiment</t>
  </si>
  <si>
    <t>Government Savings</t>
  </si>
  <si>
    <t>Exports</t>
  </si>
  <si>
    <t>Imports</t>
  </si>
  <si>
    <t>Macro Indicators</t>
  </si>
  <si>
    <t>(Relative to benchmark value added)</t>
  </si>
  <si>
    <t>Income</t>
  </si>
  <si>
    <t>% change</t>
  </si>
  <si>
    <t>The original model was written by Devarajan, Go, Lewis, Robinson, and Sinko.</t>
  </si>
  <si>
    <t>Devarajan-Go-Lewis-Robinson-Sinko (1997), as developed in</t>
  </si>
  <si>
    <t>Net profits, dividends, investment income</t>
  </si>
  <si>
    <t>Data - Egypt, 1998</t>
  </si>
  <si>
    <t>1-2-3 (CGE) Model for Egypt, 1998</t>
  </si>
  <si>
    <t>last modified:  June 2001 (J.F. Francois).</t>
  </si>
  <si>
    <t>a zero percent rate applied to services.  The</t>
  </si>
  <si>
    <t>rate for merchandise is 13.7 percent</t>
  </si>
  <si>
    <r>
      <t>1</t>
    </r>
    <r>
      <rPr>
        <sz val="10"/>
        <rFont val="MS Sans Serif"/>
      </rPr>
      <t>/ NOTE: Import tariff is an average, including</t>
    </r>
  </si>
  <si>
    <r>
      <t xml:space="preserve">Import Tariffs (tm ) </t>
    </r>
    <r>
      <rPr>
        <u/>
        <sz val="10"/>
        <rFont val="MS Sans Serif"/>
        <family val="2"/>
      </rPr>
      <t>1</t>
    </r>
    <r>
      <rPr>
        <sz val="10"/>
        <rFont val="MS Sans Serif"/>
      </rPr>
      <t>/</t>
    </r>
  </si>
  <si>
    <t>based on the 123 model from Devarajan-Go-Lewis-Robnson-Sinko (1997), with data from the World Bank's WDI database.</t>
  </si>
  <si>
    <t>$ US Billion</t>
  </si>
  <si>
    <t>**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</si>
</sst>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10"/>
      <name val="MS Sans Serif"/>
    </font>
    <font>
      <b/>
      <sz val="10"/>
      <name val="MS Sans Serif"/>
    </font>
    <font>
      <sz val="10"/>
      <name val="MS Sans Serif"/>
    </font>
    <font>
      <i/>
      <sz val="10"/>
      <name val="MS Sans Serif"/>
    </font>
    <font>
      <b/>
      <sz val="12"/>
      <color indexed="62"/>
      <name val="MS Sans Serif"/>
      <family val="2"/>
    </font>
    <font>
      <i/>
      <sz val="10"/>
      <name val="MS Sans Serif"/>
      <family val="2"/>
    </font>
    <font>
      <b/>
      <sz val="10"/>
      <color indexed="10"/>
      <name val="Tms Rmn"/>
    </font>
    <font>
      <b/>
      <sz val="10"/>
      <name val="MS Sans Serif"/>
      <family val="2"/>
    </font>
    <font>
      <sz val="8.5"/>
      <name val="MS Sans Serif"/>
      <family val="2"/>
    </font>
    <font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Continuous"/>
    </xf>
    <xf numFmtId="2" fontId="2" fillId="0" borderId="0" xfId="0" applyNumberFormat="1" applyFont="1"/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/>
    <xf numFmtId="1" fontId="2" fillId="0" borderId="0" xfId="0" applyNumberFormat="1" applyFont="1"/>
    <xf numFmtId="2" fontId="4" fillId="0" borderId="0" xfId="0" applyNumberFormat="1" applyFont="1" applyAlignment="1">
      <alignment horizontal="centerContinuous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1" fillId="0" borderId="5" xfId="0" applyNumberFormat="1" applyFont="1" applyBorder="1"/>
    <xf numFmtId="2" fontId="2" fillId="0" borderId="6" xfId="0" applyNumberFormat="1" applyFont="1" applyBorder="1"/>
    <xf numFmtId="2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Continuous"/>
    </xf>
    <xf numFmtId="2" fontId="2" fillId="0" borderId="7" xfId="0" applyNumberFormat="1" applyFont="1" applyBorder="1"/>
    <xf numFmtId="2" fontId="2" fillId="0" borderId="8" xfId="0" applyNumberFormat="1" applyFont="1" applyBorder="1" applyAlignment="1">
      <alignment horizontal="centerContinuous"/>
    </xf>
    <xf numFmtId="2" fontId="2" fillId="0" borderId="6" xfId="0" applyNumberFormat="1" applyFont="1" applyBorder="1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2" fontId="2" fillId="0" borderId="7" xfId="0" applyNumberFormat="1" applyFont="1" applyBorder="1" applyAlignment="1">
      <alignment horizontal="centerContinuous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left"/>
    </xf>
    <xf numFmtId="1" fontId="2" fillId="0" borderId="1" xfId="0" applyNumberFormat="1" applyFont="1" applyBorder="1"/>
    <xf numFmtId="1" fontId="2" fillId="0" borderId="0" xfId="0" applyNumberFormat="1" applyFont="1" applyBorder="1"/>
    <xf numFmtId="2" fontId="1" fillId="0" borderId="0" xfId="0" applyNumberFormat="1" applyFont="1" applyBorder="1"/>
    <xf numFmtId="0" fontId="2" fillId="0" borderId="0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2" fontId="2" fillId="0" borderId="0" xfId="0" quotePrefix="1" applyNumberFormat="1" applyFont="1" applyBorder="1" applyAlignment="1">
      <alignment horizontal="left"/>
    </xf>
    <xf numFmtId="2" fontId="2" fillId="0" borderId="0" xfId="0" applyNumberFormat="1" applyFont="1" applyBorder="1" applyAlignment="1"/>
    <xf numFmtId="2" fontId="1" fillId="0" borderId="0" xfId="0" applyNumberFormat="1" applyFont="1" applyBorder="1" applyAlignment="1"/>
    <xf numFmtId="1" fontId="2" fillId="0" borderId="3" xfId="0" applyNumberFormat="1" applyFont="1" applyBorder="1"/>
    <xf numFmtId="1" fontId="2" fillId="0" borderId="7" xfId="0" applyNumberFormat="1" applyFont="1" applyBorder="1"/>
    <xf numFmtId="1" fontId="2" fillId="0" borderId="5" xfId="0" applyNumberFormat="1" applyFont="1" applyBorder="1"/>
    <xf numFmtId="2" fontId="2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centerContinuous"/>
    </xf>
    <xf numFmtId="1" fontId="2" fillId="0" borderId="8" xfId="0" applyNumberFormat="1" applyFont="1" applyBorder="1"/>
    <xf numFmtId="2" fontId="2" fillId="0" borderId="8" xfId="0" applyNumberFormat="1" applyFont="1" applyBorder="1"/>
    <xf numFmtId="0" fontId="6" fillId="0" borderId="0" xfId="0" applyFont="1"/>
    <xf numFmtId="2" fontId="2" fillId="0" borderId="0" xfId="0" applyNumberFormat="1" applyFont="1" applyAlignment="1"/>
    <xf numFmtId="0" fontId="7" fillId="0" borderId="0" xfId="0" applyFont="1"/>
    <xf numFmtId="2" fontId="0" fillId="0" borderId="0" xfId="0" applyNumberFormat="1"/>
    <xf numFmtId="0" fontId="0" fillId="0" borderId="8" xfId="0" applyBorder="1"/>
    <xf numFmtId="2" fontId="0" fillId="0" borderId="7" xfId="0" applyNumberFormat="1" applyBorder="1"/>
    <xf numFmtId="2" fontId="8" fillId="0" borderId="7" xfId="0" applyNumberFormat="1" applyFont="1" applyBorder="1"/>
    <xf numFmtId="2" fontId="9" fillId="0" borderId="1" xfId="0" applyNumberFormat="1" applyFont="1" applyBorder="1"/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0" borderId="0" xfId="0" applyNumberFormat="1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Macro Effects Summary</a:t>
            </a:r>
          </a:p>
        </c:rich>
      </c:tx>
      <c:layout>
        <c:manualLayout>
          <c:xMode val="edge"/>
          <c:yMode val="edge"/>
          <c:x val="0.25988772258927711"/>
          <c:y val="4.6154077294056961E-2"/>
        </c:manualLayout>
      </c:layout>
      <c:spPr>
        <a:noFill/>
        <a:ln w="25400">
          <a:noFill/>
        </a:ln>
      </c:spPr>
    </c:title>
    <c:view3D>
      <c:hPercent val="28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203478668671293"/>
          <c:y val="0.26153977133298945"/>
          <c:w val="0.60734630822494107"/>
          <c:h val="0.48718192699282348"/>
        </c:manualLayout>
      </c:layout>
      <c:bar3DChart>
        <c:barDir val="bar"/>
        <c:grouping val="clustered"/>
        <c:ser>
          <c:idx val="0"/>
          <c:order val="0"/>
          <c:tx>
            <c:strRef>
              <c:f>'Macro Results Summary'!$B$3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'Macro Results Summary'!$A$4:$A$6</c:f>
              <c:strCache>
                <c:ptCount val="3"/>
                <c:pt idx="0">
                  <c:v>Income</c:v>
                </c:pt>
                <c:pt idx="1">
                  <c:v>Consumption</c:v>
                </c:pt>
                <c:pt idx="2">
                  <c:v>Aggregate Savings</c:v>
                </c:pt>
              </c:strCache>
            </c:strRef>
          </c:cat>
          <c:val>
            <c:numRef>
              <c:f>'Macro Results Summary'!$B$4:$B$6</c:f>
              <c:numCache>
                <c:formatCode>0.00</c:formatCode>
                <c:ptCount val="3"/>
                <c:pt idx="0">
                  <c:v>1.080200959740635</c:v>
                </c:pt>
                <c:pt idx="1">
                  <c:v>0.7686892664136149</c:v>
                </c:pt>
                <c:pt idx="2">
                  <c:v>0.22586515641068844</c:v>
                </c:pt>
              </c:numCache>
            </c:numRef>
          </c:val>
        </c:ser>
        <c:ser>
          <c:idx val="1"/>
          <c:order val="1"/>
          <c:tx>
            <c:strRef>
              <c:f>'Macro Results Summary'!$C$3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'Macro Results Summary'!$A$4:$A$6</c:f>
              <c:strCache>
                <c:ptCount val="3"/>
                <c:pt idx="0">
                  <c:v>Income</c:v>
                </c:pt>
                <c:pt idx="1">
                  <c:v>Consumption</c:v>
                </c:pt>
                <c:pt idx="2">
                  <c:v>Aggregate Savings</c:v>
                </c:pt>
              </c:strCache>
            </c:strRef>
          </c:cat>
          <c:val>
            <c:numRef>
              <c:f>'Macro Results Summary'!$C$4:$C$6</c:f>
              <c:numCache>
                <c:formatCode>0.00</c:formatCode>
                <c:ptCount val="3"/>
                <c:pt idx="0">
                  <c:v>1.0791207587808942</c:v>
                </c:pt>
                <c:pt idx="1">
                  <c:v>0.76868926638576196</c:v>
                </c:pt>
                <c:pt idx="2">
                  <c:v>0.22563929126133114</c:v>
                </c:pt>
              </c:numCache>
            </c:numRef>
          </c:val>
        </c:ser>
        <c:shape val="box"/>
        <c:axId val="95749632"/>
        <c:axId val="95949184"/>
        <c:axId val="0"/>
      </c:bar3DChart>
      <c:catAx>
        <c:axId val="95749632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49184"/>
        <c:crosses val="autoZero"/>
        <c:auto val="1"/>
        <c:lblAlgn val="ctr"/>
        <c:lblOffset val="100"/>
        <c:tickLblSkip val="1"/>
        <c:tickMarkSkip val="1"/>
      </c:catAx>
      <c:valAx>
        <c:axId val="9594918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4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36232223892742"/>
          <c:y val="0.81538869886167298"/>
          <c:w val="0.46045324763100182"/>
          <c:h val="9.230815458811392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10</xdr:row>
      <xdr:rowOff>57150</xdr:rowOff>
    </xdr:from>
    <xdr:to>
      <xdr:col>3</xdr:col>
      <xdr:colOff>66675</xdr:colOff>
      <xdr:row>21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workbookViewId="0">
      <selection activeCell="D16" sqref="D16"/>
    </sheetView>
  </sheetViews>
  <sheetFormatPr defaultRowHeight="12.75"/>
  <sheetData>
    <row r="1" spans="1:3" ht="15.75">
      <c r="B1" s="10"/>
      <c r="C1" s="10" t="s">
        <v>126</v>
      </c>
    </row>
    <row r="3" spans="1:3">
      <c r="A3" t="s">
        <v>108</v>
      </c>
    </row>
    <row r="4" spans="1:3">
      <c r="A4" s="60" t="s">
        <v>123</v>
      </c>
    </row>
    <row r="5" spans="1:3">
      <c r="A5" t="s">
        <v>106</v>
      </c>
    </row>
    <row r="6" spans="1:3">
      <c r="A6" t="s">
        <v>109</v>
      </c>
    </row>
    <row r="8" spans="1:3">
      <c r="A8" t="s">
        <v>110</v>
      </c>
    </row>
    <row r="10" spans="1:3">
      <c r="A10" t="s">
        <v>127</v>
      </c>
    </row>
    <row r="12" spans="1:3">
      <c r="A12" t="s">
        <v>122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showGridLines="0" zoomScaleNormal="100" workbookViewId="0"/>
  </sheetViews>
  <sheetFormatPr defaultRowHeight="12.75"/>
  <cols>
    <col min="1" max="1" width="35.7109375" customWidth="1"/>
    <col min="2" max="2" width="13.7109375" customWidth="1"/>
    <col min="3" max="3" width="13.5703125" customWidth="1"/>
    <col min="4" max="4" width="12.28515625" customWidth="1"/>
  </cols>
  <sheetData>
    <row r="1" spans="1:4">
      <c r="A1" s="61" t="s">
        <v>118</v>
      </c>
    </row>
    <row r="2" spans="1:4">
      <c r="A2" s="61" t="s">
        <v>119</v>
      </c>
    </row>
    <row r="3" spans="1:4">
      <c r="B3" s="63" t="s">
        <v>113</v>
      </c>
      <c r="C3" s="63" t="s">
        <v>114</v>
      </c>
      <c r="D3" s="63" t="s">
        <v>121</v>
      </c>
    </row>
    <row r="4" spans="1:4">
      <c r="A4" t="s">
        <v>120</v>
      </c>
      <c r="B4" s="62">
        <f ca="1">Y0</f>
        <v>1.080200959740635</v>
      </c>
      <c r="C4" s="62">
        <f ca="1">Y</f>
        <v>1.0791207587808942</v>
      </c>
      <c r="D4" s="62">
        <f t="shared" ref="D4:D10" si="0">(C4/B4-1)*100</f>
        <v>-0.10000000000002229</v>
      </c>
    </row>
    <row r="5" spans="1:4">
      <c r="A5" t="s">
        <v>111</v>
      </c>
      <c r="B5" s="62">
        <f ca="1">Cn0</f>
        <v>0.7686892664136149</v>
      </c>
      <c r="C5" s="62">
        <f ca="1">Cn</f>
        <v>0.76868926638576196</v>
      </c>
      <c r="D5" s="62">
        <f t="shared" si="0"/>
        <v>-3.6234348854691234E-9</v>
      </c>
    </row>
    <row r="6" spans="1:4">
      <c r="A6" t="s">
        <v>112</v>
      </c>
      <c r="B6" s="62">
        <f ca="1">S0</f>
        <v>0.22586515641068844</v>
      </c>
      <c r="C6" s="62">
        <f ca="1">S</f>
        <v>0.22563929126133114</v>
      </c>
      <c r="D6" s="62">
        <f t="shared" si="0"/>
        <v>-9.9999996877164765E-2</v>
      </c>
    </row>
    <row r="7" spans="1:4">
      <c r="A7" t="s">
        <v>115</v>
      </c>
      <c r="B7" s="62">
        <f ca="1">Sg0</f>
        <v>3.8149421703312279E-2</v>
      </c>
      <c r="C7" s="62">
        <f ca="1">Sg</f>
        <v>3.8111272281416551E-2</v>
      </c>
      <c r="D7" s="62">
        <f t="shared" si="0"/>
        <v>-0.10000000050437441</v>
      </c>
    </row>
    <row r="8" spans="1:4">
      <c r="A8" t="s">
        <v>68</v>
      </c>
      <c r="B8" s="62">
        <f ca="1">Tax0</f>
        <v>0.15116399999999999</v>
      </c>
      <c r="C8" s="62">
        <f ca="1">Tax</f>
        <v>0.15101283599980755</v>
      </c>
      <c r="D8" s="62">
        <f t="shared" si="0"/>
        <v>-0.10000000012730936</v>
      </c>
    </row>
    <row r="9" spans="1:4">
      <c r="A9" t="s">
        <v>116</v>
      </c>
      <c r="B9" s="62">
        <f ca="1">E0</f>
        <v>0.17953229050579714</v>
      </c>
      <c r="C9" s="62">
        <f ca="1">E</f>
        <v>0.17953229050579714</v>
      </c>
      <c r="D9" s="62">
        <f t="shared" si="0"/>
        <v>0</v>
      </c>
    </row>
    <row r="10" spans="1:4">
      <c r="A10" t="s">
        <v>117</v>
      </c>
      <c r="B10" s="64">
        <f ca="1">M0</f>
        <v>0.27225018861815914</v>
      </c>
      <c r="C10" s="64">
        <f ca="1">M</f>
        <v>0.27225018861815914</v>
      </c>
      <c r="D10" s="64">
        <f t="shared" si="0"/>
        <v>0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30"/>
  <sheetViews>
    <sheetView showGridLines="0" topLeftCell="K1" workbookViewId="0">
      <selection activeCell="V1" sqref="V1"/>
    </sheetView>
  </sheetViews>
  <sheetFormatPr defaultRowHeight="12.75"/>
  <cols>
    <col min="1" max="1" width="2.140625" style="2" customWidth="1"/>
    <col min="2" max="2" width="21.28515625" style="2" customWidth="1"/>
    <col min="3" max="3" width="4.42578125" style="2" customWidth="1"/>
    <col min="4" max="4" width="24" style="2" customWidth="1"/>
    <col min="5" max="5" width="9.5703125" style="2" customWidth="1"/>
    <col min="6" max="6" width="7.28515625" style="2" customWidth="1"/>
    <col min="7" max="7" width="29.28515625" style="2" customWidth="1"/>
    <col min="8" max="8" width="9.5703125" style="4" customWidth="1"/>
    <col min="9" max="9" width="7.28515625" style="4" customWidth="1"/>
    <col min="10" max="10" width="8.85546875" style="4" customWidth="1"/>
    <col min="11" max="11" width="5.28515625" style="5" customWidth="1"/>
    <col min="12" max="12" width="30.140625" style="2" customWidth="1"/>
    <col min="13" max="13" width="5.140625" style="2" customWidth="1"/>
    <col min="14" max="14" width="2" style="9" customWidth="1"/>
    <col min="15" max="15" width="21.7109375" style="2" customWidth="1"/>
    <col min="16" max="16" width="8.85546875" style="2" customWidth="1"/>
    <col min="17" max="17" width="8.7109375" style="2" customWidth="1"/>
    <col min="18" max="18" width="2" style="9" customWidth="1"/>
    <col min="19" max="19" width="21.7109375" style="2" customWidth="1"/>
    <col min="20" max="20" width="8.85546875" style="2" customWidth="1"/>
    <col min="21" max="21" width="8.7109375" style="2" customWidth="1"/>
    <col min="22" max="16384" width="9.140625" style="2"/>
  </cols>
  <sheetData>
    <row r="1" spans="2:22" ht="15.75">
      <c r="B1" s="68" t="s">
        <v>126</v>
      </c>
      <c r="C1" s="1"/>
      <c r="D1" s="1"/>
      <c r="F1" s="3"/>
      <c r="N1" s="6"/>
      <c r="O1" s="6"/>
      <c r="P1" s="6"/>
      <c r="Q1" s="6"/>
      <c r="R1" s="6"/>
      <c r="S1" s="6"/>
      <c r="T1" s="6"/>
      <c r="U1" s="6"/>
    </row>
    <row r="2" spans="2:22">
      <c r="B2" s="67" t="s">
        <v>132</v>
      </c>
      <c r="C2" s="3"/>
      <c r="D2" s="3"/>
      <c r="E2" s="7"/>
      <c r="F2" s="8"/>
    </row>
    <row r="3" spans="2:22">
      <c r="B3" s="59" t="s">
        <v>107</v>
      </c>
      <c r="E3" s="3"/>
      <c r="F3" s="3"/>
    </row>
    <row r="4" spans="2:22" ht="14.25" customHeight="1">
      <c r="B4" s="18" t="s">
        <v>0</v>
      </c>
      <c r="C4" s="19"/>
      <c r="D4" s="18" t="s">
        <v>1</v>
      </c>
      <c r="E4" s="27" t="s">
        <v>2</v>
      </c>
      <c r="F4" s="28" t="s">
        <v>3</v>
      </c>
      <c r="G4" s="18" t="s">
        <v>4</v>
      </c>
      <c r="H4" s="35" t="s">
        <v>2</v>
      </c>
      <c r="I4" s="35" t="s">
        <v>3</v>
      </c>
      <c r="J4" s="36" t="s">
        <v>5</v>
      </c>
      <c r="K4" s="42" t="s">
        <v>6</v>
      </c>
      <c r="L4" s="43" t="s">
        <v>7</v>
      </c>
      <c r="M4" s="19"/>
      <c r="N4" s="54"/>
      <c r="O4" s="43" t="s">
        <v>125</v>
      </c>
      <c r="P4" s="55"/>
      <c r="Q4" s="56"/>
      <c r="R4" s="57"/>
      <c r="S4" s="58"/>
      <c r="T4" s="58"/>
      <c r="U4" s="19"/>
    </row>
    <row r="5" spans="2:22">
      <c r="B5" s="11"/>
      <c r="C5" s="12"/>
      <c r="D5" s="11"/>
      <c r="E5" s="20"/>
      <c r="F5" s="13"/>
      <c r="G5" s="11"/>
      <c r="H5" s="22"/>
      <c r="I5" s="22"/>
      <c r="J5" s="23"/>
      <c r="K5" s="37"/>
      <c r="L5" s="38" t="s">
        <v>8</v>
      </c>
      <c r="M5" s="12"/>
      <c r="N5" s="44"/>
      <c r="O5" s="24"/>
      <c r="P5" s="69" t="s">
        <v>133</v>
      </c>
      <c r="Q5" s="20" t="s">
        <v>9</v>
      </c>
      <c r="R5" s="45"/>
      <c r="S5" s="24"/>
      <c r="T5" s="69" t="s">
        <v>133</v>
      </c>
      <c r="U5" s="13" t="s">
        <v>9</v>
      </c>
    </row>
    <row r="6" spans="2:22">
      <c r="B6" s="11" t="s">
        <v>10</v>
      </c>
      <c r="C6" s="13">
        <v>0.6</v>
      </c>
      <c r="D6" s="11" t="s">
        <v>11</v>
      </c>
      <c r="E6" s="20">
        <f ca="1">Pm0/Er0/(1+tm0)</f>
        <v>0.91457857157771372</v>
      </c>
      <c r="F6" s="13">
        <f ca="1">wm0</f>
        <v>0.91457857157771372</v>
      </c>
      <c r="G6" s="11" t="s">
        <v>12</v>
      </c>
      <c r="H6" s="22">
        <f>Q14</f>
        <v>0.17953229050579714</v>
      </c>
      <c r="I6" s="22">
        <v>0.17953229050579714</v>
      </c>
      <c r="J6" s="23">
        <f ca="1">E/E0</f>
        <v>1</v>
      </c>
      <c r="K6" s="37">
        <v>1</v>
      </c>
      <c r="L6" s="24" t="s">
        <v>13</v>
      </c>
      <c r="M6" s="13">
        <f ca="1">at*(bt*E^(rt)+(1-bt)*Ds^(rt))^(1/rt)</f>
        <v>1</v>
      </c>
      <c r="N6" s="44"/>
      <c r="O6" s="46" t="s">
        <v>14</v>
      </c>
      <c r="P6" s="47"/>
      <c r="Q6" s="47"/>
      <c r="R6" s="45">
        <v>3</v>
      </c>
      <c r="S6" s="46" t="s">
        <v>15</v>
      </c>
      <c r="T6" s="21"/>
      <c r="U6" s="48"/>
    </row>
    <row r="7" spans="2:22">
      <c r="B7" s="11" t="s">
        <v>16</v>
      </c>
      <c r="C7" s="13">
        <v>0.6</v>
      </c>
      <c r="D7" s="11" t="s">
        <v>17</v>
      </c>
      <c r="E7" s="20">
        <f ca="1">Pe0*(1+te0)/Er0</f>
        <v>1</v>
      </c>
      <c r="F7" s="13">
        <f ca="1">we0</f>
        <v>1</v>
      </c>
      <c r="G7" s="11" t="s">
        <v>18</v>
      </c>
      <c r="H7" s="22">
        <f>Q15 + Q19</f>
        <v>0.27225018861815914</v>
      </c>
      <c r="I7" s="22">
        <v>0.27225018861815914</v>
      </c>
      <c r="J7" s="23">
        <f ca="1">M/M0</f>
        <v>1</v>
      </c>
      <c r="K7" s="37">
        <v>2</v>
      </c>
      <c r="L7" s="24" t="s">
        <v>19</v>
      </c>
      <c r="M7" s="13">
        <f ca="1">aq*(bq*M^(-rq)+(1-bq)*Dd^(-rq))^(-1/rq)</f>
        <v>1.092717898112362</v>
      </c>
      <c r="N7" s="44">
        <v>1</v>
      </c>
      <c r="O7" s="49" t="s">
        <v>20</v>
      </c>
      <c r="P7" s="50">
        <v>77.396697087999996</v>
      </c>
      <c r="Q7" s="20">
        <f>P7/$P$7</f>
        <v>1</v>
      </c>
      <c r="R7" s="45"/>
      <c r="S7" s="24" t="s">
        <v>21</v>
      </c>
      <c r="T7" s="24">
        <v>17.646446936063999</v>
      </c>
      <c r="U7" s="13">
        <f t="shared" ref="U7:U14" si="0">T7/$P$7</f>
        <v>0.22800000000000001</v>
      </c>
    </row>
    <row r="8" spans="2:22">
      <c r="B8" s="11"/>
      <c r="C8" s="12"/>
      <c r="D8" s="14"/>
      <c r="E8" s="21"/>
      <c r="F8" s="15"/>
      <c r="G8" s="11" t="s">
        <v>22</v>
      </c>
      <c r="H8" s="22">
        <f ca="1">1-E0</f>
        <v>0.82046770949420289</v>
      </c>
      <c r="I8" s="22">
        <v>0.82046770949420289</v>
      </c>
      <c r="J8" s="23">
        <f ca="1">Ds/Ds0</f>
        <v>1</v>
      </c>
      <c r="K8" s="37">
        <v>3</v>
      </c>
      <c r="L8" s="24" t="s">
        <v>23</v>
      </c>
      <c r="M8" s="13">
        <f ca="1">Cn+Z+G</f>
        <v>1.092717898112362</v>
      </c>
      <c r="N8" s="44"/>
      <c r="O8" s="24" t="s">
        <v>24</v>
      </c>
      <c r="P8" s="50">
        <v>16.194532111155198</v>
      </c>
      <c r="Q8" s="20">
        <f>P8/$P$7</f>
        <v>0.20924061000616118</v>
      </c>
      <c r="R8" s="45"/>
      <c r="S8" s="24" t="s">
        <v>25</v>
      </c>
      <c r="T8" s="24">
        <f>T7-P24</f>
        <v>2.6469670404096011</v>
      </c>
      <c r="U8" s="13">
        <f t="shared" si="0"/>
        <v>3.4200000000000015E-2</v>
      </c>
    </row>
    <row r="9" spans="2:22">
      <c r="B9" s="11" t="s">
        <v>26</v>
      </c>
      <c r="C9" s="13">
        <f ca="1">X0/( bt*E0^(rt)+(1-bt)*Ds0^(rt) )^(1/rt)</f>
        <v>3.0103221881904978</v>
      </c>
      <c r="D9" s="11" t="s">
        <v>131</v>
      </c>
      <c r="E9" s="20">
        <f>P19/P15</f>
        <v>9.3399770207745078E-2</v>
      </c>
      <c r="F9" s="13">
        <f ca="1">tm0</f>
        <v>9.3399770207745078E-2</v>
      </c>
      <c r="G9" s="11" t="s">
        <v>27</v>
      </c>
      <c r="H9" s="22">
        <f ca="1">Ds0</f>
        <v>0.82046770949420289</v>
      </c>
      <c r="I9" s="22">
        <v>0.82046770949420289</v>
      </c>
      <c r="J9" s="23">
        <f ca="1">Dd/Dd0</f>
        <v>1</v>
      </c>
      <c r="K9" s="37">
        <v>4</v>
      </c>
      <c r="L9" s="24" t="s">
        <v>28</v>
      </c>
      <c r="M9" s="13">
        <f ca="1">( (Pe/Pd)/(bt/(1-bt)) )^(1/(rt-1))</f>
        <v>0.21881700940610346</v>
      </c>
      <c r="N9" s="44"/>
      <c r="O9" s="24"/>
      <c r="P9" s="50"/>
      <c r="Q9" s="20"/>
      <c r="R9" s="45"/>
      <c r="S9" s="24" t="s">
        <v>29</v>
      </c>
      <c r="T9" s="24">
        <f>SUM(T10:T12)</f>
        <v>13.411299671408639</v>
      </c>
      <c r="U9" s="13">
        <f t="shared" si="0"/>
        <v>0.17327999999999999</v>
      </c>
      <c r="V9" s="2" t="s">
        <v>134</v>
      </c>
    </row>
    <row r="10" spans="2:22">
      <c r="B10" s="11" t="s">
        <v>30</v>
      </c>
      <c r="C10" s="13">
        <f ca="1">1/( 1+(Pd0/Pe0)*(E0/Ds0)^(rt-1) )</f>
        <v>0.92639122928106887</v>
      </c>
      <c r="D10" s="11" t="s">
        <v>31</v>
      </c>
      <c r="E10" s="20">
        <f>P20/P14</f>
        <v>0</v>
      </c>
      <c r="F10" s="13">
        <f ca="1">te0</f>
        <v>0</v>
      </c>
      <c r="G10" s="11" t="s">
        <v>32</v>
      </c>
      <c r="H10" s="22">
        <f ca="1">M0 + Dd0</f>
        <v>1.092717898112362</v>
      </c>
      <c r="I10" s="22">
        <v>1.092717898112362</v>
      </c>
      <c r="J10" s="23">
        <f ca="1">Qs/Qs0</f>
        <v>1</v>
      </c>
      <c r="K10" s="37">
        <v>5</v>
      </c>
      <c r="L10" s="24" t="s">
        <v>33</v>
      </c>
      <c r="M10" s="13">
        <f ca="1">( (Pd/Pm)*(bq/(1-bq)) )^(1/(1+rq))</f>
        <v>0.33182316070183226</v>
      </c>
      <c r="N10" s="44"/>
      <c r="O10" s="24" t="s">
        <v>34</v>
      </c>
      <c r="P10" s="50">
        <v>82.709561343999994</v>
      </c>
      <c r="Q10" s="20">
        <f t="shared" ref="Q10:Q15" si="1">P10/$P$7</f>
        <v>1.0686445863440306</v>
      </c>
      <c r="R10" s="45"/>
      <c r="S10" s="24" t="s">
        <v>35</v>
      </c>
      <c r="T10" s="24">
        <v>7.2350432437862402</v>
      </c>
      <c r="U10" s="13">
        <f t="shared" si="0"/>
        <v>9.3480000000000008E-2</v>
      </c>
    </row>
    <row r="11" spans="2:22">
      <c r="B11" s="11" t="s">
        <v>36</v>
      </c>
      <c r="C11" s="13">
        <f ca="1">1/st + 1</f>
        <v>2.666666666666667</v>
      </c>
      <c r="D11" s="11" t="s">
        <v>37</v>
      </c>
      <c r="E11" s="20">
        <f ca="1">Q18/Qs0</f>
        <v>3.0150508248206833E-2</v>
      </c>
      <c r="F11" s="13">
        <f ca="1">ts0</f>
        <v>3.0150508248206833E-2</v>
      </c>
      <c r="G11" s="11" t="s">
        <v>38</v>
      </c>
      <c r="H11" s="22">
        <f ca="1">Qs0</f>
        <v>1.092717898112362</v>
      </c>
      <c r="I11" s="22">
        <v>1.092717898112362</v>
      </c>
      <c r="J11" s="23">
        <f ca="1">Qd/Qd0</f>
        <v>1</v>
      </c>
      <c r="K11" s="39"/>
      <c r="L11" s="40" t="s">
        <v>39</v>
      </c>
      <c r="M11" s="15"/>
      <c r="N11" s="44"/>
      <c r="O11" s="24" t="s">
        <v>40</v>
      </c>
      <c r="P11" s="50">
        <v>61.287784955903994</v>
      </c>
      <c r="Q11" s="20">
        <f t="shared" si="1"/>
        <v>0.79186563848092661</v>
      </c>
      <c r="R11" s="45"/>
      <c r="S11" s="24" t="s">
        <v>41</v>
      </c>
      <c r="T11" s="24">
        <v>3.5292893872127999</v>
      </c>
      <c r="U11" s="13">
        <f t="shared" si="0"/>
        <v>4.5600000000000002E-2</v>
      </c>
    </row>
    <row r="12" spans="2:22">
      <c r="B12" s="11"/>
      <c r="C12" s="13"/>
      <c r="D12" s="11" t="s">
        <v>42</v>
      </c>
      <c r="E12" s="22">
        <f ca="1">SUM(Q21,Q23)/Y0</f>
        <v>8.7911419762857032E-2</v>
      </c>
      <c r="F12" s="13">
        <f ca="1">ty0</f>
        <v>8.7911419762857032E-2</v>
      </c>
      <c r="G12" s="11"/>
      <c r="H12" s="22"/>
      <c r="I12" s="22"/>
      <c r="J12" s="23"/>
      <c r="K12" s="39">
        <v>6</v>
      </c>
      <c r="L12" s="21" t="s">
        <v>43</v>
      </c>
      <c r="M12" s="13">
        <f ca="1" xml:space="preserve"> tm*wm*Er*M + te*Pe*E + ts*Pq*Qd + ty*Y</f>
        <v>0.15101283599999998</v>
      </c>
      <c r="N12" s="44"/>
      <c r="O12" s="24" t="s">
        <v>44</v>
      </c>
      <c r="P12" s="50">
        <v>8.3536656957439988</v>
      </c>
      <c r="Q12" s="20">
        <f t="shared" si="1"/>
        <v>0.10793310322074708</v>
      </c>
      <c r="R12" s="45"/>
      <c r="S12" s="24" t="s">
        <v>45</v>
      </c>
      <c r="T12" s="24">
        <v>2.6469670404095997</v>
      </c>
      <c r="U12" s="13">
        <f t="shared" si="0"/>
        <v>3.4200000000000001E-2</v>
      </c>
    </row>
    <row r="13" spans="2:22">
      <c r="B13" s="11" t="s">
        <v>46</v>
      </c>
      <c r="C13" s="13">
        <f ca="1">Qs0/( bq*M0^(-rq)+(1-bq)*Dd0^(-rq) )^(-1/rq)</f>
        <v>1.6404680818982258</v>
      </c>
      <c r="D13" s="11"/>
      <c r="E13" s="22"/>
      <c r="F13" s="13"/>
      <c r="G13" s="11" t="s">
        <v>47</v>
      </c>
      <c r="H13" s="22">
        <f ca="1" xml:space="preserve"> tm0*wm0*M0*Er0+te0*Pe0*E0+ts0*Pq0*Qd0 + ty0*Y0</f>
        <v>0.15116399999999999</v>
      </c>
      <c r="I13" s="22">
        <v>0.15101283599980755</v>
      </c>
      <c r="J13" s="23">
        <f ca="1">Tax/Tax0</f>
        <v>0.99899999999872691</v>
      </c>
      <c r="K13" s="37">
        <v>7</v>
      </c>
      <c r="L13" s="24" t="s">
        <v>48</v>
      </c>
      <c r="M13" s="13">
        <f ca="1" xml:space="preserve"> Px*X+ tr*Pq + re*Er</f>
        <v>1.0791207587808942</v>
      </c>
      <c r="N13" s="44"/>
      <c r="O13" s="24" t="s">
        <v>49</v>
      </c>
      <c r="P13" s="50">
        <v>18.444232179712003</v>
      </c>
      <c r="Q13" s="20">
        <f t="shared" si="1"/>
        <v>0.23830774275471889</v>
      </c>
      <c r="R13" s="45"/>
      <c r="S13" s="24" t="s">
        <v>50</v>
      </c>
      <c r="T13" s="24">
        <v>4.2351472646553594</v>
      </c>
      <c r="U13" s="13">
        <f t="shared" si="0"/>
        <v>5.4719999999999998E-2</v>
      </c>
    </row>
    <row r="14" spans="2:22">
      <c r="B14" s="11" t="s">
        <v>51</v>
      </c>
      <c r="C14" s="13">
        <f ca="1">( (Pm0/Pd0)*(M0/Dd0)^(1+rq) )/( 1+ (Pm0/Pd0)*(M0/Dd0)^(1+rq) )</f>
        <v>0.13721831363671688</v>
      </c>
      <c r="D14" s="11" t="s">
        <v>52</v>
      </c>
      <c r="E14" s="20">
        <f ca="1">(Y0 - Cn0*Pq0*(1+ts0) - ty*Y0)/Y0</f>
        <v>0.17901606133190154</v>
      </c>
      <c r="F14" s="13">
        <f ca="1">sy0</f>
        <v>0.17901606133190154</v>
      </c>
      <c r="G14" s="11" t="s">
        <v>53</v>
      </c>
      <c r="H14" s="22">
        <f ca="1" xml:space="preserve"> Px0*X0 + tr0*Pq0 + re0*Er0</f>
        <v>1.080200959740635</v>
      </c>
      <c r="I14" s="22">
        <v>1.0791207587808942</v>
      </c>
      <c r="J14" s="23">
        <f ca="1">Y/Y0</f>
        <v>0.99899999999999978</v>
      </c>
      <c r="K14" s="37">
        <v>8</v>
      </c>
      <c r="L14" s="24" t="s">
        <v>54</v>
      </c>
      <c r="M14" s="13">
        <f ca="1">sy*Y+Er*B+Sg</f>
        <v>0.2256392912540853</v>
      </c>
      <c r="N14" s="44"/>
      <c r="O14" s="24" t="s">
        <v>55</v>
      </c>
      <c r="P14" s="50">
        <v>13.895206305792</v>
      </c>
      <c r="Q14" s="20">
        <f t="shared" si="1"/>
        <v>0.17953229050579714</v>
      </c>
      <c r="R14" s="45"/>
      <c r="S14" s="24" t="s">
        <v>56</v>
      </c>
      <c r="T14" s="24">
        <f>T7-T9-T13</f>
        <v>0</v>
      </c>
      <c r="U14" s="13">
        <f t="shared" si="0"/>
        <v>0</v>
      </c>
    </row>
    <row r="15" spans="2:22">
      <c r="B15" s="11" t="s">
        <v>57</v>
      </c>
      <c r="C15" s="13">
        <f ca="1" xml:space="preserve"> 1/sq -1</f>
        <v>0.66666666666666674</v>
      </c>
      <c r="D15" s="11" t="s">
        <v>58</v>
      </c>
      <c r="E15" s="20">
        <f ca="1">Q12/(1+ts0)/Pq0</f>
        <v>0.1047741105368085</v>
      </c>
      <c r="F15" s="13">
        <f ca="1">G0</f>
        <v>0.1047741105368085</v>
      </c>
      <c r="G15" s="11" t="s">
        <v>59</v>
      </c>
      <c r="H15" s="22">
        <f ca="1">sy0*Y0 + Er0*B0 + Sg0</f>
        <v>0.22586515641068844</v>
      </c>
      <c r="I15" s="22">
        <v>0.22563929126133114</v>
      </c>
      <c r="J15" s="23">
        <f ca="1">S/S0</f>
        <v>0.99900000003122835</v>
      </c>
      <c r="K15" s="37">
        <v>9</v>
      </c>
      <c r="L15" s="24" t="s">
        <v>60</v>
      </c>
      <c r="M15" s="13">
        <f ca="1">Y*(1-ty-sy)/Pt</f>
        <v>0.76868926641361501</v>
      </c>
      <c r="N15" s="44"/>
      <c r="O15" s="24" t="s">
        <v>61</v>
      </c>
      <c r="P15" s="50">
        <v>19.271327793152</v>
      </c>
      <c r="Q15" s="20">
        <f t="shared" si="1"/>
        <v>0.24899418861815914</v>
      </c>
      <c r="R15" s="45"/>
      <c r="S15" s="24"/>
      <c r="T15" s="24"/>
      <c r="U15" s="13" t="s">
        <v>62</v>
      </c>
    </row>
    <row r="16" spans="2:22">
      <c r="B16" s="14"/>
      <c r="C16" s="15"/>
      <c r="D16" s="11" t="s">
        <v>63</v>
      </c>
      <c r="E16" s="20">
        <f ca="1">(U11+U12-U8)/Pq0</f>
        <v>4.5599999999999995E-2</v>
      </c>
      <c r="F16" s="13">
        <f ca="1">tr0</f>
        <v>4.5599999999999995E-2</v>
      </c>
      <c r="G16" s="11" t="s">
        <v>64</v>
      </c>
      <c r="H16" s="22">
        <f ca="1">Q11/Pt0</f>
        <v>0.7686892664136149</v>
      </c>
      <c r="I16" s="22">
        <v>0.76868926638576196</v>
      </c>
      <c r="J16" s="23">
        <f ca="1">Cn/Cn0</f>
        <v>0.99999999996376565</v>
      </c>
      <c r="K16" s="37"/>
      <c r="L16" s="38" t="s">
        <v>65</v>
      </c>
      <c r="M16" s="13"/>
      <c r="N16" s="44"/>
      <c r="O16" s="24"/>
      <c r="P16" s="50"/>
      <c r="Q16" s="20"/>
      <c r="R16" s="45"/>
      <c r="S16" s="24"/>
      <c r="T16" s="24"/>
      <c r="U16" s="13"/>
    </row>
    <row r="17" spans="2:21">
      <c r="B17" s="14"/>
      <c r="C17" s="15"/>
      <c r="D17" s="11" t="s">
        <v>66</v>
      </c>
      <c r="E17" s="20">
        <f ca="1">U22/Er0</f>
        <v>4.0518524924059357E-2</v>
      </c>
      <c r="F17" s="13">
        <f ca="1">ft0</f>
        <v>4.0518524924059357E-2</v>
      </c>
      <c r="G17" s="11"/>
      <c r="H17" s="22"/>
      <c r="I17" s="22"/>
      <c r="J17" s="23"/>
      <c r="K17" s="37">
        <v>10</v>
      </c>
      <c r="L17" s="24" t="s">
        <v>67</v>
      </c>
      <c r="M17" s="13">
        <f ca="1">Er*wm*(1+tm)</f>
        <v>0.99900000000000011</v>
      </c>
      <c r="N17" s="44"/>
      <c r="O17" s="46" t="s">
        <v>68</v>
      </c>
      <c r="P17" s="50"/>
      <c r="Q17" s="20"/>
      <c r="R17" s="45">
        <v>4</v>
      </c>
      <c r="S17" s="51" t="s">
        <v>69</v>
      </c>
      <c r="T17" s="24"/>
      <c r="U17" s="13" t="s">
        <v>62</v>
      </c>
    </row>
    <row r="18" spans="2:21">
      <c r="B18" s="11"/>
      <c r="C18" s="12"/>
      <c r="D18" s="11" t="s">
        <v>70</v>
      </c>
      <c r="E18" s="20">
        <f ca="1">SUM(U19:U21)/Er0</f>
        <v>3.4600959740634873E-2</v>
      </c>
      <c r="F18" s="13">
        <f ca="1">re0</f>
        <v>3.4600959740634873E-2</v>
      </c>
      <c r="G18" s="11" t="s">
        <v>71</v>
      </c>
      <c r="H18" s="20">
        <v>1</v>
      </c>
      <c r="I18" s="20">
        <v>0.99900000000000011</v>
      </c>
      <c r="J18" s="23">
        <f ca="1">Pm/Pm0</f>
        <v>0.99900000000000011</v>
      </c>
      <c r="K18" s="39">
        <v>11</v>
      </c>
      <c r="L18" s="24" t="s">
        <v>72</v>
      </c>
      <c r="M18" s="13">
        <f ca="1">Er*we/(1+te)</f>
        <v>0.99900000000000011</v>
      </c>
      <c r="N18" s="44">
        <v>2</v>
      </c>
      <c r="O18" s="24" t="s">
        <v>73</v>
      </c>
      <c r="P18" s="50">
        <v>2.5499115822612479</v>
      </c>
      <c r="Q18" s="20">
        <f t="shared" ref="Q18:Q23" si="2">P18/$P$7</f>
        <v>3.2946000000000003E-2</v>
      </c>
      <c r="R18" s="45"/>
      <c r="S18" s="24" t="s">
        <v>74</v>
      </c>
      <c r="T18" s="24">
        <f>P14-P15</f>
        <v>-5.3761214873600007</v>
      </c>
      <c r="U18" s="13">
        <f t="shared" ref="U18:U23" si="3">T18/$P$7</f>
        <v>-6.9461898112362003E-2</v>
      </c>
    </row>
    <row r="19" spans="2:21">
      <c r="B19" s="11"/>
      <c r="C19" s="12"/>
      <c r="D19" s="11" t="s">
        <v>75</v>
      </c>
      <c r="E19" s="20">
        <f ca="1">(wm0*M0 - we0*E0 -ft0 - re0)/Er0</f>
        <v>-5.6575865523322555E-3</v>
      </c>
      <c r="F19" s="13">
        <f ca="1">B0</f>
        <v>-5.6575865523322555E-3</v>
      </c>
      <c r="G19" s="11" t="s">
        <v>76</v>
      </c>
      <c r="H19" s="20">
        <v>1</v>
      </c>
      <c r="I19" s="20">
        <v>0.99900000000000011</v>
      </c>
      <c r="J19" s="23">
        <f ca="1">Pe/Pe0</f>
        <v>0.99900000000000011</v>
      </c>
      <c r="K19" s="37">
        <v>12</v>
      </c>
      <c r="L19" s="24" t="s">
        <v>77</v>
      </c>
      <c r="M19" s="13">
        <f ca="1">Pq*(1+ts)</f>
        <v>1.0291203577399584</v>
      </c>
      <c r="N19" s="44"/>
      <c r="O19" s="24" t="s">
        <v>78</v>
      </c>
      <c r="P19" s="50">
        <v>1.7999375874785279</v>
      </c>
      <c r="Q19" s="20">
        <f t="shared" si="2"/>
        <v>2.3255999999999999E-2</v>
      </c>
      <c r="R19" s="45"/>
      <c r="S19" s="24" t="s">
        <v>124</v>
      </c>
      <c r="T19" s="24">
        <v>1.2130000000000001</v>
      </c>
      <c r="U19" s="13">
        <f t="shared" si="3"/>
        <v>1.5672503422475767E-2</v>
      </c>
    </row>
    <row r="20" spans="2:21">
      <c r="B20" s="11"/>
      <c r="C20" s="12"/>
      <c r="D20" s="11" t="s">
        <v>79</v>
      </c>
      <c r="E20" s="22">
        <v>1</v>
      </c>
      <c r="F20" s="23">
        <f ca="1">X0</f>
        <v>1</v>
      </c>
      <c r="G20" s="11" t="s">
        <v>80</v>
      </c>
      <c r="H20" s="22">
        <f ca="1">Pq0*(1+ts0)</f>
        <v>1.0301505082482068</v>
      </c>
      <c r="I20" s="20">
        <v>1.0291203577399584</v>
      </c>
      <c r="J20" s="23">
        <f ca="1">Pt/Pt0</f>
        <v>0.99899999999999978</v>
      </c>
      <c r="K20" s="37">
        <v>13</v>
      </c>
      <c r="L20" s="24" t="s">
        <v>81</v>
      </c>
      <c r="M20" s="13">
        <f ca="1">(Pe*E+Pd*Ds)/X</f>
        <v>0.999</v>
      </c>
      <c r="N20" s="44"/>
      <c r="O20" s="24" t="s">
        <v>82</v>
      </c>
      <c r="P20" s="50">
        <v>0</v>
      </c>
      <c r="Q20" s="20">
        <f t="shared" si="2"/>
        <v>0</v>
      </c>
      <c r="R20" s="45"/>
      <c r="S20" s="24" t="s">
        <v>62</v>
      </c>
      <c r="T20" s="24">
        <v>0</v>
      </c>
      <c r="U20" s="13">
        <f t="shared" si="3"/>
        <v>0</v>
      </c>
    </row>
    <row r="21" spans="2:21">
      <c r="B21" s="11"/>
      <c r="C21" s="12"/>
      <c r="D21" s="14"/>
      <c r="E21" s="21"/>
      <c r="F21" s="15"/>
      <c r="G21" s="11" t="s">
        <v>83</v>
      </c>
      <c r="H21" s="22">
        <v>1</v>
      </c>
      <c r="I21" s="22">
        <v>0.99899999999999989</v>
      </c>
      <c r="J21" s="23">
        <f ca="1">Pq/Pq0</f>
        <v>0.99899999999999989</v>
      </c>
      <c r="K21" s="37">
        <v>14</v>
      </c>
      <c r="L21" s="24" t="s">
        <v>84</v>
      </c>
      <c r="M21" s="13">
        <f ca="1">(Pm*M+Pd*Dd)/Qs</f>
        <v>0.999</v>
      </c>
      <c r="N21" s="44"/>
      <c r="O21" s="24" t="s">
        <v>85</v>
      </c>
      <c r="P21" s="50">
        <v>0</v>
      </c>
      <c r="Q21" s="20">
        <f t="shared" si="2"/>
        <v>0</v>
      </c>
      <c r="R21" s="45"/>
      <c r="S21" s="24" t="s">
        <v>86</v>
      </c>
      <c r="T21" s="24">
        <v>1.4650000000000001</v>
      </c>
      <c r="U21" s="13">
        <f t="shared" si="3"/>
        <v>1.8928456318159106E-2</v>
      </c>
    </row>
    <row r="22" spans="2:21">
      <c r="B22" s="11"/>
      <c r="C22" s="12"/>
      <c r="D22" s="66" t="s">
        <v>130</v>
      </c>
      <c r="E22" s="24"/>
      <c r="F22" s="12"/>
      <c r="G22" s="11" t="s">
        <v>87</v>
      </c>
      <c r="H22" s="22">
        <v>1</v>
      </c>
      <c r="I22" s="22">
        <v>0.999</v>
      </c>
      <c r="J22" s="23">
        <f ca="1">Px/Px0</f>
        <v>0.999</v>
      </c>
      <c r="K22" s="37">
        <v>15</v>
      </c>
      <c r="L22" s="24" t="s">
        <v>88</v>
      </c>
      <c r="M22" s="13">
        <f ca="1">1</f>
        <v>1</v>
      </c>
      <c r="N22" s="44"/>
      <c r="O22" s="24" t="s">
        <v>89</v>
      </c>
      <c r="P22" s="50">
        <v>3.2998855770439675</v>
      </c>
      <c r="Q22" s="20">
        <f t="shared" si="2"/>
        <v>4.2635999999999993E-2</v>
      </c>
      <c r="R22" s="45"/>
      <c r="S22" s="24" t="s">
        <v>90</v>
      </c>
      <c r="T22" s="24">
        <v>3.1360000000000001</v>
      </c>
      <c r="U22" s="13">
        <f t="shared" si="3"/>
        <v>4.0518524924059357E-2</v>
      </c>
    </row>
    <row r="23" spans="2:21">
      <c r="B23" s="11"/>
      <c r="C23" s="12"/>
      <c r="D23" s="11" t="s">
        <v>128</v>
      </c>
      <c r="E23" s="25"/>
      <c r="F23" s="12"/>
      <c r="G23" s="11" t="s">
        <v>91</v>
      </c>
      <c r="H23" s="22">
        <v>1</v>
      </c>
      <c r="I23" s="22">
        <v>0.99899999999999989</v>
      </c>
      <c r="J23" s="23">
        <f ca="1">Pd/Pd0</f>
        <v>0.99899999999999989</v>
      </c>
      <c r="K23" s="37"/>
      <c r="L23" s="38" t="s">
        <v>92</v>
      </c>
      <c r="M23" s="13"/>
      <c r="N23" s="44"/>
      <c r="O23" s="24" t="s">
        <v>93</v>
      </c>
      <c r="P23" s="50">
        <v>7.3497451488706549</v>
      </c>
      <c r="Q23" s="20">
        <f t="shared" si="2"/>
        <v>9.4961999999999991E-2</v>
      </c>
      <c r="R23" s="45"/>
      <c r="S23" s="24" t="s">
        <v>94</v>
      </c>
      <c r="T23" s="24">
        <v>-2.4790000000000001</v>
      </c>
      <c r="U23" s="13">
        <f t="shared" si="3"/>
        <v>-3.2029790588884929E-2</v>
      </c>
    </row>
    <row r="24" spans="2:21">
      <c r="B24" s="11"/>
      <c r="C24" s="12"/>
      <c r="D24" s="11" t="s">
        <v>129</v>
      </c>
      <c r="E24" s="24"/>
      <c r="F24" s="12"/>
      <c r="G24" s="11" t="s">
        <v>95</v>
      </c>
      <c r="H24" s="20">
        <v>1</v>
      </c>
      <c r="I24" s="20">
        <v>0.99900000000000011</v>
      </c>
      <c r="J24" s="23">
        <f ca="1">Er/Er0</f>
        <v>0.99900000000000011</v>
      </c>
      <c r="K24" s="37">
        <v>16</v>
      </c>
      <c r="L24" s="24" t="s">
        <v>96</v>
      </c>
      <c r="M24" s="13">
        <f ca="1">Dd - Ds</f>
        <v>0</v>
      </c>
      <c r="N24" s="44"/>
      <c r="O24" s="24" t="s">
        <v>97</v>
      </c>
      <c r="P24" s="24">
        <f>SUM(P18:P23)</f>
        <v>14.999479895654398</v>
      </c>
      <c r="Q24" s="20">
        <f>SUM(Q18:Q23)</f>
        <v>0.19379999999999997</v>
      </c>
      <c r="R24" s="45"/>
      <c r="S24" s="24"/>
      <c r="T24" s="24"/>
      <c r="U24" s="12"/>
    </row>
    <row r="25" spans="2:21">
      <c r="B25" s="11"/>
      <c r="C25" s="12"/>
      <c r="D25" s="11"/>
      <c r="E25" s="24"/>
      <c r="F25" s="12"/>
      <c r="G25" s="29"/>
      <c r="H25" s="30"/>
      <c r="I25" s="30"/>
      <c r="J25" s="31"/>
      <c r="K25" s="37">
        <v>17</v>
      </c>
      <c r="L25" s="24" t="s">
        <v>98</v>
      </c>
      <c r="M25" s="13">
        <f ca="1">Qd -Qs</f>
        <v>0</v>
      </c>
      <c r="N25" s="44"/>
      <c r="O25" s="24"/>
      <c r="P25" s="24" t="s">
        <v>62</v>
      </c>
      <c r="Q25" s="24"/>
      <c r="R25" s="45"/>
      <c r="S25" s="24" t="s">
        <v>99</v>
      </c>
      <c r="T25" s="24">
        <v>30.318999999999999</v>
      </c>
      <c r="U25" s="13">
        <f>T25/$P$7</f>
        <v>0.39173506287390164</v>
      </c>
    </row>
    <row r="26" spans="2:21">
      <c r="B26" s="11"/>
      <c r="C26" s="12"/>
      <c r="D26" s="11"/>
      <c r="E26" s="24"/>
      <c r="F26" s="12"/>
      <c r="G26" s="11" t="s">
        <v>100</v>
      </c>
      <c r="H26" s="22">
        <f ca="1">Q13/Pt0</f>
        <v>0.23133293712582481</v>
      </c>
      <c r="I26" s="22">
        <v>0.21925452118979152</v>
      </c>
      <c r="J26" s="23">
        <f ca="1">Z/Z0</f>
        <v>0.94778773794125271</v>
      </c>
      <c r="K26" s="37">
        <v>18</v>
      </c>
      <c r="L26" s="24" t="s">
        <v>101</v>
      </c>
      <c r="M26" s="13">
        <f ca="1">wm*M - we*E -ft - re</f>
        <v>-5.6575865523322555E-3</v>
      </c>
      <c r="N26" s="44"/>
      <c r="O26" s="24"/>
      <c r="P26" s="24" t="s">
        <v>62</v>
      </c>
      <c r="Q26" s="24"/>
      <c r="R26" s="45"/>
      <c r="S26" s="24" t="s">
        <v>102</v>
      </c>
      <c r="T26" s="24">
        <v>1.643</v>
      </c>
      <c r="U26" s="13">
        <f>T26/$P$7</f>
        <v>2.1228296061935433E-2</v>
      </c>
    </row>
    <row r="27" spans="2:21">
      <c r="B27" s="11"/>
      <c r="C27" s="12"/>
      <c r="D27" s="11"/>
      <c r="E27" s="24"/>
      <c r="F27" s="12"/>
      <c r="G27" s="11" t="s">
        <v>103</v>
      </c>
      <c r="H27" s="22">
        <f ca="1" xml:space="preserve"> Tax0 - G0*Pt0 - tr0*Pq0 + ft0*Er0</f>
        <v>3.8149421703312279E-2</v>
      </c>
      <c r="I27" s="22">
        <v>3.8111272281416551E-2</v>
      </c>
      <c r="J27" s="23">
        <f ca="1">Sg/Sg0</f>
        <v>0.99899999999495626</v>
      </c>
      <c r="K27" s="37">
        <v>19</v>
      </c>
      <c r="L27" s="24" t="s">
        <v>104</v>
      </c>
      <c r="M27" s="13">
        <f ca="1" xml:space="preserve"> Tax - G*Pt - tr*Pq + ft*Er</f>
        <v>3.8111272281416565E-2</v>
      </c>
      <c r="N27" s="44"/>
      <c r="O27" s="24"/>
      <c r="P27" s="24"/>
      <c r="Q27" s="24"/>
      <c r="R27" s="45"/>
      <c r="S27" s="24"/>
      <c r="T27" s="24"/>
      <c r="U27" s="12"/>
    </row>
    <row r="28" spans="2:21">
      <c r="B28" s="16"/>
      <c r="C28" s="17"/>
      <c r="D28" s="16"/>
      <c r="E28" s="26"/>
      <c r="F28" s="17"/>
      <c r="G28" s="32" t="s">
        <v>105</v>
      </c>
      <c r="H28" s="33">
        <f ca="1">Z0*Pt0- S0</f>
        <v>1.2442586344030448E-2</v>
      </c>
      <c r="I28" s="33">
        <f ca="1">Z*Pt - S</f>
        <v>2.161038015202621E-11</v>
      </c>
      <c r="J28" s="34"/>
      <c r="K28" s="41"/>
      <c r="L28" s="26"/>
      <c r="M28" s="17"/>
      <c r="N28" s="52"/>
      <c r="O28" s="26"/>
      <c r="P28" s="26"/>
      <c r="Q28" s="26"/>
      <c r="R28" s="53"/>
      <c r="S28" s="65"/>
      <c r="T28" s="26"/>
      <c r="U28" s="17"/>
    </row>
    <row r="29" spans="2:21">
      <c r="L29" s="6"/>
      <c r="M29" s="6"/>
    </row>
    <row r="30" spans="2:21">
      <c r="L30" s="6"/>
      <c r="M30" s="6"/>
    </row>
  </sheetData>
  <phoneticPr fontId="0" type="noConversion"/>
  <printOptions horizontalCentered="1" verticalCentered="1" headings="1" gridLinesSet="0"/>
  <pageMargins left="0.5" right="0.5" top="1" bottom="1" header="0.5" footer="0.5"/>
  <pageSetup orientation="landscape" horizontalDpi="4294967292" verticalDpi="4294967292" r:id="rId1"/>
  <headerFooter alignWithMargins="0">
    <oddHeader>&amp;C&amp;"MS Sans Serif,Bold"&amp;12Table 5:  List of Equations in the Excel-Based 1-2-3 Model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92</vt:i4>
      </vt:variant>
    </vt:vector>
  </HeadingPairs>
  <TitlesOfParts>
    <vt:vector size="95" baseType="lpstr">
      <vt:lpstr>Introduction</vt:lpstr>
      <vt:lpstr>Macro Results Summary</vt:lpstr>
      <vt:lpstr>1-2-3 Model</vt:lpstr>
      <vt:lpstr>aq</vt:lpstr>
      <vt:lpstr>ARMG</vt:lpstr>
      <vt:lpstr>at</vt:lpstr>
      <vt:lpstr>B</vt:lpstr>
      <vt:lpstr>B0</vt:lpstr>
      <vt:lpstr>bq</vt:lpstr>
      <vt:lpstr>bt</vt:lpstr>
      <vt:lpstr>CABAL</vt:lpstr>
      <vt:lpstr>CETEQ</vt:lpstr>
      <vt:lpstr>Cn</vt:lpstr>
      <vt:lpstr>Cn0</vt:lpstr>
      <vt:lpstr>CONS</vt:lpstr>
      <vt:lpstr>Dd</vt:lpstr>
      <vt:lpstr>Dd0</vt:lpstr>
      <vt:lpstr>DEM</vt:lpstr>
      <vt:lpstr>DEQ</vt:lpstr>
      <vt:lpstr>Ds</vt:lpstr>
      <vt:lpstr>Ds0</vt:lpstr>
      <vt:lpstr>E</vt:lpstr>
      <vt:lpstr>E0</vt:lpstr>
      <vt:lpstr>EDRAT</vt:lpstr>
      <vt:lpstr>Er</vt:lpstr>
      <vt:lpstr>Er0</vt:lpstr>
      <vt:lpstr>ft</vt:lpstr>
      <vt:lpstr>ft0</vt:lpstr>
      <vt:lpstr>G</vt:lpstr>
      <vt:lpstr>G0</vt:lpstr>
      <vt:lpstr>GBUD</vt:lpstr>
      <vt:lpstr>INC</vt:lpstr>
      <vt:lpstr>M</vt:lpstr>
      <vt:lpstr>M0</vt:lpstr>
      <vt:lpstr>MDRAT</vt:lpstr>
      <vt:lpstr>Pd</vt:lpstr>
      <vt:lpstr>Pd0</vt:lpstr>
      <vt:lpstr>Pe</vt:lpstr>
      <vt:lpstr>Pe0</vt:lpstr>
      <vt:lpstr>PEEQ</vt:lpstr>
      <vt:lpstr>Pm</vt:lpstr>
      <vt:lpstr>Pm0</vt:lpstr>
      <vt:lpstr>PMEQ</vt:lpstr>
      <vt:lpstr>Pq</vt:lpstr>
      <vt:lpstr>Pq0</vt:lpstr>
      <vt:lpstr>PQEQ</vt:lpstr>
      <vt:lpstr>'1-2-3 Model'!Print_Area</vt:lpstr>
      <vt:lpstr>Pt</vt:lpstr>
      <vt:lpstr>Pt0</vt:lpstr>
      <vt:lpstr>PTEQ</vt:lpstr>
      <vt:lpstr>Px</vt:lpstr>
      <vt:lpstr>Px0</vt:lpstr>
      <vt:lpstr>PXEQ</vt:lpstr>
      <vt:lpstr>Qd</vt:lpstr>
      <vt:lpstr>Qd0</vt:lpstr>
      <vt:lpstr>QEQ</vt:lpstr>
      <vt:lpstr>Qs</vt:lpstr>
      <vt:lpstr>Qs0</vt:lpstr>
      <vt:lpstr>re</vt:lpstr>
      <vt:lpstr>re0</vt:lpstr>
      <vt:lpstr>REQ</vt:lpstr>
      <vt:lpstr>rq</vt:lpstr>
      <vt:lpstr>rt</vt:lpstr>
      <vt:lpstr>S</vt:lpstr>
      <vt:lpstr>S0</vt:lpstr>
      <vt:lpstr>SAV</vt:lpstr>
      <vt:lpstr>Sg</vt:lpstr>
      <vt:lpstr>Sg0</vt:lpstr>
      <vt:lpstr>sq</vt:lpstr>
      <vt:lpstr>st</vt:lpstr>
      <vt:lpstr>sy</vt:lpstr>
      <vt:lpstr>sy0</vt:lpstr>
      <vt:lpstr>Tax</vt:lpstr>
      <vt:lpstr>Tax0</vt:lpstr>
      <vt:lpstr>TAXEQ</vt:lpstr>
      <vt:lpstr>te</vt:lpstr>
      <vt:lpstr>te0</vt:lpstr>
      <vt:lpstr>tm</vt:lpstr>
      <vt:lpstr>tm0</vt:lpstr>
      <vt:lpstr>tr</vt:lpstr>
      <vt:lpstr>tr0</vt:lpstr>
      <vt:lpstr>ts</vt:lpstr>
      <vt:lpstr>ts0</vt:lpstr>
      <vt:lpstr>ty</vt:lpstr>
      <vt:lpstr>ty0</vt:lpstr>
      <vt:lpstr>we</vt:lpstr>
      <vt:lpstr>we0</vt:lpstr>
      <vt:lpstr>wm</vt:lpstr>
      <vt:lpstr>wm0</vt:lpstr>
      <vt:lpstr>X</vt:lpstr>
      <vt:lpstr>X0</vt:lpstr>
      <vt:lpstr>Y</vt:lpstr>
      <vt:lpstr>Y0</vt:lpstr>
      <vt:lpstr>Z</vt:lpstr>
      <vt:lpstr>Z0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1-2-3 Model of Egypt</dc:title>
  <dc:subject>simple economic model</dc:subject>
  <dc:creator>Joseph F. Francois</dc:creator>
  <cp:keywords>1-2-3 economic model</cp:keywords>
  <dc:description>excel file for Devarajan et al , Chapter 6 in Francois and Reinert (1997), applied to Egypt.</dc:description>
  <cp:lastModifiedBy>dwrh</cp:lastModifiedBy>
  <dcterms:created xsi:type="dcterms:W3CDTF">1998-07-01T22:22:56Z</dcterms:created>
  <dcterms:modified xsi:type="dcterms:W3CDTF">2009-07-30T03:26:40Z</dcterms:modified>
</cp:coreProperties>
</file>