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ariagerenkova/Desktop/"/>
    </mc:Choice>
  </mc:AlternateContent>
  <xr:revisionPtr revIDLastSave="0" documentId="8_{11DD7BBE-2EF0-6742-AF8A-29329D82B383}" xr6:coauthVersionLast="47" xr6:coauthVersionMax="47" xr10:uidLastSave="{00000000-0000-0000-0000-000000000000}"/>
  <bookViews>
    <workbookView xWindow="-31700" yWindow="3040" windowWidth="25600" windowHeight="14340" activeTab="3" xr2:uid="{9B8C9A86-0837-A84A-80A5-61217BBA1437}"/>
  </bookViews>
  <sheets>
    <sheet name="цессия" sheetId="1" r:id="rId1"/>
    <sheet name="отчет 2" sheetId="5" r:id="rId2"/>
    <sheet name="отчет 1" sheetId="4" r:id="rId3"/>
    <sheet name="задание" sheetId="6" r:id="rId4"/>
    <sheet name="final_reestr" sheetId="7" r:id="rId5"/>
  </sheets>
  <definedNames>
    <definedName name="_xlnm._FilterDatabase" localSheetId="2" hidden="1">'отчет 1'!$A$1:$P$23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7" l="1"/>
  <c r="M20" i="7"/>
  <c r="M21" i="7"/>
  <c r="M22" i="7"/>
  <c r="M23" i="7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L23" i="7"/>
  <c r="K23" i="7"/>
  <c r="J23" i="7"/>
  <c r="I23" i="7"/>
  <c r="M18" i="7" s="1"/>
  <c r="H23" i="7"/>
  <c r="G23" i="7"/>
  <c r="F23" i="7"/>
  <c r="E23" i="7"/>
  <c r="D23" i="7"/>
  <c r="C23" i="7"/>
  <c r="L22" i="7"/>
  <c r="K22" i="7"/>
  <c r="J22" i="7"/>
  <c r="I22" i="7"/>
  <c r="M17" i="7" s="1"/>
  <c r="H22" i="7"/>
  <c r="G22" i="7"/>
  <c r="F22" i="7"/>
  <c r="E22" i="7"/>
  <c r="D22" i="7"/>
  <c r="C22" i="7"/>
  <c r="L21" i="7"/>
  <c r="K21" i="7"/>
  <c r="J21" i="7"/>
  <c r="I21" i="7"/>
  <c r="M16" i="7" s="1"/>
  <c r="H21" i="7"/>
  <c r="G21" i="7"/>
  <c r="F21" i="7"/>
  <c r="E21" i="7"/>
  <c r="D21" i="7"/>
  <c r="C21" i="7"/>
  <c r="L20" i="7"/>
  <c r="K20" i="7"/>
  <c r="J20" i="7"/>
  <c r="I20" i="7"/>
  <c r="M15" i="7" s="1"/>
  <c r="H20" i="7"/>
  <c r="G20" i="7"/>
  <c r="F20" i="7"/>
  <c r="E20" i="7"/>
  <c r="D20" i="7"/>
  <c r="C20" i="7"/>
  <c r="L19" i="7"/>
  <c r="K19" i="7"/>
  <c r="J19" i="7"/>
  <c r="I19" i="7"/>
  <c r="M14" i="7" s="1"/>
  <c r="H19" i="7"/>
  <c r="G19" i="7"/>
  <c r="F19" i="7"/>
  <c r="E19" i="7"/>
  <c r="D19" i="7"/>
  <c r="C19" i="7"/>
  <c r="L18" i="7"/>
  <c r="K18" i="7"/>
  <c r="J18" i="7"/>
  <c r="I18" i="7"/>
  <c r="M13" i="7" s="1"/>
  <c r="H18" i="7"/>
  <c r="G18" i="7"/>
  <c r="F18" i="7"/>
  <c r="E18" i="7"/>
  <c r="D18" i="7"/>
  <c r="C18" i="7"/>
  <c r="L17" i="7"/>
  <c r="K17" i="7"/>
  <c r="J17" i="7"/>
  <c r="I17" i="7"/>
  <c r="M12" i="7" s="1"/>
  <c r="H17" i="7"/>
  <c r="G17" i="7"/>
  <c r="F17" i="7"/>
  <c r="E17" i="7"/>
  <c r="D17" i="7"/>
  <c r="C17" i="7"/>
  <c r="L16" i="7"/>
  <c r="K16" i="7"/>
  <c r="J16" i="7"/>
  <c r="I16" i="7"/>
  <c r="M11" i="7" s="1"/>
  <c r="H16" i="7"/>
  <c r="G16" i="7"/>
  <c r="F16" i="7"/>
  <c r="E16" i="7"/>
  <c r="D16" i="7"/>
  <c r="C16" i="7"/>
  <c r="L15" i="7"/>
  <c r="K15" i="7"/>
  <c r="J15" i="7"/>
  <c r="I15" i="7"/>
  <c r="M10" i="7" s="1"/>
  <c r="H15" i="7"/>
  <c r="G15" i="7"/>
  <c r="F15" i="7"/>
  <c r="E15" i="7"/>
  <c r="D15" i="7"/>
  <c r="C15" i="7"/>
  <c r="L14" i="7"/>
  <c r="K14" i="7"/>
  <c r="J14" i="7"/>
  <c r="I14" i="7"/>
  <c r="M9" i="7" s="1"/>
  <c r="H14" i="7"/>
  <c r="G14" i="7"/>
  <c r="F14" i="7"/>
  <c r="E14" i="7"/>
  <c r="D14" i="7"/>
  <c r="C14" i="7"/>
  <c r="L13" i="7"/>
  <c r="K13" i="7"/>
  <c r="J13" i="7"/>
  <c r="I13" i="7"/>
  <c r="M8" i="7" s="1"/>
  <c r="H13" i="7"/>
  <c r="G13" i="7"/>
  <c r="F13" i="7"/>
  <c r="E13" i="7"/>
  <c r="D13" i="7"/>
  <c r="C13" i="7"/>
  <c r="L12" i="7"/>
  <c r="K12" i="7"/>
  <c r="J12" i="7"/>
  <c r="I12" i="7"/>
  <c r="M7" i="7" s="1"/>
  <c r="H12" i="7"/>
  <c r="G12" i="7"/>
  <c r="F12" i="7"/>
  <c r="E12" i="7"/>
  <c r="D12" i="7"/>
  <c r="C12" i="7"/>
  <c r="L11" i="7"/>
  <c r="K11" i="7"/>
  <c r="J11" i="7"/>
  <c r="I11" i="7"/>
  <c r="M6" i="7" s="1"/>
  <c r="H11" i="7"/>
  <c r="G11" i="7"/>
  <c r="F11" i="7"/>
  <c r="E11" i="7"/>
  <c r="D11" i="7"/>
  <c r="C11" i="7"/>
  <c r="L10" i="7"/>
  <c r="K10" i="7"/>
  <c r="J10" i="7"/>
  <c r="I10" i="7"/>
  <c r="M5" i="7" s="1"/>
  <c r="H10" i="7"/>
  <c r="G10" i="7"/>
  <c r="F10" i="7"/>
  <c r="E10" i="7"/>
  <c r="D10" i="7"/>
  <c r="C10" i="7"/>
  <c r="L9" i="7"/>
  <c r="K9" i="7"/>
  <c r="J9" i="7"/>
  <c r="I9" i="7"/>
  <c r="M4" i="7" s="1"/>
  <c r="H9" i="7"/>
  <c r="G9" i="7"/>
  <c r="F9" i="7"/>
  <c r="E9" i="7"/>
  <c r="D9" i="7"/>
  <c r="C9" i="7"/>
  <c r="L8" i="7"/>
  <c r="K8" i="7"/>
  <c r="J8" i="7"/>
  <c r="I8" i="7"/>
  <c r="M3" i="7" s="1"/>
  <c r="H8" i="7"/>
  <c r="G8" i="7"/>
  <c r="F8" i="7"/>
  <c r="E8" i="7"/>
  <c r="D8" i="7"/>
  <c r="C8" i="7"/>
  <c r="L7" i="7"/>
  <c r="K7" i="7"/>
  <c r="J7" i="7"/>
  <c r="I7" i="7"/>
  <c r="M2" i="7" s="1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L5" i="7"/>
  <c r="K5" i="7"/>
  <c r="J5" i="7"/>
  <c r="I5" i="7"/>
  <c r="H5" i="7"/>
  <c r="G5" i="7"/>
  <c r="F5" i="7"/>
  <c r="E5" i="7"/>
  <c r="D5" i="7"/>
  <c r="C5" i="7"/>
  <c r="L4" i="7"/>
  <c r="K4" i="7"/>
  <c r="J4" i="7"/>
  <c r="I4" i="7"/>
  <c r="H4" i="7"/>
  <c r="G4" i="7"/>
  <c r="F4" i="7"/>
  <c r="E4" i="7"/>
  <c r="D4" i="7"/>
  <c r="C4" i="7"/>
  <c r="L3" i="7"/>
  <c r="K3" i="7"/>
  <c r="J3" i="7"/>
  <c r="I3" i="7"/>
  <c r="H3" i="7"/>
  <c r="G3" i="7"/>
  <c r="F3" i="7"/>
  <c r="E3" i="7"/>
  <c r="D3" i="7"/>
  <c r="C3" i="7"/>
  <c r="L2" i="7"/>
  <c r="K2" i="7"/>
  <c r="J2" i="7"/>
  <c r="I2" i="7"/>
  <c r="H2" i="7"/>
  <c r="G2" i="7"/>
  <c r="F2" i="7"/>
  <c r="E2" i="7"/>
  <c r="D2" i="7"/>
  <c r="C2" i="7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7" i="6"/>
  <c r="D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7B49A-30EC-7C4A-A61D-31F436DCD444}" keepAlive="1" name="Запрос — отчет 2" description="Соединение с запросом &quot;отчет 2&quot; в книге." type="5" refreshedVersion="0" background="1">
    <dbPr connection="Provider=Microsoft.Mashup.OleDb.1;Data Source=$Workbook$;Location=&quot;отчет 2&quot;;Extended Properties=&quot;&quot;" command="SELECT * FROM [отчет 2]"/>
  </connection>
</connections>
</file>

<file path=xl/sharedStrings.xml><?xml version="1.0" encoding="utf-8"?>
<sst xmlns="http://schemas.openxmlformats.org/spreadsheetml/2006/main" count="259" uniqueCount="92">
  <si>
    <t>Id</t>
  </si>
  <si>
    <t>ContractID</t>
  </si>
  <si>
    <t>Date</t>
  </si>
  <si>
    <t>CessionArticleID</t>
  </si>
  <si>
    <t>Amount</t>
  </si>
  <si>
    <t>SellingPrice</t>
  </si>
  <si>
    <t>IsOutgoing</t>
  </si>
  <si>
    <t>Name</t>
  </si>
  <si>
    <t>Y</t>
  </si>
  <si>
    <t>№</t>
  </si>
  <si>
    <t>RepaymentPlanDate</t>
  </si>
  <si>
    <t>SubdivisionName</t>
  </si>
  <si>
    <t>Status</t>
  </si>
  <si>
    <t>DateStatus</t>
  </si>
  <si>
    <t>SumLastPay</t>
  </si>
  <si>
    <t>дата выдачи</t>
  </si>
  <si>
    <t>Сумма выдачи</t>
  </si>
  <si>
    <t>Задолженность по ОД</t>
  </si>
  <si>
    <t>Задолженность по %%</t>
  </si>
  <si>
    <t>Кол-во дней просрочки, фактическое</t>
  </si>
  <si>
    <t>Электросталь</t>
  </si>
  <si>
    <t>COLLECTOR</t>
  </si>
  <si>
    <t>ACTIVE_SB</t>
  </si>
  <si>
    <t>Белгород</t>
  </si>
  <si>
    <t>DELINQUENT</t>
  </si>
  <si>
    <t>Волгоград</t>
  </si>
  <si>
    <t>Красногорск</t>
  </si>
  <si>
    <t>Пенза</t>
  </si>
  <si>
    <t>Онлайн</t>
  </si>
  <si>
    <t>\N</t>
  </si>
  <si>
    <t>Орел</t>
  </si>
  <si>
    <t>Рязань</t>
  </si>
  <si>
    <t>Вологда</t>
  </si>
  <si>
    <t>Астрахань</t>
  </si>
  <si>
    <t>Курск</t>
  </si>
  <si>
    <t>Санкт-Петербург</t>
  </si>
  <si>
    <t>Чебоксары</t>
  </si>
  <si>
    <t>Иваново</t>
  </si>
  <si>
    <t>003547</t>
  </si>
  <si>
    <t>000068</t>
  </si>
  <si>
    <t>000389</t>
  </si>
  <si>
    <t>001393</t>
  </si>
  <si>
    <t>002050</t>
  </si>
  <si>
    <t>002154</t>
  </si>
  <si>
    <t>002148</t>
  </si>
  <si>
    <t>003211</t>
  </si>
  <si>
    <t>003512</t>
  </si>
  <si>
    <t>006081</t>
  </si>
  <si>
    <t>007524</t>
  </si>
  <si>
    <t>012728</t>
  </si>
  <si>
    <t>023629</t>
  </si>
  <si>
    <t>026146</t>
  </si>
  <si>
    <t>027112</t>
  </si>
  <si>
    <t>029454</t>
  </si>
  <si>
    <t>035084</t>
  </si>
  <si>
    <t>037654</t>
  </si>
  <si>
    <t>039952</t>
  </si>
  <si>
    <t>042997</t>
  </si>
  <si>
    <t>070431</t>
  </si>
  <si>
    <t>068701</t>
  </si>
  <si>
    <t>ProviderID</t>
  </si>
  <si>
    <t>1НБЦ от 21.01.2021</t>
  </si>
  <si>
    <t>3НБЦ от 23.03.2023</t>
  </si>
  <si>
    <t>NumContract</t>
  </si>
  <si>
    <t>ClientID</t>
  </si>
  <si>
    <t>inner_lead_id</t>
  </si>
  <si>
    <t>issueDateTimestamp</t>
  </si>
  <si>
    <t>LoanAmount</t>
  </si>
  <si>
    <t>EARLY_REPAID</t>
  </si>
  <si>
    <t>REPAID</t>
  </si>
  <si>
    <t>SOLD</t>
  </si>
  <si>
    <t>CANCELED</t>
  </si>
  <si>
    <t>BANKRUPTCY</t>
  </si>
  <si>
    <t>Номер контракта</t>
  </si>
  <si>
    <t>Регион выдачи</t>
  </si>
  <si>
    <t>ID договора</t>
  </si>
  <si>
    <t>Дата выдачи</t>
  </si>
  <si>
    <t>Статус</t>
  </si>
  <si>
    <t>Дата последнего платежа</t>
  </si>
  <si>
    <t>Сумма последнего платежа</t>
  </si>
  <si>
    <t>1. Составить реестр, в который войдут все клиенты из отчета 1</t>
  </si>
  <si>
    <t>2. Недостающие поля взять из отчета 2</t>
  </si>
  <si>
    <t>4. Написать SQL запрос по отчету 2, который выведет клиентов с регионом выдачи онлайн и выданные в 2024 году</t>
  </si>
  <si>
    <t>5. Написать SQL запрос по отчету 2, который выведет три поля: статус, количество клиентов в статусе, сумму выданных займов в статусе</t>
  </si>
  <si>
    <t>6. Написать SQL запрос, который выведет все поля отчета 1 и отчета 2</t>
  </si>
  <si>
    <t>4. из полученного реестра построить сводную таблицу по регионам, количеством клиентов по регионам и суммой выданных займов по регионам</t>
  </si>
  <si>
    <t>3. из сформированного реестра исключить клиентов из вкладки "цессия" и со статусом "банкрот", "погашен", "досрочно погашен"</t>
  </si>
  <si>
    <t>Общий итог</t>
  </si>
  <si>
    <t>Сумма выдачи по региону</t>
  </si>
  <si>
    <t>Количество клиентов</t>
  </si>
  <si>
    <t>ПУНКТ 4 СМ. на листе final_reestr</t>
  </si>
  <si>
    <t>Есть ли в цессии?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</si>
</sst>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dd\.mm\.yyyy"/>
  </numFmts>
  <fonts count="4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scheme val="minor"/>
    </font>
    <font>
      <sz val="9"/>
      <name val="Arial"/>
      <family val="2"/>
    </font>
    <font>
      <sz val="12"/>
      <color rgb="FFFF000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 Gerenkova" refreshedDate="45837.884565277775" createdVersion="8" refreshedVersion="8" minRefreshableVersion="3" recordCount="22" xr:uid="{CB441BDD-F026-AA4F-9091-5FDDEFBC00ED}">
  <cacheSource type="worksheet">
    <worksheetSource ref="A1:L23" sheet="final_reestr"/>
  </cacheSource>
  <cacheFields count="12">
    <cacheField name="№" numFmtId="0">
      <sharedItems containsSemiMixedTypes="0" containsString="0" containsNumber="1" containsInteger="1" minValue="1" maxValue="22"/>
    </cacheField>
    <cacheField name="Номер контракта" numFmtId="0">
      <sharedItems count="22">
        <s v="003547"/>
        <s v="000068"/>
        <s v="000389"/>
        <s v="001393"/>
        <s v="002050"/>
        <s v="002154"/>
        <s v="002148"/>
        <s v="003211"/>
        <s v="003512"/>
        <s v="006081"/>
        <s v="007524"/>
        <s v="012728"/>
        <s v="023629"/>
        <s v="026146"/>
        <s v="027112"/>
        <s v="029454"/>
        <s v="035084"/>
        <s v="037654"/>
        <s v="039952"/>
        <s v="042997"/>
        <s v="070431"/>
        <s v="068701"/>
      </sharedItems>
    </cacheField>
    <cacheField name="ID договора" numFmtId="0">
      <sharedItems containsSemiMixedTypes="0" containsString="0" containsNumber="1" containsInteger="1" minValue="183" maxValue="208219"/>
    </cacheField>
    <cacheField name="Регион выдачи" numFmtId="0">
      <sharedItems count="8">
        <s v="Электросталь"/>
        <s v="Белгород"/>
        <s v="Вологда"/>
        <s v="Санкт-Петербург"/>
        <s v="Курск"/>
        <s v="Пенза"/>
        <s v="Астрахань"/>
        <s v="Онлайн"/>
      </sharedItems>
    </cacheField>
    <cacheField name="Дата выдачи" numFmtId="14">
      <sharedItems containsSemiMixedTypes="0" containsNonDate="0" containsDate="1" containsString="0" minDate="2022-09-30T00:00:00" maxDate="2024-06-23T00:00:00" count="21">
        <d v="2023-03-23T00:00:00"/>
        <d v="2022-09-30T00:00:00"/>
        <d v="2022-10-28T00:00:00"/>
        <d v="2022-12-20T00:00:00"/>
        <d v="2023-01-26T00:00:00"/>
        <d v="2023-01-31T00:00:00"/>
        <d v="2023-03-10T00:00:00"/>
        <d v="2023-03-21T00:00:00"/>
        <d v="2023-06-18T00:00:00"/>
        <d v="2023-07-05T00:00:00"/>
        <d v="2023-08-26T00:00:00"/>
        <d v="2023-11-07T00:00:00"/>
        <d v="2023-11-19T00:00:00"/>
        <d v="2023-11-23T00:00:00"/>
        <d v="2023-12-05T00:00:00"/>
        <d v="2024-01-04T00:00:00"/>
        <d v="2024-01-15T00:00:00"/>
        <d v="2024-01-25T00:00:00"/>
        <d v="2024-02-08T00:00:00"/>
        <d v="2024-06-22T00:00:00"/>
        <d v="2024-06-14T00:00:00"/>
      </sharedItems>
    </cacheField>
    <cacheField name="Сумма выдачи" numFmtId="2">
      <sharedItems containsSemiMixedTypes="0" containsString="0" containsNumber="1" containsInteger="1" minValue="6000" maxValue="60000"/>
    </cacheField>
    <cacheField name="Статус" numFmtId="0">
      <sharedItems/>
    </cacheField>
    <cacheField name="Задолженность по ОД" numFmtId="0">
      <sharedItems containsSemiMixedTypes="0" containsString="0" containsNumber="1" minValue="4410.2" maxValue="47104.160000000003"/>
    </cacheField>
    <cacheField name="Задолженность по %%" numFmtId="0">
      <sharedItems containsSemiMixedTypes="0" containsString="0" containsNumber="1" minValue="0" maxValue="30483.14"/>
    </cacheField>
    <cacheField name="Кол-во дней просрочки, фактическое" numFmtId="0">
      <sharedItems containsSemiMixedTypes="0" containsString="0" containsNumber="1" containsInteger="1" minValue="208" maxValue="609"/>
    </cacheField>
    <cacheField name="Дата последнего платежа" numFmtId="14">
      <sharedItems containsSemiMixedTypes="0" containsNonDate="0" containsDate="1" containsString="0" minDate="2023-09-11T09:15:44" maxDate="2024-12-17T15:34:43"/>
    </cacheField>
    <cacheField name="Сумма последнего платежа" numFmtId="0">
      <sharedItems containsMixedTypes="1" containsNumber="1" minValue="5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0614"/>
    <x v="0"/>
    <x v="0"/>
    <n v="60000"/>
    <s v="COLLECTOR"/>
    <n v="47104.160000000003"/>
    <n v="23926.86"/>
    <n v="525"/>
    <d v="2023-11-21T23:00:00"/>
    <n v="1775"/>
  </r>
  <r>
    <n v="2"/>
    <x v="1"/>
    <n v="183"/>
    <x v="1"/>
    <x v="1"/>
    <n v="35000"/>
    <s v="COLLECTOR"/>
    <n v="11447.66"/>
    <n v="1300.06"/>
    <n v="552"/>
    <d v="2024-10-03T14:33:23"/>
    <n v="1950"/>
  </r>
  <r>
    <n v="3"/>
    <x v="2"/>
    <n v="1146"/>
    <x v="2"/>
    <x v="2"/>
    <n v="30000"/>
    <s v="DELINQUENT"/>
    <n v="4410.2"/>
    <n v="249.72"/>
    <n v="482"/>
    <d v="2023-10-07T00:00:00"/>
    <n v="1200"/>
  </r>
  <r>
    <n v="4"/>
    <x v="3"/>
    <n v="4157"/>
    <x v="0"/>
    <x v="3"/>
    <n v="40000"/>
    <s v="ACTIVE_SB"/>
    <n v="11088.24"/>
    <n v="1482.47"/>
    <n v="457"/>
    <d v="2023-12-12T23:00:00"/>
    <n v="3000"/>
  </r>
  <r>
    <n v="5"/>
    <x v="4"/>
    <n v="6127"/>
    <x v="3"/>
    <x v="4"/>
    <n v="50000"/>
    <s v="COLLECTOR"/>
    <n v="42219.24"/>
    <n v="30483.14"/>
    <n v="609"/>
    <d v="2024-12-17T15:34:37"/>
    <n v="2200"/>
  </r>
  <r>
    <n v="6"/>
    <x v="5"/>
    <n v="6439"/>
    <x v="4"/>
    <x v="5"/>
    <n v="20000"/>
    <s v="COLLECTOR"/>
    <n v="6606.81"/>
    <n v="864.92"/>
    <n v="583"/>
    <d v="2024-12-17T15:34:38"/>
    <n v="6652.05"/>
  </r>
  <r>
    <n v="7"/>
    <x v="6"/>
    <n v="6421"/>
    <x v="5"/>
    <x v="5"/>
    <n v="30000"/>
    <s v="ACTIVE_SB"/>
    <n v="8796.44"/>
    <n v="1169.45"/>
    <n v="415"/>
    <d v="2024-01-23T23:00:00"/>
    <n v="9000"/>
  </r>
  <r>
    <n v="8"/>
    <x v="7"/>
    <n v="9610"/>
    <x v="1"/>
    <x v="6"/>
    <n v="30000"/>
    <s v="COLLECTOR"/>
    <n v="25533.57"/>
    <n v="19657.32"/>
    <n v="573"/>
    <d v="2023-09-11T09:15:44"/>
    <n v="4250"/>
  </r>
  <r>
    <n v="9"/>
    <x v="8"/>
    <n v="10509"/>
    <x v="6"/>
    <x v="7"/>
    <n v="30000"/>
    <s v="COLLECTOR"/>
    <n v="26037.23"/>
    <n v="21091.66"/>
    <n v="569"/>
    <d v="2023-09-13T08:46:09"/>
    <n v="1100"/>
  </r>
  <r>
    <n v="10"/>
    <x v="9"/>
    <n v="18155"/>
    <x v="7"/>
    <x v="8"/>
    <n v="9500"/>
    <s v="COLLECTOR"/>
    <n v="9500"/>
    <n v="5157.97"/>
    <n v="578"/>
    <d v="2024-12-17T15:34:43"/>
    <s v="\N"/>
  </r>
  <r>
    <n v="11"/>
    <x v="10"/>
    <n v="22472"/>
    <x v="7"/>
    <x v="9"/>
    <n v="9500"/>
    <s v="COLLECTOR"/>
    <n v="9500"/>
    <n v="4051.18"/>
    <n v="561"/>
    <d v="2024-10-14T11:55:57"/>
    <s v="\N"/>
  </r>
  <r>
    <n v="12"/>
    <x v="11"/>
    <n v="38081"/>
    <x v="7"/>
    <x v="10"/>
    <n v="9900"/>
    <s v="COLLECTOR"/>
    <n v="8655.17"/>
    <n v="3112.94"/>
    <n v="495"/>
    <d v="2024-11-08T14:22:22"/>
    <n v="2353.63"/>
  </r>
  <r>
    <n v="13"/>
    <x v="12"/>
    <n v="70784"/>
    <x v="7"/>
    <x v="11"/>
    <n v="9900"/>
    <s v="COLLECTOR"/>
    <n v="9900"/>
    <n v="4221.74"/>
    <n v="436"/>
    <d v="2024-10-03T12:39:33"/>
    <s v="\N"/>
  </r>
  <r>
    <n v="14"/>
    <x v="13"/>
    <n v="78335"/>
    <x v="7"/>
    <x v="12"/>
    <n v="9900"/>
    <s v="COLLECTOR"/>
    <n v="4660.4799999999996"/>
    <n v="0"/>
    <n v="382"/>
    <d v="2024-10-03T13:14:49"/>
    <n v="2400"/>
  </r>
  <r>
    <n v="15"/>
    <x v="14"/>
    <n v="81233"/>
    <x v="7"/>
    <x v="13"/>
    <n v="9900"/>
    <s v="COLLECTOR"/>
    <n v="9900"/>
    <n v="4221.74"/>
    <n v="420"/>
    <d v="2024-10-03T12:39:33"/>
    <s v="\N"/>
  </r>
  <r>
    <n v="16"/>
    <x v="15"/>
    <n v="88259"/>
    <x v="7"/>
    <x v="14"/>
    <n v="9900"/>
    <s v="COLLECTOR"/>
    <n v="8655.17"/>
    <n v="3112.94"/>
    <n v="394"/>
    <d v="2024-10-03T12:39:33"/>
    <n v="2353.63"/>
  </r>
  <r>
    <n v="17"/>
    <x v="16"/>
    <n v="104036"/>
    <x v="7"/>
    <x v="15"/>
    <n v="9900"/>
    <s v="COLLECTOR"/>
    <n v="7270.92"/>
    <n v="2143.56"/>
    <n v="350"/>
    <d v="2024-10-03T13:14:49"/>
    <n v="2347.2600000000002"/>
  </r>
  <r>
    <n v="18"/>
    <x v="17"/>
    <n v="109897"/>
    <x v="7"/>
    <x v="16"/>
    <n v="9900"/>
    <s v="COLLECTOR"/>
    <n v="7270.92"/>
    <n v="2143.56"/>
    <n v="339"/>
    <d v="2024-10-03T13:14:49"/>
    <n v="2353.63"/>
  </r>
  <r>
    <n v="19"/>
    <x v="18"/>
    <n v="116791"/>
    <x v="7"/>
    <x v="17"/>
    <n v="9900"/>
    <s v="COLLECTOR"/>
    <n v="8655.17"/>
    <n v="3112.94"/>
    <n v="343"/>
    <d v="2024-10-03T13:14:49"/>
    <n v="2353.63"/>
  </r>
  <r>
    <n v="20"/>
    <x v="19"/>
    <n v="125922"/>
    <x v="7"/>
    <x v="18"/>
    <n v="13300"/>
    <s v="COLLECTOR"/>
    <n v="11627.66"/>
    <n v="4182"/>
    <n v="329"/>
    <d v="2024-10-03T13:14:49"/>
    <n v="2000"/>
  </r>
  <r>
    <n v="21"/>
    <x v="20"/>
    <n v="208219"/>
    <x v="7"/>
    <x v="19"/>
    <n v="6000"/>
    <s v="ACTIVE_SB"/>
    <n v="6000"/>
    <n v="2889.34"/>
    <n v="208"/>
    <d v="2024-09-24T23:00:00"/>
    <n v="500"/>
  </r>
  <r>
    <n v="22"/>
    <x v="21"/>
    <n v="203029"/>
    <x v="7"/>
    <x v="20"/>
    <n v="9900"/>
    <s v="DELINQUENT"/>
    <n v="9900"/>
    <n v="4166.08"/>
    <n v="216"/>
    <d v="2024-06-29T00:00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94166-1086-BF48-91E0-A02B64D4B5A2}" name="Сводная таблица1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Регион выдачи">
  <location ref="A29:C38" firstHeaderRow="0" firstDataRow="1" firstDataCol="1"/>
  <pivotFields count="12">
    <pivotField showAll="0"/>
    <pivotField dataField="1" showAll="0">
      <items count="23">
        <item x="1"/>
        <item x="2"/>
        <item x="3"/>
        <item x="4"/>
        <item x="6"/>
        <item x="5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t="default"/>
      </items>
    </pivotField>
    <pivotField showAll="0"/>
    <pivotField axis="axisRow" showAll="0">
      <items count="9">
        <item x="6"/>
        <item x="1"/>
        <item x="2"/>
        <item x="4"/>
        <item x="7"/>
        <item x="5"/>
        <item x="3"/>
        <item x="0"/>
        <item t="default"/>
      </items>
    </pivotField>
    <pivotField numFmtId="14" showAll="0"/>
    <pivotField dataField="1" numFmtId="2" showAll="0"/>
    <pivotField showAll="0"/>
    <pivotField showAll="0"/>
    <pivotField showAll="0"/>
    <pivotField showAll="0"/>
    <pivotField numFmtId="14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клиентов" fld="1" subtotal="count" baseField="0" baseItem="0"/>
    <dataField name="Сумма выдачи по региону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C395-BEDA-8B4B-A112-1619977F9EB9}">
  <dimension ref="A1:J9"/>
  <sheetViews>
    <sheetView workbookViewId="0">
      <selection activeCell="D36" sqref="D36"/>
    </sheetView>
  </sheetViews>
  <sheetFormatPr baseColWidth="10" defaultRowHeight="16" x14ac:dyDescent="0.2"/>
  <cols>
    <col min="1" max="1" width="5.1640625" bestFit="1" customWidth="1"/>
    <col min="2" max="2" width="10.33203125" bestFit="1" customWidth="1"/>
    <col min="3" max="3" width="10.1640625" bestFit="1" customWidth="1"/>
    <col min="4" max="4" width="14.83203125" bestFit="1" customWidth="1"/>
    <col min="5" max="5" width="7.33203125" bestFit="1" customWidth="1"/>
    <col min="6" max="6" width="10.6640625" bestFit="1" customWidth="1"/>
    <col min="7" max="7" width="9.6640625" bestFit="1" customWidth="1"/>
    <col min="8" max="8" width="14.83203125" bestFit="1" customWidth="1"/>
    <col min="9" max="9" width="17.6640625" bestFit="1" customWidth="1"/>
    <col min="10" max="10" width="9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60</v>
      </c>
    </row>
    <row r="2" spans="1:10" x14ac:dyDescent="0.2">
      <c r="A2">
        <v>6</v>
      </c>
      <c r="B2">
        <v>125922</v>
      </c>
      <c r="C2" s="7">
        <v>45469</v>
      </c>
      <c r="D2">
        <v>10</v>
      </c>
      <c r="E2">
        <v>1000</v>
      </c>
      <c r="F2">
        <v>0</v>
      </c>
      <c r="G2" t="s">
        <v>8</v>
      </c>
      <c r="H2" s="1">
        <v>125922</v>
      </c>
      <c r="I2" t="s">
        <v>61</v>
      </c>
      <c r="J2" s="1">
        <v>4</v>
      </c>
    </row>
    <row r="3" spans="1:10" x14ac:dyDescent="0.2">
      <c r="A3">
        <v>1</v>
      </c>
      <c r="B3">
        <v>116791</v>
      </c>
      <c r="C3" s="7">
        <v>45469</v>
      </c>
      <c r="D3">
        <v>10</v>
      </c>
      <c r="E3">
        <v>2000</v>
      </c>
      <c r="F3">
        <v>0</v>
      </c>
      <c r="G3" t="s">
        <v>8</v>
      </c>
      <c r="H3" s="1">
        <v>116791</v>
      </c>
      <c r="I3" t="s">
        <v>61</v>
      </c>
      <c r="J3" s="1">
        <v>4</v>
      </c>
    </row>
    <row r="4" spans="1:10" x14ac:dyDescent="0.2">
      <c r="A4">
        <v>10</v>
      </c>
      <c r="B4">
        <v>109897</v>
      </c>
      <c r="C4" s="7">
        <v>45469</v>
      </c>
      <c r="D4">
        <v>10</v>
      </c>
      <c r="E4">
        <v>3000</v>
      </c>
      <c r="F4">
        <v>0</v>
      </c>
      <c r="G4" t="s">
        <v>8</v>
      </c>
      <c r="H4" s="1">
        <v>109897</v>
      </c>
      <c r="I4" t="s">
        <v>61</v>
      </c>
      <c r="J4" s="1">
        <v>4</v>
      </c>
    </row>
    <row r="5" spans="1:10" x14ac:dyDescent="0.2">
      <c r="A5">
        <v>5432</v>
      </c>
      <c r="B5">
        <v>104036</v>
      </c>
      <c r="C5" s="7">
        <v>45469</v>
      </c>
      <c r="D5">
        <v>10</v>
      </c>
      <c r="E5">
        <v>4000</v>
      </c>
      <c r="F5">
        <v>0</v>
      </c>
      <c r="G5" t="s">
        <v>8</v>
      </c>
      <c r="H5" s="1">
        <v>104036</v>
      </c>
      <c r="I5" t="s">
        <v>61</v>
      </c>
      <c r="J5" s="1">
        <v>4</v>
      </c>
    </row>
    <row r="6" spans="1:10" x14ac:dyDescent="0.2">
      <c r="A6">
        <v>7886</v>
      </c>
      <c r="B6">
        <v>88259</v>
      </c>
      <c r="C6" s="7">
        <v>45405</v>
      </c>
      <c r="D6">
        <v>4</v>
      </c>
      <c r="E6">
        <v>5000</v>
      </c>
      <c r="F6">
        <v>0</v>
      </c>
      <c r="G6" t="s">
        <v>8</v>
      </c>
      <c r="H6" s="1">
        <v>88259</v>
      </c>
      <c r="I6" t="s">
        <v>62</v>
      </c>
      <c r="J6" s="1">
        <v>4</v>
      </c>
    </row>
    <row r="7" spans="1:10" x14ac:dyDescent="0.2">
      <c r="A7">
        <v>431</v>
      </c>
      <c r="B7">
        <v>81233</v>
      </c>
      <c r="C7" s="7">
        <v>45405</v>
      </c>
      <c r="D7">
        <v>4</v>
      </c>
      <c r="E7">
        <v>6000</v>
      </c>
      <c r="F7">
        <v>0</v>
      </c>
      <c r="G7" t="s">
        <v>8</v>
      </c>
      <c r="H7" s="1">
        <v>81233</v>
      </c>
      <c r="I7" t="s">
        <v>62</v>
      </c>
      <c r="J7" s="1">
        <v>4</v>
      </c>
    </row>
    <row r="8" spans="1:10" x14ac:dyDescent="0.2">
      <c r="A8">
        <v>643</v>
      </c>
      <c r="B8">
        <v>78335</v>
      </c>
      <c r="C8" s="7">
        <v>45469</v>
      </c>
      <c r="D8">
        <v>10</v>
      </c>
      <c r="E8">
        <v>7000</v>
      </c>
      <c r="F8">
        <v>0</v>
      </c>
      <c r="G8" t="s">
        <v>8</v>
      </c>
      <c r="H8" s="1">
        <v>78335</v>
      </c>
      <c r="I8" t="s">
        <v>61</v>
      </c>
      <c r="J8" s="1">
        <v>4</v>
      </c>
    </row>
    <row r="9" spans="1:10" x14ac:dyDescent="0.2">
      <c r="A9">
        <v>6789</v>
      </c>
      <c r="B9">
        <v>70784</v>
      </c>
      <c r="C9" s="7">
        <v>45405</v>
      </c>
      <c r="D9">
        <v>4</v>
      </c>
      <c r="E9">
        <v>8000</v>
      </c>
      <c r="F9">
        <v>0</v>
      </c>
      <c r="G9" t="s">
        <v>8</v>
      </c>
      <c r="H9" s="1">
        <v>70784</v>
      </c>
      <c r="I9" t="s">
        <v>61</v>
      </c>
      <c r="J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7580-319A-1645-9932-BF09D4C8F64C}">
  <dimension ref="A1:K40"/>
  <sheetViews>
    <sheetView workbookViewId="0">
      <selection activeCell="I15" sqref="I15"/>
    </sheetView>
  </sheetViews>
  <sheetFormatPr baseColWidth="10" defaultRowHeight="16" x14ac:dyDescent="0.2"/>
  <cols>
    <col min="1" max="1" width="12.33203125" bestFit="1" customWidth="1"/>
    <col min="2" max="2" width="10.33203125" bestFit="1" customWidth="1"/>
    <col min="3" max="3" width="8" bestFit="1" customWidth="1"/>
    <col min="4" max="4" width="12" bestFit="1" customWidth="1"/>
    <col min="5" max="5" width="15.1640625" bestFit="1" customWidth="1"/>
    <col min="6" max="6" width="16.83203125" customWidth="1"/>
    <col min="7" max="7" width="18" bestFit="1" customWidth="1"/>
    <col min="8" max="8" width="11.1640625" bestFit="1" customWidth="1"/>
    <col min="9" max="9" width="13" bestFit="1" customWidth="1"/>
    <col min="10" max="10" width="15" bestFit="1" customWidth="1"/>
  </cols>
  <sheetData>
    <row r="1" spans="1:11" x14ac:dyDescent="0.2">
      <c r="A1" t="s">
        <v>63</v>
      </c>
      <c r="B1" t="s">
        <v>1</v>
      </c>
      <c r="C1" t="s">
        <v>64</v>
      </c>
      <c r="D1" t="s">
        <v>65</v>
      </c>
      <c r="E1" t="s">
        <v>11</v>
      </c>
      <c r="F1" t="s">
        <v>66</v>
      </c>
      <c r="G1" t="s">
        <v>10</v>
      </c>
      <c r="H1" t="s">
        <v>67</v>
      </c>
      <c r="I1" t="s">
        <v>12</v>
      </c>
      <c r="J1" t="s">
        <v>13</v>
      </c>
      <c r="K1" t="s">
        <v>14</v>
      </c>
    </row>
    <row r="2" spans="1:11" x14ac:dyDescent="0.2">
      <c r="A2" s="8">
        <v>68</v>
      </c>
      <c r="B2">
        <v>183</v>
      </c>
      <c r="C2">
        <v>219</v>
      </c>
      <c r="D2" t="s">
        <v>29</v>
      </c>
      <c r="E2" t="s">
        <v>23</v>
      </c>
      <c r="F2" s="9">
        <v>44834.637858796297</v>
      </c>
      <c r="G2" s="7">
        <v>45198</v>
      </c>
      <c r="H2">
        <v>35000</v>
      </c>
      <c r="I2" t="s">
        <v>21</v>
      </c>
      <c r="J2" s="9">
        <v>45568.606516203705</v>
      </c>
      <c r="K2">
        <v>1950</v>
      </c>
    </row>
    <row r="3" spans="1:11" x14ac:dyDescent="0.2">
      <c r="A3" s="8">
        <v>91</v>
      </c>
      <c r="B3">
        <v>252</v>
      </c>
      <c r="C3">
        <v>291</v>
      </c>
      <c r="D3" t="s">
        <v>29</v>
      </c>
      <c r="E3" t="s">
        <v>20</v>
      </c>
      <c r="F3" s="9">
        <v>44838.736770833333</v>
      </c>
      <c r="G3" s="7">
        <v>45202</v>
      </c>
      <c r="H3">
        <v>50000</v>
      </c>
      <c r="I3" t="s">
        <v>68</v>
      </c>
      <c r="J3" s="9">
        <v>45134.878981481481</v>
      </c>
      <c r="K3">
        <v>3078</v>
      </c>
    </row>
    <row r="4" spans="1:11" x14ac:dyDescent="0.2">
      <c r="A4" s="8">
        <v>265</v>
      </c>
      <c r="B4">
        <v>774</v>
      </c>
      <c r="C4">
        <v>954</v>
      </c>
      <c r="D4" t="s">
        <v>29</v>
      </c>
      <c r="E4" t="s">
        <v>32</v>
      </c>
      <c r="F4" s="9">
        <v>44853.644618055558</v>
      </c>
      <c r="G4" s="7">
        <v>45105</v>
      </c>
      <c r="H4">
        <v>25000</v>
      </c>
      <c r="I4" t="s">
        <v>68</v>
      </c>
      <c r="J4" s="9">
        <v>45062.687557870369</v>
      </c>
      <c r="K4">
        <v>5700</v>
      </c>
    </row>
    <row r="5" spans="1:11" x14ac:dyDescent="0.2">
      <c r="A5" s="8">
        <v>389</v>
      </c>
      <c r="B5">
        <v>1146</v>
      </c>
      <c r="C5">
        <v>1344</v>
      </c>
      <c r="D5" t="s">
        <v>29</v>
      </c>
      <c r="E5" t="s">
        <v>32</v>
      </c>
      <c r="F5" s="9">
        <v>44862.5309837963</v>
      </c>
      <c r="G5" s="7">
        <v>45226</v>
      </c>
      <c r="H5">
        <v>30000</v>
      </c>
      <c r="I5" t="s">
        <v>24</v>
      </c>
      <c r="J5" s="9">
        <v>45206</v>
      </c>
      <c r="K5">
        <v>1200</v>
      </c>
    </row>
    <row r="6" spans="1:11" x14ac:dyDescent="0.2">
      <c r="A6" s="8">
        <v>457</v>
      </c>
      <c r="B6">
        <v>1352</v>
      </c>
      <c r="C6">
        <v>1557</v>
      </c>
      <c r="D6" t="s">
        <v>29</v>
      </c>
      <c r="E6" t="s">
        <v>23</v>
      </c>
      <c r="F6" s="9">
        <v>44867.571759259263</v>
      </c>
      <c r="G6" s="7">
        <v>45119</v>
      </c>
      <c r="H6">
        <v>30000</v>
      </c>
      <c r="I6" t="s">
        <v>69</v>
      </c>
      <c r="J6" s="9">
        <v>45092.635439814818</v>
      </c>
      <c r="K6">
        <v>3000</v>
      </c>
    </row>
    <row r="7" spans="1:11" x14ac:dyDescent="0.2">
      <c r="A7" s="8">
        <v>640</v>
      </c>
      <c r="B7">
        <v>1901</v>
      </c>
      <c r="C7">
        <v>3680</v>
      </c>
      <c r="D7" t="s">
        <v>29</v>
      </c>
      <c r="E7" t="s">
        <v>36</v>
      </c>
      <c r="F7" s="9">
        <v>44880.632094907407</v>
      </c>
      <c r="G7" s="7">
        <v>45244</v>
      </c>
      <c r="H7">
        <v>20000</v>
      </c>
      <c r="I7" t="s">
        <v>68</v>
      </c>
      <c r="J7" s="9">
        <v>45139.996527777781</v>
      </c>
      <c r="K7">
        <v>11642</v>
      </c>
    </row>
    <row r="8" spans="1:11" x14ac:dyDescent="0.2">
      <c r="A8" s="8">
        <v>864</v>
      </c>
      <c r="B8">
        <v>2573</v>
      </c>
      <c r="C8">
        <v>4640</v>
      </c>
      <c r="D8" t="s">
        <v>29</v>
      </c>
      <c r="E8" t="s">
        <v>37</v>
      </c>
      <c r="F8" s="9">
        <v>44889.701747685183</v>
      </c>
      <c r="G8" s="7">
        <v>45253</v>
      </c>
      <c r="H8">
        <v>70000</v>
      </c>
      <c r="I8" t="s">
        <v>70</v>
      </c>
      <c r="J8" s="9">
        <v>45286.989583333336</v>
      </c>
      <c r="K8">
        <v>2500</v>
      </c>
    </row>
    <row r="9" spans="1:11" x14ac:dyDescent="0.2">
      <c r="A9" s="8">
        <v>1097</v>
      </c>
      <c r="B9">
        <v>3272</v>
      </c>
      <c r="C9">
        <v>5777</v>
      </c>
      <c r="D9" t="s">
        <v>29</v>
      </c>
      <c r="E9" t="s">
        <v>23</v>
      </c>
      <c r="F9" s="9">
        <v>44901.672407407408</v>
      </c>
      <c r="G9" s="7">
        <v>45153</v>
      </c>
      <c r="H9">
        <v>30000</v>
      </c>
      <c r="I9" t="s">
        <v>71</v>
      </c>
      <c r="J9" s="9">
        <v>44901.6875</v>
      </c>
      <c r="K9" t="s">
        <v>29</v>
      </c>
    </row>
    <row r="10" spans="1:11" x14ac:dyDescent="0.2">
      <c r="A10" s="8">
        <v>1370</v>
      </c>
      <c r="B10">
        <v>4088</v>
      </c>
      <c r="C10">
        <v>7454</v>
      </c>
      <c r="D10" t="s">
        <v>29</v>
      </c>
      <c r="E10" t="s">
        <v>30</v>
      </c>
      <c r="F10" s="9">
        <v>44914.611435185187</v>
      </c>
      <c r="G10" s="7">
        <v>45166</v>
      </c>
      <c r="H10">
        <v>20000</v>
      </c>
      <c r="I10" t="s">
        <v>70</v>
      </c>
      <c r="J10" s="9">
        <v>45286.989583333336</v>
      </c>
      <c r="K10">
        <v>1070</v>
      </c>
    </row>
    <row r="11" spans="1:11" x14ac:dyDescent="0.2">
      <c r="A11" s="8">
        <v>1393</v>
      </c>
      <c r="B11">
        <v>4157</v>
      </c>
      <c r="C11">
        <v>9776</v>
      </c>
      <c r="D11" t="s">
        <v>29</v>
      </c>
      <c r="E11" t="s">
        <v>20</v>
      </c>
      <c r="F11" s="9">
        <v>44915.600266203706</v>
      </c>
      <c r="G11" s="7">
        <v>45279</v>
      </c>
      <c r="H11">
        <v>40000</v>
      </c>
      <c r="I11" t="s">
        <v>22</v>
      </c>
      <c r="J11" s="9">
        <v>45272.958333333336</v>
      </c>
      <c r="K11">
        <v>3000</v>
      </c>
    </row>
    <row r="12" spans="1:11" x14ac:dyDescent="0.2">
      <c r="A12" s="8">
        <v>1612</v>
      </c>
      <c r="B12">
        <v>4814</v>
      </c>
      <c r="C12">
        <v>12794</v>
      </c>
      <c r="D12" t="s">
        <v>29</v>
      </c>
      <c r="E12" t="s">
        <v>37</v>
      </c>
      <c r="F12" s="9">
        <v>44923.549212962964</v>
      </c>
      <c r="G12" s="7">
        <v>45175</v>
      </c>
      <c r="H12">
        <v>30000</v>
      </c>
      <c r="I12" t="s">
        <v>70</v>
      </c>
      <c r="J12" s="9">
        <v>45286.989583333336</v>
      </c>
      <c r="K12">
        <v>1600</v>
      </c>
    </row>
    <row r="13" spans="1:11" x14ac:dyDescent="0.2">
      <c r="A13" s="8">
        <v>1851</v>
      </c>
      <c r="B13">
        <v>5530</v>
      </c>
      <c r="C13">
        <v>26824</v>
      </c>
      <c r="D13" t="s">
        <v>29</v>
      </c>
      <c r="E13" t="s">
        <v>31</v>
      </c>
      <c r="F13" s="9">
        <v>44944.656504629631</v>
      </c>
      <c r="G13" s="7">
        <v>45308</v>
      </c>
      <c r="H13">
        <v>52000</v>
      </c>
      <c r="I13" t="s">
        <v>69</v>
      </c>
      <c r="J13" s="9">
        <v>45314.799143518518</v>
      </c>
      <c r="K13">
        <v>40</v>
      </c>
    </row>
    <row r="14" spans="1:11" x14ac:dyDescent="0.2">
      <c r="A14" s="8">
        <v>2050</v>
      </c>
      <c r="B14">
        <v>6127</v>
      </c>
      <c r="C14">
        <v>35551</v>
      </c>
      <c r="D14" t="s">
        <v>29</v>
      </c>
      <c r="E14" t="s">
        <v>35</v>
      </c>
      <c r="F14" s="9">
        <v>44952.751296296294</v>
      </c>
      <c r="G14" s="7">
        <v>45316</v>
      </c>
      <c r="H14">
        <v>50000</v>
      </c>
      <c r="I14" t="s">
        <v>21</v>
      </c>
      <c r="J14" s="9">
        <v>45643.649039351854</v>
      </c>
      <c r="K14">
        <v>2200</v>
      </c>
    </row>
    <row r="15" spans="1:11" x14ac:dyDescent="0.2">
      <c r="A15" s="8">
        <v>2075</v>
      </c>
      <c r="B15">
        <v>6202</v>
      </c>
      <c r="C15">
        <v>42364</v>
      </c>
      <c r="D15" t="s">
        <v>29</v>
      </c>
      <c r="E15" t="s">
        <v>27</v>
      </c>
      <c r="F15" s="9">
        <v>44953.646099537036</v>
      </c>
      <c r="G15" s="7">
        <v>45317</v>
      </c>
      <c r="H15">
        <v>36000</v>
      </c>
      <c r="I15" t="s">
        <v>72</v>
      </c>
      <c r="J15" s="9">
        <v>45561.595879629633</v>
      </c>
      <c r="K15">
        <v>3100</v>
      </c>
    </row>
    <row r="16" spans="1:11" x14ac:dyDescent="0.2">
      <c r="A16" s="8">
        <v>2148</v>
      </c>
      <c r="B16">
        <v>6421</v>
      </c>
      <c r="C16">
        <v>52735</v>
      </c>
      <c r="D16" t="s">
        <v>29</v>
      </c>
      <c r="E16" t="s">
        <v>27</v>
      </c>
      <c r="F16" s="9">
        <v>44957.566238425927</v>
      </c>
      <c r="G16" s="7">
        <v>45321</v>
      </c>
      <c r="H16">
        <v>30000</v>
      </c>
      <c r="I16" t="s">
        <v>22</v>
      </c>
      <c r="J16" s="9">
        <v>45314.958333333336</v>
      </c>
      <c r="K16">
        <v>9000</v>
      </c>
    </row>
    <row r="17" spans="1:11" x14ac:dyDescent="0.2">
      <c r="A17" s="8">
        <v>2154</v>
      </c>
      <c r="B17">
        <v>6439</v>
      </c>
      <c r="C17">
        <v>47875</v>
      </c>
      <c r="D17" t="s">
        <v>29</v>
      </c>
      <c r="E17" t="s">
        <v>34</v>
      </c>
      <c r="F17" s="9">
        <v>44957.618344907409</v>
      </c>
      <c r="G17" s="7">
        <v>45132</v>
      </c>
      <c r="H17">
        <v>20000</v>
      </c>
      <c r="I17" t="s">
        <v>21</v>
      </c>
      <c r="J17" s="9">
        <v>45643.649050925924</v>
      </c>
      <c r="K17">
        <v>6652.05</v>
      </c>
    </row>
    <row r="18" spans="1:11" x14ac:dyDescent="0.2">
      <c r="A18" s="8">
        <v>2369</v>
      </c>
      <c r="B18">
        <v>7084</v>
      </c>
      <c r="C18">
        <v>67927</v>
      </c>
      <c r="D18" t="s">
        <v>29</v>
      </c>
      <c r="E18" t="s">
        <v>25</v>
      </c>
      <c r="F18" s="9">
        <v>44964.757175925923</v>
      </c>
      <c r="G18" s="7">
        <v>45328</v>
      </c>
      <c r="H18">
        <v>55000</v>
      </c>
      <c r="I18" t="s">
        <v>21</v>
      </c>
      <c r="J18" s="9">
        <v>45497.621689814812</v>
      </c>
      <c r="K18">
        <v>4700</v>
      </c>
    </row>
    <row r="19" spans="1:11" x14ac:dyDescent="0.2">
      <c r="A19" s="8">
        <v>2674</v>
      </c>
      <c r="B19">
        <v>7999</v>
      </c>
      <c r="C19">
        <v>89515</v>
      </c>
      <c r="D19" t="s">
        <v>29</v>
      </c>
      <c r="E19" t="s">
        <v>32</v>
      </c>
      <c r="F19" s="9">
        <v>44973.69599537037</v>
      </c>
      <c r="G19" s="7">
        <v>45148</v>
      </c>
      <c r="H19">
        <v>20000</v>
      </c>
      <c r="I19" t="s">
        <v>21</v>
      </c>
      <c r="J19" s="9">
        <v>45579.497164351851</v>
      </c>
      <c r="K19">
        <v>1584.96</v>
      </c>
    </row>
    <row r="20" spans="1:11" x14ac:dyDescent="0.2">
      <c r="A20" s="8">
        <v>2952</v>
      </c>
      <c r="B20">
        <v>8833</v>
      </c>
      <c r="C20">
        <v>106015</v>
      </c>
      <c r="D20">
        <v>1333</v>
      </c>
      <c r="E20" t="s">
        <v>31</v>
      </c>
      <c r="F20" s="9">
        <v>44984.836261574077</v>
      </c>
      <c r="G20" s="7">
        <v>45159</v>
      </c>
      <c r="H20">
        <v>20000</v>
      </c>
      <c r="I20" t="s">
        <v>21</v>
      </c>
      <c r="J20" s="9">
        <v>45191.393171296295</v>
      </c>
      <c r="K20">
        <v>10868.3</v>
      </c>
    </row>
    <row r="21" spans="1:11" x14ac:dyDescent="0.2">
      <c r="A21" s="8">
        <v>3211</v>
      </c>
      <c r="B21">
        <v>9610</v>
      </c>
      <c r="C21">
        <v>114331</v>
      </c>
      <c r="D21" t="s">
        <v>29</v>
      </c>
      <c r="E21" t="s">
        <v>23</v>
      </c>
      <c r="F21" s="9">
        <v>44995.500833333332</v>
      </c>
      <c r="G21" s="7">
        <v>45359</v>
      </c>
      <c r="H21">
        <v>30000</v>
      </c>
      <c r="I21" t="s">
        <v>21</v>
      </c>
      <c r="J21" s="9">
        <v>45180.385925925926</v>
      </c>
      <c r="K21">
        <v>4250</v>
      </c>
    </row>
    <row r="22" spans="1:11" x14ac:dyDescent="0.2">
      <c r="A22" s="8">
        <v>3219</v>
      </c>
      <c r="B22">
        <v>9631</v>
      </c>
      <c r="C22">
        <v>129067</v>
      </c>
      <c r="D22">
        <v>7408</v>
      </c>
      <c r="E22" t="s">
        <v>26</v>
      </c>
      <c r="F22" s="9">
        <v>44995.677824074075</v>
      </c>
      <c r="G22" s="7">
        <v>45359</v>
      </c>
      <c r="H22">
        <v>45000</v>
      </c>
      <c r="I22" t="s">
        <v>68</v>
      </c>
      <c r="J22" s="9">
        <v>45028.852638888886</v>
      </c>
      <c r="K22">
        <v>42982</v>
      </c>
    </row>
    <row r="23" spans="1:11" x14ac:dyDescent="0.2">
      <c r="A23" s="8">
        <v>3512</v>
      </c>
      <c r="B23">
        <v>10509</v>
      </c>
      <c r="C23">
        <v>137712</v>
      </c>
      <c r="D23" t="s">
        <v>29</v>
      </c>
      <c r="E23" t="s">
        <v>33</v>
      </c>
      <c r="F23" s="9">
        <v>45006.667002314818</v>
      </c>
      <c r="G23" s="7">
        <v>45370</v>
      </c>
      <c r="H23">
        <v>30000</v>
      </c>
      <c r="I23" t="s">
        <v>21</v>
      </c>
      <c r="J23" s="9">
        <v>45182.365381944444</v>
      </c>
      <c r="K23">
        <v>1100</v>
      </c>
    </row>
    <row r="24" spans="1:11" x14ac:dyDescent="0.2">
      <c r="A24" s="8">
        <v>3547</v>
      </c>
      <c r="B24">
        <v>10614</v>
      </c>
      <c r="C24">
        <v>75</v>
      </c>
      <c r="D24">
        <v>12098</v>
      </c>
      <c r="E24" t="s">
        <v>20</v>
      </c>
      <c r="F24" s="9">
        <v>45008.575833333336</v>
      </c>
      <c r="G24" s="7">
        <v>45372</v>
      </c>
      <c r="H24">
        <v>60000</v>
      </c>
      <c r="I24" t="s">
        <v>21</v>
      </c>
      <c r="J24" s="9">
        <v>45251.958333333336</v>
      </c>
      <c r="K24">
        <v>1775</v>
      </c>
    </row>
    <row r="25" spans="1:11" x14ac:dyDescent="0.2">
      <c r="A25" s="8">
        <v>6081</v>
      </c>
      <c r="B25">
        <v>18155</v>
      </c>
      <c r="C25">
        <v>247823</v>
      </c>
      <c r="D25">
        <v>61302</v>
      </c>
      <c r="E25" t="s">
        <v>28</v>
      </c>
      <c r="F25" s="9">
        <v>45095.161874999998</v>
      </c>
      <c r="G25" s="7">
        <v>45179</v>
      </c>
      <c r="H25">
        <v>9500</v>
      </c>
      <c r="I25" t="s">
        <v>21</v>
      </c>
      <c r="J25" s="9">
        <v>45643.649108796293</v>
      </c>
      <c r="K25" t="s">
        <v>29</v>
      </c>
    </row>
    <row r="26" spans="1:11" x14ac:dyDescent="0.2">
      <c r="A26" s="8">
        <v>7524</v>
      </c>
      <c r="B26">
        <v>22472</v>
      </c>
      <c r="C26">
        <v>252860</v>
      </c>
      <c r="D26">
        <v>85612</v>
      </c>
      <c r="E26" t="s">
        <v>28</v>
      </c>
      <c r="F26" s="9">
        <v>45112.357048611113</v>
      </c>
      <c r="G26" s="7">
        <v>45196</v>
      </c>
      <c r="H26">
        <v>9500</v>
      </c>
      <c r="I26" t="s">
        <v>21</v>
      </c>
      <c r="J26" s="9">
        <v>45579.497187499997</v>
      </c>
      <c r="K26" t="s">
        <v>29</v>
      </c>
    </row>
    <row r="27" spans="1:11" x14ac:dyDescent="0.2">
      <c r="A27" s="8">
        <v>12728</v>
      </c>
      <c r="B27">
        <v>38081</v>
      </c>
      <c r="C27">
        <v>272921</v>
      </c>
      <c r="D27">
        <v>143198</v>
      </c>
      <c r="E27" t="s">
        <v>28</v>
      </c>
      <c r="F27" s="9">
        <v>45164.985520833332</v>
      </c>
      <c r="G27" s="7">
        <v>45248</v>
      </c>
      <c r="H27">
        <v>9900</v>
      </c>
      <c r="I27" t="s">
        <v>21</v>
      </c>
      <c r="J27" s="9">
        <v>45604.598865740743</v>
      </c>
      <c r="K27">
        <v>2353.63</v>
      </c>
    </row>
    <row r="28" spans="1:11" x14ac:dyDescent="0.2">
      <c r="A28" s="8">
        <v>23629</v>
      </c>
      <c r="B28">
        <v>70784</v>
      </c>
      <c r="C28">
        <v>304811</v>
      </c>
      <c r="D28">
        <v>224372</v>
      </c>
      <c r="E28" t="s">
        <v>28</v>
      </c>
      <c r="F28" s="9">
        <v>45237.626516203702</v>
      </c>
      <c r="G28" s="7">
        <v>45321</v>
      </c>
      <c r="H28">
        <v>9900</v>
      </c>
      <c r="I28" t="s">
        <v>21</v>
      </c>
      <c r="J28" s="9">
        <v>45568.527465277781</v>
      </c>
      <c r="K28" t="s">
        <v>29</v>
      </c>
    </row>
    <row r="29" spans="1:11" x14ac:dyDescent="0.2">
      <c r="A29" s="8">
        <v>26146</v>
      </c>
      <c r="B29">
        <v>78335</v>
      </c>
      <c r="C29">
        <v>310499</v>
      </c>
      <c r="D29">
        <v>238618</v>
      </c>
      <c r="E29" t="s">
        <v>28</v>
      </c>
      <c r="F29" s="9">
        <v>45249.641817129632</v>
      </c>
      <c r="G29" s="7">
        <v>45333</v>
      </c>
      <c r="H29">
        <v>9900</v>
      </c>
      <c r="I29" t="s">
        <v>21</v>
      </c>
      <c r="J29" s="9">
        <v>45568.55195601852</v>
      </c>
      <c r="K29">
        <v>2400</v>
      </c>
    </row>
    <row r="30" spans="1:11" x14ac:dyDescent="0.2">
      <c r="A30" s="8">
        <v>27112</v>
      </c>
      <c r="B30">
        <v>81233</v>
      </c>
      <c r="C30">
        <v>312539</v>
      </c>
      <c r="D30">
        <v>244106</v>
      </c>
      <c r="E30" t="s">
        <v>28</v>
      </c>
      <c r="F30" s="9">
        <v>45253.864027777781</v>
      </c>
      <c r="G30" s="7">
        <v>45337</v>
      </c>
      <c r="H30">
        <v>9900</v>
      </c>
      <c r="I30" t="s">
        <v>21</v>
      </c>
      <c r="J30" s="9">
        <v>45568.527465277781</v>
      </c>
      <c r="K30" t="s">
        <v>29</v>
      </c>
    </row>
    <row r="31" spans="1:11" x14ac:dyDescent="0.2">
      <c r="A31" s="8">
        <v>29454</v>
      </c>
      <c r="B31">
        <v>88259</v>
      </c>
      <c r="C31">
        <v>317474</v>
      </c>
      <c r="D31">
        <v>259354</v>
      </c>
      <c r="E31" t="s">
        <v>28</v>
      </c>
      <c r="F31" s="9">
        <v>45265.785532407404</v>
      </c>
      <c r="G31" s="7">
        <v>45349</v>
      </c>
      <c r="H31">
        <v>9900</v>
      </c>
      <c r="I31" t="s">
        <v>21</v>
      </c>
      <c r="J31" s="9">
        <v>45568.527465277781</v>
      </c>
      <c r="K31">
        <v>2353.63</v>
      </c>
    </row>
    <row r="32" spans="1:11" x14ac:dyDescent="0.2">
      <c r="A32" s="8">
        <v>35084</v>
      </c>
      <c r="B32">
        <v>104036</v>
      </c>
      <c r="C32">
        <v>327624</v>
      </c>
      <c r="D32">
        <v>291631</v>
      </c>
      <c r="E32" t="s">
        <v>28</v>
      </c>
      <c r="F32" s="9">
        <v>45295.500821759262</v>
      </c>
      <c r="G32" s="7">
        <v>45379</v>
      </c>
      <c r="H32">
        <v>9900</v>
      </c>
      <c r="I32" t="s">
        <v>21</v>
      </c>
      <c r="J32" s="9">
        <v>45568.55195601852</v>
      </c>
      <c r="K32">
        <v>2347.2600000000002</v>
      </c>
    </row>
    <row r="33" spans="1:11" x14ac:dyDescent="0.2">
      <c r="A33" s="8">
        <v>36943</v>
      </c>
      <c r="B33">
        <v>107766</v>
      </c>
      <c r="C33">
        <v>330366</v>
      </c>
      <c r="D33">
        <v>302295</v>
      </c>
      <c r="E33" t="s">
        <v>28</v>
      </c>
      <c r="F33" s="9">
        <v>45302.970243055555</v>
      </c>
      <c r="G33" s="7">
        <v>45386</v>
      </c>
      <c r="H33">
        <v>9900</v>
      </c>
      <c r="I33" t="s">
        <v>70</v>
      </c>
      <c r="J33" s="9">
        <v>45495.545358796298</v>
      </c>
      <c r="K33">
        <v>2340</v>
      </c>
    </row>
    <row r="34" spans="1:11" x14ac:dyDescent="0.2">
      <c r="A34" s="8">
        <v>37142</v>
      </c>
      <c r="B34">
        <v>108361</v>
      </c>
      <c r="C34">
        <v>330727</v>
      </c>
      <c r="D34">
        <v>303297</v>
      </c>
      <c r="E34" t="s">
        <v>28</v>
      </c>
      <c r="F34" s="9">
        <v>45303.908460648148</v>
      </c>
      <c r="G34" s="7">
        <v>45387</v>
      </c>
      <c r="H34">
        <v>8000</v>
      </c>
      <c r="I34" t="s">
        <v>69</v>
      </c>
      <c r="J34" s="9">
        <v>45359.917743055557</v>
      </c>
      <c r="K34">
        <v>5705.77</v>
      </c>
    </row>
    <row r="35" spans="1:11" x14ac:dyDescent="0.2">
      <c r="A35" s="8">
        <v>37392</v>
      </c>
      <c r="B35">
        <v>109111</v>
      </c>
      <c r="C35">
        <v>331276</v>
      </c>
      <c r="D35">
        <v>303744</v>
      </c>
      <c r="E35" t="s">
        <v>28</v>
      </c>
      <c r="F35" s="9">
        <v>45305.345254629632</v>
      </c>
      <c r="G35" s="7">
        <v>45389</v>
      </c>
      <c r="H35">
        <v>9900</v>
      </c>
      <c r="I35" t="s">
        <v>70</v>
      </c>
      <c r="J35" s="9">
        <v>45469.655798611115</v>
      </c>
      <c r="K35">
        <v>2353.63</v>
      </c>
    </row>
    <row r="36" spans="1:11" x14ac:dyDescent="0.2">
      <c r="A36" s="8">
        <v>37654</v>
      </c>
      <c r="B36">
        <v>109897</v>
      </c>
      <c r="C36">
        <v>331792</v>
      </c>
      <c r="D36">
        <v>306104</v>
      </c>
      <c r="E36" t="s">
        <v>28</v>
      </c>
      <c r="F36" s="9">
        <v>45306.574444444443</v>
      </c>
      <c r="G36" s="7">
        <v>45390</v>
      </c>
      <c r="H36">
        <v>9900</v>
      </c>
      <c r="I36" t="s">
        <v>21</v>
      </c>
      <c r="J36" s="9">
        <v>45568.55195601852</v>
      </c>
      <c r="K36">
        <v>2353.63</v>
      </c>
    </row>
    <row r="37" spans="1:11" x14ac:dyDescent="0.2">
      <c r="A37" s="8">
        <v>39952</v>
      </c>
      <c r="B37">
        <v>116791</v>
      </c>
      <c r="C37">
        <v>336370</v>
      </c>
      <c r="D37">
        <v>318123</v>
      </c>
      <c r="E37" t="s">
        <v>28</v>
      </c>
      <c r="F37" s="9">
        <v>45316.788981481484</v>
      </c>
      <c r="G37" s="7">
        <v>45400</v>
      </c>
      <c r="H37">
        <v>9900</v>
      </c>
      <c r="I37" t="s">
        <v>21</v>
      </c>
      <c r="J37" s="9">
        <v>45568.55195601852</v>
      </c>
      <c r="K37">
        <v>2353.63</v>
      </c>
    </row>
    <row r="38" spans="1:11" x14ac:dyDescent="0.2">
      <c r="A38" s="8">
        <v>42997</v>
      </c>
      <c r="B38">
        <v>125922</v>
      </c>
      <c r="C38">
        <v>342546</v>
      </c>
      <c r="D38">
        <v>334684</v>
      </c>
      <c r="E38" t="s">
        <v>28</v>
      </c>
      <c r="F38" s="9">
        <v>45330.855636574073</v>
      </c>
      <c r="G38" s="7">
        <v>45414</v>
      </c>
      <c r="H38">
        <v>13300</v>
      </c>
      <c r="I38" t="s">
        <v>21</v>
      </c>
      <c r="J38" s="9">
        <v>45568.55195601852</v>
      </c>
      <c r="K38">
        <v>2000</v>
      </c>
    </row>
    <row r="39" spans="1:11" x14ac:dyDescent="0.2">
      <c r="A39" s="8">
        <v>68701</v>
      </c>
      <c r="B39">
        <v>203029</v>
      </c>
      <c r="C39">
        <v>392176</v>
      </c>
      <c r="D39">
        <v>475995</v>
      </c>
      <c r="E39" t="s">
        <v>28</v>
      </c>
      <c r="F39" s="9">
        <v>45457.381284722222</v>
      </c>
      <c r="G39" s="7">
        <v>45541</v>
      </c>
      <c r="H39">
        <v>9900</v>
      </c>
      <c r="I39" t="s">
        <v>24</v>
      </c>
      <c r="J39" s="9">
        <v>45472</v>
      </c>
      <c r="K39">
        <v>50</v>
      </c>
    </row>
    <row r="40" spans="1:11" x14ac:dyDescent="0.2">
      <c r="A40" s="8">
        <v>70431</v>
      </c>
      <c r="B40">
        <v>208219</v>
      </c>
      <c r="C40">
        <v>361491</v>
      </c>
      <c r="D40">
        <v>486010</v>
      </c>
      <c r="E40" t="s">
        <v>28</v>
      </c>
      <c r="F40" s="9">
        <v>45465.449328703704</v>
      </c>
      <c r="G40" s="7">
        <v>45577</v>
      </c>
      <c r="H40">
        <v>6000</v>
      </c>
      <c r="I40" t="s">
        <v>22</v>
      </c>
      <c r="J40" s="9">
        <v>45559.958333333336</v>
      </c>
      <c r="K4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9F82-EB9D-EF4A-91C1-4D956760F3C9}">
  <dimension ref="A1:G23"/>
  <sheetViews>
    <sheetView workbookViewId="0">
      <selection activeCell="D15" sqref="D15"/>
    </sheetView>
  </sheetViews>
  <sheetFormatPr baseColWidth="10" defaultRowHeight="16" x14ac:dyDescent="0.2"/>
  <cols>
    <col min="1" max="1" width="5.83203125" customWidth="1"/>
    <col min="2" max="2" width="14.5" bestFit="1" customWidth="1"/>
    <col min="3" max="7" width="15.6640625" customWidth="1"/>
  </cols>
  <sheetData>
    <row r="1" spans="1:7" ht="39" x14ac:dyDescent="0.2">
      <c r="A1" s="2" t="s">
        <v>9</v>
      </c>
      <c r="B1" s="2" t="s">
        <v>73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">
      <c r="A2" s="3">
        <v>1</v>
      </c>
      <c r="B2" s="5" t="s">
        <v>38</v>
      </c>
      <c r="C2" s="4">
        <v>45008</v>
      </c>
      <c r="D2" s="6">
        <v>60000</v>
      </c>
      <c r="E2" s="6">
        <v>47104.160000000003</v>
      </c>
      <c r="F2" s="6">
        <v>23926.86</v>
      </c>
      <c r="G2" s="3">
        <v>525</v>
      </c>
    </row>
    <row r="3" spans="1:7" x14ac:dyDescent="0.2">
      <c r="A3" s="3">
        <v>2</v>
      </c>
      <c r="B3" s="5" t="s">
        <v>39</v>
      </c>
      <c r="C3" s="4">
        <v>44834</v>
      </c>
      <c r="D3" s="6">
        <v>35000</v>
      </c>
      <c r="E3" s="6">
        <v>11447.66</v>
      </c>
      <c r="F3" s="6">
        <v>1300.06</v>
      </c>
      <c r="G3" s="3">
        <v>552</v>
      </c>
    </row>
    <row r="4" spans="1:7" x14ac:dyDescent="0.2">
      <c r="A4" s="3">
        <v>3</v>
      </c>
      <c r="B4" s="5" t="s">
        <v>40</v>
      </c>
      <c r="C4" s="4">
        <v>44862</v>
      </c>
      <c r="D4" s="6">
        <v>30000</v>
      </c>
      <c r="E4" s="6">
        <v>4410.2</v>
      </c>
      <c r="F4" s="6">
        <v>249.72</v>
      </c>
      <c r="G4" s="3">
        <v>482</v>
      </c>
    </row>
    <row r="5" spans="1:7" x14ac:dyDescent="0.2">
      <c r="A5" s="3">
        <v>4</v>
      </c>
      <c r="B5" s="5" t="s">
        <v>41</v>
      </c>
      <c r="C5" s="4">
        <v>44915</v>
      </c>
      <c r="D5" s="6">
        <v>40000</v>
      </c>
      <c r="E5" s="6">
        <v>11088.24</v>
      </c>
      <c r="F5" s="6">
        <v>1482.47</v>
      </c>
      <c r="G5" s="3">
        <v>457</v>
      </c>
    </row>
    <row r="6" spans="1:7" x14ac:dyDescent="0.2">
      <c r="A6" s="3">
        <v>5</v>
      </c>
      <c r="B6" s="5" t="s">
        <v>42</v>
      </c>
      <c r="C6" s="4">
        <v>44952</v>
      </c>
      <c r="D6" s="6">
        <v>50000</v>
      </c>
      <c r="E6" s="6">
        <v>42219.24</v>
      </c>
      <c r="F6" s="6">
        <v>30483.14</v>
      </c>
      <c r="G6" s="3">
        <v>609</v>
      </c>
    </row>
    <row r="7" spans="1:7" x14ac:dyDescent="0.2">
      <c r="A7" s="3">
        <v>6</v>
      </c>
      <c r="B7" s="5" t="s">
        <v>43</v>
      </c>
      <c r="C7" s="4">
        <v>44957</v>
      </c>
      <c r="D7" s="6">
        <v>20000</v>
      </c>
      <c r="E7" s="6">
        <v>6606.81</v>
      </c>
      <c r="F7" s="6">
        <v>864.92</v>
      </c>
      <c r="G7" s="3">
        <v>583</v>
      </c>
    </row>
    <row r="8" spans="1:7" x14ac:dyDescent="0.2">
      <c r="A8" s="3">
        <v>7</v>
      </c>
      <c r="B8" s="5" t="s">
        <v>44</v>
      </c>
      <c r="C8" s="4">
        <v>44957</v>
      </c>
      <c r="D8" s="6">
        <v>30000</v>
      </c>
      <c r="E8" s="6">
        <v>8796.44</v>
      </c>
      <c r="F8" s="6">
        <v>1169.45</v>
      </c>
      <c r="G8" s="3">
        <v>415</v>
      </c>
    </row>
    <row r="9" spans="1:7" x14ac:dyDescent="0.2">
      <c r="A9" s="3">
        <v>8</v>
      </c>
      <c r="B9" s="5" t="s">
        <v>45</v>
      </c>
      <c r="C9" s="4">
        <v>44995</v>
      </c>
      <c r="D9" s="6">
        <v>30000</v>
      </c>
      <c r="E9" s="6">
        <v>25533.57</v>
      </c>
      <c r="F9" s="6">
        <v>19657.32</v>
      </c>
      <c r="G9" s="3">
        <v>573</v>
      </c>
    </row>
    <row r="10" spans="1:7" x14ac:dyDescent="0.2">
      <c r="A10" s="3">
        <v>9</v>
      </c>
      <c r="B10" s="5" t="s">
        <v>46</v>
      </c>
      <c r="C10" s="4">
        <v>45006</v>
      </c>
      <c r="D10" s="6">
        <v>30000</v>
      </c>
      <c r="E10" s="6">
        <v>26037.23</v>
      </c>
      <c r="F10" s="6">
        <v>21091.66</v>
      </c>
      <c r="G10" s="3">
        <v>569</v>
      </c>
    </row>
    <row r="11" spans="1:7" x14ac:dyDescent="0.2">
      <c r="A11" s="3">
        <v>10</v>
      </c>
      <c r="B11" s="5" t="s">
        <v>47</v>
      </c>
      <c r="C11" s="4">
        <v>45095</v>
      </c>
      <c r="D11" s="6">
        <v>9500</v>
      </c>
      <c r="E11" s="6">
        <v>9500</v>
      </c>
      <c r="F11" s="6">
        <v>5157.97</v>
      </c>
      <c r="G11" s="3">
        <v>578</v>
      </c>
    </row>
    <row r="12" spans="1:7" x14ac:dyDescent="0.2">
      <c r="A12" s="3">
        <v>11</v>
      </c>
      <c r="B12" s="5" t="s">
        <v>48</v>
      </c>
      <c r="C12" s="4">
        <v>45112</v>
      </c>
      <c r="D12" s="6">
        <v>9500</v>
      </c>
      <c r="E12" s="6">
        <v>9500</v>
      </c>
      <c r="F12" s="6">
        <v>4051.18</v>
      </c>
      <c r="G12" s="3">
        <v>561</v>
      </c>
    </row>
    <row r="13" spans="1:7" x14ac:dyDescent="0.2">
      <c r="A13" s="3">
        <v>12</v>
      </c>
      <c r="B13" s="5" t="s">
        <v>49</v>
      </c>
      <c r="C13" s="4">
        <v>45164</v>
      </c>
      <c r="D13" s="6">
        <v>9900</v>
      </c>
      <c r="E13" s="6">
        <v>8655.17</v>
      </c>
      <c r="F13" s="6">
        <v>3112.94</v>
      </c>
      <c r="G13" s="3">
        <v>495</v>
      </c>
    </row>
    <row r="14" spans="1:7" x14ac:dyDescent="0.2">
      <c r="A14" s="3">
        <v>13</v>
      </c>
      <c r="B14" s="5" t="s">
        <v>50</v>
      </c>
      <c r="C14" s="4">
        <v>45237</v>
      </c>
      <c r="D14" s="6">
        <v>9900</v>
      </c>
      <c r="E14" s="6">
        <v>9900</v>
      </c>
      <c r="F14" s="6">
        <v>4221.74</v>
      </c>
      <c r="G14" s="3">
        <v>436</v>
      </c>
    </row>
    <row r="15" spans="1:7" x14ac:dyDescent="0.2">
      <c r="A15" s="3">
        <v>14</v>
      </c>
      <c r="B15" s="5" t="s">
        <v>51</v>
      </c>
      <c r="C15" s="4">
        <v>45249</v>
      </c>
      <c r="D15" s="6">
        <v>9900</v>
      </c>
      <c r="E15" s="6">
        <v>4660.4799999999996</v>
      </c>
      <c r="F15" s="6">
        <v>0</v>
      </c>
      <c r="G15" s="3">
        <v>382</v>
      </c>
    </row>
    <row r="16" spans="1:7" x14ac:dyDescent="0.2">
      <c r="A16" s="3">
        <v>15</v>
      </c>
      <c r="B16" s="5" t="s">
        <v>52</v>
      </c>
      <c r="C16" s="4">
        <v>45253</v>
      </c>
      <c r="D16" s="6">
        <v>9900</v>
      </c>
      <c r="E16" s="6">
        <v>9900</v>
      </c>
      <c r="F16" s="6">
        <v>4221.74</v>
      </c>
      <c r="G16" s="3">
        <v>420</v>
      </c>
    </row>
    <row r="17" spans="1:7" x14ac:dyDescent="0.2">
      <c r="A17" s="3">
        <v>16</v>
      </c>
      <c r="B17" s="5" t="s">
        <v>53</v>
      </c>
      <c r="C17" s="4">
        <v>45265</v>
      </c>
      <c r="D17" s="6">
        <v>9900</v>
      </c>
      <c r="E17" s="6">
        <v>8655.17</v>
      </c>
      <c r="F17" s="6">
        <v>3112.94</v>
      </c>
      <c r="G17" s="3">
        <v>394</v>
      </c>
    </row>
    <row r="18" spans="1:7" x14ac:dyDescent="0.2">
      <c r="A18" s="3">
        <v>17</v>
      </c>
      <c r="B18" s="5" t="s">
        <v>54</v>
      </c>
      <c r="C18" s="4">
        <v>45295</v>
      </c>
      <c r="D18" s="6">
        <v>9900</v>
      </c>
      <c r="E18" s="6">
        <v>7270.92</v>
      </c>
      <c r="F18" s="6">
        <v>2143.56</v>
      </c>
      <c r="G18" s="3">
        <v>350</v>
      </c>
    </row>
    <row r="19" spans="1:7" x14ac:dyDescent="0.2">
      <c r="A19" s="3">
        <v>18</v>
      </c>
      <c r="B19" s="5" t="s">
        <v>55</v>
      </c>
      <c r="C19" s="4">
        <v>45306</v>
      </c>
      <c r="D19" s="6">
        <v>9900</v>
      </c>
      <c r="E19" s="6">
        <v>7270.92</v>
      </c>
      <c r="F19" s="6">
        <v>2143.56</v>
      </c>
      <c r="G19" s="3">
        <v>339</v>
      </c>
    </row>
    <row r="20" spans="1:7" x14ac:dyDescent="0.2">
      <c r="A20" s="3">
        <v>19</v>
      </c>
      <c r="B20" s="5" t="s">
        <v>56</v>
      </c>
      <c r="C20" s="4">
        <v>45316</v>
      </c>
      <c r="D20" s="6">
        <v>9900</v>
      </c>
      <c r="E20" s="6">
        <v>8655.17</v>
      </c>
      <c r="F20" s="6">
        <v>3112.94</v>
      </c>
      <c r="G20" s="3">
        <v>343</v>
      </c>
    </row>
    <row r="21" spans="1:7" x14ac:dyDescent="0.2">
      <c r="A21" s="3">
        <v>20</v>
      </c>
      <c r="B21" s="5" t="s">
        <v>57</v>
      </c>
      <c r="C21" s="4">
        <v>45330</v>
      </c>
      <c r="D21" s="6">
        <v>13300</v>
      </c>
      <c r="E21" s="6">
        <v>11627.66</v>
      </c>
      <c r="F21" s="6">
        <v>4182</v>
      </c>
      <c r="G21" s="3">
        <v>329</v>
      </c>
    </row>
    <row r="22" spans="1:7" x14ac:dyDescent="0.2">
      <c r="A22" s="3">
        <v>21</v>
      </c>
      <c r="B22" s="5" t="s">
        <v>58</v>
      </c>
      <c r="C22" s="4">
        <v>45465</v>
      </c>
      <c r="D22" s="6">
        <v>6000</v>
      </c>
      <c r="E22" s="6">
        <v>6000</v>
      </c>
      <c r="F22" s="6">
        <v>2889.34</v>
      </c>
      <c r="G22" s="3">
        <v>208</v>
      </c>
    </row>
    <row r="23" spans="1:7" x14ac:dyDescent="0.2">
      <c r="A23" s="3">
        <v>22</v>
      </c>
      <c r="B23" s="5" t="s">
        <v>59</v>
      </c>
      <c r="C23" s="4">
        <v>45457</v>
      </c>
      <c r="D23" s="6">
        <v>9900</v>
      </c>
      <c r="E23" s="6">
        <v>9900</v>
      </c>
      <c r="F23" s="6">
        <v>4166.08</v>
      </c>
      <c r="G23" s="3">
        <v>216</v>
      </c>
    </row>
  </sheetData>
  <autoFilter ref="A1:P23" xr:uid="{46339F82-EB9D-EF4A-91C1-4D956760F3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8DB-20F7-2148-863F-F3815F6CD537}">
  <dimension ref="A1:M36"/>
  <sheetViews>
    <sheetView tabSelected="1" workbookViewId="0">
      <selection activeCell="K22" sqref="K22:L22"/>
    </sheetView>
  </sheetViews>
  <sheetFormatPr baseColWidth="10" defaultRowHeight="16" x14ac:dyDescent="0.2"/>
  <cols>
    <col min="1" max="1" width="3.1640625" bestFit="1" customWidth="1"/>
    <col min="2" max="2" width="15.33203125" bestFit="1" customWidth="1"/>
    <col min="3" max="3" width="11" bestFit="1" customWidth="1"/>
    <col min="4" max="4" width="33.1640625" customWidth="1"/>
    <col min="5" max="5" width="17.5" customWidth="1"/>
    <col min="6" max="6" width="13.33203125" bestFit="1" customWidth="1"/>
    <col min="7" max="7" width="11.33203125" customWidth="1"/>
    <col min="8" max="8" width="19.6640625" bestFit="1" customWidth="1"/>
    <col min="9" max="9" width="20.1640625" bestFit="1" customWidth="1"/>
    <col min="10" max="10" width="32.83203125" bestFit="1" customWidth="1"/>
    <col min="11" max="11" width="22.83203125" bestFit="1" customWidth="1"/>
    <col min="12" max="12" width="24.5" bestFit="1" customWidth="1"/>
  </cols>
  <sheetData>
    <row r="1" spans="1:13" x14ac:dyDescent="0.2">
      <c r="B1" t="s">
        <v>80</v>
      </c>
    </row>
    <row r="2" spans="1:13" x14ac:dyDescent="0.2">
      <c r="B2" t="s">
        <v>81</v>
      </c>
    </row>
    <row r="3" spans="1:13" x14ac:dyDescent="0.2">
      <c r="B3" t="s">
        <v>86</v>
      </c>
    </row>
    <row r="4" spans="1:13" x14ac:dyDescent="0.2">
      <c r="B4" t="s">
        <v>85</v>
      </c>
    </row>
    <row r="5" spans="1:13" x14ac:dyDescent="0.2">
      <c r="E5" s="18" t="s">
        <v>90</v>
      </c>
      <c r="F5" s="18"/>
      <c r="G5" s="18"/>
    </row>
    <row r="6" spans="1:13" x14ac:dyDescent="0.2">
      <c r="A6" s="10" t="s">
        <v>9</v>
      </c>
      <c r="B6" s="10" t="s">
        <v>73</v>
      </c>
      <c r="C6" s="10" t="s">
        <v>75</v>
      </c>
      <c r="D6" s="10" t="s">
        <v>74</v>
      </c>
      <c r="E6" s="10" t="s">
        <v>76</v>
      </c>
      <c r="F6" s="10" t="s">
        <v>16</v>
      </c>
      <c r="G6" s="10" t="s">
        <v>77</v>
      </c>
      <c r="H6" s="10" t="s">
        <v>17</v>
      </c>
      <c r="I6" s="10" t="s">
        <v>18</v>
      </c>
      <c r="J6" s="10" t="s">
        <v>19</v>
      </c>
      <c r="K6" s="10" t="s">
        <v>78</v>
      </c>
      <c r="L6" s="10" t="s">
        <v>79</v>
      </c>
      <c r="M6" s="19" t="s">
        <v>91</v>
      </c>
    </row>
    <row r="7" spans="1:13" x14ac:dyDescent="0.2">
      <c r="A7" s="10">
        <v>1</v>
      </c>
      <c r="B7" s="5" t="s">
        <v>38</v>
      </c>
      <c r="C7" s="10">
        <f>VLOOKUP(VALUE($B7), 'отчет 2'!$A:$K, 2, FALSE)</f>
        <v>10614</v>
      </c>
      <c r="D7" t="str">
        <f>VLOOKUP(VALUE($B7), 'отчет 2'!$A:$K, 5, FALSE)</f>
        <v>Электросталь</v>
      </c>
      <c r="E7" s="7">
        <f>IFERROR(VLOOKUP($B7, 'отчет 1'!$B:$G, 2, FALSE), "")</f>
        <v>45008</v>
      </c>
      <c r="F7" s="11">
        <f>IFERROR(VLOOKUP($B7, 'отчет 1'!$B:$G, 3, FALSE), "")</f>
        <v>60000</v>
      </c>
      <c r="G7" s="10" t="str">
        <f>VLOOKUP(VALUE($B7), 'отчет 2'!$A:$K, 9, FALSE)</f>
        <v>COLLECTOR</v>
      </c>
      <c r="H7" s="10">
        <f>IFERROR(VLOOKUP($B7, 'отчет 1'!$B:$G, 4, FALSE), "")</f>
        <v>47104.160000000003</v>
      </c>
      <c r="I7" s="10">
        <f>IFERROR(VLOOKUP($B7, 'отчет 1'!$B:$G, 5, FALSE), "")</f>
        <v>23926.86</v>
      </c>
      <c r="J7" s="10">
        <f>IFERROR(VLOOKUP($B7, 'отчет 1'!$B:$G, 6, FALSE), "")</f>
        <v>525</v>
      </c>
      <c r="K7" s="12">
        <f>VLOOKUP(VALUE($B7), 'отчет 2'!$A:$K, 10, FALSE)</f>
        <v>45251.958333333336</v>
      </c>
      <c r="L7" s="10">
        <f>VLOOKUP(VALUE($B7), 'отчет 2'!$A:$K, 11, FALSE)</f>
        <v>1775</v>
      </c>
      <c r="M7" s="10" t="str">
        <f>IF(OR(COUNTIF(цессия!$B:$B,$B7)&gt;0,$I7="BANKRUPTCY",$I7="REPAID",$I7="EARLY_REPAID"),"Да","Нет")</f>
        <v>Нет</v>
      </c>
    </row>
    <row r="8" spans="1:13" x14ac:dyDescent="0.2">
      <c r="A8" s="10">
        <v>2</v>
      </c>
      <c r="B8" s="5" t="s">
        <v>39</v>
      </c>
      <c r="C8" s="10">
        <f>VLOOKUP(VALUE($B8), 'отчет 2'!$A:$K, 2, FALSE)</f>
        <v>183</v>
      </c>
      <c r="D8" t="str">
        <f>VLOOKUP(VALUE($B8), 'отчет 2'!$A:$K, 5, FALSE)</f>
        <v>Белгород</v>
      </c>
      <c r="E8" s="7">
        <f>IFERROR(VLOOKUP($B8, 'отчет 1'!$B:$G, 2, FALSE), "")</f>
        <v>44834</v>
      </c>
      <c r="F8" s="11">
        <f>IFERROR(VLOOKUP($B8, 'отчет 1'!$B:$G, 3, FALSE), "")</f>
        <v>35000</v>
      </c>
      <c r="G8" s="10" t="str">
        <f>VLOOKUP(VALUE($B8), 'отчет 2'!$A:$K, 9, FALSE)</f>
        <v>COLLECTOR</v>
      </c>
      <c r="H8" s="10">
        <f>IFERROR(VLOOKUP($B8, 'отчет 1'!$B:$G, 4, FALSE), "")</f>
        <v>11447.66</v>
      </c>
      <c r="I8" s="10">
        <f>IFERROR(VLOOKUP($B8, 'отчет 1'!$B:$G, 5, FALSE), "")</f>
        <v>1300.06</v>
      </c>
      <c r="J8" s="10">
        <f>IFERROR(VLOOKUP($B8, 'отчет 1'!$B:$G, 6, FALSE), "")</f>
        <v>552</v>
      </c>
      <c r="K8" s="12">
        <f>VLOOKUP(VALUE($B8), 'отчет 2'!$A:$K, 10, FALSE)</f>
        <v>45568.606516203705</v>
      </c>
      <c r="L8" s="10">
        <f>VLOOKUP(VALUE($B8), 'отчет 2'!$A:$K, 11, FALSE)</f>
        <v>1950</v>
      </c>
      <c r="M8" s="10" t="str">
        <f>IF(OR(COUNTIF(цессия!$B:$B,$B8)&gt;0,$I8="BANKRUPTCY",$I8="REPAID",$I8="EARLY_REPAID"),"Да","Нет")</f>
        <v>Нет</v>
      </c>
    </row>
    <row r="9" spans="1:13" x14ac:dyDescent="0.2">
      <c r="A9" s="10">
        <v>3</v>
      </c>
      <c r="B9" s="5" t="s">
        <v>40</v>
      </c>
      <c r="C9" s="10">
        <f>VLOOKUP(VALUE($B9), 'отчет 2'!$A:$K, 2, FALSE)</f>
        <v>1146</v>
      </c>
      <c r="D9" t="str">
        <f>VLOOKUP(VALUE($B9), 'отчет 2'!$A:$K, 5, FALSE)</f>
        <v>Вологда</v>
      </c>
      <c r="E9" s="7">
        <f>IFERROR(VLOOKUP($B9, 'отчет 1'!$B:$G, 2, FALSE), "")</f>
        <v>44862</v>
      </c>
      <c r="F9" s="11">
        <f>IFERROR(VLOOKUP($B9, 'отчет 1'!$B:$G, 3, FALSE), "")</f>
        <v>30000</v>
      </c>
      <c r="G9" s="10" t="str">
        <f>VLOOKUP(VALUE($B9), 'отчет 2'!$A:$K, 9, FALSE)</f>
        <v>DELINQUENT</v>
      </c>
      <c r="H9" s="10">
        <f>IFERROR(VLOOKUP($B9, 'отчет 1'!$B:$G, 4, FALSE), "")</f>
        <v>4410.2</v>
      </c>
      <c r="I9" s="10">
        <f>IFERROR(VLOOKUP($B9, 'отчет 1'!$B:$G, 5, FALSE), "")</f>
        <v>249.72</v>
      </c>
      <c r="J9" s="10">
        <f>IFERROR(VLOOKUP($B9, 'отчет 1'!$B:$G, 6, FALSE), "")</f>
        <v>482</v>
      </c>
      <c r="K9" s="12">
        <f>VLOOKUP(VALUE($B9), 'отчет 2'!$A:$K, 10, FALSE)</f>
        <v>45206</v>
      </c>
      <c r="L9" s="10">
        <f>VLOOKUP(VALUE($B9), 'отчет 2'!$A:$K, 11, FALSE)</f>
        <v>1200</v>
      </c>
      <c r="M9" s="10" t="str">
        <f>IF(OR(COUNTIF(цессия!$B:$B,$B9)&gt;0,$I9="BANKRUPTCY",$I9="REPAID",$I9="EARLY_REPAID"),"Да","Нет")</f>
        <v>Нет</v>
      </c>
    </row>
    <row r="10" spans="1:13" x14ac:dyDescent="0.2">
      <c r="A10" s="10">
        <v>4</v>
      </c>
      <c r="B10" s="5" t="s">
        <v>41</v>
      </c>
      <c r="C10" s="10">
        <f>VLOOKUP(VALUE($B10), 'отчет 2'!$A:$K, 2, FALSE)</f>
        <v>4157</v>
      </c>
      <c r="D10" t="str">
        <f>VLOOKUP(VALUE($B10), 'отчет 2'!$A:$K, 5, FALSE)</f>
        <v>Электросталь</v>
      </c>
      <c r="E10" s="7">
        <f>IFERROR(VLOOKUP($B10, 'отчет 1'!$B:$G, 2, FALSE), "")</f>
        <v>44915</v>
      </c>
      <c r="F10" s="11">
        <f>IFERROR(VLOOKUP($B10, 'отчет 1'!$B:$G, 3, FALSE), "")</f>
        <v>40000</v>
      </c>
      <c r="G10" s="10" t="str">
        <f>VLOOKUP(VALUE($B10), 'отчет 2'!$A:$K, 9, FALSE)</f>
        <v>ACTIVE_SB</v>
      </c>
      <c r="H10" s="10">
        <f>IFERROR(VLOOKUP($B10, 'отчет 1'!$B:$G, 4, FALSE), "")</f>
        <v>11088.24</v>
      </c>
      <c r="I10" s="10">
        <f>IFERROR(VLOOKUP($B10, 'отчет 1'!$B:$G, 5, FALSE), "")</f>
        <v>1482.47</v>
      </c>
      <c r="J10" s="10">
        <f>IFERROR(VLOOKUP($B10, 'отчет 1'!$B:$G, 6, FALSE), "")</f>
        <v>457</v>
      </c>
      <c r="K10" s="12">
        <f>VLOOKUP(VALUE($B10), 'отчет 2'!$A:$K, 10, FALSE)</f>
        <v>45272.958333333336</v>
      </c>
      <c r="L10" s="10">
        <f>VLOOKUP(VALUE($B10), 'отчет 2'!$A:$K, 11, FALSE)</f>
        <v>3000</v>
      </c>
      <c r="M10" s="10" t="str">
        <f>IF(OR(COUNTIF(цессия!$B:$B,$B10)&gt;0,$I10="BANKRUPTCY",$I10="REPAID",$I10="EARLY_REPAID"),"Да","Нет")</f>
        <v>Нет</v>
      </c>
    </row>
    <row r="11" spans="1:13" x14ac:dyDescent="0.2">
      <c r="A11" s="10">
        <v>5</v>
      </c>
      <c r="B11" s="5" t="s">
        <v>42</v>
      </c>
      <c r="C11" s="10">
        <f>VLOOKUP(VALUE($B11), 'отчет 2'!$A:$K, 2, FALSE)</f>
        <v>6127</v>
      </c>
      <c r="D11" t="str">
        <f>VLOOKUP(VALUE($B11), 'отчет 2'!$A:$K, 5, FALSE)</f>
        <v>Санкт-Петербург</v>
      </c>
      <c r="E11" s="7">
        <f>IFERROR(VLOOKUP($B11, 'отчет 1'!$B:$G, 2, FALSE), "")</f>
        <v>44952</v>
      </c>
      <c r="F11" s="11">
        <f>IFERROR(VLOOKUP($B11, 'отчет 1'!$B:$G, 3, FALSE), "")</f>
        <v>50000</v>
      </c>
      <c r="G11" s="10" t="str">
        <f>VLOOKUP(VALUE($B11), 'отчет 2'!$A:$K, 9, FALSE)</f>
        <v>COLLECTOR</v>
      </c>
      <c r="H11" s="10">
        <f>IFERROR(VLOOKUP($B11, 'отчет 1'!$B:$G, 4, FALSE), "")</f>
        <v>42219.24</v>
      </c>
      <c r="I11" s="10">
        <f>IFERROR(VLOOKUP($B11, 'отчет 1'!$B:$G, 5, FALSE), "")</f>
        <v>30483.14</v>
      </c>
      <c r="J11" s="10">
        <f>IFERROR(VLOOKUP($B11, 'отчет 1'!$B:$G, 6, FALSE), "")</f>
        <v>609</v>
      </c>
      <c r="K11" s="12">
        <f>VLOOKUP(VALUE($B11), 'отчет 2'!$A:$K, 10, FALSE)</f>
        <v>45643.649039351854</v>
      </c>
      <c r="L11" s="10">
        <f>VLOOKUP(VALUE($B11), 'отчет 2'!$A:$K, 11, FALSE)</f>
        <v>2200</v>
      </c>
      <c r="M11" s="10" t="str">
        <f>IF(OR(COUNTIF(цессия!$B:$B,$B11)&gt;0,$I11="BANKRUPTCY",$I11="REPAID",$I11="EARLY_REPAID"),"Да","Нет")</f>
        <v>Нет</v>
      </c>
    </row>
    <row r="12" spans="1:13" x14ac:dyDescent="0.2">
      <c r="A12" s="10">
        <v>6</v>
      </c>
      <c r="B12" s="5" t="s">
        <v>43</v>
      </c>
      <c r="C12" s="10">
        <f>VLOOKUP(VALUE($B12), 'отчет 2'!$A:$K, 2, FALSE)</f>
        <v>6439</v>
      </c>
      <c r="D12" t="str">
        <f>VLOOKUP(VALUE($B12), 'отчет 2'!$A:$K, 5, FALSE)</f>
        <v>Курск</v>
      </c>
      <c r="E12" s="7">
        <f>IFERROR(VLOOKUP($B12, 'отчет 1'!$B:$G, 2, FALSE), "")</f>
        <v>44957</v>
      </c>
      <c r="F12" s="11">
        <f>IFERROR(VLOOKUP($B12, 'отчет 1'!$B:$G, 3, FALSE), "")</f>
        <v>20000</v>
      </c>
      <c r="G12" s="10" t="str">
        <f>VLOOKUP(VALUE($B12), 'отчет 2'!$A:$K, 9, FALSE)</f>
        <v>COLLECTOR</v>
      </c>
      <c r="H12" s="10">
        <f>IFERROR(VLOOKUP($B12, 'отчет 1'!$B:$G, 4, FALSE), "")</f>
        <v>6606.81</v>
      </c>
      <c r="I12" s="10">
        <f>IFERROR(VLOOKUP($B12, 'отчет 1'!$B:$G, 5, FALSE), "")</f>
        <v>864.92</v>
      </c>
      <c r="J12" s="10">
        <f>IFERROR(VLOOKUP($B12, 'отчет 1'!$B:$G, 6, FALSE), "")</f>
        <v>583</v>
      </c>
      <c r="K12" s="12">
        <f>VLOOKUP(VALUE($B12), 'отчет 2'!$A:$K, 10, FALSE)</f>
        <v>45643.649050925924</v>
      </c>
      <c r="L12" s="10">
        <f>VLOOKUP(VALUE($B12), 'отчет 2'!$A:$K, 11, FALSE)</f>
        <v>6652.05</v>
      </c>
      <c r="M12" s="10" t="str">
        <f>IF(OR(COUNTIF(цессия!$B:$B,$B12)&gt;0,$I12="BANKRUPTCY",$I12="REPAID",$I12="EARLY_REPAID"),"Да","Нет")</f>
        <v>Нет</v>
      </c>
    </row>
    <row r="13" spans="1:13" x14ac:dyDescent="0.2">
      <c r="A13" s="10">
        <v>7</v>
      </c>
      <c r="B13" s="5" t="s">
        <v>44</v>
      </c>
      <c r="C13" s="10">
        <f>VLOOKUP(VALUE($B13), 'отчет 2'!$A:$K, 2, FALSE)</f>
        <v>6421</v>
      </c>
      <c r="D13" t="str">
        <f>VLOOKUP(VALUE($B13), 'отчет 2'!$A:$K, 5, FALSE)</f>
        <v>Пенза</v>
      </c>
      <c r="E13" s="7">
        <f>IFERROR(VLOOKUP($B13, 'отчет 1'!$B:$G, 2, FALSE), "")</f>
        <v>44957</v>
      </c>
      <c r="F13" s="11">
        <f>IFERROR(VLOOKUP($B13, 'отчет 1'!$B:$G, 3, FALSE), "")</f>
        <v>30000</v>
      </c>
      <c r="G13" s="10" t="str">
        <f>VLOOKUP(VALUE($B13), 'отчет 2'!$A:$K, 9, FALSE)</f>
        <v>ACTIVE_SB</v>
      </c>
      <c r="H13" s="10">
        <f>IFERROR(VLOOKUP($B13, 'отчет 1'!$B:$G, 4, FALSE), "")</f>
        <v>8796.44</v>
      </c>
      <c r="I13" s="10">
        <f>IFERROR(VLOOKUP($B13, 'отчет 1'!$B:$G, 5, FALSE), "")</f>
        <v>1169.45</v>
      </c>
      <c r="J13" s="10">
        <f>IFERROR(VLOOKUP($B13, 'отчет 1'!$B:$G, 6, FALSE), "")</f>
        <v>415</v>
      </c>
      <c r="K13" s="12">
        <f>VLOOKUP(VALUE($B13), 'отчет 2'!$A:$K, 10, FALSE)</f>
        <v>45314.958333333336</v>
      </c>
      <c r="L13" s="10">
        <f>VLOOKUP(VALUE($B13), 'отчет 2'!$A:$K, 11, FALSE)</f>
        <v>9000</v>
      </c>
      <c r="M13" s="10" t="str">
        <f>IF(OR(COUNTIF(цессия!$B:$B,$B13)&gt;0,$I13="BANKRUPTCY",$I13="REPAID",$I13="EARLY_REPAID"),"Да","Нет")</f>
        <v>Нет</v>
      </c>
    </row>
    <row r="14" spans="1:13" x14ac:dyDescent="0.2">
      <c r="A14" s="10">
        <v>8</v>
      </c>
      <c r="B14" s="5" t="s">
        <v>45</v>
      </c>
      <c r="C14" s="10">
        <f>VLOOKUP(VALUE($B14), 'отчет 2'!$A:$K, 2, FALSE)</f>
        <v>9610</v>
      </c>
      <c r="D14" t="str">
        <f>VLOOKUP(VALUE($B14), 'отчет 2'!$A:$K, 5, FALSE)</f>
        <v>Белгород</v>
      </c>
      <c r="E14" s="7">
        <f>IFERROR(VLOOKUP($B14, 'отчет 1'!$B:$G, 2, FALSE), "")</f>
        <v>44995</v>
      </c>
      <c r="F14" s="11">
        <f>IFERROR(VLOOKUP($B14, 'отчет 1'!$B:$G, 3, FALSE), "")</f>
        <v>30000</v>
      </c>
      <c r="G14" s="10" t="str">
        <f>VLOOKUP(VALUE($B14), 'отчет 2'!$A:$K, 9, FALSE)</f>
        <v>COLLECTOR</v>
      </c>
      <c r="H14" s="10">
        <f>IFERROR(VLOOKUP($B14, 'отчет 1'!$B:$G, 4, FALSE), "")</f>
        <v>25533.57</v>
      </c>
      <c r="I14" s="10">
        <f>IFERROR(VLOOKUP($B14, 'отчет 1'!$B:$G, 5, FALSE), "")</f>
        <v>19657.32</v>
      </c>
      <c r="J14" s="10">
        <f>IFERROR(VLOOKUP($B14, 'отчет 1'!$B:$G, 6, FALSE), "")</f>
        <v>573</v>
      </c>
      <c r="K14" s="12">
        <f>VLOOKUP(VALUE($B14), 'отчет 2'!$A:$K, 10, FALSE)</f>
        <v>45180.385925925926</v>
      </c>
      <c r="L14" s="10">
        <f>VLOOKUP(VALUE($B14), 'отчет 2'!$A:$K, 11, FALSE)</f>
        <v>4250</v>
      </c>
      <c r="M14" s="10" t="str">
        <f>IF(OR(COUNTIF(цессия!$B:$B,$B14)&gt;0,$I14="BANKRUPTCY",$I14="REPAID",$I14="EARLY_REPAID"),"Да","Нет")</f>
        <v>Нет</v>
      </c>
    </row>
    <row r="15" spans="1:13" x14ac:dyDescent="0.2">
      <c r="A15" s="10">
        <v>9</v>
      </c>
      <c r="B15" s="5" t="s">
        <v>46</v>
      </c>
      <c r="C15" s="10">
        <f>VLOOKUP(VALUE($B15), 'отчет 2'!$A:$K, 2, FALSE)</f>
        <v>10509</v>
      </c>
      <c r="D15" t="str">
        <f>VLOOKUP(VALUE($B15), 'отчет 2'!$A:$K, 5, FALSE)</f>
        <v>Астрахань</v>
      </c>
      <c r="E15" s="7">
        <f>IFERROR(VLOOKUP($B15, 'отчет 1'!$B:$G, 2, FALSE), "")</f>
        <v>45006</v>
      </c>
      <c r="F15" s="11">
        <f>IFERROR(VLOOKUP($B15, 'отчет 1'!$B:$G, 3, FALSE), "")</f>
        <v>30000</v>
      </c>
      <c r="G15" s="10" t="str">
        <f>VLOOKUP(VALUE($B15), 'отчет 2'!$A:$K, 9, FALSE)</f>
        <v>COLLECTOR</v>
      </c>
      <c r="H15" s="10">
        <f>IFERROR(VLOOKUP($B15, 'отчет 1'!$B:$G, 4, FALSE), "")</f>
        <v>26037.23</v>
      </c>
      <c r="I15" s="10">
        <f>IFERROR(VLOOKUP($B15, 'отчет 1'!$B:$G, 5, FALSE), "")</f>
        <v>21091.66</v>
      </c>
      <c r="J15" s="10">
        <f>IFERROR(VLOOKUP($B15, 'отчет 1'!$B:$G, 6, FALSE), "")</f>
        <v>569</v>
      </c>
      <c r="K15" s="12">
        <f>VLOOKUP(VALUE($B15), 'отчет 2'!$A:$K, 10, FALSE)</f>
        <v>45182.365381944444</v>
      </c>
      <c r="L15" s="10">
        <f>VLOOKUP(VALUE($B15), 'отчет 2'!$A:$K, 11, FALSE)</f>
        <v>1100</v>
      </c>
      <c r="M15" s="10" t="str">
        <f>IF(OR(COUNTIF(цессия!$B:$B,$B15)&gt;0,$I15="BANKRUPTCY",$I15="REPAID",$I15="EARLY_REPAID"),"Да","Нет")</f>
        <v>Нет</v>
      </c>
    </row>
    <row r="16" spans="1:13" x14ac:dyDescent="0.2">
      <c r="A16" s="10">
        <v>10</v>
      </c>
      <c r="B16" s="5" t="s">
        <v>47</v>
      </c>
      <c r="C16" s="10">
        <f>VLOOKUP(VALUE($B16), 'отчет 2'!$A:$K, 2, FALSE)</f>
        <v>18155</v>
      </c>
      <c r="D16" t="str">
        <f>VLOOKUP(VALUE($B16), 'отчет 2'!$A:$K, 5, FALSE)</f>
        <v>Онлайн</v>
      </c>
      <c r="E16" s="7">
        <f>IFERROR(VLOOKUP($B16, 'отчет 1'!$B:$G, 2, FALSE), "")</f>
        <v>45095</v>
      </c>
      <c r="F16" s="11">
        <f>IFERROR(VLOOKUP($B16, 'отчет 1'!$B:$G, 3, FALSE), "")</f>
        <v>9500</v>
      </c>
      <c r="G16" s="10" t="str">
        <f>VLOOKUP(VALUE($B16), 'отчет 2'!$A:$K, 9, FALSE)</f>
        <v>COLLECTOR</v>
      </c>
      <c r="H16" s="10">
        <f>IFERROR(VLOOKUP($B16, 'отчет 1'!$B:$G, 4, FALSE), "")</f>
        <v>9500</v>
      </c>
      <c r="I16" s="10">
        <f>IFERROR(VLOOKUP($B16, 'отчет 1'!$B:$G, 5, FALSE), "")</f>
        <v>5157.97</v>
      </c>
      <c r="J16" s="10">
        <f>IFERROR(VLOOKUP($B16, 'отчет 1'!$B:$G, 6, FALSE), "")</f>
        <v>578</v>
      </c>
      <c r="K16" s="12">
        <f>VLOOKUP(VALUE($B16), 'отчет 2'!$A:$K, 10, FALSE)</f>
        <v>45643.649108796293</v>
      </c>
      <c r="L16" s="10" t="str">
        <f>VLOOKUP(VALUE($B16), 'отчет 2'!$A:$K, 11, FALSE)</f>
        <v>\N</v>
      </c>
      <c r="M16" s="10" t="str">
        <f>IF(OR(COUNTIF(цессия!$B:$B,$B16)&gt;0,$I16="BANKRUPTCY",$I16="REPAID",$I16="EARLY_REPAID"),"Да","Нет")</f>
        <v>Нет</v>
      </c>
    </row>
    <row r="17" spans="1:13" x14ac:dyDescent="0.2">
      <c r="A17" s="10">
        <v>11</v>
      </c>
      <c r="B17" s="5" t="s">
        <v>48</v>
      </c>
      <c r="C17" s="10">
        <f>VLOOKUP(VALUE($B17), 'отчет 2'!$A:$K, 2, FALSE)</f>
        <v>22472</v>
      </c>
      <c r="D17" t="str">
        <f>VLOOKUP(VALUE($B17), 'отчет 2'!$A:$K, 5, FALSE)</f>
        <v>Онлайн</v>
      </c>
      <c r="E17" s="7">
        <f>IFERROR(VLOOKUP($B17, 'отчет 1'!$B:$G, 2, FALSE), "")</f>
        <v>45112</v>
      </c>
      <c r="F17" s="11">
        <f>IFERROR(VLOOKUP($B17, 'отчет 1'!$B:$G, 3, FALSE), "")</f>
        <v>9500</v>
      </c>
      <c r="G17" s="10" t="str">
        <f>VLOOKUP(VALUE($B17), 'отчет 2'!$A:$K, 9, FALSE)</f>
        <v>COLLECTOR</v>
      </c>
      <c r="H17" s="10">
        <f>IFERROR(VLOOKUP($B17, 'отчет 1'!$B:$G, 4, FALSE), "")</f>
        <v>9500</v>
      </c>
      <c r="I17" s="10">
        <f>IFERROR(VLOOKUP($B17, 'отчет 1'!$B:$G, 5, FALSE), "")</f>
        <v>4051.18</v>
      </c>
      <c r="J17" s="10">
        <f>IFERROR(VLOOKUP($B17, 'отчет 1'!$B:$G, 6, FALSE), "")</f>
        <v>561</v>
      </c>
      <c r="K17" s="12">
        <f>VLOOKUP(VALUE($B17), 'отчет 2'!$A:$K, 10, FALSE)</f>
        <v>45579.497187499997</v>
      </c>
      <c r="L17" s="10" t="str">
        <f>VLOOKUP(VALUE($B17), 'отчет 2'!$A:$K, 11, FALSE)</f>
        <v>\N</v>
      </c>
      <c r="M17" s="10" t="str">
        <f>IF(OR(COUNTIF(цессия!$B:$B,$B17)&gt;0,$I17="BANKRUPTCY",$I17="REPAID",$I17="EARLY_REPAID"),"Да","Нет")</f>
        <v>Нет</v>
      </c>
    </row>
    <row r="18" spans="1:13" x14ac:dyDescent="0.2">
      <c r="A18" s="10">
        <v>12</v>
      </c>
      <c r="B18" s="5" t="s">
        <v>49</v>
      </c>
      <c r="C18" s="10">
        <f>VLOOKUP(VALUE($B18), 'отчет 2'!$A:$K, 2, FALSE)</f>
        <v>38081</v>
      </c>
      <c r="D18" t="str">
        <f>VLOOKUP(VALUE($B18), 'отчет 2'!$A:$K, 5, FALSE)</f>
        <v>Онлайн</v>
      </c>
      <c r="E18" s="7">
        <f>IFERROR(VLOOKUP($B18, 'отчет 1'!$B:$G, 2, FALSE), "")</f>
        <v>45164</v>
      </c>
      <c r="F18" s="11">
        <f>IFERROR(VLOOKUP($B18, 'отчет 1'!$B:$G, 3, FALSE), "")</f>
        <v>9900</v>
      </c>
      <c r="G18" s="10" t="str">
        <f>VLOOKUP(VALUE($B18), 'отчет 2'!$A:$K, 9, FALSE)</f>
        <v>COLLECTOR</v>
      </c>
      <c r="H18" s="10">
        <f>IFERROR(VLOOKUP($B18, 'отчет 1'!$B:$G, 4, FALSE), "")</f>
        <v>8655.17</v>
      </c>
      <c r="I18" s="10">
        <f>IFERROR(VLOOKUP($B18, 'отчет 1'!$B:$G, 5, FALSE), "")</f>
        <v>3112.94</v>
      </c>
      <c r="J18" s="10">
        <f>IFERROR(VLOOKUP($B18, 'отчет 1'!$B:$G, 6, FALSE), "")</f>
        <v>495</v>
      </c>
      <c r="K18" s="12">
        <f>VLOOKUP(VALUE($B18), 'отчет 2'!$A:$K, 10, FALSE)</f>
        <v>45604.598865740743</v>
      </c>
      <c r="L18" s="10">
        <f>VLOOKUP(VALUE($B18), 'отчет 2'!$A:$K, 11, FALSE)</f>
        <v>2353.63</v>
      </c>
      <c r="M18" s="10" t="str">
        <f>IF(OR(COUNTIF(цессия!$B:$B,$B18)&gt;0,$I18="BANKRUPTCY",$I18="REPAID",$I18="EARLY_REPAID"),"Да","Нет")</f>
        <v>Нет</v>
      </c>
    </row>
    <row r="19" spans="1:13" x14ac:dyDescent="0.2">
      <c r="A19" s="10">
        <v>13</v>
      </c>
      <c r="B19" s="5" t="s">
        <v>50</v>
      </c>
      <c r="C19" s="10">
        <f>VLOOKUP(VALUE($B19), 'отчет 2'!$A:$K, 2, FALSE)</f>
        <v>70784</v>
      </c>
      <c r="D19" t="str">
        <f>VLOOKUP(VALUE($B19), 'отчет 2'!$A:$K, 5, FALSE)</f>
        <v>Онлайн</v>
      </c>
      <c r="E19" s="7">
        <f>IFERROR(VLOOKUP($B19, 'отчет 1'!$B:$G, 2, FALSE), "")</f>
        <v>45237</v>
      </c>
      <c r="F19" s="11">
        <f>IFERROR(VLOOKUP($B19, 'отчет 1'!$B:$G, 3, FALSE), "")</f>
        <v>9900</v>
      </c>
      <c r="G19" s="10" t="str">
        <f>VLOOKUP(VALUE($B19), 'отчет 2'!$A:$K, 9, FALSE)</f>
        <v>COLLECTOR</v>
      </c>
      <c r="H19" s="10">
        <f>IFERROR(VLOOKUP($B19, 'отчет 1'!$B:$G, 4, FALSE), "")</f>
        <v>9900</v>
      </c>
      <c r="I19" s="10">
        <f>IFERROR(VLOOKUP($B19, 'отчет 1'!$B:$G, 5, FALSE), "")</f>
        <v>4221.74</v>
      </c>
      <c r="J19" s="10">
        <f>IFERROR(VLOOKUP($B19, 'отчет 1'!$B:$G, 6, FALSE), "")</f>
        <v>436</v>
      </c>
      <c r="K19" s="12">
        <f>VLOOKUP(VALUE($B19), 'отчет 2'!$A:$K, 10, FALSE)</f>
        <v>45568.527465277781</v>
      </c>
      <c r="L19" s="10" t="str">
        <f>VLOOKUP(VALUE($B19), 'отчет 2'!$A:$K, 11, FALSE)</f>
        <v>\N</v>
      </c>
      <c r="M19" s="10" t="str">
        <f>IF(OR(COUNTIF(цессия!$B:$B,$B19)&gt;0,$I19="BANKRUPTCY",$I19="REPAID",$I19="EARLY_REPAID"),"Да","Нет")</f>
        <v>Нет</v>
      </c>
    </row>
    <row r="20" spans="1:13" x14ac:dyDescent="0.2">
      <c r="A20" s="10">
        <v>14</v>
      </c>
      <c r="B20" s="5" t="s">
        <v>51</v>
      </c>
      <c r="C20" s="10">
        <f>VLOOKUP(VALUE($B20), 'отчет 2'!$A:$K, 2, FALSE)</f>
        <v>78335</v>
      </c>
      <c r="D20" t="str">
        <f>VLOOKUP(VALUE($B20), 'отчет 2'!$A:$K, 5, FALSE)</f>
        <v>Онлайн</v>
      </c>
      <c r="E20" s="7">
        <f>IFERROR(VLOOKUP($B20, 'отчет 1'!$B:$G, 2, FALSE), "")</f>
        <v>45249</v>
      </c>
      <c r="F20" s="11">
        <f>IFERROR(VLOOKUP($B20, 'отчет 1'!$B:$G, 3, FALSE), "")</f>
        <v>9900</v>
      </c>
      <c r="G20" s="10" t="str">
        <f>VLOOKUP(VALUE($B20), 'отчет 2'!$A:$K, 9, FALSE)</f>
        <v>COLLECTOR</v>
      </c>
      <c r="H20" s="10">
        <f>IFERROR(VLOOKUP($B20, 'отчет 1'!$B:$G, 4, FALSE), "")</f>
        <v>4660.4799999999996</v>
      </c>
      <c r="I20" s="10">
        <f>IFERROR(VLOOKUP($B20, 'отчет 1'!$B:$G, 5, FALSE), "")</f>
        <v>0</v>
      </c>
      <c r="J20" s="10">
        <f>IFERROR(VLOOKUP($B20, 'отчет 1'!$B:$G, 6, FALSE), "")</f>
        <v>382</v>
      </c>
      <c r="K20" s="12">
        <f>VLOOKUP(VALUE($B20), 'отчет 2'!$A:$K, 10, FALSE)</f>
        <v>45568.55195601852</v>
      </c>
      <c r="L20" s="10">
        <f>VLOOKUP(VALUE($B20), 'отчет 2'!$A:$K, 11, FALSE)</f>
        <v>2400</v>
      </c>
      <c r="M20" s="10" t="str">
        <f>IF(OR(COUNTIF(цессия!$B:$B,$B20)&gt;0,$I20="BANKRUPTCY",$I20="REPAID",$I20="EARLY_REPAID"),"Да","Нет")</f>
        <v>Нет</v>
      </c>
    </row>
    <row r="21" spans="1:13" x14ac:dyDescent="0.2">
      <c r="A21" s="10">
        <v>15</v>
      </c>
      <c r="B21" s="5" t="s">
        <v>52</v>
      </c>
      <c r="C21" s="10">
        <f>VLOOKUP(VALUE($B21), 'отчет 2'!$A:$K, 2, FALSE)</f>
        <v>81233</v>
      </c>
      <c r="D21" t="str">
        <f>VLOOKUP(VALUE($B21), 'отчет 2'!$A:$K, 5, FALSE)</f>
        <v>Онлайн</v>
      </c>
      <c r="E21" s="7">
        <f>IFERROR(VLOOKUP($B21, 'отчет 1'!$B:$G, 2, FALSE), "")</f>
        <v>45253</v>
      </c>
      <c r="F21" s="11">
        <f>IFERROR(VLOOKUP($B21, 'отчет 1'!$B:$G, 3, FALSE), "")</f>
        <v>9900</v>
      </c>
      <c r="G21" s="10" t="str">
        <f>VLOOKUP(VALUE($B21), 'отчет 2'!$A:$K, 9, FALSE)</f>
        <v>COLLECTOR</v>
      </c>
      <c r="H21" s="10">
        <f>IFERROR(VLOOKUP($B21, 'отчет 1'!$B:$G, 4, FALSE), "")</f>
        <v>9900</v>
      </c>
      <c r="I21" s="10">
        <f>IFERROR(VLOOKUP($B21, 'отчет 1'!$B:$G, 5, FALSE), "")</f>
        <v>4221.74</v>
      </c>
      <c r="J21" s="10">
        <f>IFERROR(VLOOKUP($B21, 'отчет 1'!$B:$G, 6, FALSE), "")</f>
        <v>420</v>
      </c>
      <c r="K21" s="12">
        <f>VLOOKUP(VALUE($B21), 'отчет 2'!$A:$K, 10, FALSE)</f>
        <v>45568.527465277781</v>
      </c>
      <c r="L21" s="10" t="str">
        <f>VLOOKUP(VALUE($B21), 'отчет 2'!$A:$K, 11, FALSE)</f>
        <v>\N</v>
      </c>
      <c r="M21" s="10" t="str">
        <f>IF(OR(COUNTIF(цессия!$B:$B,$B21)&gt;0,$I21="BANKRUPTCY",$I21="REPAID",$I21="EARLY_REPAID"),"Да","Нет")</f>
        <v>Нет</v>
      </c>
    </row>
    <row r="22" spans="1:13" x14ac:dyDescent="0.2">
      <c r="A22" s="10">
        <v>16</v>
      </c>
      <c r="B22" s="5" t="s">
        <v>53</v>
      </c>
      <c r="C22" s="10">
        <f>VLOOKUP(VALUE($B22), 'отчет 2'!$A:$K, 2, FALSE)</f>
        <v>88259</v>
      </c>
      <c r="D22" t="str">
        <f>VLOOKUP(VALUE($B22), 'отчет 2'!$A:$K, 5, FALSE)</f>
        <v>Онлайн</v>
      </c>
      <c r="E22" s="7">
        <f>IFERROR(VLOOKUP($B22, 'отчет 1'!$B:$G, 2, FALSE), "")</f>
        <v>45265</v>
      </c>
      <c r="F22" s="11">
        <f>IFERROR(VLOOKUP($B22, 'отчет 1'!$B:$G, 3, FALSE), "")</f>
        <v>9900</v>
      </c>
      <c r="G22" s="10" t="str">
        <f>VLOOKUP(VALUE($B22), 'отчет 2'!$A:$K, 9, FALSE)</f>
        <v>COLLECTOR</v>
      </c>
      <c r="H22" s="10">
        <f>IFERROR(VLOOKUP($B22, 'отчет 1'!$B:$G, 4, FALSE), "")</f>
        <v>8655.17</v>
      </c>
      <c r="I22" s="10">
        <f>IFERROR(VLOOKUP($B22, 'отчет 1'!$B:$G, 5, FALSE), "")</f>
        <v>3112.94</v>
      </c>
      <c r="J22" s="10">
        <f>IFERROR(VLOOKUP($B22, 'отчет 1'!$B:$G, 6, FALSE), "")</f>
        <v>394</v>
      </c>
      <c r="K22" s="12">
        <f>VLOOKUP(VALUE($B22), 'отчет 2'!$A:$K, 10, FALSE)</f>
        <v>45568.527465277781</v>
      </c>
      <c r="L22" s="10">
        <f>VLOOKUP(VALUE($B22), 'отчет 2'!$A:$K, 11, FALSE)</f>
        <v>2353.63</v>
      </c>
      <c r="M22" s="10" t="str">
        <f>IF(OR(COUNTIF(цессия!$B:$B,$B22)&gt;0,$I22="BANKRUPTCY",$I22="REPAID",$I22="EARLY_REPAID"),"Да","Нет")</f>
        <v>Нет</v>
      </c>
    </row>
    <row r="23" spans="1:13" x14ac:dyDescent="0.2">
      <c r="A23" s="10">
        <v>17</v>
      </c>
      <c r="B23" s="5" t="s">
        <v>54</v>
      </c>
      <c r="C23" s="10">
        <f>VLOOKUP(VALUE($B23), 'отчет 2'!$A:$K, 2, FALSE)</f>
        <v>104036</v>
      </c>
      <c r="D23" t="str">
        <f>VLOOKUP(VALUE($B23), 'отчет 2'!$A:$K, 5, FALSE)</f>
        <v>Онлайн</v>
      </c>
      <c r="E23" s="7">
        <f>IFERROR(VLOOKUP($B23, 'отчет 1'!$B:$G, 2, FALSE), "")</f>
        <v>45295</v>
      </c>
      <c r="F23" s="11">
        <f>IFERROR(VLOOKUP($B23, 'отчет 1'!$B:$G, 3, FALSE), "")</f>
        <v>9900</v>
      </c>
      <c r="G23" s="10" t="str">
        <f>VLOOKUP(VALUE($B23), 'отчет 2'!$A:$K, 9, FALSE)</f>
        <v>COLLECTOR</v>
      </c>
      <c r="H23" s="10">
        <f>IFERROR(VLOOKUP($B23, 'отчет 1'!$B:$G, 4, FALSE), "")</f>
        <v>7270.92</v>
      </c>
      <c r="I23" s="10">
        <f>IFERROR(VLOOKUP($B23, 'отчет 1'!$B:$G, 5, FALSE), "")</f>
        <v>2143.56</v>
      </c>
      <c r="J23" s="10">
        <f>IFERROR(VLOOKUP($B23, 'отчет 1'!$B:$G, 6, FALSE), "")</f>
        <v>350</v>
      </c>
      <c r="K23" s="12">
        <f>VLOOKUP(VALUE($B23), 'отчет 2'!$A:$K, 10, FALSE)</f>
        <v>45568.55195601852</v>
      </c>
      <c r="L23" s="10">
        <f>VLOOKUP(VALUE($B23), 'отчет 2'!$A:$K, 11, FALSE)</f>
        <v>2347.2600000000002</v>
      </c>
      <c r="M23" s="10" t="str">
        <f>IF(OR(COUNTIF(цессия!$B:$B,$B23)&gt;0,$I23="BANKRUPTCY",$I23="REPAID",$I23="EARLY_REPAID"),"Да","Нет")</f>
        <v>Нет</v>
      </c>
    </row>
    <row r="24" spans="1:13" x14ac:dyDescent="0.2">
      <c r="A24" s="10">
        <v>18</v>
      </c>
      <c r="B24" s="5" t="s">
        <v>55</v>
      </c>
      <c r="C24" s="10">
        <f>VLOOKUP(VALUE($B24), 'отчет 2'!$A:$K, 2, FALSE)</f>
        <v>109897</v>
      </c>
      <c r="D24" t="str">
        <f>VLOOKUP(VALUE($B24), 'отчет 2'!$A:$K, 5, FALSE)</f>
        <v>Онлайн</v>
      </c>
      <c r="E24" s="7">
        <f>IFERROR(VLOOKUP($B24, 'отчет 1'!$B:$G, 2, FALSE), "")</f>
        <v>45306</v>
      </c>
      <c r="F24" s="11">
        <f>IFERROR(VLOOKUP($B24, 'отчет 1'!$B:$G, 3, FALSE), "")</f>
        <v>9900</v>
      </c>
      <c r="G24" s="10" t="str">
        <f>VLOOKUP(VALUE($B24), 'отчет 2'!$A:$K, 9, FALSE)</f>
        <v>COLLECTOR</v>
      </c>
      <c r="H24" s="10">
        <f>IFERROR(VLOOKUP($B24, 'отчет 1'!$B:$G, 4, FALSE), "")</f>
        <v>7270.92</v>
      </c>
      <c r="I24" s="10">
        <f>IFERROR(VLOOKUP($B24, 'отчет 1'!$B:$G, 5, FALSE), "")</f>
        <v>2143.56</v>
      </c>
      <c r="J24" s="10">
        <f>IFERROR(VLOOKUP($B24, 'отчет 1'!$B:$G, 6, FALSE), "")</f>
        <v>339</v>
      </c>
      <c r="K24" s="12">
        <f>VLOOKUP(VALUE($B24), 'отчет 2'!$A:$K, 10, FALSE)</f>
        <v>45568.55195601852</v>
      </c>
      <c r="L24" s="10">
        <f>VLOOKUP(VALUE($B24), 'отчет 2'!$A:$K, 11, FALSE)</f>
        <v>2353.63</v>
      </c>
      <c r="M24" s="10" t="str">
        <f>IF(OR(COUNTIF(цессия!$B:$B,$B24)&gt;0,$I24="BANKRUPTCY",$I24="REPAID",$I24="EARLY_REPAID"),"Да","Нет")</f>
        <v>Нет</v>
      </c>
    </row>
    <row r="25" spans="1:13" x14ac:dyDescent="0.2">
      <c r="A25" s="10">
        <v>19</v>
      </c>
      <c r="B25" s="5" t="s">
        <v>56</v>
      </c>
      <c r="C25" s="10">
        <f>VLOOKUP(VALUE($B25), 'отчет 2'!$A:$K, 2, FALSE)</f>
        <v>116791</v>
      </c>
      <c r="D25" t="str">
        <f>VLOOKUP(VALUE($B25), 'отчет 2'!$A:$K, 5, FALSE)</f>
        <v>Онлайн</v>
      </c>
      <c r="E25" s="7">
        <f>IFERROR(VLOOKUP($B25, 'отчет 1'!$B:$G, 2, FALSE), "")</f>
        <v>45316</v>
      </c>
      <c r="F25" s="11">
        <f>IFERROR(VLOOKUP($B25, 'отчет 1'!$B:$G, 3, FALSE), "")</f>
        <v>9900</v>
      </c>
      <c r="G25" s="10" t="str">
        <f>VLOOKUP(VALUE($B25), 'отчет 2'!$A:$K, 9, FALSE)</f>
        <v>COLLECTOR</v>
      </c>
      <c r="H25" s="10">
        <f>IFERROR(VLOOKUP($B25, 'отчет 1'!$B:$G, 4, FALSE), "")</f>
        <v>8655.17</v>
      </c>
      <c r="I25" s="10">
        <f>IFERROR(VLOOKUP($B25, 'отчет 1'!$B:$G, 5, FALSE), "")</f>
        <v>3112.94</v>
      </c>
      <c r="J25" s="10">
        <f>IFERROR(VLOOKUP($B25, 'отчет 1'!$B:$G, 6, FALSE), "")</f>
        <v>343</v>
      </c>
      <c r="K25" s="12">
        <f>VLOOKUP(VALUE($B25), 'отчет 2'!$A:$K, 10, FALSE)</f>
        <v>45568.55195601852</v>
      </c>
      <c r="L25" s="10">
        <f>VLOOKUP(VALUE($B25), 'отчет 2'!$A:$K, 11, FALSE)</f>
        <v>2353.63</v>
      </c>
      <c r="M25" s="10" t="str">
        <f>IF(OR(COUNTIF(цессия!$B:$B,$B25)&gt;0,$I25="BANKRUPTCY",$I25="REPAID",$I25="EARLY_REPAID"),"Да","Нет")</f>
        <v>Нет</v>
      </c>
    </row>
    <row r="26" spans="1:13" x14ac:dyDescent="0.2">
      <c r="A26" s="10">
        <v>20</v>
      </c>
      <c r="B26" s="5" t="s">
        <v>57</v>
      </c>
      <c r="C26" s="10">
        <f>VLOOKUP(VALUE($B26), 'отчет 2'!$A:$K, 2, FALSE)</f>
        <v>125922</v>
      </c>
      <c r="D26" t="str">
        <f>VLOOKUP(VALUE($B26), 'отчет 2'!$A:$K, 5, FALSE)</f>
        <v>Онлайн</v>
      </c>
      <c r="E26" s="7">
        <f>IFERROR(VLOOKUP($B26, 'отчет 1'!$B:$G, 2, FALSE), "")</f>
        <v>45330</v>
      </c>
      <c r="F26" s="11">
        <f>IFERROR(VLOOKUP($B26, 'отчет 1'!$B:$G, 3, FALSE), "")</f>
        <v>13300</v>
      </c>
      <c r="G26" s="10" t="str">
        <f>VLOOKUP(VALUE($B26), 'отчет 2'!$A:$K, 9, FALSE)</f>
        <v>COLLECTOR</v>
      </c>
      <c r="H26" s="10">
        <f>IFERROR(VLOOKUP($B26, 'отчет 1'!$B:$G, 4, FALSE), "")</f>
        <v>11627.66</v>
      </c>
      <c r="I26" s="10">
        <f>IFERROR(VLOOKUP($B26, 'отчет 1'!$B:$G, 5, FALSE), "")</f>
        <v>4182</v>
      </c>
      <c r="J26" s="10">
        <f>IFERROR(VLOOKUP($B26, 'отчет 1'!$B:$G, 6, FALSE), "")</f>
        <v>329</v>
      </c>
      <c r="K26" s="12">
        <f>VLOOKUP(VALUE($B26), 'отчет 2'!$A:$K, 10, FALSE)</f>
        <v>45568.55195601852</v>
      </c>
      <c r="L26" s="10">
        <f>VLOOKUP(VALUE($B26), 'отчет 2'!$A:$K, 11, FALSE)</f>
        <v>2000</v>
      </c>
      <c r="M26" s="10" t="str">
        <f>IF(OR(COUNTIF(цессия!$B:$B,$B26)&gt;0,$I26="BANKRUPTCY",$I26="REPAID",$I26="EARLY_REPAID"),"Да","Нет")</f>
        <v>Нет</v>
      </c>
    </row>
    <row r="27" spans="1:13" x14ac:dyDescent="0.2">
      <c r="A27" s="10">
        <v>21</v>
      </c>
      <c r="B27" s="5" t="s">
        <v>58</v>
      </c>
      <c r="C27" s="10">
        <f>VLOOKUP(VALUE($B27), 'отчет 2'!$A:$K, 2, FALSE)</f>
        <v>208219</v>
      </c>
      <c r="D27" t="str">
        <f>VLOOKUP(VALUE($B27), 'отчет 2'!$A:$K, 5, FALSE)</f>
        <v>Онлайн</v>
      </c>
      <c r="E27" s="7">
        <f>IFERROR(VLOOKUP($B27, 'отчет 1'!$B:$G, 2, FALSE), "")</f>
        <v>45465</v>
      </c>
      <c r="F27" s="11">
        <f>IFERROR(VLOOKUP($B27, 'отчет 1'!$B:$G, 3, FALSE), "")</f>
        <v>6000</v>
      </c>
      <c r="G27" s="10" t="str">
        <f>VLOOKUP(VALUE($B27), 'отчет 2'!$A:$K, 9, FALSE)</f>
        <v>ACTIVE_SB</v>
      </c>
      <c r="H27" s="10">
        <f>IFERROR(VLOOKUP($B27, 'отчет 1'!$B:$G, 4, FALSE), "")</f>
        <v>6000</v>
      </c>
      <c r="I27" s="10">
        <f>IFERROR(VLOOKUP($B27, 'отчет 1'!$B:$G, 5, FALSE), "")</f>
        <v>2889.34</v>
      </c>
      <c r="J27" s="10">
        <f>IFERROR(VLOOKUP($B27, 'отчет 1'!$B:$G, 6, FALSE), "")</f>
        <v>208</v>
      </c>
      <c r="K27" s="12">
        <f>VLOOKUP(VALUE($B27), 'отчет 2'!$A:$K, 10, FALSE)</f>
        <v>45559.958333333336</v>
      </c>
      <c r="L27" s="10">
        <f>VLOOKUP(VALUE($B27), 'отчет 2'!$A:$K, 11, FALSE)</f>
        <v>500</v>
      </c>
      <c r="M27" s="10" t="str">
        <f>IF(OR(COUNTIF(цессия!$B:$B,$B27)&gt;0,$I27="BANKRUPTCY",$I27="REPAID",$I27="EARLY_REPAID"),"Да","Нет")</f>
        <v>Нет</v>
      </c>
    </row>
    <row r="28" spans="1:13" x14ac:dyDescent="0.2">
      <c r="A28" s="10">
        <v>22</v>
      </c>
      <c r="B28" s="5" t="s">
        <v>59</v>
      </c>
      <c r="C28" s="10">
        <f>VLOOKUP(VALUE($B28), 'отчет 2'!$A:$K, 2, FALSE)</f>
        <v>203029</v>
      </c>
      <c r="D28" t="str">
        <f>VLOOKUP(VALUE($B28), 'отчет 2'!$A:$K, 5, FALSE)</f>
        <v>Онлайн</v>
      </c>
      <c r="E28" s="7">
        <f>IFERROR(VLOOKUP($B28, 'отчет 1'!$B:$G, 2, FALSE), "")</f>
        <v>45457</v>
      </c>
      <c r="F28" s="11">
        <f>IFERROR(VLOOKUP($B28, 'отчет 1'!$B:$G, 3, FALSE), "")</f>
        <v>9900</v>
      </c>
      <c r="G28" s="10" t="str">
        <f>VLOOKUP(VALUE($B28), 'отчет 2'!$A:$K, 9, FALSE)</f>
        <v>DELINQUENT</v>
      </c>
      <c r="H28" s="10">
        <f>IFERROR(VLOOKUP($B28, 'отчет 1'!$B:$G, 4, FALSE), "")</f>
        <v>9900</v>
      </c>
      <c r="I28" s="10">
        <f>IFERROR(VLOOKUP($B28, 'отчет 1'!$B:$G, 5, FALSE), "")</f>
        <v>4166.08</v>
      </c>
      <c r="J28" s="10">
        <f>IFERROR(VLOOKUP($B28, 'отчет 1'!$B:$G, 6, FALSE), "")</f>
        <v>216</v>
      </c>
      <c r="K28" s="12">
        <f>VLOOKUP(VALUE($B28), 'отчет 2'!$A:$K, 10, FALSE)</f>
        <v>45472</v>
      </c>
      <c r="L28" s="10">
        <f>VLOOKUP(VALUE($B28), 'отчет 2'!$A:$K, 11, FALSE)</f>
        <v>50</v>
      </c>
      <c r="M28" s="10" t="str">
        <f>IF(OR(COUNTIF(цессия!$B:$B,$B28)&gt;0,$I28="BANKRUPTCY",$I28="REPAID",$I28="EARLY_REPAID"),"Да","Нет")</f>
        <v>Нет</v>
      </c>
    </row>
    <row r="29" spans="1:1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4" spans="2:2" x14ac:dyDescent="0.2">
      <c r="B34" t="s">
        <v>82</v>
      </c>
    </row>
    <row r="35" spans="2:2" x14ac:dyDescent="0.2">
      <c r="B35" t="s">
        <v>83</v>
      </c>
    </row>
    <row r="36" spans="2:2" x14ac:dyDescent="0.2">
      <c r="B36" t="s">
        <v>84</v>
      </c>
    </row>
  </sheetData>
  <mergeCells count="1">
    <mergeCell ref="E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FE2C-1407-AB42-A17B-3A126D0C81AF}">
  <dimension ref="A1:M40"/>
  <sheetViews>
    <sheetView workbookViewId="0">
      <selection activeCell="C46" sqref="C46"/>
    </sheetView>
  </sheetViews>
  <sheetFormatPr baseColWidth="10" defaultRowHeight="16" x14ac:dyDescent="0.2"/>
  <cols>
    <col min="1" max="2" width="22.1640625" customWidth="1"/>
    <col min="3" max="3" width="27.83203125" bestFit="1" customWidth="1"/>
    <col min="12" max="12" width="14" customWidth="1"/>
  </cols>
  <sheetData>
    <row r="1" spans="1:13" ht="51" x14ac:dyDescent="0.2">
      <c r="A1" s="10" t="s">
        <v>9</v>
      </c>
      <c r="B1" s="10" t="s">
        <v>73</v>
      </c>
      <c r="C1" s="10" t="s">
        <v>75</v>
      </c>
      <c r="D1" s="10" t="s">
        <v>74</v>
      </c>
      <c r="E1" s="10" t="s">
        <v>76</v>
      </c>
      <c r="F1" s="10" t="s">
        <v>16</v>
      </c>
      <c r="G1" s="10" t="s">
        <v>77</v>
      </c>
      <c r="H1" s="10" t="s">
        <v>17</v>
      </c>
      <c r="I1" s="10" t="s">
        <v>18</v>
      </c>
      <c r="J1" s="10" t="s">
        <v>19</v>
      </c>
      <c r="K1" s="10" t="s">
        <v>78</v>
      </c>
      <c r="L1" s="20" t="s">
        <v>79</v>
      </c>
      <c r="M1" s="13" t="s">
        <v>91</v>
      </c>
    </row>
    <row r="2" spans="1:13" x14ac:dyDescent="0.2">
      <c r="A2" s="10">
        <v>1</v>
      </c>
      <c r="B2" s="5" t="s">
        <v>38</v>
      </c>
      <c r="C2" s="10">
        <f>VLOOKUP(VALUE($B2), 'отчет 2'!$A:$K, 2, FALSE)</f>
        <v>10614</v>
      </c>
      <c r="D2" t="str">
        <f>VLOOKUP(VALUE($B2), 'отчет 2'!$A:$K, 5, FALSE)</f>
        <v>Электросталь</v>
      </c>
      <c r="E2" s="7">
        <f>IFERROR(VLOOKUP($B2, 'отчет 1'!$B:$G, 2, FALSE), "")</f>
        <v>45008</v>
      </c>
      <c r="F2" s="11">
        <f>IFERROR(VLOOKUP($B2, 'отчет 1'!$B:$G, 3, FALSE), "")</f>
        <v>60000</v>
      </c>
      <c r="G2" s="10" t="str">
        <f>VLOOKUP(VALUE($B2), 'отчет 2'!$A:$K, 9, FALSE)</f>
        <v>COLLECTOR</v>
      </c>
      <c r="H2" s="10">
        <f>IFERROR(VLOOKUP($B2, 'отчет 1'!$B:$G, 4, FALSE), "")</f>
        <v>47104.160000000003</v>
      </c>
      <c r="I2" s="10">
        <f>IFERROR(VLOOKUP($B2, 'отчет 1'!$B:$G, 5, FALSE), "")</f>
        <v>23926.86</v>
      </c>
      <c r="J2" s="10">
        <f>IFERROR(VLOOKUP($B2, 'отчет 1'!$B:$G, 6, FALSE), "")</f>
        <v>525</v>
      </c>
      <c r="K2" s="12">
        <f>VLOOKUP(VALUE($B2), 'отчет 2'!$A:$K, 10, FALSE)</f>
        <v>45251.958333333336</v>
      </c>
      <c r="L2" s="10">
        <f>VLOOKUP(VALUE($B2), 'отчет 2'!$A:$K, 11, FALSE)</f>
        <v>1775</v>
      </c>
      <c r="M2" t="str">
        <f>IF(OR(COUNTIF(цессия!$B:$B,$B7)&gt;0,$I7="BANKRUPTCY",$I7="REPAID",$I7="EARLY_REPAID"),"Да","Нет")</f>
        <v>Нет</v>
      </c>
    </row>
    <row r="3" spans="1:13" x14ac:dyDescent="0.2">
      <c r="A3" s="10">
        <v>2</v>
      </c>
      <c r="B3" s="5" t="s">
        <v>39</v>
      </c>
      <c r="C3" s="10">
        <f>VLOOKUP(VALUE($B3), 'отчет 2'!$A:$K, 2, FALSE)</f>
        <v>183</v>
      </c>
      <c r="D3" t="str">
        <f>VLOOKUP(VALUE($B3), 'отчет 2'!$A:$K, 5, FALSE)</f>
        <v>Белгород</v>
      </c>
      <c r="E3" s="7">
        <f>IFERROR(VLOOKUP($B3, 'отчет 1'!$B:$G, 2, FALSE), "")</f>
        <v>44834</v>
      </c>
      <c r="F3" s="11">
        <f>IFERROR(VLOOKUP($B3, 'отчет 1'!$B:$G, 3, FALSE), "")</f>
        <v>35000</v>
      </c>
      <c r="G3" s="10" t="str">
        <f>VLOOKUP(VALUE($B3), 'отчет 2'!$A:$K, 9, FALSE)</f>
        <v>COLLECTOR</v>
      </c>
      <c r="H3" s="10">
        <f>IFERROR(VLOOKUP($B3, 'отчет 1'!$B:$G, 4, FALSE), "")</f>
        <v>11447.66</v>
      </c>
      <c r="I3" s="10">
        <f>IFERROR(VLOOKUP($B3, 'отчет 1'!$B:$G, 5, FALSE), "")</f>
        <v>1300.06</v>
      </c>
      <c r="J3" s="10">
        <f>IFERROR(VLOOKUP($B3, 'отчет 1'!$B:$G, 6, FALSE), "")</f>
        <v>552</v>
      </c>
      <c r="K3" s="12">
        <f>VLOOKUP(VALUE($B3), 'отчет 2'!$A:$K, 10, FALSE)</f>
        <v>45568.606516203705</v>
      </c>
      <c r="L3" s="10">
        <f>VLOOKUP(VALUE($B3), 'отчет 2'!$A:$K, 11, FALSE)</f>
        <v>1950</v>
      </c>
      <c r="M3" t="str">
        <f>IF(OR(COUNTIF(цессия!$B:$B,$B8)&gt;0,$I8="BANKRUPTCY",$I8="REPAID",$I8="EARLY_REPAID"),"Да","Нет")</f>
        <v>Нет</v>
      </c>
    </row>
    <row r="4" spans="1:13" x14ac:dyDescent="0.2">
      <c r="A4" s="10">
        <v>3</v>
      </c>
      <c r="B4" s="5" t="s">
        <v>40</v>
      </c>
      <c r="C4" s="10">
        <f>VLOOKUP(VALUE($B4), 'отчет 2'!$A:$K, 2, FALSE)</f>
        <v>1146</v>
      </c>
      <c r="D4" t="str">
        <f>VLOOKUP(VALUE($B4), 'отчет 2'!$A:$K, 5, FALSE)</f>
        <v>Вологда</v>
      </c>
      <c r="E4" s="7">
        <f>IFERROR(VLOOKUP($B4, 'отчет 1'!$B:$G, 2, FALSE), "")</f>
        <v>44862</v>
      </c>
      <c r="F4" s="11">
        <f>IFERROR(VLOOKUP($B4, 'отчет 1'!$B:$G, 3, FALSE), "")</f>
        <v>30000</v>
      </c>
      <c r="G4" s="10" t="str">
        <f>VLOOKUP(VALUE($B4), 'отчет 2'!$A:$K, 9, FALSE)</f>
        <v>DELINQUENT</v>
      </c>
      <c r="H4" s="10">
        <f>IFERROR(VLOOKUP($B4, 'отчет 1'!$B:$G, 4, FALSE), "")</f>
        <v>4410.2</v>
      </c>
      <c r="I4" s="10">
        <f>IFERROR(VLOOKUP($B4, 'отчет 1'!$B:$G, 5, FALSE), "")</f>
        <v>249.72</v>
      </c>
      <c r="J4" s="10">
        <f>IFERROR(VLOOKUP($B4, 'отчет 1'!$B:$G, 6, FALSE), "")</f>
        <v>482</v>
      </c>
      <c r="K4" s="12">
        <f>VLOOKUP(VALUE($B4), 'отчет 2'!$A:$K, 10, FALSE)</f>
        <v>45206</v>
      </c>
      <c r="L4" s="10">
        <f>VLOOKUP(VALUE($B4), 'отчет 2'!$A:$K, 11, FALSE)</f>
        <v>1200</v>
      </c>
      <c r="M4" t="str">
        <f>IF(OR(COUNTIF(цессия!$B:$B,$B9)&gt;0,$I9="BANKRUPTCY",$I9="REPAID",$I9="EARLY_REPAID"),"Да","Нет")</f>
        <v>Нет</v>
      </c>
    </row>
    <row r="5" spans="1:13" x14ac:dyDescent="0.2">
      <c r="A5" s="10">
        <v>4</v>
      </c>
      <c r="B5" s="5" t="s">
        <v>41</v>
      </c>
      <c r="C5" s="10">
        <f>VLOOKUP(VALUE($B5), 'отчет 2'!$A:$K, 2, FALSE)</f>
        <v>4157</v>
      </c>
      <c r="D5" t="str">
        <f>VLOOKUP(VALUE($B5), 'отчет 2'!$A:$K, 5, FALSE)</f>
        <v>Электросталь</v>
      </c>
      <c r="E5" s="7">
        <f>IFERROR(VLOOKUP($B5, 'отчет 1'!$B:$G, 2, FALSE), "")</f>
        <v>44915</v>
      </c>
      <c r="F5" s="11">
        <f>IFERROR(VLOOKUP($B5, 'отчет 1'!$B:$G, 3, FALSE), "")</f>
        <v>40000</v>
      </c>
      <c r="G5" s="10" t="str">
        <f>VLOOKUP(VALUE($B5), 'отчет 2'!$A:$K, 9, FALSE)</f>
        <v>ACTIVE_SB</v>
      </c>
      <c r="H5" s="10">
        <f>IFERROR(VLOOKUP($B5, 'отчет 1'!$B:$G, 4, FALSE), "")</f>
        <v>11088.24</v>
      </c>
      <c r="I5" s="10">
        <f>IFERROR(VLOOKUP($B5, 'отчет 1'!$B:$G, 5, FALSE), "")</f>
        <v>1482.47</v>
      </c>
      <c r="J5" s="10">
        <f>IFERROR(VLOOKUP($B5, 'отчет 1'!$B:$G, 6, FALSE), "")</f>
        <v>457</v>
      </c>
      <c r="K5" s="12">
        <f>VLOOKUP(VALUE($B5), 'отчет 2'!$A:$K, 10, FALSE)</f>
        <v>45272.958333333336</v>
      </c>
      <c r="L5" s="10">
        <f>VLOOKUP(VALUE($B5), 'отчет 2'!$A:$K, 11, FALSE)</f>
        <v>3000</v>
      </c>
      <c r="M5" t="str">
        <f>IF(OR(COUNTIF(цессия!$B:$B,$B10)&gt;0,$I10="BANKRUPTCY",$I10="REPAID",$I10="EARLY_REPAID"),"Да","Нет")</f>
        <v>Нет</v>
      </c>
    </row>
    <row r="6" spans="1:13" x14ac:dyDescent="0.2">
      <c r="A6" s="10">
        <v>5</v>
      </c>
      <c r="B6" s="5" t="s">
        <v>42</v>
      </c>
      <c r="C6" s="10">
        <f>VLOOKUP(VALUE($B6), 'отчет 2'!$A:$K, 2, FALSE)</f>
        <v>6127</v>
      </c>
      <c r="D6" t="str">
        <f>VLOOKUP(VALUE($B6), 'отчет 2'!$A:$K, 5, FALSE)</f>
        <v>Санкт-Петербург</v>
      </c>
      <c r="E6" s="7">
        <f>IFERROR(VLOOKUP($B6, 'отчет 1'!$B:$G, 2, FALSE), "")</f>
        <v>44952</v>
      </c>
      <c r="F6" s="11">
        <f>IFERROR(VLOOKUP($B6, 'отчет 1'!$B:$G, 3, FALSE), "")</f>
        <v>50000</v>
      </c>
      <c r="G6" s="10" t="str">
        <f>VLOOKUP(VALUE($B6), 'отчет 2'!$A:$K, 9, FALSE)</f>
        <v>COLLECTOR</v>
      </c>
      <c r="H6" s="10">
        <f>IFERROR(VLOOKUP($B6, 'отчет 1'!$B:$G, 4, FALSE), "")</f>
        <v>42219.24</v>
      </c>
      <c r="I6" s="10">
        <f>IFERROR(VLOOKUP($B6, 'отчет 1'!$B:$G, 5, FALSE), "")</f>
        <v>30483.14</v>
      </c>
      <c r="J6" s="10">
        <f>IFERROR(VLOOKUP($B6, 'отчет 1'!$B:$G, 6, FALSE), "")</f>
        <v>609</v>
      </c>
      <c r="K6" s="12">
        <f>VLOOKUP(VALUE($B6), 'отчет 2'!$A:$K, 10, FALSE)</f>
        <v>45643.649039351854</v>
      </c>
      <c r="L6" s="10">
        <f>VLOOKUP(VALUE($B6), 'отчет 2'!$A:$K, 11, FALSE)</f>
        <v>2200</v>
      </c>
      <c r="M6" t="str">
        <f>IF(OR(COUNTIF(цессия!$B:$B,$B11)&gt;0,$I11="BANKRUPTCY",$I11="REPAID",$I11="EARLY_REPAID"),"Да","Нет")</f>
        <v>Нет</v>
      </c>
    </row>
    <row r="7" spans="1:13" x14ac:dyDescent="0.2">
      <c r="A7" s="10">
        <v>6</v>
      </c>
      <c r="B7" s="5" t="s">
        <v>43</v>
      </c>
      <c r="C7" s="10">
        <f>VLOOKUP(VALUE($B7), 'отчет 2'!$A:$K, 2, FALSE)</f>
        <v>6439</v>
      </c>
      <c r="D7" t="str">
        <f>VLOOKUP(VALUE($B7), 'отчет 2'!$A:$K, 5, FALSE)</f>
        <v>Курск</v>
      </c>
      <c r="E7" s="7">
        <f>IFERROR(VLOOKUP($B7, 'отчет 1'!$B:$G, 2, FALSE), "")</f>
        <v>44957</v>
      </c>
      <c r="F7" s="11">
        <f>IFERROR(VLOOKUP($B7, 'отчет 1'!$B:$G, 3, FALSE), "")</f>
        <v>20000</v>
      </c>
      <c r="G7" s="10" t="str">
        <f>VLOOKUP(VALUE($B7), 'отчет 2'!$A:$K, 9, FALSE)</f>
        <v>COLLECTOR</v>
      </c>
      <c r="H7" s="10">
        <f>IFERROR(VLOOKUP($B7, 'отчет 1'!$B:$G, 4, FALSE), "")</f>
        <v>6606.81</v>
      </c>
      <c r="I7" s="10">
        <f>IFERROR(VLOOKUP($B7, 'отчет 1'!$B:$G, 5, FALSE), "")</f>
        <v>864.92</v>
      </c>
      <c r="J7" s="10">
        <f>IFERROR(VLOOKUP($B7, 'отчет 1'!$B:$G, 6, FALSE), "")</f>
        <v>583</v>
      </c>
      <c r="K7" s="12">
        <f>VLOOKUP(VALUE($B7), 'отчет 2'!$A:$K, 10, FALSE)</f>
        <v>45643.649050925924</v>
      </c>
      <c r="L7" s="10">
        <f>VLOOKUP(VALUE($B7), 'отчет 2'!$A:$K, 11, FALSE)</f>
        <v>6652.05</v>
      </c>
      <c r="M7" t="str">
        <f>IF(OR(COUNTIF(цессия!$B:$B,$B12)&gt;0,$I12="BANKRUPTCY",$I12="REPAID",$I12="EARLY_REPAID"),"Да","Нет")</f>
        <v>Нет</v>
      </c>
    </row>
    <row r="8" spans="1:13" x14ac:dyDescent="0.2">
      <c r="A8" s="10">
        <v>7</v>
      </c>
      <c r="B8" s="5" t="s">
        <v>44</v>
      </c>
      <c r="C8" s="10">
        <f>VLOOKUP(VALUE($B8), 'отчет 2'!$A:$K, 2, FALSE)</f>
        <v>6421</v>
      </c>
      <c r="D8" t="str">
        <f>VLOOKUP(VALUE($B8), 'отчет 2'!$A:$K, 5, FALSE)</f>
        <v>Пенза</v>
      </c>
      <c r="E8" s="7">
        <f>IFERROR(VLOOKUP($B8, 'отчет 1'!$B:$G, 2, FALSE), "")</f>
        <v>44957</v>
      </c>
      <c r="F8" s="11">
        <f>IFERROR(VLOOKUP($B8, 'отчет 1'!$B:$G, 3, FALSE), "")</f>
        <v>30000</v>
      </c>
      <c r="G8" s="10" t="str">
        <f>VLOOKUP(VALUE($B8), 'отчет 2'!$A:$K, 9, FALSE)</f>
        <v>ACTIVE_SB</v>
      </c>
      <c r="H8" s="10">
        <f>IFERROR(VLOOKUP($B8, 'отчет 1'!$B:$G, 4, FALSE), "")</f>
        <v>8796.44</v>
      </c>
      <c r="I8" s="10">
        <f>IFERROR(VLOOKUP($B8, 'отчет 1'!$B:$G, 5, FALSE), "")</f>
        <v>1169.45</v>
      </c>
      <c r="J8" s="10">
        <f>IFERROR(VLOOKUP($B8, 'отчет 1'!$B:$G, 6, FALSE), "")</f>
        <v>415</v>
      </c>
      <c r="K8" s="12">
        <f>VLOOKUP(VALUE($B8), 'отчет 2'!$A:$K, 10, FALSE)</f>
        <v>45314.958333333336</v>
      </c>
      <c r="L8" s="10">
        <f>VLOOKUP(VALUE($B8), 'отчет 2'!$A:$K, 11, FALSE)</f>
        <v>9000</v>
      </c>
      <c r="M8" t="str">
        <f>IF(OR(COUNTIF(цессия!$B:$B,$B13)&gt;0,$I13="BANKRUPTCY",$I13="REPAID",$I13="EARLY_REPAID"),"Да","Нет")</f>
        <v>Нет</v>
      </c>
    </row>
    <row r="9" spans="1:13" x14ac:dyDescent="0.2">
      <c r="A9" s="10">
        <v>8</v>
      </c>
      <c r="B9" s="5" t="s">
        <v>45</v>
      </c>
      <c r="C9" s="10">
        <f>VLOOKUP(VALUE($B9), 'отчет 2'!$A:$K, 2, FALSE)</f>
        <v>9610</v>
      </c>
      <c r="D9" t="str">
        <f>VLOOKUP(VALUE($B9), 'отчет 2'!$A:$K, 5, FALSE)</f>
        <v>Белгород</v>
      </c>
      <c r="E9" s="7">
        <f>IFERROR(VLOOKUP($B9, 'отчет 1'!$B:$G, 2, FALSE), "")</f>
        <v>44995</v>
      </c>
      <c r="F9" s="11">
        <f>IFERROR(VLOOKUP($B9, 'отчет 1'!$B:$G, 3, FALSE), "")</f>
        <v>30000</v>
      </c>
      <c r="G9" s="10" t="str">
        <f>VLOOKUP(VALUE($B9), 'отчет 2'!$A:$K, 9, FALSE)</f>
        <v>COLLECTOR</v>
      </c>
      <c r="H9" s="10">
        <f>IFERROR(VLOOKUP($B9, 'отчет 1'!$B:$G, 4, FALSE), "")</f>
        <v>25533.57</v>
      </c>
      <c r="I9" s="10">
        <f>IFERROR(VLOOKUP($B9, 'отчет 1'!$B:$G, 5, FALSE), "")</f>
        <v>19657.32</v>
      </c>
      <c r="J9" s="10">
        <f>IFERROR(VLOOKUP($B9, 'отчет 1'!$B:$G, 6, FALSE), "")</f>
        <v>573</v>
      </c>
      <c r="K9" s="12">
        <f>VLOOKUP(VALUE($B9), 'отчет 2'!$A:$K, 10, FALSE)</f>
        <v>45180.385925925926</v>
      </c>
      <c r="L9" s="10">
        <f>VLOOKUP(VALUE($B9), 'отчет 2'!$A:$K, 11, FALSE)</f>
        <v>4250</v>
      </c>
      <c r="M9" t="str">
        <f>IF(OR(COUNTIF(цессия!$B:$B,$B14)&gt;0,$I14="BANKRUPTCY",$I14="REPAID",$I14="EARLY_REPAID"),"Да","Нет")</f>
        <v>Нет</v>
      </c>
    </row>
    <row r="10" spans="1:13" x14ac:dyDescent="0.2">
      <c r="A10" s="10">
        <v>9</v>
      </c>
      <c r="B10" s="5" t="s">
        <v>46</v>
      </c>
      <c r="C10" s="10">
        <f>VLOOKUP(VALUE($B10), 'отчет 2'!$A:$K, 2, FALSE)</f>
        <v>10509</v>
      </c>
      <c r="D10" t="str">
        <f>VLOOKUP(VALUE($B10), 'отчет 2'!$A:$K, 5, FALSE)</f>
        <v>Астрахань</v>
      </c>
      <c r="E10" s="7">
        <f>IFERROR(VLOOKUP($B10, 'отчет 1'!$B:$G, 2, FALSE), "")</f>
        <v>45006</v>
      </c>
      <c r="F10" s="11">
        <f>IFERROR(VLOOKUP($B10, 'отчет 1'!$B:$G, 3, FALSE), "")</f>
        <v>30000</v>
      </c>
      <c r="G10" s="10" t="str">
        <f>VLOOKUP(VALUE($B10), 'отчет 2'!$A:$K, 9, FALSE)</f>
        <v>COLLECTOR</v>
      </c>
      <c r="H10" s="10">
        <f>IFERROR(VLOOKUP($B10, 'отчет 1'!$B:$G, 4, FALSE), "")</f>
        <v>26037.23</v>
      </c>
      <c r="I10" s="10">
        <f>IFERROR(VLOOKUP($B10, 'отчет 1'!$B:$G, 5, FALSE), "")</f>
        <v>21091.66</v>
      </c>
      <c r="J10" s="10">
        <f>IFERROR(VLOOKUP($B10, 'отчет 1'!$B:$G, 6, FALSE), "")</f>
        <v>569</v>
      </c>
      <c r="K10" s="12">
        <f>VLOOKUP(VALUE($B10), 'отчет 2'!$A:$K, 10, FALSE)</f>
        <v>45182.365381944444</v>
      </c>
      <c r="L10" s="10">
        <f>VLOOKUP(VALUE($B10), 'отчет 2'!$A:$K, 11, FALSE)</f>
        <v>1100</v>
      </c>
      <c r="M10" t="str">
        <f>IF(OR(COUNTIF(цессия!$B:$B,$B15)&gt;0,$I15="BANKRUPTCY",$I15="REPAID",$I15="EARLY_REPAID"),"Да","Нет")</f>
        <v>Нет</v>
      </c>
    </row>
    <row r="11" spans="1:13" x14ac:dyDescent="0.2">
      <c r="A11" s="10">
        <v>10</v>
      </c>
      <c r="B11" s="5" t="s">
        <v>47</v>
      </c>
      <c r="C11" s="10">
        <f>VLOOKUP(VALUE($B11), 'отчет 2'!$A:$K, 2, FALSE)</f>
        <v>18155</v>
      </c>
      <c r="D11" t="str">
        <f>VLOOKUP(VALUE($B11), 'отчет 2'!$A:$K, 5, FALSE)</f>
        <v>Онлайн</v>
      </c>
      <c r="E11" s="7">
        <f>IFERROR(VLOOKUP($B11, 'отчет 1'!$B:$G, 2, FALSE), "")</f>
        <v>45095</v>
      </c>
      <c r="F11" s="11">
        <f>IFERROR(VLOOKUP($B11, 'отчет 1'!$B:$G, 3, FALSE), "")</f>
        <v>9500</v>
      </c>
      <c r="G11" s="10" t="str">
        <f>VLOOKUP(VALUE($B11), 'отчет 2'!$A:$K, 9, FALSE)</f>
        <v>COLLECTOR</v>
      </c>
      <c r="H11" s="10">
        <f>IFERROR(VLOOKUP($B11, 'отчет 1'!$B:$G, 4, FALSE), "")</f>
        <v>9500</v>
      </c>
      <c r="I11" s="10">
        <f>IFERROR(VLOOKUP($B11, 'отчет 1'!$B:$G, 5, FALSE), "")</f>
        <v>5157.97</v>
      </c>
      <c r="J11" s="10">
        <f>IFERROR(VLOOKUP($B11, 'отчет 1'!$B:$G, 6, FALSE), "")</f>
        <v>578</v>
      </c>
      <c r="K11" s="12">
        <f>VLOOKUP(VALUE($B11), 'отчет 2'!$A:$K, 10, FALSE)</f>
        <v>45643.649108796293</v>
      </c>
      <c r="L11" s="10" t="str">
        <f>VLOOKUP(VALUE($B11), 'отчет 2'!$A:$K, 11, FALSE)</f>
        <v>\N</v>
      </c>
      <c r="M11" t="str">
        <f>IF(OR(COUNTIF(цессия!$B:$B,$B16)&gt;0,$I16="BANKRUPTCY",$I16="REPAID",$I16="EARLY_REPAID"),"Да","Нет")</f>
        <v>Нет</v>
      </c>
    </row>
    <row r="12" spans="1:13" x14ac:dyDescent="0.2">
      <c r="A12" s="10">
        <v>11</v>
      </c>
      <c r="B12" s="5" t="s">
        <v>48</v>
      </c>
      <c r="C12" s="10">
        <f>VLOOKUP(VALUE($B12), 'отчет 2'!$A:$K, 2, FALSE)</f>
        <v>22472</v>
      </c>
      <c r="D12" t="str">
        <f>VLOOKUP(VALUE($B12), 'отчет 2'!$A:$K, 5, FALSE)</f>
        <v>Онлайн</v>
      </c>
      <c r="E12" s="7">
        <f>IFERROR(VLOOKUP($B12, 'отчет 1'!$B:$G, 2, FALSE), "")</f>
        <v>45112</v>
      </c>
      <c r="F12" s="11">
        <f>IFERROR(VLOOKUP($B12, 'отчет 1'!$B:$G, 3, FALSE), "")</f>
        <v>9500</v>
      </c>
      <c r="G12" s="10" t="str">
        <f>VLOOKUP(VALUE($B12), 'отчет 2'!$A:$K, 9, FALSE)</f>
        <v>COLLECTOR</v>
      </c>
      <c r="H12" s="10">
        <f>IFERROR(VLOOKUP($B12, 'отчет 1'!$B:$G, 4, FALSE), "")</f>
        <v>9500</v>
      </c>
      <c r="I12" s="10">
        <f>IFERROR(VLOOKUP($B12, 'отчет 1'!$B:$G, 5, FALSE), "")</f>
        <v>4051.18</v>
      </c>
      <c r="J12" s="10">
        <f>IFERROR(VLOOKUP($B12, 'отчет 1'!$B:$G, 6, FALSE), "")</f>
        <v>561</v>
      </c>
      <c r="K12" s="12">
        <f>VLOOKUP(VALUE($B12), 'отчет 2'!$A:$K, 10, FALSE)</f>
        <v>45579.497187499997</v>
      </c>
      <c r="L12" s="10" t="str">
        <f>VLOOKUP(VALUE($B12), 'отчет 2'!$A:$K, 11, FALSE)</f>
        <v>\N</v>
      </c>
      <c r="M12" t="str">
        <f>IF(OR(COUNTIF(цессия!$B:$B,$B17)&gt;0,$I17="BANKRUPTCY",$I17="REPAID",$I17="EARLY_REPAID"),"Да","Нет")</f>
        <v>Нет</v>
      </c>
    </row>
    <row r="13" spans="1:13" x14ac:dyDescent="0.2">
      <c r="A13" s="10">
        <v>12</v>
      </c>
      <c r="B13" s="5" t="s">
        <v>49</v>
      </c>
      <c r="C13" s="10">
        <f>VLOOKUP(VALUE($B13), 'отчет 2'!$A:$K, 2, FALSE)</f>
        <v>38081</v>
      </c>
      <c r="D13" t="str">
        <f>VLOOKUP(VALUE($B13), 'отчет 2'!$A:$K, 5, FALSE)</f>
        <v>Онлайн</v>
      </c>
      <c r="E13" s="7">
        <f>IFERROR(VLOOKUP($B13, 'отчет 1'!$B:$G, 2, FALSE), "")</f>
        <v>45164</v>
      </c>
      <c r="F13" s="11">
        <f>IFERROR(VLOOKUP($B13, 'отчет 1'!$B:$G, 3, FALSE), "")</f>
        <v>9900</v>
      </c>
      <c r="G13" s="10" t="str">
        <f>VLOOKUP(VALUE($B13), 'отчет 2'!$A:$K, 9, FALSE)</f>
        <v>COLLECTOR</v>
      </c>
      <c r="H13" s="10">
        <f>IFERROR(VLOOKUP($B13, 'отчет 1'!$B:$G, 4, FALSE), "")</f>
        <v>8655.17</v>
      </c>
      <c r="I13" s="10">
        <f>IFERROR(VLOOKUP($B13, 'отчет 1'!$B:$G, 5, FALSE), "")</f>
        <v>3112.94</v>
      </c>
      <c r="J13" s="10">
        <f>IFERROR(VLOOKUP($B13, 'отчет 1'!$B:$G, 6, FALSE), "")</f>
        <v>495</v>
      </c>
      <c r="K13" s="12">
        <f>VLOOKUP(VALUE($B13), 'отчет 2'!$A:$K, 10, FALSE)</f>
        <v>45604.598865740743</v>
      </c>
      <c r="L13" s="10">
        <f>VLOOKUP(VALUE($B13), 'отчет 2'!$A:$K, 11, FALSE)</f>
        <v>2353.63</v>
      </c>
      <c r="M13" t="str">
        <f>IF(OR(COUNTIF(цессия!$B:$B,$B18)&gt;0,$I18="BANKRUPTCY",$I18="REPAID",$I18="EARLY_REPAID"),"Да","Нет")</f>
        <v>Нет</v>
      </c>
    </row>
    <row r="14" spans="1:13" x14ac:dyDescent="0.2">
      <c r="A14" s="10">
        <v>13</v>
      </c>
      <c r="B14" s="5" t="s">
        <v>50</v>
      </c>
      <c r="C14" s="10">
        <f>VLOOKUP(VALUE($B14), 'отчет 2'!$A:$K, 2, FALSE)</f>
        <v>70784</v>
      </c>
      <c r="D14" t="str">
        <f>VLOOKUP(VALUE($B14), 'отчет 2'!$A:$K, 5, FALSE)</f>
        <v>Онлайн</v>
      </c>
      <c r="E14" s="7">
        <f>IFERROR(VLOOKUP($B14, 'отчет 1'!$B:$G, 2, FALSE), "")</f>
        <v>45237</v>
      </c>
      <c r="F14" s="11">
        <f>IFERROR(VLOOKUP($B14, 'отчет 1'!$B:$G, 3, FALSE), "")</f>
        <v>9900</v>
      </c>
      <c r="G14" s="10" t="str">
        <f>VLOOKUP(VALUE($B14), 'отчет 2'!$A:$K, 9, FALSE)</f>
        <v>COLLECTOR</v>
      </c>
      <c r="H14" s="10">
        <f>IFERROR(VLOOKUP($B14, 'отчет 1'!$B:$G, 4, FALSE), "")</f>
        <v>9900</v>
      </c>
      <c r="I14" s="10">
        <f>IFERROR(VLOOKUP($B14, 'отчет 1'!$B:$G, 5, FALSE), "")</f>
        <v>4221.74</v>
      </c>
      <c r="J14" s="10">
        <f>IFERROR(VLOOKUP($B14, 'отчет 1'!$B:$G, 6, FALSE), "")</f>
        <v>436</v>
      </c>
      <c r="K14" s="12">
        <f>VLOOKUP(VALUE($B14), 'отчет 2'!$A:$K, 10, FALSE)</f>
        <v>45568.527465277781</v>
      </c>
      <c r="L14" s="10" t="str">
        <f>VLOOKUP(VALUE($B14), 'отчет 2'!$A:$K, 11, FALSE)</f>
        <v>\N</v>
      </c>
      <c r="M14" t="str">
        <f>IF(OR(COUNTIF(цессия!$B:$B,$B19)&gt;0,$I19="BANKRUPTCY",$I19="REPAID",$I19="EARLY_REPAID"),"Да","Нет")</f>
        <v>Нет</v>
      </c>
    </row>
    <row r="15" spans="1:13" x14ac:dyDescent="0.2">
      <c r="A15" s="10">
        <v>14</v>
      </c>
      <c r="B15" s="5" t="s">
        <v>51</v>
      </c>
      <c r="C15" s="10">
        <f>VLOOKUP(VALUE($B15), 'отчет 2'!$A:$K, 2, FALSE)</f>
        <v>78335</v>
      </c>
      <c r="D15" t="str">
        <f>VLOOKUP(VALUE($B15), 'отчет 2'!$A:$K, 5, FALSE)</f>
        <v>Онлайн</v>
      </c>
      <c r="E15" s="7">
        <f>IFERROR(VLOOKUP($B15, 'отчет 1'!$B:$G, 2, FALSE), "")</f>
        <v>45249</v>
      </c>
      <c r="F15" s="11">
        <f>IFERROR(VLOOKUP($B15, 'отчет 1'!$B:$G, 3, FALSE), "")</f>
        <v>9900</v>
      </c>
      <c r="G15" s="10" t="str">
        <f>VLOOKUP(VALUE($B15), 'отчет 2'!$A:$K, 9, FALSE)</f>
        <v>COLLECTOR</v>
      </c>
      <c r="H15" s="10">
        <f>IFERROR(VLOOKUP($B15, 'отчет 1'!$B:$G, 4, FALSE), "")</f>
        <v>4660.4799999999996</v>
      </c>
      <c r="I15" s="10">
        <f>IFERROR(VLOOKUP($B15, 'отчет 1'!$B:$G, 5, FALSE), "")</f>
        <v>0</v>
      </c>
      <c r="J15" s="10">
        <f>IFERROR(VLOOKUP($B15, 'отчет 1'!$B:$G, 6, FALSE), "")</f>
        <v>382</v>
      </c>
      <c r="K15" s="12">
        <f>VLOOKUP(VALUE($B15), 'отчет 2'!$A:$K, 10, FALSE)</f>
        <v>45568.55195601852</v>
      </c>
      <c r="L15" s="10">
        <f>VLOOKUP(VALUE($B15), 'отчет 2'!$A:$K, 11, FALSE)</f>
        <v>2400</v>
      </c>
      <c r="M15" t="str">
        <f>IF(OR(COUNTIF(цессия!$B:$B,$B20)&gt;0,$I20="BANKRUPTCY",$I20="REPAID",$I20="EARLY_REPAID"),"Да","Нет")</f>
        <v>Нет</v>
      </c>
    </row>
    <row r="16" spans="1:13" x14ac:dyDescent="0.2">
      <c r="A16" s="10">
        <v>15</v>
      </c>
      <c r="B16" s="5" t="s">
        <v>52</v>
      </c>
      <c r="C16" s="10">
        <f>VLOOKUP(VALUE($B16), 'отчет 2'!$A:$K, 2, FALSE)</f>
        <v>81233</v>
      </c>
      <c r="D16" t="str">
        <f>VLOOKUP(VALUE($B16), 'отчет 2'!$A:$K, 5, FALSE)</f>
        <v>Онлайн</v>
      </c>
      <c r="E16" s="7">
        <f>IFERROR(VLOOKUP($B16, 'отчет 1'!$B:$G, 2, FALSE), "")</f>
        <v>45253</v>
      </c>
      <c r="F16" s="11">
        <f>IFERROR(VLOOKUP($B16, 'отчет 1'!$B:$G, 3, FALSE), "")</f>
        <v>9900</v>
      </c>
      <c r="G16" s="10" t="str">
        <f>VLOOKUP(VALUE($B16), 'отчет 2'!$A:$K, 9, FALSE)</f>
        <v>COLLECTOR</v>
      </c>
      <c r="H16" s="10">
        <f>IFERROR(VLOOKUP($B16, 'отчет 1'!$B:$G, 4, FALSE), "")</f>
        <v>9900</v>
      </c>
      <c r="I16" s="10">
        <f>IFERROR(VLOOKUP($B16, 'отчет 1'!$B:$G, 5, FALSE), "")</f>
        <v>4221.74</v>
      </c>
      <c r="J16" s="10">
        <f>IFERROR(VLOOKUP($B16, 'отчет 1'!$B:$G, 6, FALSE), "")</f>
        <v>420</v>
      </c>
      <c r="K16" s="12">
        <f>VLOOKUP(VALUE($B16), 'отчет 2'!$A:$K, 10, FALSE)</f>
        <v>45568.527465277781</v>
      </c>
      <c r="L16" s="10" t="str">
        <f>VLOOKUP(VALUE($B16), 'отчет 2'!$A:$K, 11, FALSE)</f>
        <v>\N</v>
      </c>
      <c r="M16" t="str">
        <f>IF(OR(COUNTIF(цессия!$B:$B,$B21)&gt;0,$I21="BANKRUPTCY",$I21="REPAID",$I21="EARLY_REPAID"),"Да","Нет")</f>
        <v>Нет</v>
      </c>
    </row>
    <row r="17" spans="1:13" x14ac:dyDescent="0.2">
      <c r="A17" s="10">
        <v>16</v>
      </c>
      <c r="B17" s="5" t="s">
        <v>53</v>
      </c>
      <c r="C17" s="10">
        <f>VLOOKUP(VALUE($B17), 'отчет 2'!$A:$K, 2, FALSE)</f>
        <v>88259</v>
      </c>
      <c r="D17" t="str">
        <f>VLOOKUP(VALUE($B17), 'отчет 2'!$A:$K, 5, FALSE)</f>
        <v>Онлайн</v>
      </c>
      <c r="E17" s="7">
        <f>IFERROR(VLOOKUP($B17, 'отчет 1'!$B:$G, 2, FALSE), "")</f>
        <v>45265</v>
      </c>
      <c r="F17" s="11">
        <f>IFERROR(VLOOKUP($B17, 'отчет 1'!$B:$G, 3, FALSE), "")</f>
        <v>9900</v>
      </c>
      <c r="G17" s="10" t="str">
        <f>VLOOKUP(VALUE($B17), 'отчет 2'!$A:$K, 9, FALSE)</f>
        <v>COLLECTOR</v>
      </c>
      <c r="H17" s="10">
        <f>IFERROR(VLOOKUP($B17, 'отчет 1'!$B:$G, 4, FALSE), "")</f>
        <v>8655.17</v>
      </c>
      <c r="I17" s="10">
        <f>IFERROR(VLOOKUP($B17, 'отчет 1'!$B:$G, 5, FALSE), "")</f>
        <v>3112.94</v>
      </c>
      <c r="J17" s="10">
        <f>IFERROR(VLOOKUP($B17, 'отчет 1'!$B:$G, 6, FALSE), "")</f>
        <v>394</v>
      </c>
      <c r="K17" s="12">
        <f>VLOOKUP(VALUE($B17), 'отчет 2'!$A:$K, 10, FALSE)</f>
        <v>45568.527465277781</v>
      </c>
      <c r="L17" s="10">
        <f>VLOOKUP(VALUE($B17), 'отчет 2'!$A:$K, 11, FALSE)</f>
        <v>2353.63</v>
      </c>
      <c r="M17" t="str">
        <f>IF(OR(COUNTIF(цессия!$B:$B,$B22)&gt;0,$I22="BANKRUPTCY",$I22="REPAID",$I22="EARLY_REPAID"),"Да","Нет")</f>
        <v>Нет</v>
      </c>
    </row>
    <row r="18" spans="1:13" x14ac:dyDescent="0.2">
      <c r="A18" s="10">
        <v>17</v>
      </c>
      <c r="B18" s="5" t="s">
        <v>54</v>
      </c>
      <c r="C18" s="10">
        <f>VLOOKUP(VALUE($B18), 'отчет 2'!$A:$K, 2, FALSE)</f>
        <v>104036</v>
      </c>
      <c r="D18" t="str">
        <f>VLOOKUP(VALUE($B18), 'отчет 2'!$A:$K, 5, FALSE)</f>
        <v>Онлайн</v>
      </c>
      <c r="E18" s="7">
        <f>IFERROR(VLOOKUP($B18, 'отчет 1'!$B:$G, 2, FALSE), "")</f>
        <v>45295</v>
      </c>
      <c r="F18" s="11">
        <f>IFERROR(VLOOKUP($B18, 'отчет 1'!$B:$G, 3, FALSE), "")</f>
        <v>9900</v>
      </c>
      <c r="G18" s="10" t="str">
        <f>VLOOKUP(VALUE($B18), 'отчет 2'!$A:$K, 9, FALSE)</f>
        <v>COLLECTOR</v>
      </c>
      <c r="H18" s="10">
        <f>IFERROR(VLOOKUP($B18, 'отчет 1'!$B:$G, 4, FALSE), "")</f>
        <v>7270.92</v>
      </c>
      <c r="I18" s="10">
        <f>IFERROR(VLOOKUP($B18, 'отчет 1'!$B:$G, 5, FALSE), "")</f>
        <v>2143.56</v>
      </c>
      <c r="J18" s="10">
        <f>IFERROR(VLOOKUP($B18, 'отчет 1'!$B:$G, 6, FALSE), "")</f>
        <v>350</v>
      </c>
      <c r="K18" s="12">
        <f>VLOOKUP(VALUE($B18), 'отчет 2'!$A:$K, 10, FALSE)</f>
        <v>45568.55195601852</v>
      </c>
      <c r="L18" s="10">
        <f>VLOOKUP(VALUE($B18), 'отчет 2'!$A:$K, 11, FALSE)</f>
        <v>2347.2600000000002</v>
      </c>
      <c r="M18" t="str">
        <f>IF(OR(COUNTIF(цессия!$B:$B,$B23)&gt;0,$I23="BANKRUPTCY",$I23="REPAID",$I23="EARLY_REPAID"),"Да","Нет")</f>
        <v>Нет</v>
      </c>
    </row>
    <row r="19" spans="1:13" x14ac:dyDescent="0.2">
      <c r="A19" s="10">
        <v>18</v>
      </c>
      <c r="B19" s="5" t="s">
        <v>55</v>
      </c>
      <c r="C19" s="10">
        <f>VLOOKUP(VALUE($B19), 'отчет 2'!$A:$K, 2, FALSE)</f>
        <v>109897</v>
      </c>
      <c r="D19" t="str">
        <f>VLOOKUP(VALUE($B19), 'отчет 2'!$A:$K, 5, FALSE)</f>
        <v>Онлайн</v>
      </c>
      <c r="E19" s="7">
        <f>IFERROR(VLOOKUP($B19, 'отчет 1'!$B:$G, 2, FALSE), "")</f>
        <v>45306</v>
      </c>
      <c r="F19" s="11">
        <f>IFERROR(VLOOKUP($B19, 'отчет 1'!$B:$G, 3, FALSE), "")</f>
        <v>9900</v>
      </c>
      <c r="G19" s="10" t="str">
        <f>VLOOKUP(VALUE($B19), 'отчет 2'!$A:$K, 9, FALSE)</f>
        <v>COLLECTOR</v>
      </c>
      <c r="H19" s="10">
        <f>IFERROR(VLOOKUP($B19, 'отчет 1'!$B:$G, 4, FALSE), "")</f>
        <v>7270.92</v>
      </c>
      <c r="I19" s="10">
        <f>IFERROR(VLOOKUP($B19, 'отчет 1'!$B:$G, 5, FALSE), "")</f>
        <v>2143.56</v>
      </c>
      <c r="J19" s="10">
        <f>IFERROR(VLOOKUP($B19, 'отчет 1'!$B:$G, 6, FALSE), "")</f>
        <v>339</v>
      </c>
      <c r="K19" s="12">
        <f>VLOOKUP(VALUE($B19), 'отчет 2'!$A:$K, 10, FALSE)</f>
        <v>45568.55195601852</v>
      </c>
      <c r="L19" s="10">
        <f>VLOOKUP(VALUE($B19), 'отчет 2'!$A:$K, 11, FALSE)</f>
        <v>2353.63</v>
      </c>
      <c r="M19" t="str">
        <f>IF(OR(COUNTIF(цессия!$B:$B,$B24)&gt;0,$I24="BANKRUPTCY",$I24="REPAID",$I24="EARLY_REPAID"),"Да","Нет")</f>
        <v>Нет</v>
      </c>
    </row>
    <row r="20" spans="1:13" x14ac:dyDescent="0.2">
      <c r="A20" s="10">
        <v>19</v>
      </c>
      <c r="B20" s="5" t="s">
        <v>56</v>
      </c>
      <c r="C20" s="10">
        <f>VLOOKUP(VALUE($B20), 'отчет 2'!$A:$K, 2, FALSE)</f>
        <v>116791</v>
      </c>
      <c r="D20" t="str">
        <f>VLOOKUP(VALUE($B20), 'отчет 2'!$A:$K, 5, FALSE)</f>
        <v>Онлайн</v>
      </c>
      <c r="E20" s="7">
        <f>IFERROR(VLOOKUP($B20, 'отчет 1'!$B:$G, 2, FALSE), "")</f>
        <v>45316</v>
      </c>
      <c r="F20" s="11">
        <f>IFERROR(VLOOKUP($B20, 'отчет 1'!$B:$G, 3, FALSE), "")</f>
        <v>9900</v>
      </c>
      <c r="G20" s="10" t="str">
        <f>VLOOKUP(VALUE($B20), 'отчет 2'!$A:$K, 9, FALSE)</f>
        <v>COLLECTOR</v>
      </c>
      <c r="H20" s="10">
        <f>IFERROR(VLOOKUP($B20, 'отчет 1'!$B:$G, 4, FALSE), "")</f>
        <v>8655.17</v>
      </c>
      <c r="I20" s="10">
        <f>IFERROR(VLOOKUP($B20, 'отчет 1'!$B:$G, 5, FALSE), "")</f>
        <v>3112.94</v>
      </c>
      <c r="J20" s="10">
        <f>IFERROR(VLOOKUP($B20, 'отчет 1'!$B:$G, 6, FALSE), "")</f>
        <v>343</v>
      </c>
      <c r="K20" s="12">
        <f>VLOOKUP(VALUE($B20), 'отчет 2'!$A:$K, 10, FALSE)</f>
        <v>45568.55195601852</v>
      </c>
      <c r="L20" s="10">
        <f>VLOOKUP(VALUE($B20), 'отчет 2'!$A:$K, 11, FALSE)</f>
        <v>2353.63</v>
      </c>
      <c r="M20" t="str">
        <f>IF(OR(COUNTIF(цессия!$B:$B,$B25)&gt;0,$I25="BANKRUPTCY",$I25="REPAID",$I25="EARLY_REPAID"),"Да","Нет")</f>
        <v>Нет</v>
      </c>
    </row>
    <row r="21" spans="1:13" x14ac:dyDescent="0.2">
      <c r="A21" s="10">
        <v>20</v>
      </c>
      <c r="B21" s="5" t="s">
        <v>57</v>
      </c>
      <c r="C21" s="10">
        <f>VLOOKUP(VALUE($B21), 'отчет 2'!$A:$K, 2, FALSE)</f>
        <v>125922</v>
      </c>
      <c r="D21" t="str">
        <f>VLOOKUP(VALUE($B21), 'отчет 2'!$A:$K, 5, FALSE)</f>
        <v>Онлайн</v>
      </c>
      <c r="E21" s="7">
        <f>IFERROR(VLOOKUP($B21, 'отчет 1'!$B:$G, 2, FALSE), "")</f>
        <v>45330</v>
      </c>
      <c r="F21" s="11">
        <f>IFERROR(VLOOKUP($B21, 'отчет 1'!$B:$G, 3, FALSE), "")</f>
        <v>13300</v>
      </c>
      <c r="G21" s="10" t="str">
        <f>VLOOKUP(VALUE($B21), 'отчет 2'!$A:$K, 9, FALSE)</f>
        <v>COLLECTOR</v>
      </c>
      <c r="H21" s="10">
        <f>IFERROR(VLOOKUP($B21, 'отчет 1'!$B:$G, 4, FALSE), "")</f>
        <v>11627.66</v>
      </c>
      <c r="I21" s="10">
        <f>IFERROR(VLOOKUP($B21, 'отчет 1'!$B:$G, 5, FALSE), "")</f>
        <v>4182</v>
      </c>
      <c r="J21" s="10">
        <f>IFERROR(VLOOKUP($B21, 'отчет 1'!$B:$G, 6, FALSE), "")</f>
        <v>329</v>
      </c>
      <c r="K21" s="12">
        <f>VLOOKUP(VALUE($B21), 'отчет 2'!$A:$K, 10, FALSE)</f>
        <v>45568.55195601852</v>
      </c>
      <c r="L21" s="10">
        <f>VLOOKUP(VALUE($B21), 'отчет 2'!$A:$K, 11, FALSE)</f>
        <v>2000</v>
      </c>
      <c r="M21" t="str">
        <f>IF(OR(COUNTIF(цессия!$B:$B,$B26)&gt;0,$I26="BANKRUPTCY",$I26="REPAID",$I26="EARLY_REPAID"),"Да","Нет")</f>
        <v>Нет</v>
      </c>
    </row>
    <row r="22" spans="1:13" x14ac:dyDescent="0.2">
      <c r="A22" s="10">
        <v>21</v>
      </c>
      <c r="B22" s="5" t="s">
        <v>58</v>
      </c>
      <c r="C22" s="10">
        <f>VLOOKUP(VALUE($B22), 'отчет 2'!$A:$K, 2, FALSE)</f>
        <v>208219</v>
      </c>
      <c r="D22" t="str">
        <f>VLOOKUP(VALUE($B22), 'отчет 2'!$A:$K, 5, FALSE)</f>
        <v>Онлайн</v>
      </c>
      <c r="E22" s="7">
        <f>IFERROR(VLOOKUP($B22, 'отчет 1'!$B:$G, 2, FALSE), "")</f>
        <v>45465</v>
      </c>
      <c r="F22" s="11">
        <f>IFERROR(VLOOKUP($B22, 'отчет 1'!$B:$G, 3, FALSE), "")</f>
        <v>6000</v>
      </c>
      <c r="G22" s="10" t="str">
        <f>VLOOKUP(VALUE($B22), 'отчет 2'!$A:$K, 9, FALSE)</f>
        <v>ACTIVE_SB</v>
      </c>
      <c r="H22" s="10">
        <f>IFERROR(VLOOKUP($B22, 'отчет 1'!$B:$G, 4, FALSE), "")</f>
        <v>6000</v>
      </c>
      <c r="I22" s="10">
        <f>IFERROR(VLOOKUP($B22, 'отчет 1'!$B:$G, 5, FALSE), "")</f>
        <v>2889.34</v>
      </c>
      <c r="J22" s="10">
        <f>IFERROR(VLOOKUP($B22, 'отчет 1'!$B:$G, 6, FALSE), "")</f>
        <v>208</v>
      </c>
      <c r="K22" s="12">
        <f>VLOOKUP(VALUE($B22), 'отчет 2'!$A:$K, 10, FALSE)</f>
        <v>45559.958333333336</v>
      </c>
      <c r="L22" s="10">
        <f>VLOOKUP(VALUE($B22), 'отчет 2'!$A:$K, 11, FALSE)</f>
        <v>500</v>
      </c>
      <c r="M22" t="str">
        <f>IF(OR(COUNTIF(цессия!$B:$B,$B27)&gt;0,$I27="BANKRUPTCY",$I27="REPAID",$I27="EARLY_REPAID"),"Да","Нет")</f>
        <v>Нет</v>
      </c>
    </row>
    <row r="23" spans="1:13" x14ac:dyDescent="0.2">
      <c r="A23" s="10">
        <v>22</v>
      </c>
      <c r="B23" s="5" t="s">
        <v>59</v>
      </c>
      <c r="C23" s="10">
        <f>VLOOKUP(VALUE($B23), 'отчет 2'!$A:$K, 2, FALSE)</f>
        <v>203029</v>
      </c>
      <c r="D23" t="str">
        <f>VLOOKUP(VALUE($B23), 'отчет 2'!$A:$K, 5, FALSE)</f>
        <v>Онлайн</v>
      </c>
      <c r="E23" s="7">
        <f>IFERROR(VLOOKUP($B23, 'отчет 1'!$B:$G, 2, FALSE), "")</f>
        <v>45457</v>
      </c>
      <c r="F23" s="11">
        <f>IFERROR(VLOOKUP($B23, 'отчет 1'!$B:$G, 3, FALSE), "")</f>
        <v>9900</v>
      </c>
      <c r="G23" s="10" t="str">
        <f>VLOOKUP(VALUE($B23), 'отчет 2'!$A:$K, 9, FALSE)</f>
        <v>DELINQUENT</v>
      </c>
      <c r="H23" s="10">
        <f>IFERROR(VLOOKUP($B23, 'отчет 1'!$B:$G, 4, FALSE), "")</f>
        <v>9900</v>
      </c>
      <c r="I23" s="10">
        <f>IFERROR(VLOOKUP($B23, 'отчет 1'!$B:$G, 5, FALSE), "")</f>
        <v>4166.08</v>
      </c>
      <c r="J23" s="10">
        <f>IFERROR(VLOOKUP($B23, 'отчет 1'!$B:$G, 6, FALSE), "")</f>
        <v>216</v>
      </c>
      <c r="K23" s="12">
        <f>VLOOKUP(VALUE($B23), 'отчет 2'!$A:$K, 10, FALSE)</f>
        <v>45472</v>
      </c>
      <c r="L23" s="10">
        <f>VLOOKUP(VALUE($B23), 'отчет 2'!$A:$K, 11, FALSE)</f>
        <v>50</v>
      </c>
      <c r="M23" t="str">
        <f>IF(OR(COUNTIF(цессия!$B:$B,$B28)&gt;0,$I28="BANKRUPTCY",$I28="REPAID",$I28="EARLY_REPAID"),"Да","Нет")</f>
        <v>Нет</v>
      </c>
    </row>
    <row r="29" spans="1:13" x14ac:dyDescent="0.2">
      <c r="A29" s="14" t="s">
        <v>74</v>
      </c>
      <c r="B29" t="s">
        <v>89</v>
      </c>
      <c r="C29" t="s">
        <v>88</v>
      </c>
    </row>
    <row r="30" spans="1:13" x14ac:dyDescent="0.2">
      <c r="A30" s="15" t="s">
        <v>33</v>
      </c>
      <c r="B30" s="16">
        <v>1</v>
      </c>
      <c r="C30" s="17">
        <v>30000</v>
      </c>
    </row>
    <row r="31" spans="1:13" x14ac:dyDescent="0.2">
      <c r="A31" s="15" t="s">
        <v>23</v>
      </c>
      <c r="B31" s="16">
        <v>2</v>
      </c>
      <c r="C31" s="17">
        <v>65000</v>
      </c>
    </row>
    <row r="32" spans="1:13" x14ac:dyDescent="0.2">
      <c r="A32" s="15" t="s">
        <v>32</v>
      </c>
      <c r="B32" s="16">
        <v>1</v>
      </c>
      <c r="C32" s="17">
        <v>30000</v>
      </c>
    </row>
    <row r="33" spans="1:3" x14ac:dyDescent="0.2">
      <c r="A33" s="15" t="s">
        <v>34</v>
      </c>
      <c r="B33" s="16">
        <v>1</v>
      </c>
      <c r="C33" s="17">
        <v>20000</v>
      </c>
    </row>
    <row r="34" spans="1:3" x14ac:dyDescent="0.2">
      <c r="A34" s="15" t="s">
        <v>28</v>
      </c>
      <c r="B34" s="16">
        <v>13</v>
      </c>
      <c r="C34" s="17">
        <v>127400</v>
      </c>
    </row>
    <row r="35" spans="1:3" x14ac:dyDescent="0.2">
      <c r="A35" s="15" t="s">
        <v>27</v>
      </c>
      <c r="B35" s="16">
        <v>1</v>
      </c>
      <c r="C35" s="17">
        <v>30000</v>
      </c>
    </row>
    <row r="36" spans="1:3" x14ac:dyDescent="0.2">
      <c r="A36" s="15" t="s">
        <v>35</v>
      </c>
      <c r="B36" s="16">
        <v>1</v>
      </c>
      <c r="C36" s="17">
        <v>50000</v>
      </c>
    </row>
    <row r="37" spans="1:3" x14ac:dyDescent="0.2">
      <c r="A37" s="15" t="s">
        <v>20</v>
      </c>
      <c r="B37" s="16">
        <v>2</v>
      </c>
      <c r="C37" s="17">
        <v>100000</v>
      </c>
    </row>
    <row r="38" spans="1:3" x14ac:dyDescent="0.2">
      <c r="A38" s="15" t="s">
        <v>87</v>
      </c>
      <c r="B38" s="16">
        <v>22</v>
      </c>
      <c r="C38" s="17">
        <v>452400</v>
      </c>
    </row>
    <row r="40" spans="1:3" ht="16" customHeight="1" x14ac:dyDescent="0.2"/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A C A g A I a v d W m 9 P 6 l C l A A A A 9 g A A A B I A A A B D b 2 5 m a W c v U G F j a 2 F n Z S 5 4 b W y F j 0 s O g j A A R K 9 C u q c f J M G Q U h Z u J T E a j d u m V m i E Y v q x 3 M 2 F R / I K Y h R 1 5 3 J m 3 i Q z 9 + u N l k P X R h d p r O p 1 A Q j E I J J a 9 A e l 6 w J 4 d 4 z n o G R 0 x c W J 1 z I a Y W 3 z w a o C N M 6 d c 4 R C C D D M Y G 9 q l G B M 0 L 5 a b k Q j O x 4 r b R 3 X Q o J P 6 / C / B R j d v c a w B J I 0 h S T L I K Z o M m m l 9 B d I x r 3 P 9 M e k C 9 8 6 b y Q z P l 5 v K Z o k R e 8 P 7 A F Q S w M E F A A A C A g A I a v d W m e v k A H L A Q A A Q A M A A B M A A A B G b 3 J t d W x h c y 9 T Z W N 0 a W 9 u M S 5 t l Z L f a h N B F M b v A 3 2 H Y b 1 J Y M l S E W + K F 6 V R D E o p b s S L k I t J 9 m i G z J 8 w c 7 a k h I I G t E J e o H e + Q t U G Y 7 X x F W b e y D P b p l r N h V 4 M C + f 3 c b 7 v m 1 k H A x R G s / z q u 7 2 z V d u q u S G 3 U L A 7 i V + F W T j x i z B j d x P 2 g E n A G m P + N L w J M 2 I n / t I v / Q W B h 5 M B y O Y L Y 0 d 9 Y 0 b 1 R 0 J C c 8 9 o B I 2 u n m T P H V i X F d w K / g o s 6 J E 5 5 F k L 3 A j N O B s 6 y P w X f + b P 6 c S F i + Z E u k n S S J k u p U w Z 2 h I a K R l T o A 8 U 5 j W d t 3 7 l z 8 O c b c d Y f w a a d t s I i s D t A i l 7 I n Q R x / k Q A J P e c b f F k f d u V q / 8 p z A P 7 / 2 C 1 l y G u V + w K t d n A t 8 i 9 B d + G f 0 6 v E / 9 D q x R B u E x 8 I L a 1 T e G S 1 n 3 W r Y r Z T 7 g k l t H C 2 K j 3 r r S K Z l 8 r z z X v l 8 Z t V n 6 H + y q F p l / D O / 8 2 S / r j u X a v T R W 7 R l Z K t 0 5 G s N 1 g H + q k L L p N N k v V X w h y w d I g 7 b G + / e a c d E x 0 W R N 2 q 0 N T A p 6 1 k 0 k L / u F O B S O f q R 9 r o A E S I g h T L D i w r k S 6 M q h I x Q 4 5 G q 8 l h Q 0 R B p W s m c w 5 k e K P A 4 k 1 1 H + u 6 p S P D V c 7 y p T 6 g 3 R c + R Y u r + 8 4 5 7 b 6 M a T e G L L p F E T + n 9 f Z O c n U E s D B B Q A A A g I A C G r 3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a v d W m 9 P 6 l C l A A A A 9 g A A A B I A A A A A A A A A A A A A A K S B A A A A A E N v b m Z p Z y 9 Q Y W N r Y W d l L n h t b F B L A Q I U A x Q A A A g I A C G r 3 V p n r 5 A B y w E A A E A D A A A T A A A A A A A A A A A A A A C k g d U A A A B G b 3 J t d W x h c y 9 T Z W N 0 a W 9 u M S 5 t U E s B A h Q D F A A A C A g A I a v d W g / K 6 a u k A A A A 6 Q A A A B M A A A A A A A A A A A A A A K S B 0 Q I A A F t D b 2 5 0 Z W 5 0 X 1 R 5 c G V z X S 5 4 b W x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M A A A A A A A B I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D A l Q k U l R D E l O D I l R D E l O D c l R D A l Q j U l R D E l O D I l M j A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I 0 Z W M w O T A t Y 2 R i N S 0 0 O G Y 0 L W E x Y j M t M D Z l Z T N l M z E 2 M T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5 V D E 4 O j I y O j Q x L j U 5 M T g 2 N z B a I i A v P j x F b n R y e S B U e X B l P S J G a W x s Q 2 9 s d W 1 u V H l w Z X M i I F Z h b H V l P S J z Q X d N R E F B W U h D U U 1 H Q n d B P S I g L z 4 8 R W 5 0 c n k g V H l w Z T 0 i R m l s b E N v b H V t b k 5 h b W V z I i B W Y W x 1 Z T 0 i c 1 s m c X V v d D t O d W 1 D b 2 5 0 c m F j d C Z x d W 9 0 O y w m c X V v d D t D b 2 5 0 c m F j d E l E J n F 1 b 3 Q 7 L C Z x d W 9 0 O 0 N s a W V u d E l E J n F 1 b 3 Q 7 L C Z x d W 9 0 O 2 l u b m V y X 2 x l Y W R f a W Q m c X V v d D s s J n F 1 b 3 Q 7 U 3 V i Z G l 2 a X N p b 2 5 O Y W 1 l J n F 1 b 3 Q 7 L C Z x d W 9 0 O 2 l z c 3 V l R G F 0 Z V R p b W V z d G F t c C Z x d W 9 0 O y w m c X V v d D t S Z X B h e W 1 l b n R Q b G F u R G F 0 Z S Z x d W 9 0 O y w m c X V v d D t M b 2 F u Q W 1 v d W 5 0 J n F 1 b 3 Q 7 L C Z x d W 9 0 O 1 N 0 Y X R 1 c y Z x d W 9 0 O y w m c X V v d D t E Y X R l U 3 R h d H V z J n F 1 b 3 Q 7 L C Z x d W 9 0 O 1 N 1 b U x h c 3 R Q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N F X H U w N D Q y X H U w N D Q 3 X H U w N D M 1 X H U w N D Q y I D I v Q X V 0 b 1 J l b W 9 2 Z W R D b 2 x 1 b W 5 z M S 5 7 T n V t Q 2 9 u d H J h Y 3 Q s M H 0 m c X V v d D s s J n F 1 b 3 Q 7 U 2 V j d G l v b j E v X H U w N D N F X H U w N D Q y X H U w N D Q 3 X H U w N D M 1 X H U w N D Q y I D I v Q X V 0 b 1 J l b W 9 2 Z W R D b 2 x 1 b W 5 z M S 5 7 Q 2 9 u d H J h Y 3 R J R C w x f S Z x d W 9 0 O y w m c X V v d D t T Z W N 0 a W 9 u M S 9 c d T A 0 M 0 V c d T A 0 N D J c d T A 0 N D d c d T A 0 M z V c d T A 0 N D I g M i 9 B d X R v U m V t b 3 Z l Z E N v b H V t b n M x L n t D b G l l b n R J R C w y f S Z x d W 9 0 O y w m c X V v d D t T Z W N 0 a W 9 u M S 9 c d T A 0 M 0 V c d T A 0 N D J c d T A 0 N D d c d T A 0 M z V c d T A 0 N D I g M i 9 B d X R v U m V t b 3 Z l Z E N v b H V t b n M x L n t p b m 5 l c l 9 s Z W F k X 2 l k L D N 9 J n F 1 b 3 Q 7 L C Z x d W 9 0 O 1 N l Y 3 R p b 2 4 x L 1 x 1 M D Q z R V x 1 M D Q 0 M l x 1 M D Q 0 N 1 x 1 M D Q z N V x 1 M D Q 0 M i A y L 0 F 1 d G 9 S Z W 1 v d m V k Q 2 9 s d W 1 u c z E u e 1 N 1 Y m R p d m l z a W 9 u T m F t Z S w 0 f S Z x d W 9 0 O y w m c X V v d D t T Z W N 0 a W 9 u M S 9 c d T A 0 M 0 V c d T A 0 N D J c d T A 0 N D d c d T A 0 M z V c d T A 0 N D I g M i 9 B d X R v U m V t b 3 Z l Z E N v b H V t b n M x L n t p c 3 N 1 Z U R h d G V U a W 1 l c 3 R h b X A s N X 0 m c X V v d D s s J n F 1 b 3 Q 7 U 2 V j d G l v b j E v X H U w N D N F X H U w N D Q y X H U w N D Q 3 X H U w N D M 1 X H U w N D Q y I D I v Q X V 0 b 1 J l b W 9 2 Z W R D b 2 x 1 b W 5 z M S 5 7 U m V w Y X l t Z W 5 0 U G x h b k R h d G U s N n 0 m c X V v d D s s J n F 1 b 3 Q 7 U 2 V j d G l v b j E v X H U w N D N F X H U w N D Q y X H U w N D Q 3 X H U w N D M 1 X H U w N D Q y I D I v Q X V 0 b 1 J l b W 9 2 Z W R D b 2 x 1 b W 5 z M S 5 7 T G 9 h b k F t b 3 V u d C w 3 f S Z x d W 9 0 O y w m c X V v d D t T Z W N 0 a W 9 u M S 9 c d T A 0 M 0 V c d T A 0 N D J c d T A 0 N D d c d T A 0 M z V c d T A 0 N D I g M i 9 B d X R v U m V t b 3 Z l Z E N v b H V t b n M x L n t T d G F 0 d X M s O H 0 m c X V v d D s s J n F 1 b 3 Q 7 U 2 V j d G l v b j E v X H U w N D N F X H U w N D Q y X H U w N D Q 3 X H U w N D M 1 X H U w N D Q y I D I v Q X V 0 b 1 J l b W 9 2 Z W R D b 2 x 1 b W 5 z M S 5 7 R G F 0 Z V N 0 Y X R 1 c y w 5 f S Z x d W 9 0 O y w m c X V v d D t T Z W N 0 a W 9 u M S 9 c d T A 0 M 0 V c d T A 0 N D J c d T A 0 N D d c d T A 0 M z V c d T A 0 N D I g M i 9 B d X R v U m V t b 3 Z l Z E N v b H V t b n M x L n t T d W 1 M Y X N 0 U G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H U w N D N F X H U w N D Q y X H U w N D Q 3 X H U w N D M 1 X H U w N D Q y I D I v Q X V 0 b 1 J l b W 9 2 Z W R D b 2 x 1 b W 5 z M S 5 7 T n V t Q 2 9 u d H J h Y 3 Q s M H 0 m c X V v d D s s J n F 1 b 3 Q 7 U 2 V j d G l v b j E v X H U w N D N F X H U w N D Q y X H U w N D Q 3 X H U w N D M 1 X H U w N D Q y I D I v Q X V 0 b 1 J l b W 9 2 Z W R D b 2 x 1 b W 5 z M S 5 7 Q 2 9 u d H J h Y 3 R J R C w x f S Z x d W 9 0 O y w m c X V v d D t T Z W N 0 a W 9 u M S 9 c d T A 0 M 0 V c d T A 0 N D J c d T A 0 N D d c d T A 0 M z V c d T A 0 N D I g M i 9 B d X R v U m V t b 3 Z l Z E N v b H V t b n M x L n t D b G l l b n R J R C w y f S Z x d W 9 0 O y w m c X V v d D t T Z W N 0 a W 9 u M S 9 c d T A 0 M 0 V c d T A 0 N D J c d T A 0 N D d c d T A 0 M z V c d T A 0 N D I g M i 9 B d X R v U m V t b 3 Z l Z E N v b H V t b n M x L n t p b m 5 l c l 9 s Z W F k X 2 l k L D N 9 J n F 1 b 3 Q 7 L C Z x d W 9 0 O 1 N l Y 3 R p b 2 4 x L 1 x 1 M D Q z R V x 1 M D Q 0 M l x 1 M D Q 0 N 1 x 1 M D Q z N V x 1 M D Q 0 M i A y L 0 F 1 d G 9 S Z W 1 v d m V k Q 2 9 s d W 1 u c z E u e 1 N 1 Y m R p d m l z a W 9 u T m F t Z S w 0 f S Z x d W 9 0 O y w m c X V v d D t T Z W N 0 a W 9 u M S 9 c d T A 0 M 0 V c d T A 0 N D J c d T A 0 N D d c d T A 0 M z V c d T A 0 N D I g M i 9 B d X R v U m V t b 3 Z l Z E N v b H V t b n M x L n t p c 3 N 1 Z U R h d G V U a W 1 l c 3 R h b X A s N X 0 m c X V v d D s s J n F 1 b 3 Q 7 U 2 V j d G l v b j E v X H U w N D N F X H U w N D Q y X H U w N D Q 3 X H U w N D M 1 X H U w N D Q y I D I v Q X V 0 b 1 J l b W 9 2 Z W R D b 2 x 1 b W 5 z M S 5 7 U m V w Y X l t Z W 5 0 U G x h b k R h d G U s N n 0 m c X V v d D s s J n F 1 b 3 Q 7 U 2 V j d G l v b j E v X H U w N D N F X H U w N D Q y X H U w N D Q 3 X H U w N D M 1 X H U w N D Q y I D I v Q X V 0 b 1 J l b W 9 2 Z W R D b 2 x 1 b W 5 z M S 5 7 T G 9 h b k F t b 3 V u d C w 3 f S Z x d W 9 0 O y w m c X V v d D t T Z W N 0 a W 9 u M S 9 c d T A 0 M 0 V c d T A 0 N D J c d T A 0 N D d c d T A 0 M z V c d T A 0 N D I g M i 9 B d X R v U m V t b 3 Z l Z E N v b H V t b n M x L n t T d G F 0 d X M s O H 0 m c X V v d D s s J n F 1 b 3 Q 7 U 2 V j d G l v b j E v X H U w N D N F X H U w N D Q y X H U w N D Q 3 X H U w N D M 1 X H U w N D Q y I D I v Q X V 0 b 1 J l b W 9 2 Z W R D b 2 x 1 b W 5 z M S 5 7 R G F 0 Z V N 0 Y X R 1 c y w 5 f S Z x d W 9 0 O y w m c X V v d D t T Z W N 0 a W 9 u M S 9 c d T A 0 M 0 V c d T A 0 N D J c d T A 0 N D d c d T A 0 M z V c d T A 0 N D I g M i 9 B d X R v U m V t b 3 Z l Z E N v b H V t b n M x L n t T d W 1 M Y X N 0 U G F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F J U Q x J T g y J U Q x J T g 3 J U Q w J U I 1 J U Q x J T g y J T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I l R D E l O D c l R D A l Q j U l R D E l O D I l M j A y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I l R D E l O D c l R D A l Q j U l R D E l O D I l M j A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i V E M S U 4 N y V E M C V C N S V E M S U 4 M i U y M D I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b K 2 2 8 F K X c S / Y F S u G C 9 W I h R R W G P T + e k I X r a C Z + P S 0 G F K Q m i g g h Q P j 1 D u w L P 5 e d g j z F F 8 7 F f F J D 3 2 w D J G 6 m C 4 q 7 0 u 3 8 G 6 X d e 5 4 f q k a 0 W w t V 3 b g 9 h 7 p 2 4 s H o P D d I v M 4 e m O 1 y 7 8 I A = < / D a t a M a s h u p > 
</file>

<file path=customXml/itemProps1.xml><?xml version="1.0" encoding="utf-8"?>
<ds:datastoreItem xmlns:ds="http://schemas.openxmlformats.org/officeDocument/2006/customXml" ds:itemID="{4D06F5ED-AF27-7E4C-8286-2C5DD9B9D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цессия</vt:lpstr>
      <vt:lpstr>отчет 2</vt:lpstr>
      <vt:lpstr>отчет 1</vt:lpstr>
      <vt:lpstr>задание</vt:lpstr>
      <vt:lpstr>final_reestr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</dc:creator>
  <cp:lastModifiedBy>Daria Gerenkova</cp:lastModifiedBy>
  <dcterms:created xsi:type="dcterms:W3CDTF">2025-01-30T07:35:02Z</dcterms:created>
  <dcterms:modified xsi:type="dcterms:W3CDTF">2025-06-30T06:40:18Z</dcterms:modified>
</cp:coreProperties>
</file>