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2新券信评\"/>
    </mc:Choice>
  </mc:AlternateContent>
  <xr:revisionPtr revIDLastSave="0" documentId="13_ncr:1_{9A7FCF66-0D56-4F76-9882-AF24D209D9C7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O23" i="6"/>
  <c r="F21" i="6"/>
  <c r="C20" i="6"/>
  <c r="M17" i="6"/>
  <c r="G16" i="6"/>
  <c r="D15" i="6"/>
  <c r="C14" i="6"/>
  <c r="H9" i="6"/>
  <c r="F7" i="6"/>
  <c r="G6" i="6"/>
  <c r="H5" i="6"/>
  <c r="G3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H23" i="6"/>
  <c r="E22" i="6"/>
  <c r="B21" i="6"/>
  <c r="O19" i="6"/>
  <c r="F17" i="6"/>
  <c r="C16" i="6"/>
  <c r="D9" i="6"/>
  <c r="E8" i="6"/>
  <c r="B7" i="6"/>
  <c r="C6" i="6"/>
  <c r="D5" i="6"/>
  <c r="E4" i="6"/>
  <c r="C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D23" i="6"/>
  <c r="E18" i="6"/>
  <c r="N9" i="6"/>
  <c r="A8" i="6"/>
  <c r="N5" i="6"/>
  <c r="A4" i="6"/>
  <c r="O135" i="1"/>
  <c r="S130" i="1"/>
  <c r="O127" i="1"/>
  <c r="E102" i="1"/>
  <c r="C101" i="1"/>
  <c r="R99" i="1"/>
  <c r="P98" i="1"/>
  <c r="N97" i="1"/>
  <c r="L96" i="1"/>
  <c r="G95" i="1"/>
  <c r="E94" i="1"/>
  <c r="C93" i="1"/>
  <c r="G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A22" i="6"/>
  <c r="B17" i="6"/>
  <c r="M141" i="1"/>
  <c r="M134" i="1"/>
  <c r="S110" i="1"/>
  <c r="R101" i="1"/>
  <c r="P100" i="1"/>
  <c r="N99" i="1"/>
  <c r="L98" i="1"/>
  <c r="G97" i="1"/>
  <c r="F96" i="1"/>
  <c r="D95" i="1"/>
  <c r="B94" i="1"/>
  <c r="F92" i="1"/>
  <c r="D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N20" i="6"/>
  <c r="O15" i="6"/>
  <c r="M6" i="6"/>
  <c r="M139" i="1"/>
  <c r="S132" i="1"/>
  <c r="F113" i="1"/>
  <c r="D110" i="1"/>
  <c r="P103" i="1"/>
  <c r="N101" i="1"/>
  <c r="L100" i="1"/>
  <c r="G99" i="1"/>
  <c r="E98" i="1"/>
  <c r="C97" i="1"/>
  <c r="E96" i="1"/>
  <c r="C95" i="1"/>
  <c r="G93" i="1"/>
  <c r="E92" i="1"/>
  <c r="C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H19" i="6"/>
  <c r="M128" i="1"/>
  <c r="G101" i="1"/>
  <c r="P96" i="1"/>
  <c r="B92" i="1"/>
  <c r="G88" i="1"/>
  <c r="C86" i="1"/>
  <c r="E83" i="1"/>
  <c r="G80" i="1"/>
  <c r="C78" i="1"/>
  <c r="E75" i="1"/>
  <c r="G72" i="1"/>
  <c r="C70" i="1"/>
  <c r="E67" i="1"/>
  <c r="G64" i="1"/>
  <c r="C62" i="1"/>
  <c r="E59" i="1"/>
  <c r="G56" i="1"/>
  <c r="C54" i="1"/>
  <c r="E51" i="1"/>
  <c r="G48" i="1"/>
  <c r="C46" i="1"/>
  <c r="E43" i="1"/>
  <c r="G40" i="1"/>
  <c r="C38" i="1"/>
  <c r="E35" i="1"/>
  <c r="G32" i="1"/>
  <c r="C30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L103" i="1"/>
  <c r="E89" i="1"/>
  <c r="E81" i="1"/>
  <c r="E73" i="1"/>
  <c r="E65" i="1"/>
  <c r="E57" i="1"/>
  <c r="C52" i="1"/>
  <c r="C44" i="1"/>
  <c r="E33" i="1"/>
  <c r="G29" i="1"/>
  <c r="L28" i="1"/>
  <c r="R27" i="1"/>
  <c r="C27" i="1"/>
  <c r="E26" i="1"/>
  <c r="G25" i="1"/>
  <c r="E24" i="1"/>
  <c r="G23" i="1"/>
  <c r="E22" i="1"/>
  <c r="G21" i="1"/>
  <c r="L20" i="1"/>
  <c r="N19" i="1"/>
  <c r="E18" i="1"/>
  <c r="G17" i="1"/>
  <c r="B16" i="1"/>
  <c r="D15" i="1"/>
  <c r="F14" i="1"/>
  <c r="B14" i="1"/>
  <c r="E5" i="1"/>
  <c r="M123" i="1"/>
  <c r="E100" i="1"/>
  <c r="B96" i="1"/>
  <c r="G90" i="1"/>
  <c r="C88" i="1"/>
  <c r="E85" i="1"/>
  <c r="G82" i="1"/>
  <c r="C80" i="1"/>
  <c r="E77" i="1"/>
  <c r="G74" i="1"/>
  <c r="C72" i="1"/>
  <c r="E69" i="1"/>
  <c r="G66" i="1"/>
  <c r="C64" i="1"/>
  <c r="E61" i="1"/>
  <c r="G58" i="1"/>
  <c r="C56" i="1"/>
  <c r="E53" i="1"/>
  <c r="G50" i="1"/>
  <c r="C48" i="1"/>
  <c r="E45" i="1"/>
  <c r="G42" i="1"/>
  <c r="C40" i="1"/>
  <c r="E37" i="1"/>
  <c r="G34" i="1"/>
  <c r="C32" i="1"/>
  <c r="B30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O131" i="1"/>
  <c r="R97" i="1"/>
  <c r="G86" i="1"/>
  <c r="G78" i="1"/>
  <c r="G70" i="1"/>
  <c r="G62" i="1"/>
  <c r="G54" i="1"/>
  <c r="G46" i="1"/>
  <c r="G38" i="1"/>
  <c r="G30" i="1"/>
  <c r="C29" i="1"/>
  <c r="E28" i="1"/>
  <c r="G27" i="1"/>
  <c r="L26" i="1"/>
  <c r="N25" i="1"/>
  <c r="P24" i="1"/>
  <c r="R23" i="1"/>
  <c r="C23" i="1"/>
  <c r="R21" i="1"/>
  <c r="C21" i="1"/>
  <c r="E20" i="1"/>
  <c r="G19" i="1"/>
  <c r="R17" i="1"/>
  <c r="C17" i="1"/>
  <c r="O15" i="1"/>
  <c r="B8" i="1"/>
  <c r="M137" i="1"/>
  <c r="C99" i="1"/>
  <c r="F94" i="1"/>
  <c r="C90" i="1"/>
  <c r="E87" i="1"/>
  <c r="G84" i="1"/>
  <c r="C82" i="1"/>
  <c r="E79" i="1"/>
  <c r="G76" i="1"/>
  <c r="C74" i="1"/>
  <c r="E71" i="1"/>
  <c r="G68" i="1"/>
  <c r="C66" i="1"/>
  <c r="E63" i="1"/>
  <c r="G60" i="1"/>
  <c r="C58" i="1"/>
  <c r="E55" i="1"/>
  <c r="G52" i="1"/>
  <c r="C50" i="1"/>
  <c r="E47" i="1"/>
  <c r="G44" i="1"/>
  <c r="C42" i="1"/>
  <c r="E39" i="1"/>
  <c r="G36" i="1"/>
  <c r="C34" i="1"/>
  <c r="E31" i="1"/>
  <c r="P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D112" i="1"/>
  <c r="D93" i="1"/>
  <c r="C84" i="1"/>
  <c r="C76" i="1"/>
  <c r="C68" i="1"/>
  <c r="C60" i="1"/>
  <c r="E49" i="1"/>
  <c r="E41" i="1"/>
  <c r="C36" i="1"/>
  <c r="O29" i="1"/>
  <c r="P28" i="1"/>
  <c r="N27" i="1"/>
  <c r="P26" i="1"/>
  <c r="R25" i="1"/>
  <c r="C25" i="1"/>
  <c r="L24" i="1"/>
  <c r="N23" i="1"/>
  <c r="N21" i="1"/>
  <c r="P20" i="1"/>
  <c r="R19" i="1"/>
  <c r="C19" i="1"/>
  <c r="N17" i="1"/>
  <c r="F16" i="1"/>
  <c r="J15" i="1"/>
  <c r="B10" i="1"/>
  <c r="B127" i="1" l="1"/>
  <c r="D121" i="1"/>
  <c r="P22" i="1"/>
  <c r="B118" i="1"/>
  <c r="H122" i="1"/>
  <c r="B129" i="1"/>
  <c r="H110" i="1"/>
  <c r="B124" i="1"/>
  <c r="B131" i="1"/>
  <c r="L22" i="1"/>
  <c r="D117" i="1"/>
  <c r="H120" i="1"/>
  <c r="D125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23" i="6"/>
  <c r="J5" i="6"/>
  <c r="J18" i="6"/>
  <c r="J20" i="6"/>
  <c r="J6" i="6"/>
  <c r="J19" i="6"/>
  <c r="J21" i="6"/>
  <c r="J7" i="6"/>
  <c r="J16" i="6"/>
  <c r="J22" i="6"/>
  <c r="J8" i="6"/>
  <c r="J17" i="6"/>
  <c r="J9" i="6"/>
  <c r="J15" i="6"/>
</calcChain>
</file>

<file path=xl/sharedStrings.xml><?xml version="1.0" encoding="utf-8"?>
<sst xmlns="http://schemas.openxmlformats.org/spreadsheetml/2006/main" count="486" uniqueCount="213">
  <si>
    <t>d19040104.IB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</si>
  <si>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</si>
  <si>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</si>
  <si>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</si>
  <si>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</si>
  <si>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</si>
  <si>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</si>
  <si>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</si>
  <si>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</si>
  <si>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</si>
  <si>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</si>
  <si>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</si>
  <si>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</si>
  <si>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</si>
  <si>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</si>
  <si>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</si>
  <si>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</si>
  <si>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</si>
  <si>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</si>
  <si>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</si>
  <si>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</si>
  <si>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</si>
  <si>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</si>
  <si>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1282188.IB</t>
  </si>
  <si>
    <t>主体级别</t>
  </si>
  <si>
    <t>AA+</t>
  </si>
  <si>
    <t>1182201.IB</t>
  </si>
  <si>
    <t>*选择性黏贴</t>
  </si>
  <si>
    <t>041560055.IB</t>
  </si>
  <si>
    <t>数据年度</t>
  </si>
  <si>
    <t>2017年</t>
  </si>
  <si>
    <t>101556001.IB</t>
  </si>
  <si>
    <t>总资产</t>
  </si>
  <si>
    <t>1182322.IB</t>
  </si>
  <si>
    <t>负债率</t>
  </si>
  <si>
    <t>1382150.IB</t>
  </si>
  <si>
    <t>流动比率</t>
  </si>
  <si>
    <t>1282183.IB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</si>
  <si>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</si>
  <si>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</si>
  <si>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</si>
  <si>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</si>
  <si>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</si>
  <si>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</si>
  <si>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</si>
  <si>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</si>
  <si>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</si>
  <si>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</si>
  <si>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</si>
  <si>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</si>
  <si>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</si>
  <si>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</si>
  <si>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</si>
  <si>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</si>
  <si>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</si>
  <si>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</si>
  <si>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</si>
  <si>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</si>
  <si>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</si>
  <si>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</si>
  <si>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</si>
  <si>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</si>
  <si>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</si>
  <si>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</si>
  <si>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</si>
  <si>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</si>
  <si>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</si>
  <si>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</si>
  <si>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</si>
  <si>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</si>
  <si>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</si>
  <si>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</si>
  <si>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</si>
  <si>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</si>
  <si>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</si>
  <si>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</si>
  <si>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</si>
  <si>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</si>
  <si>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</si>
  <si>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</si>
  <si>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</si>
  <si>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</si>
  <si>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</si>
  <si>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</si>
  <si>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</si>
  <si>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</si>
  <si>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</si>
  <si>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</si>
  <si>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</si>
  <si>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</si>
  <si>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</si>
  <si>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</si>
  <si>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</si>
  <si>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</si>
  <si>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</si>
  <si>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</si>
  <si>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</si>
  <si>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</si>
  <si>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</si>
  <si>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</si>
  <si>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</si>
  <si>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</si>
  <si>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</si>
  <si>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</si>
  <si>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</si>
  <si>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</si>
  <si>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</si>
  <si>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</si>
  <si>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</si>
  <si>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</si>
  <si>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</si>
  <si>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</si>
  <si>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</si>
  <si>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</si>
  <si>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</si>
  <si>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</si>
  <si>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</si>
  <si>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</si>
  <si>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</si>
  <si>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</si>
  <si>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</si>
  <si>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155069.SH</t>
  </si>
  <si>
    <t>20181203</t>
  </si>
  <si>
    <t>18保文02</t>
  </si>
  <si>
    <t>143760.SH</t>
  </si>
  <si>
    <t>20180905</t>
  </si>
  <si>
    <t>18保文01</t>
  </si>
  <si>
    <t>041769009.IB</t>
  </si>
  <si>
    <t>20170913</t>
  </si>
  <si>
    <t>17保利文化CP001</t>
  </si>
  <si>
    <t>143033.SH</t>
  </si>
  <si>
    <t>20170313</t>
  </si>
  <si>
    <t>17保文01</t>
  </si>
  <si>
    <t>历史主体评级</t>
  </si>
  <si>
    <t>发布日期</t>
  </si>
  <si>
    <t>主体资信级别</t>
  </si>
  <si>
    <t>评级展望</t>
  </si>
  <si>
    <t>评级机构</t>
  </si>
  <si>
    <t>20181122</t>
  </si>
  <si>
    <t>稳定</t>
  </si>
  <si>
    <t>中诚信证券评估有限公司</t>
  </si>
  <si>
    <t>20181012</t>
  </si>
  <si>
    <t>中诚信国际信用评级有限责任公司</t>
  </si>
  <si>
    <t>20180820</t>
  </si>
  <si>
    <t>20180726</t>
  </si>
  <si>
    <t>20180611</t>
  </si>
  <si>
    <t>20180309</t>
  </si>
  <si>
    <t>20170905</t>
  </si>
  <si>
    <t>20170616</t>
  </si>
  <si>
    <t>20170307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</si>
  <si>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</si>
  <si>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</si>
  <si>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</si>
  <si>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</si>
  <si>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</si>
  <si>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</si>
  <si>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</si>
  <si>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</si>
  <si>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</si>
  <si>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</si>
  <si>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</si>
  <si>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</si>
  <si>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</si>
  <si>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</si>
  <si>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大连天神娱乐股份有限公司</t>
  </si>
  <si>
    <t>AA负面下调至A负面</t>
  </si>
  <si>
    <t>鹏元资信评估有限公司</t>
  </si>
  <si>
    <t>暴风集团股份有限公司</t>
  </si>
  <si>
    <t>CC下调至C</t>
  </si>
  <si>
    <t>印纪娱乐传媒股份有限公司</t>
  </si>
  <si>
    <t>A下调至CCC</t>
  </si>
  <si>
    <t>上海新世纪资信评估投资服务有限公司</t>
  </si>
  <si>
    <t>实质性违约。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</si>
  <si>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</si>
  <si>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</si>
  <si>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</si>
  <si>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</si>
  <si>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</si>
  <si>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</si>
  <si>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</si>
  <si>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</si>
  <si>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</si>
  <si>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</si>
  <si>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</si>
  <si>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</si>
  <si>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</si>
  <si>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</si>
  <si>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</si>
  <si>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</si>
  <si>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</si>
  <si>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</si>
  <si>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</si>
  <si>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</si>
  <si>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</si>
  <si>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</si>
  <si>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</si>
  <si>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</si>
  <si>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</si>
  <si>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保利文化集团股份有限公司</t>
  </si>
  <si>
    <t>中央国有企业</t>
  </si>
  <si>
    <t>可选消费--媒体Ⅱ--媒体Ⅲ--电影与娱乐</t>
  </si>
  <si>
    <t>北京市东城区朝阳门北大街1号20楼A区</t>
  </si>
  <si>
    <t>公司是一家中国领先的多元化文化艺术企业。公司通过旗下三个业务板块：艺术品经营与拍卖业务部从事拍卖及买卖中国古董、中国近现代书画、中国古代书画、中国油画及雕塑以及其他文物和艺术品业务。演出与剧院管理业务部从事剧院的日常管理、演出安排、剧院租赁以及提供剧院设计咨询服务业务。影院投资管理业务部从事影院建设与影院运营业务。自2008年以来，公司连续五届荣获由《光明日报》和《经济日报》联合评选的「中国文化企业30强」。2011年，公司被文化部列为「十大最具影响力国家文化艺术产业基地」。</t>
  </si>
  <si>
    <t/>
  </si>
  <si>
    <t>A-1</t>
  </si>
  <si>
    <t>山东大众报业(集团)有限公司</t>
  </si>
  <si>
    <t>安徽新华发行(集团)控股有限公司</t>
  </si>
  <si>
    <t>湖北长江出版传媒集团有限公司</t>
  </si>
  <si>
    <t>湖南电广传媒股份有限公司</t>
  </si>
  <si>
    <t>河北出版传媒集团有限责任公司</t>
  </si>
  <si>
    <t>华闻传媒投资集团股份有限公司</t>
  </si>
  <si>
    <t>广东南方报业传媒集团有限公司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</si>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</sst>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4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4" fontId="0" fillId="0" borderId="12" xfId="0" applyNumberFormat="1" applyBorder="1" applyAlignment="1"/>
    <xf numFmtId="0" fontId="0" fillId="6" borderId="12" xfId="0" applyFill="1" applyBorder="1" applyAlignment="1"/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5" t="s">
        <v>1</v>
      </c>
      <c r="B3" s="116"/>
      <c r="C3" s="116"/>
      <c r="D3" s="116"/>
      <c r="E3" s="116"/>
      <c r="F3" s="116"/>
      <c r="G3" s="116"/>
    </row>
    <row r="4" spans="1:20" s="39" customFormat="1" ht="13.5" customHeight="1" x14ac:dyDescent="0.25">
      <c r="A4" s="95" t="s">
        <v>2</v>
      </c>
      <c r="B4" s="117" t="str">
        <f>[1]!b_info_issuerupdated(A2)</f>
        <v>保利文化集团股份有限公司</v>
      </c>
      <c r="C4" s="118"/>
      <c r="D4" s="95" t="s">
        <v>3</v>
      </c>
      <c r="E4" s="117" t="str">
        <f>[1]!s_info_nature(A2)</f>
        <v>中央国有企业</v>
      </c>
      <c r="F4" s="118"/>
      <c r="G4" s="118"/>
      <c r="H4" s="43"/>
    </row>
    <row r="5" spans="1:20" s="39" customFormat="1" ht="14.25" customHeight="1" x14ac:dyDescent="0.25">
      <c r="A5" s="95" t="s">
        <v>4</v>
      </c>
      <c r="B5" s="117" t="str">
        <f>[1]!b_issuer_windindustry(A2,9)</f>
        <v>可选消费--媒体Ⅱ--媒体Ⅲ--电影与娱乐</v>
      </c>
      <c r="C5" s="118"/>
      <c r="D5" s="95" t="s">
        <v>5</v>
      </c>
      <c r="E5" s="117" t="str">
        <f>[1]!b_issuer_regaddress(A2)</f>
        <v>北京市东城区朝阳门北大街1号20楼A区</v>
      </c>
      <c r="F5" s="118"/>
      <c r="G5" s="118"/>
    </row>
    <row r="6" spans="1:20" s="39" customFormat="1" ht="81" customHeight="1" x14ac:dyDescent="0.25">
      <c r="A6" s="95" t="s">
        <v>6</v>
      </c>
      <c r="B6" s="119" t="str">
        <f>[1]!s_info_briefing(A2)</f>
        <v>公司是一家中国领先的多元化文化艺术企业。公司通过旗下三个业务板块：艺术品经营与拍卖业务部从事拍卖及买卖中国古董、中国近现代书画、中国古代书画、中国油画及雕塑以及其他文物和艺术品业务。演出与剧院管理业务部从事剧院的日常管理、演出安排、剧院租赁以及提供剧院设计咨询服务业务。影院投资管理业务部从事影院建设与影院运营业务。自2008年以来，公司连续五届荣获由《光明日报》和《经济日报》联合评选的「中国文化企业30强」。2011年，公司被文化部列为「十大最具影响力国家文化艺术产业基地」。</v>
      </c>
      <c r="C6" s="118"/>
      <c r="D6" s="118"/>
      <c r="E6" s="118"/>
      <c r="F6" s="118"/>
      <c r="G6" s="118"/>
    </row>
    <row r="7" spans="1:20" s="39" customFormat="1" x14ac:dyDescent="0.25">
      <c r="A7" s="97" t="s">
        <v>7</v>
      </c>
      <c r="B7" s="120">
        <f>[1]!b_issuer_shareholder(A2,"",1)</f>
        <v>0</v>
      </c>
      <c r="C7" s="118"/>
      <c r="D7" s="118"/>
      <c r="E7" s="118"/>
      <c r="F7" s="99">
        <f>[1]!b_issuer_propofshareholder($A$2,"",1)%</f>
        <v>0</v>
      </c>
      <c r="G7" s="98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7"/>
      <c r="B8" s="120">
        <f>[1]!b_issuer_shareholder(A2,"",2)</f>
        <v>0</v>
      </c>
      <c r="C8" s="118"/>
      <c r="D8" s="118"/>
      <c r="E8" s="118"/>
      <c r="F8" s="99">
        <f>[1]!b_issuer_propofshareholder($A$2,"",2)%</f>
        <v>0</v>
      </c>
      <c r="G8" s="98"/>
      <c r="H8" s="44"/>
      <c r="M8" s="50"/>
      <c r="O8" s="50"/>
      <c r="P8" s="51"/>
    </row>
    <row r="9" spans="1:20" s="39" customFormat="1" x14ac:dyDescent="0.25">
      <c r="A9" s="97"/>
      <c r="B9" s="120">
        <f>[1]!b_issuer_shareholder(A2,"",3)</f>
        <v>0</v>
      </c>
      <c r="C9" s="118"/>
      <c r="D9" s="118"/>
      <c r="E9" s="118"/>
      <c r="F9" s="99">
        <f>[1]!b_issuer_propofshareholder($A$2,"",3)%</f>
        <v>0</v>
      </c>
      <c r="G9" s="98"/>
      <c r="H9" s="44"/>
      <c r="M9" s="50"/>
      <c r="O9" s="50"/>
      <c r="P9" s="51"/>
    </row>
    <row r="10" spans="1:20" s="39" customFormat="1" x14ac:dyDescent="0.25">
      <c r="A10" s="97"/>
      <c r="B10" s="120">
        <f>[1]!b_issuer_shareholder(A2,"",4)</f>
        <v>0</v>
      </c>
      <c r="C10" s="118"/>
      <c r="D10" s="118"/>
      <c r="E10" s="118"/>
      <c r="F10" s="99">
        <f>[1]!b_issuer_propofshareholder($A$2,"",4)%</f>
        <v>0</v>
      </c>
      <c r="G10" s="98"/>
      <c r="H10" s="44"/>
      <c r="M10" s="50"/>
      <c r="O10" s="50"/>
      <c r="P10" s="51"/>
    </row>
    <row r="11" spans="1:20" s="39" customFormat="1" x14ac:dyDescent="0.25">
      <c r="A11" s="97"/>
      <c r="B11" s="120">
        <f>[1]!b_issuer_shareholder(A2,"",5)</f>
        <v>0</v>
      </c>
      <c r="C11" s="118"/>
      <c r="D11" s="118"/>
      <c r="E11" s="118"/>
      <c r="F11" s="99">
        <f>[1]!b_issuer_propofshareholder($A$2,"",5)%</f>
        <v>0</v>
      </c>
      <c r="G11" s="98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d19040104.IB</v>
      </c>
      <c r="K14" s="52"/>
      <c r="L14" s="53" t="str">
        <f>T15</f>
        <v>1282188.IB</v>
      </c>
      <c r="M14" s="53" t="str">
        <f>T16</f>
        <v>1182201.IB</v>
      </c>
      <c r="N14" s="53" t="str">
        <f>T17</f>
        <v>041560055.IB</v>
      </c>
      <c r="O14" s="53" t="str">
        <f>T18</f>
        <v>101556001.IB</v>
      </c>
      <c r="P14" s="53" t="str">
        <f>T19</f>
        <v>1182322.IB</v>
      </c>
      <c r="Q14" s="53" t="str">
        <f>T20</f>
        <v>1382150.IB</v>
      </c>
      <c r="R14" s="15" t="str">
        <f>T21</f>
        <v>1282183.IB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保利文化集团股份有限公司</v>
      </c>
      <c r="K15" s="136"/>
      <c r="L15" s="20" t="str">
        <f>[1]!b_info_issuer(L14)</f>
        <v>山东大众报业(集团)有限公司</v>
      </c>
      <c r="M15" s="20" t="str">
        <f>[1]!b_info_issuer(M14)</f>
        <v>安徽新华发行(集团)控股有限公司</v>
      </c>
      <c r="N15" s="20" t="str">
        <f>[1]!b_info_issuer(N14)</f>
        <v>湖北长江出版传媒集团有限公司</v>
      </c>
      <c r="O15" s="20" t="str">
        <f>[1]!b_info_issuer(O14)</f>
        <v>湖南电广传媒股份有限公司</v>
      </c>
      <c r="P15" s="20" t="str">
        <f>[1]!b_info_issuer(P14)</f>
        <v>河北出版传媒集团有限责任公司</v>
      </c>
      <c r="Q15" s="20" t="str">
        <f>[1]!b_info_issuer(Q14)</f>
        <v>华闻传媒投资集团股份有限公司</v>
      </c>
      <c r="R15" s="20" t="str">
        <f>[1]!b_info_issuer(R14)</f>
        <v>广东南方报业传媒集团有限公司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AA+</v>
      </c>
      <c r="K16" s="122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中央国有企业</v>
      </c>
      <c r="K17" s="122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地方国有企业</v>
      </c>
      <c r="Q17" s="22" t="str">
        <f>[1]!s_info_nature(Q14)</f>
        <v>中央国有企业</v>
      </c>
      <c r="R17" s="22" t="str">
        <f>[1]!s_info_nature(R14)</f>
        <v>地方国有企业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2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101.4359086683</v>
      </c>
      <c r="K19" s="122"/>
      <c r="L19" s="24">
        <f>[1]!b_stm07_bs(L14,74,L13,1)/100000000</f>
        <v>76.846789174700007</v>
      </c>
      <c r="M19" s="24">
        <f>[1]!b_stm07_bs(M14,74,M13,1)/100000000</f>
        <v>303.50975134750001</v>
      </c>
      <c r="N19" s="24">
        <f>[1]!b_stm07_bs(N14,74,N13,1)/100000000</f>
        <v>168.890343677</v>
      </c>
      <c r="O19" s="24">
        <f>[1]!b_stm07_bs(O14,74,O13,1)/100000000</f>
        <v>237.47795890820001</v>
      </c>
      <c r="P19" s="24">
        <f>[1]!b_stm07_bs(P14,74,P13,1)/100000000</f>
        <v>133.53200954209998</v>
      </c>
      <c r="Q19" s="24">
        <f>[1]!b_stm07_bs(Q14,74,Q13,1)/100000000</f>
        <v>158.3162919712</v>
      </c>
      <c r="R19" s="24">
        <f>[1]!b_stm07_bs(R14,74,R13,1)/100000000</f>
        <v>49.407029999999999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0.52763300000000002</v>
      </c>
      <c r="K20" s="122"/>
      <c r="L20" s="25">
        <f>[1]!s_fa_debttoassets(L14,L13)/100</f>
        <v>0.260544</v>
      </c>
      <c r="M20" s="25">
        <f>[1]!s_fa_debttoassets(M14,M13)/100</f>
        <v>0.59587000000000001</v>
      </c>
      <c r="N20" s="25">
        <f>[1]!s_fa_debttoassets(N14,N13)/100</f>
        <v>0.50346499999999994</v>
      </c>
      <c r="O20" s="25">
        <f>[1]!s_fa_debttoassets(O14,O13)/100</f>
        <v>0.52742600000000006</v>
      </c>
      <c r="P20" s="25">
        <f>[1]!s_fa_debttoassets(P14,P13)/100</f>
        <v>0.41860599999999998</v>
      </c>
      <c r="Q20" s="25">
        <f>[1]!s_fa_debttoassets(Q14,Q13)/100</f>
        <v>0.36002899999999999</v>
      </c>
      <c r="R20" s="25">
        <f>[1]!s_fa_debttoassets(R14,R13)/100</f>
        <v>0.44834099999999999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1.5558000000000001</v>
      </c>
      <c r="K21" s="122"/>
      <c r="L21" s="24">
        <f>[1]!s_fa_current(L14,L13)</f>
        <v>2.6543999999999999</v>
      </c>
      <c r="M21" s="24">
        <f>[1]!s_fa_current(M14,M13)</f>
        <v>2.0836999999999999</v>
      </c>
      <c r="N21" s="24">
        <f>[1]!s_fa_current(N14,N13)</f>
        <v>1.7927999999999999</v>
      </c>
      <c r="O21" s="24">
        <f>[1]!s_fa_current(O14,O13)</f>
        <v>1.2143999999999999</v>
      </c>
      <c r="P21" s="24">
        <f>[1]!s_fa_current(P14,P13)</f>
        <v>1.9509000000000001</v>
      </c>
      <c r="Q21" s="24">
        <f>[1]!s_fa_current(Q14,Q13)</f>
        <v>2.7890000000000001</v>
      </c>
      <c r="R21" s="24">
        <f>[1]!s_fa_current(R14,R13)</f>
        <v>1.3381000000000001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0.43444435823211303</v>
      </c>
      <c r="K22" s="122"/>
      <c r="L22" s="11">
        <f>(公式页!L96+公式页!L97+公式页!L98+公式页!L99+公式页!L100+公式页!L101)/公式页!L103</f>
        <v>0.14418263010734458</v>
      </c>
      <c r="M22" s="11">
        <f t="shared" ref="M22:R22" si="0">(M96+M97+M98+M99+M100+M101)/M103</f>
        <v>0.67433737794142412</v>
      </c>
      <c r="N22" s="11">
        <f t="shared" si="0"/>
        <v>0.22595817233713192</v>
      </c>
      <c r="O22" s="11">
        <f t="shared" si="0"/>
        <v>0.80985035863482935</v>
      </c>
      <c r="P22" s="11">
        <f t="shared" si="0"/>
        <v>0.20150996305038665</v>
      </c>
      <c r="Q22" s="11">
        <f t="shared" si="0"/>
        <v>0.44575546738927796</v>
      </c>
      <c r="R22" s="11">
        <f t="shared" si="0"/>
        <v>9.1821440072251737E-2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0.1195</v>
      </c>
      <c r="K23" s="122"/>
      <c r="L23" s="24">
        <f>[1]!s_fa_ebitdatodebt(L14,L13)</f>
        <v>0.11119999999999999</v>
      </c>
      <c r="M23" s="24">
        <f>[1]!s_fa_ebitdatodebt(M14,M13)</f>
        <v>7.7700000000000005E-2</v>
      </c>
      <c r="N23" s="24">
        <f>[1]!s_fa_ebitdatodebt(N14,N13)</f>
        <v>0.1061</v>
      </c>
      <c r="O23" s="24">
        <f>[1]!s_fa_ebitdatodebt(O14,O13)</f>
        <v>8.1799999999999998E-2</v>
      </c>
      <c r="P23" s="24">
        <f>[1]!s_fa_ebitdatodebt(P14,P13)</f>
        <v>0.16189999999999999</v>
      </c>
      <c r="Q23" s="24">
        <f>[1]!s_fa_ebitdatodebt(Q14,Q13)</f>
        <v>0.13919999999999999</v>
      </c>
      <c r="R23" s="24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34.913270551700002</v>
      </c>
      <c r="K24" s="122"/>
      <c r="L24" s="24">
        <f>[1]!b_stm07_is(L14,9,L13,1)/100000000</f>
        <v>17.729103191500002</v>
      </c>
      <c r="M24" s="24">
        <f>[1]!b_stm07_is(M14,9,M13,1)/100000000</f>
        <v>318.98379015</v>
      </c>
      <c r="N24" s="24">
        <f>[1]!b_stm07_is(N14,9,N13,1)/100000000</f>
        <v>222.68722531290001</v>
      </c>
      <c r="O24" s="24">
        <f>[1]!b_stm07_is(O14,9,O13,1)/100000000</f>
        <v>87.41482179270001</v>
      </c>
      <c r="P24" s="24">
        <f>[1]!b_stm07_is(P14,9,P13,1)/100000000</f>
        <v>90.870900522399992</v>
      </c>
      <c r="Q24" s="24">
        <f>[1]!b_stm07_is(Q14,9,Q13,1)/100000000</f>
        <v>34.208659376</v>
      </c>
      <c r="R24" s="24">
        <f>[1]!b_stm07_is(R14,9,R13,1)/100000000</f>
        <v>24.485104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1.0114000000000001</v>
      </c>
      <c r="K25" s="122"/>
      <c r="L25" s="26">
        <f>[1]!s_fa_salescashintoor(L14,L13)%</f>
        <v>1.0125</v>
      </c>
      <c r="M25" s="26">
        <f>[1]!s_fa_salescashintoor(M14,M13)%</f>
        <v>1.0570999999999999</v>
      </c>
      <c r="N25" s="26">
        <f>[1]!s_fa_salescashintoor(N14,N13)%</f>
        <v>1.0979000000000001</v>
      </c>
      <c r="O25" s="26">
        <f>[1]!s_fa_salescashintoor(O14,O13)%</f>
        <v>1.0202</v>
      </c>
      <c r="P25" s="26">
        <f>[1]!s_fa_salescashintoor(P14,P13)%</f>
        <v>1.0476000000000001</v>
      </c>
      <c r="Q25" s="26">
        <f>[1]!s_fa_salescashintoor(Q14,Q13)%</f>
        <v>1.1456</v>
      </c>
      <c r="R25" s="26">
        <f>[1]!s_fa_salescashintoor(R14,R13)%</f>
        <v>0.95810000000000006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0.35521399999999997</v>
      </c>
      <c r="K26" s="122"/>
      <c r="L26" s="26">
        <f>[1]!s_fa_grossprofitmargin(L14,L13)%</f>
        <v>0.46990999999999999</v>
      </c>
      <c r="M26" s="26">
        <f>[1]!s_fa_grossprofitmargin(M14,M13)%</f>
        <v>7.4753E-2</v>
      </c>
      <c r="N26" s="26">
        <f>[1]!s_fa_grossprofitmargin(N14,N13)%</f>
        <v>8.3687000000000011E-2</v>
      </c>
      <c r="O26" s="26">
        <f>[1]!s_fa_grossprofitmargin(O14,O13)%</f>
        <v>0.17391799999999999</v>
      </c>
      <c r="P26" s="26">
        <f>[1]!s_fa_grossprofitmargin(P14,P13)%</f>
        <v>0.24162099999999997</v>
      </c>
      <c r="Q26" s="26">
        <f>[1]!s_fa_grossprofitmargin(Q14,Q13)%</f>
        <v>0.40789299999999995</v>
      </c>
      <c r="R26" s="26">
        <f>[1]!s_fa_grossprofitmargin(R14,R13)%</f>
        <v>0.33145200000000002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4.0392216844000002</v>
      </c>
      <c r="K27" s="122"/>
      <c r="L27" s="27">
        <f>[1]!b_stm07_is(L14,60,L13,1)/100000000</f>
        <v>0.92415050919999997</v>
      </c>
      <c r="M27" s="27">
        <f>[1]!b_stm07_is(M14,60,M13,1)/100000000</f>
        <v>11.5839484154</v>
      </c>
      <c r="N27" s="27">
        <f>[1]!b_stm07_is(N14,60,N13,1)/100000000</f>
        <v>5.6354283332000001</v>
      </c>
      <c r="O27" s="27">
        <f>[1]!b_stm07_is(O14,60,O13,1)/100000000</f>
        <v>-2.3618158579999999</v>
      </c>
      <c r="P27" s="27">
        <f>[1]!b_stm07_is(P14,60,P13,1)/100000000</f>
        <v>7.3627207385000002</v>
      </c>
      <c r="Q27" s="27">
        <f>[1]!b_stm07_is(Q14,60,Q13,1)/100000000</f>
        <v>4.2267062492000003</v>
      </c>
      <c r="R27" s="27">
        <f>[1]!b_stm07_is(R14,60,R13,1)/100000000</f>
        <v>1.4865360000000001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6.4037999999999998E-2</v>
      </c>
      <c r="K28" s="122"/>
      <c r="L28" s="25">
        <f>[1]!s_fa_roe(L14,L13)%</f>
        <v>1.4055E-2</v>
      </c>
      <c r="M28" s="25">
        <f>[1]!s_fa_roe(M14,M13)%</f>
        <v>8.9349999999999999E-2</v>
      </c>
      <c r="N28" s="25">
        <f>[1]!s_fa_roe(N14,N13)%</f>
        <v>5.0842999999999999E-2</v>
      </c>
      <c r="O28" s="25">
        <f>[1]!s_fa_roe(O14,O13)%</f>
        <v>-4.4261000000000002E-2</v>
      </c>
      <c r="P28" s="25">
        <f>[1]!s_fa_roe(P14,P13)%</f>
        <v>8.9290000000000008E-2</v>
      </c>
      <c r="Q28" s="25">
        <f>[1]!s_fa_roe(Q14,Q13)%</f>
        <v>2.8879999999999999E-2</v>
      </c>
      <c r="R28" s="25">
        <f>[1]!s_fa_roe(R14,R13)%</f>
        <v>6.4756999999999995E-2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-8.4706838985000008</v>
      </c>
      <c r="K29" s="122"/>
      <c r="L29" s="27">
        <f>[1]!b_stm07_cs(L14,39,L13,1)/100000000</f>
        <v>-0.79568316290000007</v>
      </c>
      <c r="M29" s="27">
        <f>[1]!b_stm07_cs(M14,39,M13,1)/100000000</f>
        <v>-11.0620430257</v>
      </c>
      <c r="N29" s="27">
        <f>[1]!b_stm07_cs(N14,39,N13,1)/100000000</f>
        <v>-12.4437961676</v>
      </c>
      <c r="O29" s="27">
        <f>[1]!b_stm07_cs(O14,39,O13,1)/100000000</f>
        <v>1.2879640017</v>
      </c>
      <c r="P29" s="27">
        <f>[1]!b_stm07_cs(P14,39,P13,1)/100000000</f>
        <v>6.5574504878999997</v>
      </c>
      <c r="Q29" s="27">
        <f>[1]!b_stm07_cs(Q14,39,Q13,1)/100000000</f>
        <v>6.5786476246000003</v>
      </c>
      <c r="R29" s="27">
        <f>[1]!b_stm07_cs(R14,39,R13,1)/100000000</f>
        <v>4.1366120000000004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1586044199.6600001</v>
      </c>
      <c r="K96" s="62"/>
      <c r="L96" s="62">
        <f>[1]!b_stm07_bs(L14,75,L13,1)</f>
        <v>150000000</v>
      </c>
      <c r="M96" s="62">
        <f>[1]!b_stm07_bs(M14,75,M13,1)</f>
        <v>1947853715.8399999</v>
      </c>
      <c r="N96" s="62">
        <f>[1]!b_stm07_bs(N14,75,N13,1)</f>
        <v>952506217.39999998</v>
      </c>
      <c r="O96" s="62">
        <f>[1]!b_stm07_bs(O14,75,O13,1)</f>
        <v>2083358777.0599999</v>
      </c>
      <c r="P96" s="62">
        <f>[1]!b_stm07_bs(P14,75,P13,1)</f>
        <v>458580055.75</v>
      </c>
      <c r="Q96" s="62">
        <f>[1]!b_stm07_bs(Q14,75,Q13,1)</f>
        <v>0</v>
      </c>
      <c r="R96" s="62">
        <f>[1]!b_stm07_bs(R14,75,R13,1)</f>
        <v>250000000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25106214.629999999</v>
      </c>
      <c r="K97" s="62"/>
      <c r="L97" s="62">
        <f>[1]!b_stm07_bs(L14,82,L13,1)</f>
        <v>0</v>
      </c>
      <c r="M97" s="62">
        <f>[1]!b_stm07_bs(M14,82,M13,1)</f>
        <v>211722477.19</v>
      </c>
      <c r="N97" s="62">
        <f>[1]!b_stm07_bs(N14,82,N13,1)</f>
        <v>48733361.119999997</v>
      </c>
      <c r="O97" s="62">
        <f>[1]!b_stm07_bs(O14,82,O13,1)</f>
        <v>76407878.900000006</v>
      </c>
      <c r="P97" s="62">
        <f>[1]!b_stm07_bs(P14,82,P13,1)</f>
        <v>19337938.469999999</v>
      </c>
      <c r="Q97" s="62">
        <f>[1]!b_stm07_bs(Q14,82,Q13,1)</f>
        <v>54656348.43</v>
      </c>
      <c r="R97" s="62">
        <f>[1]!b_stm07_bs(R14,82,R13,1)</f>
        <v>266800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170488622.53999999</v>
      </c>
      <c r="K98" s="62"/>
      <c r="L98" s="62">
        <f>[1]!b_stm07_bs(L14,88,L13,1)</f>
        <v>0</v>
      </c>
      <c r="M98" s="62">
        <f>[1]!b_stm07_bs(M14,88,M13,1)</f>
        <v>315000000</v>
      </c>
      <c r="N98" s="62">
        <f>[1]!b_stm07_bs(N14,88,N13,1)</f>
        <v>0</v>
      </c>
      <c r="O98" s="62">
        <f>[1]!b_stm07_bs(O14,88,O13,1)</f>
        <v>2021724501.1600001</v>
      </c>
      <c r="P98" s="62">
        <f>[1]!b_stm07_bs(P14,88,P13,1)</f>
        <v>300000000</v>
      </c>
      <c r="Q98" s="62">
        <f>[1]!b_stm07_bs(Q14,88,Q13,1)</f>
        <v>844909946.25999999</v>
      </c>
      <c r="R98" s="62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0</v>
      </c>
      <c r="K100" s="62"/>
      <c r="L100" s="62">
        <f>[1]!b_stm07_bs(L14,94,L13,1)</f>
        <v>159900000</v>
      </c>
      <c r="M100" s="62">
        <f>[1]!b_stm07_bs(M14,94,M13,1)</f>
        <v>2477750000</v>
      </c>
      <c r="N100" s="62">
        <f>[1]!b_stm07_bs(N14,94,N13,1)</f>
        <v>0</v>
      </c>
      <c r="O100" s="62">
        <f>[1]!b_stm07_bs(O14,94,O13,1)</f>
        <v>3407128957.5900002</v>
      </c>
      <c r="P100" s="62">
        <f>[1]!b_stm07_bs(P14,94,P13,1)</f>
        <v>186497661.71000001</v>
      </c>
      <c r="Q100" s="62">
        <f>[1]!b_stm07_bs(Q14,94,Q13,1)</f>
        <v>1922000000</v>
      </c>
      <c r="R100" s="62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300000000</v>
      </c>
      <c r="K101" s="62"/>
      <c r="L101" s="62">
        <f>[1]!b_stm07_bs(L14,95,L13,1)</f>
        <v>509415199</v>
      </c>
      <c r="M101" s="62">
        <f>[1]!b_stm07_bs(M14,95,M13,1)</f>
        <v>3318919892.8099999</v>
      </c>
      <c r="N101" s="62">
        <f>[1]!b_stm07_bs(N14,95,N13,1)</f>
        <v>893645806.75999999</v>
      </c>
      <c r="O101" s="62">
        <f>[1]!b_stm07_bs(O14,95,O13,1)</f>
        <v>1500000000</v>
      </c>
      <c r="P101" s="62">
        <f>[1]!b_stm07_bs(P14,95,P13,1)</f>
        <v>600000000</v>
      </c>
      <c r="Q101" s="62">
        <f>[1]!b_stm07_bs(Q14,95,Q13,1)</f>
        <v>1694734624.47</v>
      </c>
      <c r="R101" s="62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4791497455.0500002</v>
      </c>
      <c r="K103" s="62"/>
      <c r="L103" s="62">
        <f>[1]!b_stm07_bs(L14,141,L13,1)</f>
        <v>5682481991</v>
      </c>
      <c r="M103" s="62">
        <f>[1]!b_stm07_bs(M14,141,M13,1)</f>
        <v>12265738718.34</v>
      </c>
      <c r="N103" s="62">
        <f>[1]!b_stm07_bs(N14,141,N13,1)</f>
        <v>8386000672.96</v>
      </c>
      <c r="O103" s="62">
        <f>[1]!b_stm07_bs(O14,141,O13,1)</f>
        <v>11222591949</v>
      </c>
      <c r="P103" s="62">
        <f>[1]!b_stm07_bs(P14,141,P13,1)</f>
        <v>7763465549.04</v>
      </c>
      <c r="Q103" s="62">
        <f>[1]!b_stm07_bs(Q14,141,Q13,1)</f>
        <v>10131790296.620001</v>
      </c>
      <c r="R103" s="62">
        <f>[1]!b_stm07_bs(R14,141,R13,1)</f>
        <v>2725581300</v>
      </c>
    </row>
    <row r="106" spans="1:19" ht="14.25" customHeight="1" x14ac:dyDescent="0.25">
      <c r="A106" s="121" t="s">
        <v>54</v>
      </c>
      <c r="B106" s="116"/>
      <c r="C106" s="116"/>
      <c r="D106" s="122"/>
      <c r="E106" s="122"/>
      <c r="F106" s="122"/>
      <c r="G106" s="122"/>
      <c r="H106" s="122"/>
      <c r="I106" s="122"/>
      <c r="J106" s="122"/>
      <c r="L106" s="39"/>
      <c r="M106" s="39"/>
    </row>
    <row r="107" spans="1:19" x14ac:dyDescent="0.25">
      <c r="A107" s="123" t="s">
        <v>55</v>
      </c>
      <c r="B107" s="116"/>
      <c r="C107" s="116"/>
      <c r="D107" s="122"/>
      <c r="E107" s="122"/>
      <c r="F107" s="122"/>
      <c r="G107" s="124">
        <v>2017</v>
      </c>
      <c r="H107" s="122"/>
      <c r="I107" s="122"/>
      <c r="J107" s="122"/>
      <c r="K107" s="74" t="str">
        <f>A2</f>
        <v>d19040104.IB</v>
      </c>
      <c r="L107" s="63">
        <f>B2</f>
        <v>43100</v>
      </c>
      <c r="M107" s="39"/>
    </row>
    <row r="108" spans="1:19" ht="12.75" customHeight="1" x14ac:dyDescent="0.25">
      <c r="A108" s="125" t="s">
        <v>56</v>
      </c>
      <c r="B108" s="116"/>
      <c r="C108" s="125" t="s">
        <v>57</v>
      </c>
      <c r="D108" s="122"/>
      <c r="E108" s="125" t="s">
        <v>58</v>
      </c>
      <c r="F108" s="122"/>
      <c r="G108" s="125" t="s">
        <v>59</v>
      </c>
      <c r="H108" s="122"/>
      <c r="I108" s="125" t="s">
        <v>60</v>
      </c>
      <c r="J108" s="122"/>
      <c r="L108" s="39"/>
      <c r="M108" s="39"/>
    </row>
    <row r="109" spans="1:19" ht="16.5" customHeight="1" x14ac:dyDescent="0.25">
      <c r="A109" s="19" t="s">
        <v>61</v>
      </c>
      <c r="B109" s="29">
        <f>M109/100</f>
        <v>0.52763300000000002</v>
      </c>
      <c r="C109" s="19" t="s">
        <v>36</v>
      </c>
      <c r="D109" s="30">
        <f>[1]!s_fa_current(A2,B2)</f>
        <v>1.5558000000000001</v>
      </c>
      <c r="E109" s="19" t="s">
        <v>41</v>
      </c>
      <c r="F109" s="33">
        <f>[1]!s_fa_salescashintoor(A2,B2)/100</f>
        <v>1.0114000000000001</v>
      </c>
      <c r="G109" s="19" t="s">
        <v>42</v>
      </c>
      <c r="H109" s="29">
        <f>S109/100</f>
        <v>0.35521399999999997</v>
      </c>
      <c r="I109" s="19"/>
      <c r="J109" s="38"/>
      <c r="K109" s="50"/>
      <c r="L109" s="64" t="s">
        <v>61</v>
      </c>
      <c r="M109" s="65">
        <f>[1]!s_fa_debttoassets(A2,B2)</f>
        <v>52.763300000000001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35.5214</v>
      </c>
    </row>
    <row r="110" spans="1:19" ht="15.75" customHeight="1" x14ac:dyDescent="0.25">
      <c r="A110" s="19" t="s">
        <v>62</v>
      </c>
      <c r="B110" s="29">
        <f>M110/100</f>
        <v>0.76831100000000008</v>
      </c>
      <c r="C110" s="19" t="s">
        <v>63</v>
      </c>
      <c r="D110" s="33">
        <f>[1]!s_fa_quick(A2,B2)</f>
        <v>1.1633</v>
      </c>
      <c r="E110" s="19" t="s">
        <v>64</v>
      </c>
      <c r="F110" s="30">
        <f>[1]!s_fa_arturn(A2,B2)</f>
        <v>24.906199999999998</v>
      </c>
      <c r="G110" s="19" t="s">
        <v>65</v>
      </c>
      <c r="H110" s="29">
        <f>S110/100</f>
        <v>0.14894299999999999</v>
      </c>
      <c r="I110" s="19"/>
      <c r="J110" s="38"/>
      <c r="L110" s="19" t="s">
        <v>62</v>
      </c>
      <c r="M110" s="65">
        <f>[1]!s_fa_catoassets(A2,B2)</f>
        <v>76.831100000000006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14.894299999999999</v>
      </c>
    </row>
    <row r="111" spans="1:19" ht="15" customHeight="1" x14ac:dyDescent="0.25">
      <c r="A111" s="19" t="s">
        <v>66</v>
      </c>
      <c r="B111" s="29">
        <f>M111/100</f>
        <v>0.93596599999999996</v>
      </c>
      <c r="C111" s="19" t="s">
        <v>39</v>
      </c>
      <c r="D111" s="33">
        <f>[1]!s_fa_ebitdatodebt(A2,B2)</f>
        <v>0.1195</v>
      </c>
      <c r="E111" s="19" t="s">
        <v>67</v>
      </c>
      <c r="F111" s="30">
        <f>[1]!s_fa_invturn(A2,B2)</f>
        <v>1.2152000000000001</v>
      </c>
      <c r="G111" s="19" t="s">
        <v>45</v>
      </c>
      <c r="H111" s="29">
        <f>S111/100</f>
        <v>6.4037999999999998E-2</v>
      </c>
      <c r="I111" s="19"/>
      <c r="J111" s="38"/>
      <c r="L111" s="19" t="s">
        <v>66</v>
      </c>
      <c r="M111" s="65">
        <f>[1]!s_fa_currentdebttodebt(A2,B2)</f>
        <v>93.596599999999995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6.4038000000000004</v>
      </c>
    </row>
    <row r="112" spans="1:19" ht="14.25" customHeight="1" x14ac:dyDescent="0.25">
      <c r="A112" s="19" t="s">
        <v>38</v>
      </c>
      <c r="B112" s="31">
        <f>(M116+M117+M118+M119+M120+M121)/M123</f>
        <v>0.43444435823211303</v>
      </c>
      <c r="C112" s="19" t="s">
        <v>68</v>
      </c>
      <c r="D112" s="33">
        <f>[1]!s_fa_ebittointerest(A2,B2)</f>
        <v>0</v>
      </c>
      <c r="E112" s="19" t="s">
        <v>69</v>
      </c>
      <c r="F112" s="30">
        <f>[1]!s_fa_caturn(A2,B2)</f>
        <v>0.51659999999999995</v>
      </c>
      <c r="G112" s="19" t="s">
        <v>70</v>
      </c>
      <c r="H112" s="29">
        <f>S112/100</f>
        <v>5.7270000000000001E-2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5.7270000000000003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0.40849999999999997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21" t="s">
        <v>72</v>
      </c>
      <c r="B114" s="116"/>
      <c r="C114" s="116"/>
      <c r="D114" s="122"/>
      <c r="E114" s="122"/>
      <c r="F114" s="122"/>
      <c r="G114" s="122"/>
      <c r="H114" s="122"/>
      <c r="I114" s="122"/>
      <c r="J114" s="122"/>
      <c r="L114" s="39"/>
      <c r="M114" s="39"/>
    </row>
    <row r="115" spans="1:21" ht="13.5" customHeight="1" x14ac:dyDescent="0.25">
      <c r="A115" s="123" t="s">
        <v>73</v>
      </c>
      <c r="B115" s="116"/>
      <c r="C115" s="116"/>
      <c r="D115" s="122"/>
      <c r="E115" s="122"/>
      <c r="F115" s="122"/>
      <c r="G115" s="126">
        <v>2017</v>
      </c>
      <c r="H115" s="122"/>
      <c r="I115" s="122"/>
      <c r="J115" s="122"/>
      <c r="L115" s="39"/>
      <c r="M115" s="39"/>
    </row>
    <row r="116" spans="1:21" x14ac:dyDescent="0.25">
      <c r="A116" s="127" t="s">
        <v>74</v>
      </c>
      <c r="B116" s="116"/>
      <c r="C116" s="127" t="s">
        <v>75</v>
      </c>
      <c r="D116" s="122"/>
      <c r="E116" s="128" t="s">
        <v>76</v>
      </c>
      <c r="F116" s="122"/>
      <c r="G116" s="122"/>
      <c r="H116" s="122"/>
      <c r="I116" s="122"/>
      <c r="J116" s="122"/>
      <c r="L116" s="39" t="s">
        <v>47</v>
      </c>
      <c r="M116" s="62">
        <f>[1]!b_stm07_bs(K107,75,L107,1)</f>
        <v>1586044199.6600001</v>
      </c>
    </row>
    <row r="117" spans="1:21" ht="14.25" customHeight="1" x14ac:dyDescent="0.25">
      <c r="A117" s="19" t="s">
        <v>77</v>
      </c>
      <c r="B117" s="33">
        <f t="shared" ref="B117:B131" si="1">M127/100000000</f>
        <v>19.4525319854</v>
      </c>
      <c r="C117" s="19" t="s">
        <v>78</v>
      </c>
      <c r="D117" s="31">
        <f t="shared" ref="D117:D125" si="2">O127/100000000</f>
        <v>34.913270551700002</v>
      </c>
      <c r="E117" s="129" t="s">
        <v>79</v>
      </c>
      <c r="F117" s="122"/>
      <c r="G117" s="122"/>
      <c r="H117" s="130">
        <f t="shared" ref="H117:H131" si="3">S127/100000000</f>
        <v>35.312219124099997</v>
      </c>
      <c r="I117" s="122"/>
      <c r="J117" s="122"/>
      <c r="L117" s="39" t="s">
        <v>48</v>
      </c>
      <c r="M117" s="62">
        <f>[1]!b_stm07_bs(K107,82,L107,1)</f>
        <v>25106214.629999999</v>
      </c>
    </row>
    <row r="118" spans="1:21" ht="14.25" customHeight="1" x14ac:dyDescent="0.25">
      <c r="A118" s="19" t="s">
        <v>80</v>
      </c>
      <c r="B118" s="33">
        <f t="shared" si="1"/>
        <v>1.6960466621000001</v>
      </c>
      <c r="C118" s="19" t="s">
        <v>81</v>
      </c>
      <c r="D118" s="31">
        <f t="shared" si="2"/>
        <v>30.3453106294</v>
      </c>
      <c r="E118" s="129" t="s">
        <v>82</v>
      </c>
      <c r="F118" s="122"/>
      <c r="G118" s="122"/>
      <c r="H118" s="130">
        <f t="shared" si="3"/>
        <v>73.679319458500004</v>
      </c>
      <c r="I118" s="122"/>
      <c r="J118" s="122"/>
      <c r="L118" s="39" t="s">
        <v>49</v>
      </c>
      <c r="M118" s="62">
        <f>[1]!b_stm07_bs(K107,88,L107,1)</f>
        <v>170488622.53999999</v>
      </c>
    </row>
    <row r="119" spans="1:21" ht="14.25" customHeight="1" x14ac:dyDescent="0.25">
      <c r="A119" s="19" t="s">
        <v>83</v>
      </c>
      <c r="B119" s="33">
        <f t="shared" si="1"/>
        <v>32.575749902699997</v>
      </c>
      <c r="C119" s="19" t="s">
        <v>84</v>
      </c>
      <c r="D119" s="31">
        <f t="shared" si="2"/>
        <v>22.511603842900001</v>
      </c>
      <c r="E119" s="129" t="s">
        <v>85</v>
      </c>
      <c r="F119" s="122"/>
      <c r="G119" s="122"/>
      <c r="H119" s="131">
        <f t="shared" si="3"/>
        <v>108.9915385826</v>
      </c>
      <c r="I119" s="122"/>
      <c r="J119" s="122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2.3090412280000003</v>
      </c>
      <c r="C120" s="19" t="s">
        <v>87</v>
      </c>
      <c r="D120" s="31">
        <f t="shared" si="2"/>
        <v>3.6112127368999998</v>
      </c>
      <c r="E120" s="129" t="s">
        <v>88</v>
      </c>
      <c r="F120" s="122"/>
      <c r="G120" s="122"/>
      <c r="H120" s="130">
        <f t="shared" si="3"/>
        <v>16.0814785273</v>
      </c>
      <c r="I120" s="122"/>
      <c r="J120" s="122"/>
      <c r="L120" s="39" t="s">
        <v>51</v>
      </c>
      <c r="M120" s="62">
        <f>[1]!b_stm07_bs(K107,94,L107,1)</f>
        <v>0</v>
      </c>
    </row>
    <row r="121" spans="1:21" ht="14.25" customHeight="1" x14ac:dyDescent="0.25">
      <c r="A121" s="19" t="s">
        <v>89</v>
      </c>
      <c r="B121" s="33">
        <f t="shared" si="1"/>
        <v>1.2867052344000001</v>
      </c>
      <c r="C121" s="19" t="s">
        <v>90</v>
      </c>
      <c r="D121" s="31">
        <f t="shared" si="2"/>
        <v>4.2975281168999997</v>
      </c>
      <c r="E121" s="129" t="s">
        <v>91</v>
      </c>
      <c r="F121" s="122"/>
      <c r="G121" s="122"/>
      <c r="H121" s="130">
        <f t="shared" si="3"/>
        <v>91.707640740900004</v>
      </c>
      <c r="I121" s="122"/>
      <c r="J121" s="122"/>
      <c r="L121" s="39" t="s">
        <v>52</v>
      </c>
      <c r="M121" s="62">
        <f>[1]!b_stm07_bs(K107,95,L107,1)</f>
        <v>300000000</v>
      </c>
    </row>
    <row r="122" spans="1:21" ht="14.25" customHeight="1" x14ac:dyDescent="0.25">
      <c r="A122" s="19" t="s">
        <v>92</v>
      </c>
      <c r="B122" s="33">
        <f t="shared" si="1"/>
        <v>0.3363868679</v>
      </c>
      <c r="C122" s="19" t="s">
        <v>93</v>
      </c>
      <c r="D122" s="31">
        <f t="shared" si="2"/>
        <v>-0.14749181279999998</v>
      </c>
      <c r="E122" s="129" t="s">
        <v>94</v>
      </c>
      <c r="F122" s="122"/>
      <c r="G122" s="122"/>
      <c r="H122" s="131">
        <f t="shared" si="3"/>
        <v>117.4622224811</v>
      </c>
      <c r="I122" s="122"/>
      <c r="J122" s="122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101.4359086683</v>
      </c>
      <c r="C123" s="19" t="s">
        <v>96</v>
      </c>
      <c r="D123" s="31">
        <f t="shared" si="2"/>
        <v>5.2000823642</v>
      </c>
      <c r="E123" s="129" t="s">
        <v>97</v>
      </c>
      <c r="F123" s="122"/>
      <c r="G123" s="122"/>
      <c r="H123" s="131">
        <f t="shared" si="3"/>
        <v>-8.4706838985000008</v>
      </c>
      <c r="I123" s="122"/>
      <c r="J123" s="122"/>
      <c r="L123" s="39" t="s">
        <v>53</v>
      </c>
      <c r="M123" s="62">
        <f>[1]!b_stm07_bs(K107,141,L107,1)</f>
        <v>4791497455.0500002</v>
      </c>
    </row>
    <row r="124" spans="1:21" ht="14.25" customHeight="1" x14ac:dyDescent="0.25">
      <c r="A124" s="19" t="s">
        <v>98</v>
      </c>
      <c r="B124" s="33">
        <f t="shared" si="1"/>
        <v>15.860441996600001</v>
      </c>
      <c r="C124" s="19" t="s">
        <v>99</v>
      </c>
      <c r="D124" s="31">
        <f t="shared" si="2"/>
        <v>5.3757401646000007</v>
      </c>
      <c r="E124" s="129" t="s">
        <v>100</v>
      </c>
      <c r="F124" s="122"/>
      <c r="G124" s="122"/>
      <c r="H124" s="131">
        <f t="shared" si="3"/>
        <v>-5.6052657089999993</v>
      </c>
      <c r="I124" s="122"/>
      <c r="J124" s="122"/>
      <c r="L124" s="39"/>
      <c r="M124" s="39"/>
    </row>
    <row r="125" spans="1:21" ht="27" customHeight="1" x14ac:dyDescent="0.25">
      <c r="A125" s="19" t="s">
        <v>101</v>
      </c>
      <c r="B125" s="33">
        <f t="shared" si="1"/>
        <v>1.7048862253999999</v>
      </c>
      <c r="C125" s="19" t="s">
        <v>43</v>
      </c>
      <c r="D125" s="31">
        <f t="shared" si="2"/>
        <v>4.0392216844000002</v>
      </c>
      <c r="E125" s="129" t="s">
        <v>102</v>
      </c>
      <c r="F125" s="122"/>
      <c r="G125" s="122"/>
      <c r="H125" s="130">
        <f t="shared" si="3"/>
        <v>1.058386</v>
      </c>
      <c r="I125" s="122"/>
      <c r="J125" s="122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9" t="s">
        <v>104</v>
      </c>
      <c r="F126" s="122"/>
      <c r="G126" s="122"/>
      <c r="H126" s="130">
        <f t="shared" si="3"/>
        <v>27.179606504099997</v>
      </c>
      <c r="I126" s="122"/>
      <c r="J126" s="122"/>
      <c r="L126" s="132" t="s">
        <v>74</v>
      </c>
      <c r="M126" s="122"/>
      <c r="N126" s="132" t="s">
        <v>75</v>
      </c>
      <c r="O126" s="122"/>
      <c r="P126" s="123" t="s">
        <v>76</v>
      </c>
      <c r="Q126" s="122"/>
      <c r="R126" s="122"/>
      <c r="S126" s="133"/>
      <c r="T126" s="133"/>
      <c r="U126" s="133"/>
    </row>
    <row r="127" spans="1:21" ht="14.25" customHeight="1" x14ac:dyDescent="0.25">
      <c r="A127" s="19" t="s">
        <v>105</v>
      </c>
      <c r="B127" s="33">
        <f t="shared" si="1"/>
        <v>0</v>
      </c>
      <c r="C127" s="19"/>
      <c r="D127" s="34"/>
      <c r="E127" s="129" t="s">
        <v>106</v>
      </c>
      <c r="F127" s="122"/>
      <c r="G127" s="122"/>
      <c r="H127" s="130">
        <f t="shared" si="3"/>
        <v>0</v>
      </c>
      <c r="I127" s="122"/>
      <c r="J127" s="122"/>
      <c r="L127" s="19" t="s">
        <v>77</v>
      </c>
      <c r="M127" s="69">
        <f>[1]!b_stm07_bs(K107,9,L107,1)</f>
        <v>1945253198.54</v>
      </c>
      <c r="N127" s="19" t="s">
        <v>78</v>
      </c>
      <c r="O127" s="69">
        <f>[1]!b_stm07_is(K107,83,L107,1)</f>
        <v>3491327055.1700001</v>
      </c>
      <c r="P127" s="129" t="s">
        <v>79</v>
      </c>
      <c r="Q127" s="122"/>
      <c r="R127" s="122"/>
      <c r="S127" s="134">
        <f>[1]!b_stm07_cs(K107,9,L107,1)</f>
        <v>3531221912.4099998</v>
      </c>
      <c r="T127" s="133"/>
      <c r="U127" s="133"/>
    </row>
    <row r="128" spans="1:21" ht="14.25" customHeight="1" x14ac:dyDescent="0.25">
      <c r="A128" s="19" t="s">
        <v>107</v>
      </c>
      <c r="B128" s="33">
        <f t="shared" si="1"/>
        <v>3</v>
      </c>
      <c r="C128" s="19"/>
      <c r="D128" s="34"/>
      <c r="E128" s="129" t="s">
        <v>108</v>
      </c>
      <c r="F128" s="122"/>
      <c r="G128" s="122"/>
      <c r="H128" s="131">
        <f t="shared" si="3"/>
        <v>28.237992504099999</v>
      </c>
      <c r="I128" s="122"/>
      <c r="J128" s="122"/>
      <c r="L128" s="19" t="s">
        <v>80</v>
      </c>
      <c r="M128" s="69">
        <f>[1]!b_stm07_bs(K107,12,L107,1)</f>
        <v>169604666.21000001</v>
      </c>
      <c r="N128" s="19" t="s">
        <v>81</v>
      </c>
      <c r="O128" s="69">
        <f>[1]!b_stm07_is(K107,84,L107,1)</f>
        <v>3034531062.9400001</v>
      </c>
      <c r="P128" s="129" t="s">
        <v>82</v>
      </c>
      <c r="Q128" s="122"/>
      <c r="R128" s="122"/>
      <c r="S128" s="134">
        <f>[1]!b_stm07_cs(K107,11,L107,1)</f>
        <v>7367931945.8500004</v>
      </c>
      <c r="T128" s="133"/>
      <c r="U128" s="133"/>
    </row>
    <row r="129" spans="1:21" ht="14.25" customHeight="1" x14ac:dyDescent="0.25">
      <c r="A129" s="19" t="s">
        <v>109</v>
      </c>
      <c r="B129" s="61">
        <f t="shared" si="1"/>
        <v>53.520934117799996</v>
      </c>
      <c r="C129" s="35"/>
      <c r="D129" s="32"/>
      <c r="E129" s="129" t="s">
        <v>110</v>
      </c>
      <c r="F129" s="122"/>
      <c r="G129" s="122"/>
      <c r="H129" s="130">
        <f t="shared" si="3"/>
        <v>9.3616470163999992</v>
      </c>
      <c r="I129" s="122"/>
      <c r="J129" s="122"/>
      <c r="L129" s="19" t="s">
        <v>83</v>
      </c>
      <c r="M129" s="69">
        <f>[1]!b_stm07_bs(K107,13,L107,1)</f>
        <v>3257574990.27</v>
      </c>
      <c r="N129" s="19" t="s">
        <v>84</v>
      </c>
      <c r="O129" s="69">
        <f>[1]!b_stm07_is(K107,10,L107,1)</f>
        <v>2251160384.29</v>
      </c>
      <c r="P129" s="129" t="s">
        <v>85</v>
      </c>
      <c r="Q129" s="122"/>
      <c r="R129" s="122"/>
      <c r="S129" s="135">
        <f>[1]!b_stm07_cs(K107,25,L107,1)</f>
        <v>10899153858.26</v>
      </c>
      <c r="T129" s="133"/>
      <c r="U129" s="133"/>
    </row>
    <row r="130" spans="1:21" ht="14.25" customHeight="1" x14ac:dyDescent="0.25">
      <c r="A130" s="19" t="s">
        <v>111</v>
      </c>
      <c r="B130" s="61">
        <f t="shared" si="1"/>
        <v>47.914974550499998</v>
      </c>
      <c r="C130" s="35"/>
      <c r="D130" s="32"/>
      <c r="E130" s="129" t="s">
        <v>112</v>
      </c>
      <c r="F130" s="122"/>
      <c r="G130" s="122"/>
      <c r="H130" s="130">
        <f t="shared" si="3"/>
        <v>10.4913380531</v>
      </c>
      <c r="I130" s="122"/>
      <c r="J130" s="122"/>
      <c r="L130" s="19" t="s">
        <v>86</v>
      </c>
      <c r="M130" s="69">
        <f>[1]!b_stm07_bs(K107,31,L107,1)</f>
        <v>230904122.80000001</v>
      </c>
      <c r="N130" s="19" t="s">
        <v>87</v>
      </c>
      <c r="O130" s="69">
        <f>[1]!b_stm07_is(K107,12,L107,1)</f>
        <v>361121273.69</v>
      </c>
      <c r="P130" s="129" t="s">
        <v>88</v>
      </c>
      <c r="Q130" s="122"/>
      <c r="R130" s="122"/>
      <c r="S130" s="134">
        <f>[1]!b_stm07_cs(K107,26,L107,1)</f>
        <v>1608147852.73</v>
      </c>
      <c r="T130" s="133"/>
      <c r="U130" s="133"/>
    </row>
    <row r="131" spans="1:21" ht="14.25" customHeight="1" x14ac:dyDescent="0.25">
      <c r="A131" s="36" t="s">
        <v>113</v>
      </c>
      <c r="B131" s="61">
        <f t="shared" si="1"/>
        <v>101.4359086683</v>
      </c>
      <c r="C131" s="35"/>
      <c r="D131" s="32"/>
      <c r="E131" s="129" t="s">
        <v>114</v>
      </c>
      <c r="F131" s="122"/>
      <c r="G131" s="122"/>
      <c r="H131" s="131">
        <f t="shared" si="3"/>
        <v>17.746654450999998</v>
      </c>
      <c r="I131" s="122"/>
      <c r="J131" s="122"/>
      <c r="L131" s="19" t="s">
        <v>89</v>
      </c>
      <c r="M131" s="69">
        <f>[1]!b_stm07_bs(K107,33,L107,1)</f>
        <v>128670523.44</v>
      </c>
      <c r="N131" s="19" t="s">
        <v>90</v>
      </c>
      <c r="O131" s="69">
        <f>[1]!b_stm07_is(K107,13,L107,1)</f>
        <v>429752811.69</v>
      </c>
      <c r="P131" s="129" t="s">
        <v>91</v>
      </c>
      <c r="Q131" s="122"/>
      <c r="R131" s="122"/>
      <c r="S131" s="134">
        <f>[1]!b_stm07_cs(K107,29,L107,1)</f>
        <v>9170764074.0900002</v>
      </c>
      <c r="T131" s="133"/>
      <c r="U131" s="133"/>
    </row>
    <row r="132" spans="1:21" x14ac:dyDescent="0.25">
      <c r="L132" s="19" t="s">
        <v>92</v>
      </c>
      <c r="M132" s="69">
        <f>[1]!b_stm07_bs(K107,37,L107,1)</f>
        <v>33638686.789999999</v>
      </c>
      <c r="N132" s="19" t="s">
        <v>93</v>
      </c>
      <c r="O132" s="69">
        <f>[1]!b_stm07_is(K107,14,L107,1)</f>
        <v>-14749181.279999999</v>
      </c>
      <c r="P132" s="129" t="s">
        <v>94</v>
      </c>
      <c r="Q132" s="122"/>
      <c r="R132" s="122"/>
      <c r="S132" s="135">
        <f>[1]!b_stm07_cs(K107,37,L107,1)</f>
        <v>11746222248.110001</v>
      </c>
      <c r="T132" s="133"/>
      <c r="U132" s="133"/>
    </row>
    <row r="133" spans="1:21" x14ac:dyDescent="0.25">
      <c r="L133" s="19" t="s">
        <v>95</v>
      </c>
      <c r="M133" s="71">
        <f>[1]!b_stm07_bs(K107,74,L107,1)</f>
        <v>10143590866.83</v>
      </c>
      <c r="N133" s="19" t="s">
        <v>96</v>
      </c>
      <c r="O133" s="69">
        <f>[1]!b_stm07_is(K107,48,L107,1)</f>
        <v>520008236.42000002</v>
      </c>
      <c r="P133" s="129" t="s">
        <v>97</v>
      </c>
      <c r="Q133" s="122"/>
      <c r="R133" s="122"/>
      <c r="S133" s="135">
        <f>[1]!b_stm07_cs(K107,39,L107,1)</f>
        <v>-847068389.85000002</v>
      </c>
      <c r="T133" s="133"/>
      <c r="U133" s="133"/>
    </row>
    <row r="134" spans="1:21" x14ac:dyDescent="0.25">
      <c r="L134" s="19" t="s">
        <v>98</v>
      </c>
      <c r="M134" s="69">
        <f>[1]!b_stm07_bs(K107,75,L107,1)</f>
        <v>1586044199.6600001</v>
      </c>
      <c r="N134" s="19" t="s">
        <v>99</v>
      </c>
      <c r="O134" s="69">
        <f>[1]!b_stm07_is(K107,55,L107,1)</f>
        <v>537574016.46000004</v>
      </c>
      <c r="P134" s="129" t="s">
        <v>100</v>
      </c>
      <c r="Q134" s="122"/>
      <c r="R134" s="122"/>
      <c r="S134" s="135">
        <f>[1]!b_stm07_cs(K107,59,L107,1)</f>
        <v>-560526570.89999998</v>
      </c>
      <c r="T134" s="133"/>
      <c r="U134" s="133"/>
    </row>
    <row r="135" spans="1:21" ht="32.4" customHeight="1" x14ac:dyDescent="0.25">
      <c r="L135" s="19" t="s">
        <v>101</v>
      </c>
      <c r="M135" s="69">
        <f>[1]!b_stm07_bs(K107,88,L107,1)</f>
        <v>170488622.53999999</v>
      </c>
      <c r="N135" s="19" t="s">
        <v>43</v>
      </c>
      <c r="O135" s="69">
        <f>[1]!b_stm07_is(K107,60,L107,1)</f>
        <v>403922168.44</v>
      </c>
      <c r="P135" s="129" t="s">
        <v>102</v>
      </c>
      <c r="Q135" s="122"/>
      <c r="R135" s="122"/>
      <c r="S135" s="134">
        <f>[1]!b_stm07_cs(K107,60,L107,1)</f>
        <v>105838600</v>
      </c>
      <c r="T135" s="133"/>
      <c r="U135" s="133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9" t="s">
        <v>104</v>
      </c>
      <c r="Q136" s="122"/>
      <c r="R136" s="122"/>
      <c r="S136" s="134">
        <f>[1]!b_stm07_cs(K107,61,L107,1)</f>
        <v>2717960650.4099998</v>
      </c>
      <c r="T136" s="133"/>
      <c r="U136" s="133"/>
    </row>
    <row r="137" spans="1:21" x14ac:dyDescent="0.25">
      <c r="L137" s="19" t="s">
        <v>105</v>
      </c>
      <c r="M137" s="69">
        <f>[1]!b_stm07_bs(K107,94,L107,1)</f>
        <v>0</v>
      </c>
      <c r="N137" s="19"/>
      <c r="O137" s="34"/>
      <c r="P137" s="129" t="s">
        <v>106</v>
      </c>
      <c r="Q137" s="122"/>
      <c r="R137" s="122"/>
      <c r="S137" s="134">
        <f>[1]!b_stm07_cs(K107,63,L107,1)</f>
        <v>0</v>
      </c>
      <c r="T137" s="133"/>
      <c r="U137" s="133"/>
    </row>
    <row r="138" spans="1:21" x14ac:dyDescent="0.25">
      <c r="L138" s="19" t="s">
        <v>107</v>
      </c>
      <c r="M138" s="69">
        <f>[1]!b_stm07_bs(K107,95,L107,1)</f>
        <v>300000000</v>
      </c>
      <c r="N138" s="19"/>
      <c r="O138" s="34"/>
      <c r="P138" s="129" t="s">
        <v>108</v>
      </c>
      <c r="Q138" s="122"/>
      <c r="R138" s="122"/>
      <c r="S138" s="135">
        <f>[1]!b_stm07_cs(K107,68,L107,1)</f>
        <v>2823799250.4099998</v>
      </c>
      <c r="T138" s="133"/>
      <c r="U138" s="133"/>
    </row>
    <row r="139" spans="1:21" x14ac:dyDescent="0.25">
      <c r="L139" s="19" t="s">
        <v>109</v>
      </c>
      <c r="M139" s="71">
        <f>[1]!b_stm07_bs(K107,128,L107,1)</f>
        <v>5352093411.7799997</v>
      </c>
      <c r="N139" s="35"/>
      <c r="O139" s="32"/>
      <c r="P139" s="129" t="s">
        <v>110</v>
      </c>
      <c r="Q139" s="122"/>
      <c r="R139" s="122"/>
      <c r="S139" s="134">
        <f>[1]!b_stm07_cs(K107,69,L107,1)</f>
        <v>936164701.63999999</v>
      </c>
      <c r="T139" s="133"/>
      <c r="U139" s="133"/>
    </row>
    <row r="140" spans="1:21" ht="21.6" customHeight="1" x14ac:dyDescent="0.25">
      <c r="L140" s="19" t="s">
        <v>111</v>
      </c>
      <c r="M140" s="71">
        <f>[1]!b_stm07_bs(K107,141,L107,1)</f>
        <v>4791497455.0500002</v>
      </c>
      <c r="N140" s="35"/>
      <c r="O140" s="32"/>
      <c r="P140" s="129" t="s">
        <v>112</v>
      </c>
      <c r="Q140" s="122"/>
      <c r="R140" s="122"/>
      <c r="S140" s="134">
        <f>[1]!b_stm07_cs(K107,75,L107,1)</f>
        <v>1049133805.3099999</v>
      </c>
      <c r="T140" s="133"/>
      <c r="U140" s="133"/>
    </row>
    <row r="141" spans="1:21" ht="21.6" customHeight="1" x14ac:dyDescent="0.25">
      <c r="L141" s="36" t="s">
        <v>113</v>
      </c>
      <c r="M141" s="71">
        <f>[1]!b_stm07_bs(K107,145,L107,1)</f>
        <v>10143590866.83</v>
      </c>
      <c r="N141" s="35"/>
      <c r="O141" s="32"/>
      <c r="P141" s="129" t="s">
        <v>114</v>
      </c>
      <c r="Q141" s="122"/>
      <c r="R141" s="122"/>
      <c r="S141" s="135">
        <f>[1]!b_stm07_cs(K107,77,L107,1)</f>
        <v>1774665445.0999999</v>
      </c>
      <c r="T141" s="133"/>
      <c r="U141" s="133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7" t="s">
        <v>1</v>
      </c>
      <c r="B1" s="116"/>
      <c r="C1" s="116"/>
      <c r="D1" s="116"/>
      <c r="E1" s="116"/>
      <c r="F1" s="116"/>
      <c r="G1" s="116"/>
    </row>
    <row r="2" spans="1:12" ht="13.5" customHeight="1" x14ac:dyDescent="0.25">
      <c r="A2" s="95" t="s">
        <v>2</v>
      </c>
      <c r="B2" s="117" t="s">
        <v>198</v>
      </c>
      <c r="C2" s="118"/>
      <c r="D2" s="95" t="s">
        <v>3</v>
      </c>
      <c r="E2" s="117" t="s">
        <v>199</v>
      </c>
      <c r="F2" s="118"/>
      <c r="G2" s="118"/>
    </row>
    <row r="3" spans="1:12" ht="14.25" customHeight="1" x14ac:dyDescent="0.25">
      <c r="A3" s="95" t="s">
        <v>4</v>
      </c>
      <c r="B3" s="117" t="s">
        <v>200</v>
      </c>
      <c r="C3" s="118"/>
      <c r="D3" s="95" t="s">
        <v>5</v>
      </c>
      <c r="E3" s="117" t="s">
        <v>201</v>
      </c>
      <c r="F3" s="118"/>
      <c r="G3" s="118"/>
    </row>
    <row r="4" spans="1:12" ht="113.25" customHeight="1" x14ac:dyDescent="0.25">
      <c r="A4" s="95" t="s">
        <v>6</v>
      </c>
      <c r="B4" s="119" t="s">
        <v>202</v>
      </c>
      <c r="C4" s="118"/>
      <c r="D4" s="118"/>
      <c r="E4" s="118"/>
      <c r="F4" s="118"/>
      <c r="G4" s="118"/>
    </row>
    <row r="5" spans="1:12" ht="14.4" x14ac:dyDescent="0.25">
      <c r="A5" s="100" t="s">
        <v>115</v>
      </c>
      <c r="B5" s="138" t="s">
        <v>203</v>
      </c>
      <c r="C5" s="118"/>
      <c r="D5" s="118"/>
      <c r="E5" s="118"/>
      <c r="F5" s="139" t="s">
        <v>203</v>
      </c>
      <c r="G5" s="118"/>
    </row>
    <row r="6" spans="1:12" ht="11.25" customHeight="1" x14ac:dyDescent="0.25">
      <c r="A6" s="100" t="s">
        <v>116</v>
      </c>
      <c r="B6" s="138" t="s">
        <v>203</v>
      </c>
      <c r="C6" s="118"/>
      <c r="D6" s="118"/>
      <c r="E6" s="118"/>
      <c r="F6" s="139" t="s">
        <v>203</v>
      </c>
      <c r="G6" s="118"/>
    </row>
    <row r="7" spans="1:12" ht="11.25" customHeight="1" x14ac:dyDescent="0.25">
      <c r="A7" s="100" t="s">
        <v>117</v>
      </c>
      <c r="B7" s="138" t="s">
        <v>203</v>
      </c>
      <c r="C7" s="118"/>
      <c r="D7" s="118"/>
      <c r="E7" s="118"/>
      <c r="F7" s="139" t="s">
        <v>203</v>
      </c>
      <c r="G7" s="118"/>
    </row>
    <row r="8" spans="1:12" ht="11.25" customHeight="1" x14ac:dyDescent="0.25">
      <c r="A8" s="100" t="s">
        <v>118</v>
      </c>
      <c r="B8" s="138" t="s">
        <v>203</v>
      </c>
      <c r="C8" s="118"/>
      <c r="D8" s="118"/>
      <c r="E8" s="118"/>
      <c r="F8" s="139" t="s">
        <v>203</v>
      </c>
      <c r="G8" s="118"/>
    </row>
    <row r="9" spans="1:12" ht="11.25" customHeight="1" x14ac:dyDescent="0.25">
      <c r="A9" s="100" t="s">
        <v>119</v>
      </c>
      <c r="B9" s="138" t="s">
        <v>203</v>
      </c>
      <c r="C9" s="118"/>
      <c r="D9" s="118"/>
      <c r="E9" s="118"/>
      <c r="F9" s="139" t="s">
        <v>203</v>
      </c>
      <c r="G9" s="118"/>
    </row>
    <row r="11" spans="1:12" ht="14.4" customHeight="1" x14ac:dyDescent="0.25">
      <c r="A11" s="140" t="s">
        <v>120</v>
      </c>
      <c r="B11" s="118"/>
      <c r="C11" s="118"/>
      <c r="D11" s="118"/>
      <c r="E11" s="118"/>
      <c r="F11" s="118"/>
      <c r="G11" s="118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4.7</v>
      </c>
      <c r="E13" s="40">
        <v>2.6794520547945204</v>
      </c>
      <c r="F13" s="47" t="s">
        <v>25</v>
      </c>
      <c r="G13" s="40">
        <v>3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4.92</v>
      </c>
      <c r="E14" s="41">
        <v>2.4356164383561643</v>
      </c>
      <c r="F14" t="s">
        <v>25</v>
      </c>
      <c r="G14" s="40">
        <v>4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40">
        <v>4.84</v>
      </c>
      <c r="E15" s="41">
        <v>0</v>
      </c>
      <c r="F15" t="s">
        <v>204</v>
      </c>
      <c r="G15" s="40">
        <v>3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40">
        <v>4.8</v>
      </c>
      <c r="E16" s="41">
        <v>0.95355191256830596</v>
      </c>
      <c r="F16" t="s">
        <v>25</v>
      </c>
      <c r="G16" s="40">
        <v>3</v>
      </c>
    </row>
    <row r="17" spans="1:7" ht="14.4" customHeight="1" x14ac:dyDescent="0.25">
      <c r="D17" s="40"/>
      <c r="E17" s="41"/>
      <c r="G17" s="40"/>
    </row>
    <row r="18" spans="1:7" ht="14.4" customHeight="1" x14ac:dyDescent="0.25">
      <c r="D18" s="40"/>
      <c r="E18" s="41"/>
      <c r="G18" s="40"/>
    </row>
    <row r="19" spans="1:7" ht="14.4" customHeight="1" x14ac:dyDescent="0.25">
      <c r="D19" s="40"/>
      <c r="E19" s="41"/>
      <c r="G19" s="40"/>
    </row>
    <row r="20" spans="1:7" ht="14.4" customHeight="1" x14ac:dyDescent="0.25">
      <c r="D20" s="40"/>
      <c r="E20" s="41"/>
      <c r="G20" s="40"/>
    </row>
    <row r="21" spans="1:7" ht="14.4" customHeight="1" x14ac:dyDescent="0.25">
      <c r="D21" s="40"/>
      <c r="E21" s="41"/>
      <c r="G21" s="40"/>
    </row>
    <row r="22" spans="1:7" ht="14.4" customHeight="1" x14ac:dyDescent="0.25">
      <c r="A22" s="141" t="s">
        <v>133</v>
      </c>
      <c r="B22" s="141"/>
      <c r="C22" s="141"/>
      <c r="D22" s="141"/>
      <c r="E22" s="41"/>
      <c r="G22" s="40"/>
    </row>
    <row r="23" spans="1:7" ht="14.4" customHeight="1" x14ac:dyDescent="0.25">
      <c r="A23" s="101" t="s">
        <v>134</v>
      </c>
      <c r="B23" s="101" t="s">
        <v>135</v>
      </c>
      <c r="C23" s="101" t="s">
        <v>136</v>
      </c>
      <c r="D23" s="102" t="s">
        <v>137</v>
      </c>
      <c r="E23" s="41"/>
      <c r="G23" s="40"/>
    </row>
    <row r="24" spans="1:7" ht="14.4" customHeight="1" x14ac:dyDescent="0.25">
      <c r="A24" t="s">
        <v>138</v>
      </c>
      <c r="B24" t="s">
        <v>25</v>
      </c>
      <c r="C24" t="s">
        <v>139</v>
      </c>
      <c r="D24" s="40" t="s">
        <v>140</v>
      </c>
      <c r="E24" s="41"/>
      <c r="G24" s="40"/>
    </row>
    <row r="25" spans="1:7" ht="14.4" customHeight="1" x14ac:dyDescent="0.25">
      <c r="A25" t="s">
        <v>141</v>
      </c>
      <c r="B25" t="s">
        <v>25</v>
      </c>
      <c r="C25" t="s">
        <v>139</v>
      </c>
      <c r="D25" s="40" t="s">
        <v>142</v>
      </c>
      <c r="E25" s="41"/>
      <c r="G25" s="40"/>
    </row>
    <row r="26" spans="1:7" ht="14.4" customHeight="1" x14ac:dyDescent="0.25">
      <c r="A26" t="s">
        <v>143</v>
      </c>
      <c r="B26" t="s">
        <v>25</v>
      </c>
      <c r="C26" t="s">
        <v>139</v>
      </c>
      <c r="D26" s="40" t="s">
        <v>140</v>
      </c>
      <c r="E26" s="41"/>
      <c r="G26" s="40"/>
    </row>
    <row r="27" spans="1:7" ht="14.4" customHeight="1" x14ac:dyDescent="0.25">
      <c r="A27" t="s">
        <v>144</v>
      </c>
      <c r="B27" t="s">
        <v>25</v>
      </c>
      <c r="C27" t="s">
        <v>139</v>
      </c>
      <c r="D27" s="40" t="s">
        <v>142</v>
      </c>
      <c r="E27" s="41"/>
      <c r="G27" s="40"/>
    </row>
    <row r="28" spans="1:7" ht="14.4" customHeight="1" x14ac:dyDescent="0.25">
      <c r="A28" t="s">
        <v>145</v>
      </c>
      <c r="B28" t="s">
        <v>25</v>
      </c>
      <c r="C28" t="s">
        <v>139</v>
      </c>
      <c r="D28" s="40" t="s">
        <v>140</v>
      </c>
      <c r="E28" s="41"/>
      <c r="G28" s="40"/>
    </row>
    <row r="29" spans="1:7" ht="14.4" customHeight="1" x14ac:dyDescent="0.25">
      <c r="A29" t="s">
        <v>146</v>
      </c>
      <c r="B29" t="s">
        <v>25</v>
      </c>
      <c r="C29" t="s">
        <v>139</v>
      </c>
      <c r="D29" s="40" t="s">
        <v>142</v>
      </c>
      <c r="E29" s="41"/>
      <c r="G29" s="40"/>
    </row>
    <row r="30" spans="1:7" ht="14.4" customHeight="1" x14ac:dyDescent="0.25">
      <c r="A30" t="s">
        <v>147</v>
      </c>
      <c r="B30" t="s">
        <v>25</v>
      </c>
      <c r="C30" t="s">
        <v>139</v>
      </c>
      <c r="D30" s="40" t="s">
        <v>142</v>
      </c>
      <c r="E30" s="41"/>
      <c r="G30" s="40"/>
    </row>
    <row r="31" spans="1:7" ht="14.4" customHeight="1" x14ac:dyDescent="0.25">
      <c r="A31" t="s">
        <v>148</v>
      </c>
      <c r="B31" t="s">
        <v>25</v>
      </c>
      <c r="C31" t="s">
        <v>139</v>
      </c>
      <c r="D31" s="40" t="s">
        <v>140</v>
      </c>
      <c r="E31" s="41"/>
      <c r="G31" s="40"/>
    </row>
    <row r="32" spans="1:7" ht="14.4" customHeight="1" x14ac:dyDescent="0.25">
      <c r="A32" t="s">
        <v>149</v>
      </c>
      <c r="B32" t="s">
        <v>25</v>
      </c>
      <c r="C32" t="s">
        <v>139</v>
      </c>
      <c r="D32" s="40" t="s">
        <v>140</v>
      </c>
      <c r="E32" s="41"/>
      <c r="G32" s="40"/>
    </row>
    <row r="33" spans="4:7" ht="14.4" customHeight="1" x14ac:dyDescent="0.25">
      <c r="D33" s="40"/>
      <c r="E33" s="41"/>
      <c r="G33" s="40"/>
    </row>
    <row r="34" spans="4:7" ht="14.4" customHeight="1" x14ac:dyDescent="0.25">
      <c r="D34" s="40"/>
      <c r="E34" s="41"/>
      <c r="G34" s="40"/>
    </row>
    <row r="35" spans="4:7" ht="14.4" customHeight="1" x14ac:dyDescent="0.25">
      <c r="D35" s="40"/>
      <c r="E35" s="41"/>
      <c r="G35" s="40"/>
    </row>
    <row r="36" spans="4:7" ht="14.4" customHeight="1" x14ac:dyDescent="0.25">
      <c r="D36" s="40"/>
      <c r="E36" s="41"/>
      <c r="G36" s="40"/>
    </row>
    <row r="37" spans="4:7" ht="14.4" customHeight="1" x14ac:dyDescent="0.25">
      <c r="D37" s="40"/>
      <c r="E37" s="41"/>
      <c r="G37" s="40"/>
    </row>
    <row r="38" spans="4:7" ht="14.4" customHeight="1" x14ac:dyDescent="0.25">
      <c r="D38" s="40"/>
      <c r="E38" s="41"/>
      <c r="G38" s="40"/>
    </row>
    <row r="39" spans="4:7" ht="14.4" customHeight="1" x14ac:dyDescent="0.25">
      <c r="D39" s="40"/>
      <c r="E39" s="41"/>
      <c r="G39" s="40"/>
    </row>
    <row r="40" spans="4:7" ht="14.4" customHeight="1" x14ac:dyDescent="0.25">
      <c r="D40" s="40"/>
      <c r="E40" s="41"/>
      <c r="G40" s="40"/>
    </row>
    <row r="41" spans="4:7" ht="14.4" customHeight="1" x14ac:dyDescent="0.25">
      <c r="D41" s="40"/>
      <c r="E41" s="41"/>
      <c r="G41" s="40"/>
    </row>
    <row r="42" spans="4:7" ht="14.4" customHeight="1" x14ac:dyDescent="0.25">
      <c r="D42" s="40"/>
      <c r="E42" s="41"/>
      <c r="G42" s="40"/>
    </row>
    <row r="43" spans="4:7" ht="14.4" customHeight="1" x14ac:dyDescent="0.25">
      <c r="D43" s="40"/>
      <c r="E43" s="41"/>
      <c r="G43" s="40"/>
    </row>
    <row r="44" spans="4:7" ht="14.4" customHeight="1" x14ac:dyDescent="0.25">
      <c r="D44" s="40"/>
      <c r="E44" s="41"/>
      <c r="G44" s="40"/>
    </row>
    <row r="45" spans="4:7" ht="14.4" customHeight="1" x14ac:dyDescent="0.25">
      <c r="D45" s="40"/>
      <c r="E45" s="41"/>
      <c r="G45" s="40"/>
    </row>
    <row r="46" spans="4:7" ht="14.4" customHeight="1" x14ac:dyDescent="0.25">
      <c r="D46" s="40"/>
      <c r="E46" s="41"/>
      <c r="G46" s="40"/>
    </row>
    <row r="47" spans="4:7" ht="14.4" customHeight="1" x14ac:dyDescent="0.25">
      <c r="D47" s="40"/>
      <c r="E47" s="41"/>
      <c r="G47" s="40"/>
    </row>
    <row r="48" spans="4:7" ht="14.4" customHeight="1" x14ac:dyDescent="0.25">
      <c r="D48" s="40"/>
      <c r="E48" s="41"/>
      <c r="G48" s="40"/>
    </row>
    <row r="49" spans="4:7" ht="14.4" customHeight="1" x14ac:dyDescent="0.25">
      <c r="D49" s="40"/>
      <c r="E49" s="41"/>
      <c r="G49" s="40"/>
    </row>
    <row r="50" spans="4:7" ht="14.4" customHeight="1" x14ac:dyDescent="0.25">
      <c r="D50" s="40"/>
      <c r="E50" s="41"/>
      <c r="G50" s="40"/>
    </row>
    <row r="51" spans="4:7" ht="14.4" customHeight="1" x14ac:dyDescent="0.25">
      <c r="D51" s="40"/>
      <c r="E51" s="41"/>
      <c r="G51" s="40"/>
    </row>
    <row r="52" spans="4:7" ht="14.4" customHeight="1" x14ac:dyDescent="0.25">
      <c r="D52" s="40"/>
      <c r="E52" s="41"/>
      <c r="G52" s="40"/>
    </row>
    <row r="53" spans="4:7" ht="14.4" customHeight="1" x14ac:dyDescent="0.25">
      <c r="D53" s="40"/>
      <c r="E53" s="41"/>
      <c r="G53" s="40"/>
    </row>
    <row r="54" spans="4:7" ht="14.4" customHeight="1" x14ac:dyDescent="0.25">
      <c r="D54" s="40"/>
      <c r="E54" s="41"/>
      <c r="G54" s="40"/>
    </row>
    <row r="55" spans="4:7" ht="14.4" customHeight="1" x14ac:dyDescent="0.25">
      <c r="D55" s="40"/>
      <c r="E55" s="41"/>
      <c r="G55" s="40"/>
    </row>
    <row r="56" spans="4:7" ht="14.4" customHeight="1" x14ac:dyDescent="0.25">
      <c r="D56" s="40"/>
      <c r="E56" s="41"/>
      <c r="G56" s="40"/>
    </row>
    <row r="57" spans="4:7" ht="14.4" customHeight="1" x14ac:dyDescent="0.25">
      <c r="D57" s="40"/>
      <c r="E57" s="41"/>
      <c r="G57" s="40"/>
    </row>
    <row r="58" spans="4:7" ht="14.4" customHeight="1" x14ac:dyDescent="0.25">
      <c r="D58" s="40"/>
      <c r="E58" s="41"/>
      <c r="G58" s="40"/>
    </row>
    <row r="59" spans="4:7" ht="14.4" customHeight="1" x14ac:dyDescent="0.25">
      <c r="D59" s="40"/>
      <c r="E59" s="41"/>
      <c r="G59" s="40"/>
    </row>
    <row r="60" spans="4:7" ht="14.4" customHeight="1" x14ac:dyDescent="0.25">
      <c r="D60" s="40"/>
      <c r="E60" s="41"/>
      <c r="G60" s="40"/>
    </row>
    <row r="61" spans="4:7" ht="14.4" customHeight="1" x14ac:dyDescent="0.25">
      <c r="D61" s="40"/>
      <c r="E61" s="41"/>
      <c r="G61" s="40"/>
    </row>
    <row r="62" spans="4:7" ht="14.4" customHeight="1" x14ac:dyDescent="0.25">
      <c r="D62" s="40"/>
      <c r="E62" s="41"/>
      <c r="G62" s="40"/>
    </row>
    <row r="63" spans="4:7" ht="14.4" customHeight="1" x14ac:dyDescent="0.25">
      <c r="D63" s="40"/>
      <c r="E63" s="41"/>
      <c r="G63" s="40"/>
    </row>
    <row r="64" spans="4:7" ht="14.4" customHeight="1" x14ac:dyDescent="0.25">
      <c r="D64" s="40"/>
      <c r="E64" s="41"/>
      <c r="G64" s="40"/>
    </row>
    <row r="65" spans="1:7" ht="14.4" customHeight="1" x14ac:dyDescent="0.25">
      <c r="D65" s="40"/>
      <c r="E65" s="41"/>
      <c r="G65" s="40"/>
    </row>
    <row r="66" spans="1:7" ht="14.4" customHeight="1" x14ac:dyDescent="0.25">
      <c r="D66" s="40"/>
      <c r="E66" s="41"/>
      <c r="G66" s="40"/>
    </row>
    <row r="67" spans="1:7" ht="14.4" customHeight="1" x14ac:dyDescent="0.25">
      <c r="D67" s="40"/>
      <c r="E67" s="41"/>
      <c r="G67" s="40"/>
    </row>
    <row r="68" spans="1:7" ht="14.4" customHeight="1" x14ac:dyDescent="0.25">
      <c r="D68" s="40"/>
      <c r="E68" s="41"/>
      <c r="G68" s="40"/>
    </row>
    <row r="69" spans="1:7" ht="14.4" customHeight="1" x14ac:dyDescent="0.25">
      <c r="D69" s="40"/>
      <c r="E69" s="41"/>
      <c r="G69" s="40"/>
    </row>
    <row r="70" spans="1:7" ht="14.4" customHeight="1" x14ac:dyDescent="0.25">
      <c r="D70" s="40"/>
      <c r="E70" s="41"/>
      <c r="G70" s="40"/>
    </row>
    <row r="71" spans="1:7" ht="14.4" customHeight="1" x14ac:dyDescent="0.25">
      <c r="D71" s="40"/>
      <c r="E71" s="41"/>
      <c r="G71" s="40"/>
    </row>
    <row r="72" spans="1:7" ht="14.4" customHeight="1" x14ac:dyDescent="0.25">
      <c r="A72" t="s">
        <v>150</v>
      </c>
      <c r="D72" s="40"/>
      <c r="E72" s="41"/>
      <c r="G72" s="40"/>
    </row>
    <row r="73" spans="1:7" ht="14.4" customHeight="1" x14ac:dyDescent="0.25">
      <c r="D73" s="40"/>
      <c r="E73" s="41"/>
      <c r="G73" s="40"/>
    </row>
    <row r="74" spans="1:7" ht="14.4" customHeight="1" x14ac:dyDescent="0.25">
      <c r="D74" s="40"/>
      <c r="E74" s="41"/>
      <c r="G74" s="40"/>
    </row>
    <row r="75" spans="1:7" ht="14.4" customHeight="1" x14ac:dyDescent="0.25">
      <c r="D75" s="40"/>
      <c r="E75" s="41"/>
      <c r="G75" s="40"/>
    </row>
    <row r="76" spans="1:7" ht="14.4" customHeight="1" x14ac:dyDescent="0.25">
      <c r="D76" s="40"/>
      <c r="E76" s="41"/>
      <c r="G76" s="40"/>
    </row>
    <row r="77" spans="1:7" ht="14.4" customHeight="1" x14ac:dyDescent="0.25">
      <c r="D77" s="40"/>
      <c r="E77" s="41"/>
      <c r="G77" s="40"/>
    </row>
    <row r="78" spans="1:7" ht="14.4" customHeight="1" x14ac:dyDescent="0.25">
      <c r="D78" s="40"/>
      <c r="E78" s="41"/>
      <c r="G78" s="40"/>
    </row>
    <row r="79" spans="1:7" ht="14.4" customHeight="1" x14ac:dyDescent="0.25">
      <c r="D79" s="40"/>
      <c r="E79" s="41"/>
      <c r="G79" s="40"/>
    </row>
    <row r="80" spans="1:7" ht="14.4" customHeight="1" x14ac:dyDescent="0.25">
      <c r="D80" s="40"/>
      <c r="E80" s="41"/>
      <c r="G80" s="40"/>
    </row>
    <row r="81" spans="4:7" ht="14.4" customHeight="1" x14ac:dyDescent="0.25">
      <c r="D81" s="40"/>
      <c r="E81" s="41"/>
      <c r="G81" s="40"/>
    </row>
    <row r="82" spans="4:7" ht="14.4" customHeight="1" x14ac:dyDescent="0.25">
      <c r="D82" s="40"/>
      <c r="E82" s="41"/>
      <c r="G82" s="40"/>
    </row>
    <row r="83" spans="4:7" ht="14.4" customHeight="1" x14ac:dyDescent="0.25">
      <c r="D83" s="40"/>
      <c r="E83" s="41"/>
      <c r="G83" s="40"/>
    </row>
    <row r="84" spans="4:7" ht="14.4" customHeight="1" x14ac:dyDescent="0.25">
      <c r="D84" s="40"/>
      <c r="E84" s="41"/>
      <c r="G84" s="40"/>
    </row>
    <row r="85" spans="4:7" ht="14.4" customHeight="1" x14ac:dyDescent="0.25">
      <c r="D85" s="40"/>
      <c r="E85" s="41"/>
      <c r="G85" s="40"/>
    </row>
    <row r="86" spans="4:7" ht="14.4" customHeight="1" x14ac:dyDescent="0.25">
      <c r="D86" s="40"/>
      <c r="E86" s="41"/>
      <c r="G86" s="40"/>
    </row>
    <row r="87" spans="4:7" ht="14.4" customHeight="1" x14ac:dyDescent="0.25">
      <c r="D87" s="40"/>
      <c r="E87" s="41"/>
      <c r="G87" s="40"/>
    </row>
    <row r="88" spans="4:7" ht="14.4" customHeight="1" x14ac:dyDescent="0.25">
      <c r="D88" s="40"/>
      <c r="E88" s="41"/>
      <c r="G88" s="40"/>
    </row>
    <row r="89" spans="4:7" ht="14.4" customHeight="1" x14ac:dyDescent="0.25">
      <c r="D89" s="40"/>
      <c r="E89" s="41"/>
      <c r="G89" s="40"/>
    </row>
    <row r="90" spans="4:7" ht="14.4" customHeight="1" x14ac:dyDescent="0.25">
      <c r="D90" s="40"/>
      <c r="E90" s="41"/>
      <c r="G90" s="40"/>
    </row>
    <row r="91" spans="4:7" ht="14.4" customHeight="1" x14ac:dyDescent="0.25">
      <c r="D91" s="40"/>
      <c r="E91" s="41"/>
      <c r="G91" s="40"/>
    </row>
    <row r="92" spans="4:7" ht="14.4" customHeight="1" x14ac:dyDescent="0.25">
      <c r="D92" s="40"/>
      <c r="E92" s="41"/>
      <c r="G92" s="40"/>
    </row>
    <row r="93" spans="4:7" ht="14.4" customHeight="1" x14ac:dyDescent="0.25">
      <c r="D93" s="40"/>
      <c r="E93" s="41"/>
      <c r="G93" s="40"/>
    </row>
    <row r="94" spans="4:7" ht="14.4" customHeight="1" x14ac:dyDescent="0.25">
      <c r="D94" s="40"/>
      <c r="E94" s="41"/>
      <c r="G94" s="40"/>
    </row>
    <row r="95" spans="4:7" ht="14.4" customHeight="1" x14ac:dyDescent="0.25">
      <c r="D95" s="40"/>
      <c r="E95" s="41"/>
      <c r="G95" s="40"/>
    </row>
    <row r="96" spans="4:7" ht="14.4" customHeight="1" x14ac:dyDescent="0.25">
      <c r="D96" s="40"/>
      <c r="E96" s="41"/>
      <c r="G96" s="40"/>
    </row>
    <row r="97" spans="4:7" ht="14.4" customHeight="1" x14ac:dyDescent="0.25">
      <c r="D97" s="40"/>
      <c r="E97" s="41"/>
      <c r="G97" s="40"/>
    </row>
    <row r="98" spans="4:7" ht="14.4" customHeight="1" x14ac:dyDescent="0.25">
      <c r="D98" s="40"/>
      <c r="E98" s="41"/>
      <c r="G98" s="40"/>
    </row>
    <row r="99" spans="4:7" ht="14.4" customHeight="1" x14ac:dyDescent="0.25">
      <c r="D99" s="40"/>
      <c r="E99" s="41"/>
      <c r="G99" s="40"/>
    </row>
    <row r="100" spans="4:7" ht="14.4" customHeight="1" x14ac:dyDescent="0.25">
      <c r="D100" s="40"/>
      <c r="E100" s="41"/>
      <c r="G100" s="40"/>
    </row>
    <row r="101" spans="4:7" ht="14.4" customHeight="1" x14ac:dyDescent="0.25">
      <c r="D101" s="40"/>
      <c r="E101" s="41"/>
      <c r="G101" s="40"/>
    </row>
    <row r="102" spans="4:7" ht="14.4" customHeight="1" x14ac:dyDescent="0.25">
      <c r="D102" s="40"/>
      <c r="E102" s="41"/>
      <c r="G102" s="40"/>
    </row>
    <row r="103" spans="4:7" ht="14.4" customHeight="1" x14ac:dyDescent="0.25">
      <c r="D103" s="40"/>
      <c r="E103" s="41"/>
      <c r="G103" s="40"/>
    </row>
    <row r="104" spans="4:7" ht="14.4" customHeight="1" x14ac:dyDescent="0.25">
      <c r="D104" s="40"/>
      <c r="E104" s="41"/>
      <c r="G104" s="40"/>
    </row>
    <row r="105" spans="4:7" ht="14.4" customHeight="1" x14ac:dyDescent="0.25">
      <c r="D105" s="40"/>
      <c r="E105" s="41"/>
      <c r="G105" s="40"/>
    </row>
    <row r="106" spans="4:7" ht="14.4" customHeight="1" x14ac:dyDescent="0.25">
      <c r="D106" s="40"/>
      <c r="E106" s="41"/>
      <c r="G106" s="40"/>
    </row>
    <row r="107" spans="4:7" ht="14.4" customHeight="1" x14ac:dyDescent="0.25">
      <c r="D107" s="40"/>
      <c r="E107" s="41"/>
      <c r="G107" s="40"/>
    </row>
    <row r="108" spans="4:7" ht="14.4" customHeight="1" x14ac:dyDescent="0.25">
      <c r="D108" s="40"/>
      <c r="E108" s="41"/>
      <c r="G108" s="40"/>
    </row>
    <row r="109" spans="4:7" ht="14.4" customHeight="1" x14ac:dyDescent="0.25">
      <c r="D109" s="40"/>
      <c r="E109" s="41"/>
      <c r="G109" s="40"/>
    </row>
    <row r="110" spans="4:7" ht="14.4" customHeight="1" x14ac:dyDescent="0.25">
      <c r="D110" s="40"/>
      <c r="E110" s="41"/>
      <c r="G110" s="40"/>
    </row>
    <row r="111" spans="4:7" ht="14.4" customHeight="1" x14ac:dyDescent="0.25">
      <c r="D111" s="40"/>
      <c r="E111" s="41"/>
      <c r="G111" s="40"/>
    </row>
    <row r="112" spans="4:7" ht="14.4" customHeight="1" x14ac:dyDescent="0.25">
      <c r="D112" s="40"/>
      <c r="E112" s="41"/>
      <c r="G112" s="40"/>
    </row>
    <row r="113" spans="4:7" ht="14.4" customHeight="1" x14ac:dyDescent="0.25">
      <c r="D113" s="40"/>
      <c r="E113" s="41"/>
      <c r="G113" s="40"/>
    </row>
    <row r="114" spans="4:7" ht="14.4" customHeight="1" x14ac:dyDescent="0.25">
      <c r="D114" s="40"/>
      <c r="E114" s="41"/>
      <c r="G114" s="40"/>
    </row>
    <row r="115" spans="4:7" ht="14.4" customHeight="1" x14ac:dyDescent="0.25">
      <c r="D115" s="40"/>
      <c r="E115" s="41"/>
      <c r="G115" s="40"/>
    </row>
    <row r="116" spans="4:7" ht="14.4" customHeight="1" x14ac:dyDescent="0.25">
      <c r="D116" s="40"/>
      <c r="E116" s="41"/>
      <c r="G116" s="40"/>
    </row>
    <row r="117" spans="4:7" ht="14.4" customHeight="1" x14ac:dyDescent="0.25">
      <c r="D117" s="40"/>
      <c r="E117" s="41"/>
      <c r="G117" s="40"/>
    </row>
    <row r="118" spans="4:7" ht="14.4" customHeight="1" x14ac:dyDescent="0.25">
      <c r="D118" s="40"/>
      <c r="E118" s="41"/>
      <c r="G118" s="40"/>
    </row>
    <row r="119" spans="4:7" ht="14.4" customHeight="1" x14ac:dyDescent="0.25">
      <c r="D119" s="40"/>
      <c r="E119" s="41"/>
      <c r="G119" s="40"/>
    </row>
    <row r="120" spans="4:7" ht="14.4" customHeight="1" x14ac:dyDescent="0.25">
      <c r="D120" s="40"/>
      <c r="E120" s="41"/>
      <c r="G120" s="40"/>
    </row>
    <row r="121" spans="4:7" ht="14.4" customHeight="1" x14ac:dyDescent="0.25">
      <c r="D121" s="40"/>
      <c r="E121" s="41"/>
      <c r="G121" s="40"/>
    </row>
    <row r="122" spans="4:7" ht="14.4" customHeight="1" x14ac:dyDescent="0.25">
      <c r="D122" s="40"/>
      <c r="E122" s="41"/>
      <c r="G122" s="40"/>
    </row>
    <row r="123" spans="4:7" ht="14.4" customHeight="1" x14ac:dyDescent="0.25">
      <c r="D123" s="40"/>
      <c r="E123" s="41"/>
      <c r="G123" s="40"/>
    </row>
    <row r="124" spans="4:7" ht="14.4" customHeight="1" x14ac:dyDescent="0.25">
      <c r="D124" s="40"/>
      <c r="E124" s="41"/>
      <c r="G124" s="40"/>
    </row>
    <row r="125" spans="4:7" ht="14.4" customHeight="1" x14ac:dyDescent="0.25">
      <c r="D125" s="40"/>
      <c r="E125" s="41"/>
      <c r="G125" s="40"/>
    </row>
    <row r="126" spans="4:7" ht="14.4" customHeight="1" x14ac:dyDescent="0.25">
      <c r="D126" s="40"/>
      <c r="E126" s="41"/>
      <c r="G126" s="40"/>
    </row>
    <row r="127" spans="4:7" ht="14.4" customHeight="1" x14ac:dyDescent="0.25">
      <c r="D127" s="40"/>
      <c r="E127" s="41"/>
      <c r="G127" s="40"/>
    </row>
    <row r="128" spans="4:7" ht="14.4" customHeight="1" x14ac:dyDescent="0.25">
      <c r="D128" s="40"/>
      <c r="E128" s="41"/>
      <c r="G128" s="40"/>
    </row>
    <row r="129" spans="4:7" ht="14.4" customHeight="1" x14ac:dyDescent="0.25">
      <c r="D129" s="40"/>
      <c r="E129" s="41"/>
      <c r="G129" s="40"/>
    </row>
    <row r="130" spans="4:7" ht="14.4" customHeight="1" x14ac:dyDescent="0.25">
      <c r="D130" s="40"/>
      <c r="E130" s="41"/>
      <c r="G130" s="40"/>
    </row>
    <row r="131" spans="4:7" ht="14.4" customHeight="1" x14ac:dyDescent="0.25">
      <c r="D131" s="40"/>
      <c r="E131" s="41"/>
      <c r="G131" s="40"/>
    </row>
    <row r="132" spans="4:7" ht="14.4" customHeight="1" x14ac:dyDescent="0.25">
      <c r="D132" s="40"/>
      <c r="E132" s="41"/>
      <c r="G132" s="40"/>
    </row>
    <row r="133" spans="4:7" ht="14.4" customHeight="1" x14ac:dyDescent="0.25">
      <c r="D133" s="40"/>
      <c r="E133" s="41"/>
      <c r="G133" s="40"/>
    </row>
    <row r="134" spans="4:7" ht="14.4" customHeight="1" x14ac:dyDescent="0.25">
      <c r="D134" s="40"/>
      <c r="E134" s="41"/>
      <c r="G134" s="40"/>
    </row>
    <row r="135" spans="4:7" ht="14.4" customHeight="1" x14ac:dyDescent="0.25">
      <c r="D135" s="40"/>
      <c r="E135" s="41"/>
      <c r="G135" s="40"/>
    </row>
    <row r="136" spans="4:7" ht="14.4" customHeight="1" x14ac:dyDescent="0.25">
      <c r="D136" s="40"/>
      <c r="E136" s="41"/>
      <c r="G136" s="40"/>
    </row>
    <row r="137" spans="4:7" ht="14.4" customHeight="1" x14ac:dyDescent="0.25">
      <c r="D137" s="40"/>
      <c r="E137" s="41"/>
      <c r="G137" s="40"/>
    </row>
    <row r="138" spans="4:7" ht="14.4" customHeight="1" x14ac:dyDescent="0.25">
      <c r="D138" s="40"/>
      <c r="E138" s="41"/>
      <c r="G138" s="40"/>
    </row>
    <row r="139" spans="4:7" ht="14.4" customHeight="1" x14ac:dyDescent="0.25">
      <c r="D139" s="40"/>
      <c r="E139" s="41"/>
      <c r="G139" s="40"/>
    </row>
    <row r="140" spans="4:7" ht="14.4" customHeight="1" x14ac:dyDescent="0.25">
      <c r="D140" s="40"/>
      <c r="E140" s="41"/>
      <c r="G140" s="40"/>
    </row>
    <row r="141" spans="4:7" ht="14.4" customHeight="1" x14ac:dyDescent="0.25">
      <c r="D141" s="40"/>
      <c r="E141" s="41"/>
      <c r="G141" s="40"/>
    </row>
    <row r="142" spans="4:7" ht="14.4" customHeight="1" x14ac:dyDescent="0.25">
      <c r="D142" s="40"/>
      <c r="E142" s="41"/>
      <c r="G142" s="40"/>
    </row>
    <row r="143" spans="4:7" ht="14.4" customHeight="1" x14ac:dyDescent="0.25">
      <c r="D143" s="40"/>
      <c r="E143" s="41"/>
      <c r="G143" s="40"/>
    </row>
    <row r="144" spans="4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22:D2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2" t="s">
        <v>54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140" t="s">
        <v>55</v>
      </c>
      <c r="B2" s="118"/>
      <c r="C2" s="118"/>
      <c r="D2" s="118"/>
      <c r="E2" s="118"/>
      <c r="F2" s="118"/>
      <c r="G2" s="143">
        <v>2017</v>
      </c>
      <c r="H2" s="118"/>
      <c r="I2" s="118"/>
      <c r="J2" s="118"/>
    </row>
    <row r="3" spans="1:10" ht="12.75" customHeight="1" x14ac:dyDescent="0.25">
      <c r="A3" s="140" t="s">
        <v>56</v>
      </c>
      <c r="B3" s="118"/>
      <c r="C3" s="140" t="s">
        <v>57</v>
      </c>
      <c r="D3" s="118"/>
      <c r="E3" s="140" t="s">
        <v>58</v>
      </c>
      <c r="F3" s="118"/>
      <c r="G3" s="140" t="s">
        <v>59</v>
      </c>
      <c r="H3" s="118"/>
      <c r="I3" s="140" t="s">
        <v>60</v>
      </c>
      <c r="J3" s="118"/>
    </row>
    <row r="4" spans="1:10" ht="21.6" customHeight="1" x14ac:dyDescent="0.25">
      <c r="A4" s="95" t="s">
        <v>61</v>
      </c>
      <c r="B4" s="103">
        <v>0.52763300000000002</v>
      </c>
      <c r="C4" s="95" t="s">
        <v>36</v>
      </c>
      <c r="D4" s="104">
        <v>1.5558000000000001</v>
      </c>
      <c r="E4" s="95" t="s">
        <v>41</v>
      </c>
      <c r="F4" s="103">
        <v>1.0114000000000001</v>
      </c>
      <c r="G4" s="95" t="s">
        <v>42</v>
      </c>
      <c r="H4" s="103">
        <v>0.35521399999999997</v>
      </c>
      <c r="I4" s="95"/>
      <c r="J4" s="105"/>
    </row>
    <row r="5" spans="1:10" ht="15.75" customHeight="1" x14ac:dyDescent="0.25">
      <c r="A5" s="95" t="s">
        <v>62</v>
      </c>
      <c r="B5" s="103">
        <v>0.76831100000000008</v>
      </c>
      <c r="C5" s="95" t="s">
        <v>63</v>
      </c>
      <c r="D5" s="104">
        <v>1.1633</v>
      </c>
      <c r="E5" s="95" t="s">
        <v>64</v>
      </c>
      <c r="F5" s="104">
        <v>24.906199999999998</v>
      </c>
      <c r="G5" s="95" t="s">
        <v>65</v>
      </c>
      <c r="H5" s="103">
        <v>0.14894299999999999</v>
      </c>
      <c r="I5" s="95"/>
      <c r="J5" s="105"/>
    </row>
    <row r="6" spans="1:10" ht="15" customHeight="1" x14ac:dyDescent="0.25">
      <c r="A6" s="95" t="s">
        <v>66</v>
      </c>
      <c r="B6" s="103">
        <v>0.93596599999999996</v>
      </c>
      <c r="C6" s="95" t="s">
        <v>39</v>
      </c>
      <c r="D6" s="106">
        <v>0.1195</v>
      </c>
      <c r="E6" s="95" t="s">
        <v>67</v>
      </c>
      <c r="F6" s="104">
        <v>1.2152000000000001</v>
      </c>
      <c r="G6" s="95" t="s">
        <v>45</v>
      </c>
      <c r="H6" s="103">
        <v>6.4037999999999998E-2</v>
      </c>
      <c r="I6" s="95"/>
      <c r="J6" s="105"/>
    </row>
    <row r="7" spans="1:10" ht="14.25" customHeight="1" x14ac:dyDescent="0.25">
      <c r="A7" s="95" t="s">
        <v>38</v>
      </c>
      <c r="B7" s="106">
        <v>0.43444435823211303</v>
      </c>
      <c r="C7" s="95" t="s">
        <v>68</v>
      </c>
      <c r="D7" s="106">
        <v>0</v>
      </c>
      <c r="E7" s="95" t="s">
        <v>69</v>
      </c>
      <c r="F7" s="104">
        <v>0.51659999999999995</v>
      </c>
      <c r="G7" s="95" t="s">
        <v>70</v>
      </c>
      <c r="H7" s="103">
        <v>5.7270000000000001E-2</v>
      </c>
      <c r="I7" s="95"/>
      <c r="J7" s="105"/>
    </row>
    <row r="8" spans="1:10" x14ac:dyDescent="0.25">
      <c r="A8" s="95"/>
      <c r="B8" s="107"/>
      <c r="C8" s="95"/>
      <c r="D8" s="108"/>
      <c r="E8" s="95" t="s">
        <v>71</v>
      </c>
      <c r="F8" s="104">
        <v>0.40849999999999997</v>
      </c>
      <c r="G8" s="95"/>
      <c r="H8" s="107"/>
      <c r="I8" s="95"/>
      <c r="J8" s="107"/>
    </row>
    <row r="9" spans="1:10" ht="13.5" customHeight="1" x14ac:dyDescent="0.25">
      <c r="A9" s="142" t="s">
        <v>72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0" ht="13.5" customHeight="1" x14ac:dyDescent="0.25">
      <c r="A10" s="140" t="s">
        <v>73</v>
      </c>
      <c r="B10" s="118"/>
      <c r="C10" s="118"/>
      <c r="D10" s="118"/>
      <c r="E10" s="118"/>
      <c r="F10" s="118"/>
      <c r="G10" s="144">
        <v>2017</v>
      </c>
      <c r="H10" s="118"/>
      <c r="I10" s="118"/>
      <c r="J10" s="118"/>
    </row>
    <row r="11" spans="1:10" x14ac:dyDescent="0.25">
      <c r="A11" s="140" t="s">
        <v>74</v>
      </c>
      <c r="B11" s="118"/>
      <c r="C11" s="140" t="s">
        <v>75</v>
      </c>
      <c r="D11" s="118"/>
      <c r="E11" s="140" t="s">
        <v>76</v>
      </c>
      <c r="F11" s="118"/>
      <c r="G11" s="118"/>
      <c r="H11" s="118"/>
      <c r="I11" s="118"/>
      <c r="J11" s="118"/>
    </row>
    <row r="12" spans="1:10" ht="14.25" customHeight="1" x14ac:dyDescent="0.25">
      <c r="A12" s="95" t="s">
        <v>77</v>
      </c>
      <c r="B12" s="109">
        <v>19.4525319854</v>
      </c>
      <c r="C12" s="95" t="s">
        <v>78</v>
      </c>
      <c r="D12" s="106">
        <v>34.913270551700002</v>
      </c>
      <c r="E12" s="145" t="s">
        <v>79</v>
      </c>
      <c r="F12" s="118"/>
      <c r="G12" s="118"/>
      <c r="H12" s="146">
        <v>35.312219124099997</v>
      </c>
      <c r="I12" s="118"/>
      <c r="J12" s="118"/>
    </row>
    <row r="13" spans="1:10" ht="14.25" customHeight="1" x14ac:dyDescent="0.25">
      <c r="A13" s="95" t="s">
        <v>80</v>
      </c>
      <c r="B13" s="109">
        <v>1.6960466621000001</v>
      </c>
      <c r="C13" s="95" t="s">
        <v>81</v>
      </c>
      <c r="D13" s="106">
        <v>30.3453106294</v>
      </c>
      <c r="E13" s="145" t="s">
        <v>82</v>
      </c>
      <c r="F13" s="118"/>
      <c r="G13" s="118"/>
      <c r="H13" s="146">
        <v>73.679319458500004</v>
      </c>
      <c r="I13" s="118"/>
      <c r="J13" s="118"/>
    </row>
    <row r="14" spans="1:10" ht="14.25" customHeight="1" x14ac:dyDescent="0.25">
      <c r="A14" s="95" t="s">
        <v>83</v>
      </c>
      <c r="B14" s="109">
        <v>32.575749902699997</v>
      </c>
      <c r="C14" s="95" t="s">
        <v>84</v>
      </c>
      <c r="D14" s="106">
        <v>22.511603842900001</v>
      </c>
      <c r="E14" s="145" t="s">
        <v>85</v>
      </c>
      <c r="F14" s="118"/>
      <c r="G14" s="118"/>
      <c r="H14" s="146">
        <v>108.9915385826</v>
      </c>
      <c r="I14" s="118"/>
      <c r="J14" s="118"/>
    </row>
    <row r="15" spans="1:10" ht="14.25" customHeight="1" x14ac:dyDescent="0.25">
      <c r="A15" s="95" t="s">
        <v>86</v>
      </c>
      <c r="B15" s="109">
        <v>2.3090412280000003</v>
      </c>
      <c r="C15" s="95" t="s">
        <v>87</v>
      </c>
      <c r="D15" s="106">
        <v>3.6112127368999998</v>
      </c>
      <c r="E15" s="145" t="s">
        <v>88</v>
      </c>
      <c r="F15" s="118"/>
      <c r="G15" s="118"/>
      <c r="H15" s="146">
        <v>16.0814785273</v>
      </c>
      <c r="I15" s="118"/>
      <c r="J15" s="118"/>
    </row>
    <row r="16" spans="1:10" ht="14.25" customHeight="1" x14ac:dyDescent="0.25">
      <c r="A16" s="95" t="s">
        <v>89</v>
      </c>
      <c r="B16" s="109">
        <v>1.2867052344000001</v>
      </c>
      <c r="C16" s="95" t="s">
        <v>90</v>
      </c>
      <c r="D16" s="106">
        <v>4.2975281168999997</v>
      </c>
      <c r="E16" s="145" t="s">
        <v>91</v>
      </c>
      <c r="F16" s="118"/>
      <c r="G16" s="118"/>
      <c r="H16" s="146">
        <v>91.707640740900004</v>
      </c>
      <c r="I16" s="118"/>
      <c r="J16" s="118"/>
    </row>
    <row r="17" spans="1:10" ht="14.25" customHeight="1" x14ac:dyDescent="0.25">
      <c r="A17" s="95" t="s">
        <v>92</v>
      </c>
      <c r="B17" s="109">
        <v>0.3363868679</v>
      </c>
      <c r="C17" s="95" t="s">
        <v>93</v>
      </c>
      <c r="D17" s="106">
        <v>-0.14749181279999998</v>
      </c>
      <c r="E17" s="145" t="s">
        <v>94</v>
      </c>
      <c r="F17" s="118"/>
      <c r="G17" s="118"/>
      <c r="H17" s="146">
        <v>117.4622224811</v>
      </c>
      <c r="I17" s="118"/>
      <c r="J17" s="118"/>
    </row>
    <row r="18" spans="1:10" ht="14.25" customHeight="1" x14ac:dyDescent="0.25">
      <c r="A18" s="95" t="s">
        <v>95</v>
      </c>
      <c r="B18" s="109">
        <v>101.4359086683</v>
      </c>
      <c r="C18" s="95" t="s">
        <v>96</v>
      </c>
      <c r="D18" s="106">
        <v>5.2000823642</v>
      </c>
      <c r="E18" s="145" t="s">
        <v>97</v>
      </c>
      <c r="F18" s="118"/>
      <c r="G18" s="118"/>
      <c r="H18" s="146">
        <v>-8.4706838985000008</v>
      </c>
      <c r="I18" s="118"/>
      <c r="J18" s="118"/>
    </row>
    <row r="19" spans="1:10" ht="14.25" customHeight="1" x14ac:dyDescent="0.25">
      <c r="A19" s="95" t="s">
        <v>98</v>
      </c>
      <c r="B19" s="109">
        <v>15.860441996600001</v>
      </c>
      <c r="C19" s="95" t="s">
        <v>99</v>
      </c>
      <c r="D19" s="106">
        <v>5.3757401646000007</v>
      </c>
      <c r="E19" s="145" t="s">
        <v>100</v>
      </c>
      <c r="F19" s="118"/>
      <c r="G19" s="118"/>
      <c r="H19" s="146">
        <v>-5.6052657089999993</v>
      </c>
      <c r="I19" s="118"/>
      <c r="J19" s="118"/>
    </row>
    <row r="20" spans="1:10" ht="27" customHeight="1" x14ac:dyDescent="0.25">
      <c r="A20" s="95" t="s">
        <v>101</v>
      </c>
      <c r="B20" s="109">
        <v>1.7048862253999999</v>
      </c>
      <c r="C20" s="95" t="s">
        <v>43</v>
      </c>
      <c r="D20" s="106">
        <v>4.0392216844000002</v>
      </c>
      <c r="E20" s="145" t="s">
        <v>102</v>
      </c>
      <c r="F20" s="118"/>
      <c r="G20" s="118"/>
      <c r="H20" s="146">
        <v>1.058386</v>
      </c>
      <c r="I20" s="118"/>
      <c r="J20" s="118"/>
    </row>
    <row r="21" spans="1:10" ht="16.5" customHeight="1" x14ac:dyDescent="0.25">
      <c r="A21" s="95" t="s">
        <v>103</v>
      </c>
      <c r="B21" s="109">
        <v>0</v>
      </c>
      <c r="C21" s="95"/>
      <c r="D21" s="110"/>
      <c r="E21" s="145" t="s">
        <v>104</v>
      </c>
      <c r="F21" s="118"/>
      <c r="G21" s="118"/>
      <c r="H21" s="146">
        <v>27.179606504099997</v>
      </c>
      <c r="I21" s="118"/>
      <c r="J21" s="118"/>
    </row>
    <row r="22" spans="1:10" ht="14.25" customHeight="1" x14ac:dyDescent="0.25">
      <c r="A22" s="95" t="s">
        <v>105</v>
      </c>
      <c r="B22" s="109">
        <v>0</v>
      </c>
      <c r="C22" s="95"/>
      <c r="D22" s="110"/>
      <c r="E22" s="145" t="s">
        <v>106</v>
      </c>
      <c r="F22" s="118"/>
      <c r="G22" s="118"/>
      <c r="H22" s="146">
        <v>0</v>
      </c>
      <c r="I22" s="118"/>
      <c r="J22" s="118"/>
    </row>
    <row r="23" spans="1:10" ht="14.25" customHeight="1" x14ac:dyDescent="0.25">
      <c r="A23" s="95" t="s">
        <v>107</v>
      </c>
      <c r="B23" s="109">
        <v>3</v>
      </c>
      <c r="C23" s="95"/>
      <c r="D23" s="110"/>
      <c r="E23" s="145" t="s">
        <v>108</v>
      </c>
      <c r="F23" s="118"/>
      <c r="G23" s="118"/>
      <c r="H23" s="146">
        <v>28.237992504099999</v>
      </c>
      <c r="I23" s="118"/>
      <c r="J23" s="118"/>
    </row>
    <row r="24" spans="1:10" ht="14.25" customHeight="1" x14ac:dyDescent="0.25">
      <c r="A24" s="95" t="s">
        <v>109</v>
      </c>
      <c r="B24" s="109">
        <v>53.520934117799996</v>
      </c>
      <c r="C24" s="111"/>
      <c r="D24" s="108"/>
      <c r="E24" s="145" t="s">
        <v>110</v>
      </c>
      <c r="F24" s="118"/>
      <c r="G24" s="118"/>
      <c r="H24" s="146">
        <v>9.3616470163999992</v>
      </c>
      <c r="I24" s="118"/>
      <c r="J24" s="118"/>
    </row>
    <row r="25" spans="1:10" ht="14.25" customHeight="1" x14ac:dyDescent="0.25">
      <c r="A25" s="95" t="s">
        <v>111</v>
      </c>
      <c r="B25" s="109">
        <v>47.914974550499998</v>
      </c>
      <c r="C25" s="111"/>
      <c r="D25" s="108"/>
      <c r="E25" s="145" t="s">
        <v>112</v>
      </c>
      <c r="F25" s="118"/>
      <c r="G25" s="118"/>
      <c r="H25" s="146">
        <v>10.4913380531</v>
      </c>
      <c r="I25" s="118"/>
      <c r="J25" s="118"/>
    </row>
    <row r="26" spans="1:10" ht="14.25" customHeight="1" x14ac:dyDescent="0.25">
      <c r="A26" s="112" t="s">
        <v>113</v>
      </c>
      <c r="B26" s="109">
        <v>101.4359086683</v>
      </c>
      <c r="C26" s="111"/>
      <c r="D26" s="108"/>
      <c r="E26" s="145" t="s">
        <v>114</v>
      </c>
      <c r="F26" s="118"/>
      <c r="G26" s="118"/>
      <c r="H26" s="146">
        <v>17.746654450999998</v>
      </c>
      <c r="I26" s="118"/>
      <c r="J26" s="118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1" t="s">
        <v>151</v>
      </c>
      <c r="B1" s="122"/>
      <c r="C1" s="122"/>
      <c r="D1" s="122"/>
      <c r="E1" s="122"/>
      <c r="F1" s="122"/>
      <c r="G1" s="122"/>
      <c r="H1" s="122"/>
      <c r="I1" s="122"/>
    </row>
    <row r="2" spans="1:10" ht="46.5" customHeight="1" x14ac:dyDescent="0.25">
      <c r="A2" s="19" t="s">
        <v>22</v>
      </c>
      <c r="B2" s="77" t="s">
        <v>198</v>
      </c>
      <c r="C2" s="77" t="s">
        <v>152</v>
      </c>
      <c r="D2" s="77" t="s">
        <v>205</v>
      </c>
      <c r="E2" s="77" t="s">
        <v>206</v>
      </c>
      <c r="F2" s="77" t="s">
        <v>207</v>
      </c>
      <c r="G2" s="77" t="s">
        <v>208</v>
      </c>
      <c r="H2" s="77" t="s">
        <v>209</v>
      </c>
      <c r="I2" s="77" t="s">
        <v>210</v>
      </c>
      <c r="J2" s="77" t="s">
        <v>211</v>
      </c>
    </row>
    <row r="3" spans="1:10" x14ac:dyDescent="0.25">
      <c r="A3" s="19" t="s">
        <v>24</v>
      </c>
      <c r="B3" s="78" t="s">
        <v>25</v>
      </c>
      <c r="C3" s="86" t="s">
        <v>153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ht="21.6" x14ac:dyDescent="0.25">
      <c r="A4" s="21" t="s">
        <v>3</v>
      </c>
      <c r="B4" s="79" t="s">
        <v>199</v>
      </c>
      <c r="C4" s="86" t="s">
        <v>153</v>
      </c>
      <c r="D4" s="79" t="s">
        <v>212</v>
      </c>
      <c r="E4" s="79" t="s">
        <v>212</v>
      </c>
      <c r="F4" s="79" t="s">
        <v>212</v>
      </c>
      <c r="G4" s="79" t="s">
        <v>212</v>
      </c>
      <c r="H4" s="79" t="s">
        <v>212</v>
      </c>
      <c r="I4" s="79" t="s">
        <v>199</v>
      </c>
      <c r="J4" s="79" t="s">
        <v>212</v>
      </c>
    </row>
    <row r="5" spans="1:10" s="18" customFormat="1" x14ac:dyDescent="0.25">
      <c r="A5" s="21" t="s">
        <v>29</v>
      </c>
      <c r="B5" s="80" t="s">
        <v>30</v>
      </c>
      <c r="C5" s="86" t="s">
        <v>153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101.4359086683</v>
      </c>
      <c r="C6" s="86">
        <v>161.1400249458143</v>
      </c>
      <c r="D6" s="81">
        <v>76.846789174700007</v>
      </c>
      <c r="E6" s="81">
        <v>303.50975134750001</v>
      </c>
      <c r="F6" s="81">
        <v>168.890343677</v>
      </c>
      <c r="G6" s="81">
        <v>237.47795890820001</v>
      </c>
      <c r="H6" s="81">
        <v>133.53200954209998</v>
      </c>
      <c r="I6" s="81">
        <v>158.3162919712</v>
      </c>
      <c r="J6" s="81">
        <v>49.407029999999999</v>
      </c>
    </row>
    <row r="7" spans="1:10" x14ac:dyDescent="0.25">
      <c r="A7" s="19" t="s">
        <v>34</v>
      </c>
      <c r="B7" s="82">
        <v>0.52763300000000002</v>
      </c>
      <c r="C7" s="86">
        <v>0.44489728571428572</v>
      </c>
      <c r="D7" s="82">
        <v>0.260544</v>
      </c>
      <c r="E7" s="82">
        <v>0.59587000000000001</v>
      </c>
      <c r="F7" s="82">
        <v>0.50346499999999994</v>
      </c>
      <c r="G7" s="82">
        <v>0.52742600000000006</v>
      </c>
      <c r="H7" s="82">
        <v>0.41860599999999998</v>
      </c>
      <c r="I7" s="82">
        <v>0.36002899999999999</v>
      </c>
      <c r="J7" s="82">
        <v>0.44834099999999999</v>
      </c>
    </row>
    <row r="8" spans="1:10" x14ac:dyDescent="0.25">
      <c r="A8" s="19" t="s">
        <v>36</v>
      </c>
      <c r="B8" s="81">
        <v>1.5558000000000001</v>
      </c>
      <c r="C8" s="86">
        <v>1.9747571428571429</v>
      </c>
      <c r="D8" s="81">
        <v>2.6543999999999999</v>
      </c>
      <c r="E8" s="81">
        <v>2.0836999999999999</v>
      </c>
      <c r="F8" s="81">
        <v>1.7927999999999999</v>
      </c>
      <c r="G8" s="81">
        <v>1.2143999999999999</v>
      </c>
      <c r="H8" s="81">
        <v>1.9509000000000001</v>
      </c>
      <c r="I8" s="81">
        <v>2.7890000000000001</v>
      </c>
      <c r="J8" s="81">
        <v>1.3381000000000001</v>
      </c>
    </row>
    <row r="9" spans="1:10" x14ac:dyDescent="0.25">
      <c r="A9" s="19" t="s">
        <v>38</v>
      </c>
      <c r="B9" s="78">
        <v>0.43444435823211303</v>
      </c>
      <c r="C9" s="86">
        <v>0.37048791564752098</v>
      </c>
      <c r="D9" s="78">
        <v>0.14418263010734458</v>
      </c>
      <c r="E9" s="78">
        <v>0.67433737794142412</v>
      </c>
      <c r="F9" s="78">
        <v>0.22595817233713192</v>
      </c>
      <c r="G9" s="78">
        <v>0.80985035863482935</v>
      </c>
      <c r="H9" s="78">
        <v>0.20150996305038665</v>
      </c>
      <c r="I9" s="78">
        <v>0.44575546738927796</v>
      </c>
      <c r="J9" s="78">
        <v>9.1821440072251737E-2</v>
      </c>
    </row>
    <row r="10" spans="1:10" ht="21.6" customHeight="1" x14ac:dyDescent="0.25">
      <c r="A10" s="19" t="s">
        <v>39</v>
      </c>
      <c r="B10" s="81">
        <v>0.1195</v>
      </c>
      <c r="C10" s="86">
        <v>9.6842857142857133E-2</v>
      </c>
      <c r="D10" s="81">
        <v>0.11119999999999999</v>
      </c>
      <c r="E10" s="81">
        <v>7.7700000000000005E-2</v>
      </c>
      <c r="F10" s="81">
        <v>0.1061</v>
      </c>
      <c r="G10" s="81">
        <v>8.1799999999999998E-2</v>
      </c>
      <c r="H10" s="81">
        <v>0.16189999999999999</v>
      </c>
      <c r="I10" s="81">
        <v>0.13919999999999999</v>
      </c>
      <c r="J10" s="81">
        <v>0</v>
      </c>
    </row>
    <row r="11" spans="1:10" x14ac:dyDescent="0.25">
      <c r="A11" s="19" t="s">
        <v>40</v>
      </c>
      <c r="B11" s="81">
        <v>34.913270551700002</v>
      </c>
      <c r="C11" s="86">
        <v>113.76851490650002</v>
      </c>
      <c r="D11" s="81">
        <v>17.729103191500002</v>
      </c>
      <c r="E11" s="81">
        <v>318.98379015</v>
      </c>
      <c r="F11" s="81">
        <v>222.68722531290001</v>
      </c>
      <c r="G11" s="81">
        <v>87.41482179270001</v>
      </c>
      <c r="H11" s="81">
        <v>90.870900522399992</v>
      </c>
      <c r="I11" s="81">
        <v>34.208659376</v>
      </c>
      <c r="J11" s="81">
        <v>24.485104</v>
      </c>
    </row>
    <row r="12" spans="1:10" s="18" customFormat="1" x14ac:dyDescent="0.25">
      <c r="A12" s="21" t="s">
        <v>41</v>
      </c>
      <c r="B12" s="83">
        <v>1.0114000000000001</v>
      </c>
      <c r="C12" s="86">
        <v>1.0484285714285713</v>
      </c>
      <c r="D12" s="83">
        <v>1.0125</v>
      </c>
      <c r="E12" s="83">
        <v>1.0570999999999999</v>
      </c>
      <c r="F12" s="83">
        <v>1.0979000000000001</v>
      </c>
      <c r="G12" s="83">
        <v>1.0202</v>
      </c>
      <c r="H12" s="83">
        <v>1.0476000000000001</v>
      </c>
      <c r="I12" s="83">
        <v>1.1456</v>
      </c>
      <c r="J12" s="83">
        <v>0.95810000000000006</v>
      </c>
    </row>
    <row r="13" spans="1:10" s="18" customFormat="1" x14ac:dyDescent="0.25">
      <c r="A13" s="21" t="s">
        <v>42</v>
      </c>
      <c r="B13" s="83">
        <v>0.35521399999999997</v>
      </c>
      <c r="C13" s="86">
        <v>0.2547477142857143</v>
      </c>
      <c r="D13" s="83">
        <v>0.46990999999999999</v>
      </c>
      <c r="E13" s="83">
        <v>7.4753E-2</v>
      </c>
      <c r="F13" s="83">
        <v>8.3687000000000011E-2</v>
      </c>
      <c r="G13" s="83">
        <v>0.17391799999999999</v>
      </c>
      <c r="H13" s="83">
        <v>0.24162099999999997</v>
      </c>
      <c r="I13" s="83">
        <v>0.40789299999999995</v>
      </c>
      <c r="J13" s="83">
        <v>0.33145200000000002</v>
      </c>
    </row>
    <row r="14" spans="1:10" s="18" customFormat="1" x14ac:dyDescent="0.25">
      <c r="A14" s="21" t="s">
        <v>43</v>
      </c>
      <c r="B14" s="84">
        <v>4.0392216844000002</v>
      </c>
      <c r="C14" s="86">
        <v>4.1225249125000003</v>
      </c>
      <c r="D14" s="84">
        <v>0.92415050919999997</v>
      </c>
      <c r="E14" s="84">
        <v>11.5839484154</v>
      </c>
      <c r="F14" s="84">
        <v>5.6354283332000001</v>
      </c>
      <c r="G14" s="84">
        <v>-2.3618158579999999</v>
      </c>
      <c r="H14" s="84">
        <v>7.3627207385000002</v>
      </c>
      <c r="I14" s="84">
        <v>4.2267062492000003</v>
      </c>
      <c r="J14" s="84">
        <v>1.4865360000000001</v>
      </c>
    </row>
    <row r="15" spans="1:10" x14ac:dyDescent="0.25">
      <c r="A15" s="19" t="s">
        <v>45</v>
      </c>
      <c r="B15" s="82">
        <v>6.4037999999999998E-2</v>
      </c>
      <c r="C15" s="86">
        <v>4.1844857142857142E-2</v>
      </c>
      <c r="D15" s="82">
        <v>1.4055E-2</v>
      </c>
      <c r="E15" s="82">
        <v>8.9349999999999999E-2</v>
      </c>
      <c r="F15" s="82">
        <v>5.0842999999999999E-2</v>
      </c>
      <c r="G15" s="82">
        <v>-4.4261000000000002E-2</v>
      </c>
      <c r="H15" s="82">
        <v>8.9290000000000008E-2</v>
      </c>
      <c r="I15" s="82">
        <v>2.8879999999999999E-2</v>
      </c>
      <c r="J15" s="82">
        <v>6.4756999999999995E-2</v>
      </c>
    </row>
    <row r="16" spans="1:10" s="18" customFormat="1" ht="25.8" customHeight="1" x14ac:dyDescent="0.25">
      <c r="A16" s="21" t="s">
        <v>46</v>
      </c>
      <c r="B16" s="84">
        <v>-8.4706838985000008</v>
      </c>
      <c r="C16" s="86">
        <v>-0.82012117742857138</v>
      </c>
      <c r="D16" s="84">
        <v>-0.79568316290000007</v>
      </c>
      <c r="E16" s="84">
        <v>-11.0620430257</v>
      </c>
      <c r="F16" s="84">
        <v>-12.4437961676</v>
      </c>
      <c r="G16" s="84">
        <v>1.2879640017</v>
      </c>
      <c r="H16" s="84">
        <v>6.5574504878999997</v>
      </c>
      <c r="I16" s="84">
        <v>6.5786476246000003</v>
      </c>
      <c r="J16" s="84">
        <v>4.1366120000000004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7" t="s">
        <v>154</v>
      </c>
      <c r="B1" s="122"/>
      <c r="C1" s="122"/>
      <c r="D1" s="122"/>
      <c r="E1" s="122"/>
      <c r="F1" s="122"/>
    </row>
    <row r="2" spans="1:6" x14ac:dyDescent="0.25">
      <c r="A2" s="91" t="s">
        <v>155</v>
      </c>
      <c r="B2" s="90" t="s">
        <v>156</v>
      </c>
      <c r="C2" s="90" t="s">
        <v>157</v>
      </c>
      <c r="D2" s="90" t="s">
        <v>158</v>
      </c>
      <c r="E2" s="90" t="s">
        <v>137</v>
      </c>
      <c r="F2" s="90" t="s">
        <v>159</v>
      </c>
    </row>
    <row r="3" spans="1:6" ht="48" customHeight="1" x14ac:dyDescent="0.25">
      <c r="A3" s="93" t="s">
        <v>160</v>
      </c>
      <c r="B3" s="92"/>
      <c r="C3" s="17"/>
      <c r="D3" s="17"/>
      <c r="E3" s="92"/>
      <c r="F3" s="17"/>
    </row>
    <row r="4" spans="1:6" ht="49.5" customHeight="1" x14ac:dyDescent="0.25">
      <c r="A4" s="93"/>
      <c r="B4" s="92"/>
      <c r="C4" s="17"/>
      <c r="D4" s="17"/>
      <c r="E4" s="92"/>
      <c r="F4" s="17"/>
    </row>
    <row r="5" spans="1:6" x14ac:dyDescent="0.25">
      <c r="A5" s="93"/>
      <c r="B5" s="92"/>
      <c r="C5" s="17"/>
      <c r="D5" s="17"/>
      <c r="E5" s="92"/>
      <c r="F5" s="17"/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18" spans="1:6" x14ac:dyDescent="0.25">
      <c r="A18" s="141" t="s">
        <v>161</v>
      </c>
      <c r="B18" s="141"/>
      <c r="C18" s="141"/>
      <c r="D18" s="141"/>
      <c r="E18" s="141"/>
      <c r="F18" s="141"/>
    </row>
    <row r="19" spans="1:6" x14ac:dyDescent="0.25">
      <c r="A19" s="101" t="s">
        <v>155</v>
      </c>
      <c r="B19" s="101" t="s">
        <v>156</v>
      </c>
      <c r="C19" s="101" t="s">
        <v>162</v>
      </c>
      <c r="D19" s="101" t="s">
        <v>163</v>
      </c>
      <c r="E19" s="101" t="s">
        <v>137</v>
      </c>
      <c r="F19" s="101" t="s">
        <v>159</v>
      </c>
    </row>
    <row r="20" spans="1:6" x14ac:dyDescent="0.25">
      <c r="A20" s="113">
        <v>43381</v>
      </c>
      <c r="B20" s="96" t="s">
        <v>164</v>
      </c>
      <c r="C20" s="114" t="s">
        <v>165</v>
      </c>
      <c r="D20" s="114"/>
      <c r="E20" s="96" t="s">
        <v>166</v>
      </c>
      <c r="F20" s="114"/>
    </row>
    <row r="21" spans="1:6" x14ac:dyDescent="0.25">
      <c r="A21" s="113">
        <v>43357</v>
      </c>
      <c r="B21" s="96" t="s">
        <v>167</v>
      </c>
      <c r="C21" s="114" t="s">
        <v>168</v>
      </c>
      <c r="D21" s="114"/>
      <c r="E21" s="96" t="s">
        <v>140</v>
      </c>
      <c r="F21" s="114"/>
    </row>
    <row r="22" spans="1:6" x14ac:dyDescent="0.25">
      <c r="A22" s="113">
        <v>43327</v>
      </c>
      <c r="B22" s="96" t="s">
        <v>169</v>
      </c>
      <c r="C22" s="114" t="s">
        <v>170</v>
      </c>
      <c r="D22" s="114"/>
      <c r="E22" s="96" t="s">
        <v>171</v>
      </c>
      <c r="F22" s="114" t="s">
        <v>172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8" t="s">
        <v>173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8" s="1" customFormat="1" ht="25.5" customHeight="1" x14ac:dyDescent="0.25">
      <c r="A2" s="3" t="s">
        <v>174</v>
      </c>
      <c r="B2" s="3" t="s">
        <v>175</v>
      </c>
      <c r="C2" s="3" t="s">
        <v>176</v>
      </c>
      <c r="D2" s="3" t="s">
        <v>177</v>
      </c>
      <c r="E2" s="3" t="s">
        <v>178</v>
      </c>
      <c r="F2" s="3" t="s">
        <v>179</v>
      </c>
      <c r="G2" s="3" t="s">
        <v>180</v>
      </c>
      <c r="H2" s="3" t="s">
        <v>16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19</v>
      </c>
      <c r="N2" s="3" t="s">
        <v>185</v>
      </c>
      <c r="O2" s="9"/>
      <c r="P2" s="10" t="str">
        <f ca="1">Q2</f>
        <v>2019-03-29</v>
      </c>
      <c r="Q2" s="1" t="str">
        <f ca="1">[1]!td(R2-1)</f>
        <v>2019-03-29</v>
      </c>
      <c r="R2" s="9">
        <f ca="1">TODAY()</f>
        <v>43556</v>
      </c>
    </row>
    <row r="3" spans="1:18" ht="15.75" customHeight="1" x14ac:dyDescent="0.25">
      <c r="A3" s="4" t="str">
        <f>[1]!b_info_name(L3)</f>
        <v>19保利文化SCP001</v>
      </c>
      <c r="B3" s="5" t="str">
        <f>[1]!b_issue_firstissue(L3)</f>
        <v>2019-04-02</v>
      </c>
      <c r="C3" s="4">
        <f>[1]!b_info_term(L3)</f>
        <v>0.73970000000000002</v>
      </c>
      <c r="D3" s="6" t="str">
        <f>[1]!issuerrating(L3)</f>
        <v>AA+</v>
      </c>
      <c r="E3" s="6" t="str">
        <f>[1]!b_info_creditrating(L3)</f>
        <v>-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186</v>
      </c>
      <c r="I3" s="11"/>
      <c r="J3" s="12" t="s">
        <v>186</v>
      </c>
      <c r="K3" s="13"/>
      <c r="L3" s="75" t="str">
        <f>公式页!A2</f>
        <v>d19040104.IB</v>
      </c>
      <c r="M3" s="8" t="s">
        <v>186</v>
      </c>
      <c r="N3" s="4" t="str">
        <f>[1]!b_agency_leadunderwriter(L3)</f>
        <v>中信银行股份有限公司</v>
      </c>
      <c r="P3" s="2" t="str">
        <f t="shared" ref="P3:P29" ca="1" si="0">$P$2</f>
        <v>2019-03-29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3.6463000000000001</v>
      </c>
      <c r="K4" s="13">
        <f>K3</f>
        <v>0</v>
      </c>
      <c r="L4" s="14" t="s">
        <v>187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2019-03-29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2019-03-29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2019-03-29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2019-03-29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2019-03-29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2019-03-29</v>
      </c>
    </row>
    <row r="10" spans="1:18" x14ac:dyDescent="0.25">
      <c r="P10" s="2" t="str">
        <f t="shared" ca="1" si="0"/>
        <v>2019-03-29</v>
      </c>
    </row>
    <row r="11" spans="1:18" x14ac:dyDescent="0.25">
      <c r="P11" s="2" t="str">
        <f t="shared" ca="1" si="0"/>
        <v>2019-03-29</v>
      </c>
    </row>
    <row r="12" spans="1:18" x14ac:dyDescent="0.25">
      <c r="A12" s="148" t="s">
        <v>188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P12" s="2" t="str">
        <f t="shared" ca="1" si="0"/>
        <v>2019-03-29</v>
      </c>
    </row>
    <row r="13" spans="1:18" s="1" customFormat="1" ht="43.2" customHeight="1" x14ac:dyDescent="0.25">
      <c r="A13" s="3" t="s">
        <v>174</v>
      </c>
      <c r="B13" s="3" t="s">
        <v>175</v>
      </c>
      <c r="C13" s="3" t="s">
        <v>176</v>
      </c>
      <c r="D13" s="3" t="s">
        <v>177</v>
      </c>
      <c r="E13" s="3" t="s">
        <v>178</v>
      </c>
      <c r="F13" s="3" t="s">
        <v>179</v>
      </c>
      <c r="G13" s="3" t="s">
        <v>180</v>
      </c>
      <c r="H13" s="3" t="s">
        <v>16</v>
      </c>
      <c r="I13" s="3" t="s">
        <v>181</v>
      </c>
      <c r="J13" s="3" t="s">
        <v>182</v>
      </c>
      <c r="K13" s="3" t="s">
        <v>183</v>
      </c>
      <c r="L13" s="3" t="s">
        <v>184</v>
      </c>
      <c r="M13" s="3" t="s">
        <v>19</v>
      </c>
      <c r="N13" s="3" t="s">
        <v>185</v>
      </c>
      <c r="P13" s="2" t="str">
        <f t="shared" ca="1" si="0"/>
        <v>2019-03-29</v>
      </c>
    </row>
    <row r="14" spans="1:18" ht="15.75" customHeight="1" x14ac:dyDescent="0.25">
      <c r="A14" s="4" t="str">
        <f>[1]!b_info_name(L14)</f>
        <v>19保利文化SCP001</v>
      </c>
      <c r="B14" s="5" t="str">
        <f>[1]!b_issue_firstissue(L14)</f>
        <v>2019-04-02</v>
      </c>
      <c r="C14" s="4">
        <f>[1]!b_info_term(L14)</f>
        <v>0.73970000000000002</v>
      </c>
      <c r="D14" s="6" t="str">
        <f>[1]!issuerrating(L14)</f>
        <v>AA+</v>
      </c>
      <c r="E14" s="6" t="str">
        <f>[1]!b_info_creditrating(L14)</f>
        <v>-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186</v>
      </c>
      <c r="I14" s="11"/>
      <c r="J14" s="12" t="s">
        <v>186</v>
      </c>
      <c r="K14" s="13">
        <f>K3</f>
        <v>0</v>
      </c>
      <c r="L14" s="76" t="str">
        <f>L3</f>
        <v>d19040104.IB</v>
      </c>
      <c r="M14" s="8" t="s">
        <v>186</v>
      </c>
      <c r="N14" s="4" t="str">
        <f>[1]!b_agency_leadunderwriter(L14)</f>
        <v>中信银行股份有限公司</v>
      </c>
      <c r="P14" s="2" t="str">
        <f t="shared" ca="1" si="0"/>
        <v>2019-03-29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189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2019-03-29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190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2019-03-29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191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2019-03-29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192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2019-03-29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193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2019-03-29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194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2019-03-29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195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2019-03-29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196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2019-03-29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197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2019-03-29</v>
      </c>
    </row>
    <row r="24" spans="1:16" x14ac:dyDescent="0.25">
      <c r="P24" s="2" t="str">
        <f t="shared" ca="1" si="0"/>
        <v>2019-03-29</v>
      </c>
    </row>
    <row r="25" spans="1:16" x14ac:dyDescent="0.25">
      <c r="P25" s="2" t="str">
        <f t="shared" ca="1" si="0"/>
        <v>2019-03-29</v>
      </c>
    </row>
    <row r="26" spans="1:16" x14ac:dyDescent="0.25">
      <c r="P26" s="2" t="str">
        <f t="shared" ca="1" si="0"/>
        <v>2019-03-29</v>
      </c>
    </row>
    <row r="27" spans="1:16" x14ac:dyDescent="0.25">
      <c r="P27" s="2" t="str">
        <f t="shared" ca="1" si="0"/>
        <v>2019-03-29</v>
      </c>
    </row>
    <row r="28" spans="1:16" x14ac:dyDescent="0.25">
      <c r="P28" s="2" t="str">
        <f t="shared" ca="1" si="0"/>
        <v>2019-03-29</v>
      </c>
    </row>
    <row r="29" spans="1:16" x14ac:dyDescent="0.25">
      <c r="P29" s="2" t="str">
        <f t="shared" ca="1" si="0"/>
        <v>2019-03-29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2019-04-01T07:31:35Z</dcterms:modified>
</cp:coreProperties>
</file>