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2新券信评\"/>
    </mc:Choice>
  </mc:AlternateContent>
  <xr:revisionPtr revIDLastSave="0" documentId="13_ncr:1_{6BC3AAF7-D24F-43D0-B0D4-9B1AE78137CB}"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O23" i="6"/>
  <c r="F21" i="6"/>
  <c r="C20" i="6"/>
  <c r="M17" i="6"/>
  <c r="G16" i="6"/>
  <c r="D15" i="6"/>
  <c r="C14" i="6"/>
  <c r="H9" i="6"/>
  <c r="F7" i="6"/>
  <c r="G6" i="6"/>
  <c r="H5" i="6"/>
  <c r="G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H23" i="6"/>
  <c r="E22" i="6"/>
  <c r="B21" i="6"/>
  <c r="O19" i="6"/>
  <c r="F17" i="6"/>
  <c r="C16" i="6"/>
  <c r="D9" i="6"/>
  <c r="E8" i="6"/>
  <c r="B7" i="6"/>
  <c r="C6" i="6"/>
  <c r="D5" i="6"/>
  <c r="E4" i="6"/>
  <c r="C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D23" i="6"/>
  <c r="E18" i="6"/>
  <c r="N9" i="6"/>
  <c r="A8" i="6"/>
  <c r="N5" i="6"/>
  <c r="A4" i="6"/>
  <c r="O135" i="1"/>
  <c r="S130" i="1"/>
  <c r="O127" i="1"/>
  <c r="E102" i="1"/>
  <c r="C101" i="1"/>
  <c r="R99" i="1"/>
  <c r="P98" i="1"/>
  <c r="N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A22" i="6"/>
  <c r="B17" i="6"/>
  <c r="M141" i="1"/>
  <c r="M134" i="1"/>
  <c r="S110" i="1"/>
  <c r="R101" i="1"/>
  <c r="P100" i="1"/>
  <c r="N99" i="1"/>
  <c r="L98"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N20" i="6"/>
  <c r="M6" i="6"/>
  <c r="M139" i="1"/>
  <c r="D110" i="1"/>
  <c r="P103" i="1"/>
  <c r="L100" i="1"/>
  <c r="E98" i="1"/>
  <c r="C97" i="1"/>
  <c r="L96" i="1"/>
  <c r="G95" i="1"/>
  <c r="E94" i="1"/>
  <c r="C93" i="1"/>
  <c r="G91" i="1"/>
  <c r="E90" i="1"/>
  <c r="C89" i="1"/>
  <c r="G87" i="1"/>
  <c r="E86" i="1"/>
  <c r="C85" i="1"/>
  <c r="G83" i="1"/>
  <c r="E82" i="1"/>
  <c r="C81" i="1"/>
  <c r="G79" i="1"/>
  <c r="E78" i="1"/>
  <c r="C77" i="1"/>
  <c r="G75" i="1"/>
  <c r="E74" i="1"/>
  <c r="C73" i="1"/>
  <c r="G71" i="1"/>
  <c r="E70" i="1"/>
  <c r="C69" i="1"/>
  <c r="G67" i="1"/>
  <c r="E66" i="1"/>
  <c r="C65" i="1"/>
  <c r="G63" i="1"/>
  <c r="E62" i="1"/>
  <c r="C61" i="1"/>
  <c r="G59" i="1"/>
  <c r="E58" i="1"/>
  <c r="C57" i="1"/>
  <c r="G55" i="1"/>
  <c r="E54" i="1"/>
  <c r="C53" i="1"/>
  <c r="G51" i="1"/>
  <c r="E50" i="1"/>
  <c r="C49" i="1"/>
  <c r="G47" i="1"/>
  <c r="E46" i="1"/>
  <c r="C45" i="1"/>
  <c r="G43" i="1"/>
  <c r="E42" i="1"/>
  <c r="C41" i="1"/>
  <c r="G39" i="1"/>
  <c r="E38" i="1"/>
  <c r="E37" i="1"/>
  <c r="E36" i="1"/>
  <c r="F35" i="1"/>
  <c r="G34" i="1"/>
  <c r="G33" i="1"/>
  <c r="B33" i="1"/>
  <c r="C32"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E92" i="1"/>
  <c r="G81" i="1"/>
  <c r="C79" i="1"/>
  <c r="E76" i="1"/>
  <c r="G73" i="1"/>
  <c r="C71" i="1"/>
  <c r="G69" i="1"/>
  <c r="C67" i="1"/>
  <c r="E64" i="1"/>
  <c r="G61" i="1"/>
  <c r="C59" i="1"/>
  <c r="E56" i="1"/>
  <c r="C55" i="1"/>
  <c r="E52" i="1"/>
  <c r="E48" i="1"/>
  <c r="G45" i="1"/>
  <c r="C43" i="1"/>
  <c r="G41" i="1"/>
  <c r="C39" i="1"/>
  <c r="B37" i="1"/>
  <c r="C36" i="1"/>
  <c r="D34" i="1"/>
  <c r="E32" i="1"/>
  <c r="G30" i="1"/>
  <c r="P29" i="1"/>
  <c r="E29" i="1"/>
  <c r="N28" i="1"/>
  <c r="C28" i="1"/>
  <c r="L27" i="1"/>
  <c r="R26" i="1"/>
  <c r="G26" i="1"/>
  <c r="P25" i="1"/>
  <c r="E25" i="1"/>
  <c r="N24" i="1"/>
  <c r="C24" i="1"/>
  <c r="L23" i="1"/>
  <c r="C22" i="1"/>
  <c r="P21" i="1"/>
  <c r="E21" i="1"/>
  <c r="N20" i="1"/>
  <c r="C20" i="1"/>
  <c r="L19" i="1"/>
  <c r="G18" i="1"/>
  <c r="P17" i="1"/>
  <c r="E17" i="1"/>
  <c r="D16" i="1"/>
  <c r="M15" i="1"/>
  <c r="B15" i="1"/>
  <c r="B11" i="1"/>
  <c r="B7" i="1"/>
  <c r="M123" i="1"/>
  <c r="G101" i="1"/>
  <c r="F97" i="1"/>
  <c r="D96" i="1"/>
  <c r="B95" i="1"/>
  <c r="D92" i="1"/>
  <c r="F89" i="1"/>
  <c r="B87" i="1"/>
  <c r="D84" i="1"/>
  <c r="F81" i="1"/>
  <c r="B79" i="1"/>
  <c r="D76" i="1"/>
  <c r="F73" i="1"/>
  <c r="B71" i="1"/>
  <c r="F69" i="1"/>
  <c r="B67" i="1"/>
  <c r="D64" i="1"/>
  <c r="F61" i="1"/>
  <c r="B59" i="1"/>
  <c r="D56" i="1"/>
  <c r="B55" i="1"/>
  <c r="D52" i="1"/>
  <c r="B51" i="1"/>
  <c r="D48" i="1"/>
  <c r="F45" i="1"/>
  <c r="B43" i="1"/>
  <c r="F41" i="1"/>
  <c r="B39" i="1"/>
  <c r="G36" i="1"/>
  <c r="B35" i="1"/>
  <c r="C33" i="1"/>
  <c r="F30" i="1"/>
  <c r="O29" i="1"/>
  <c r="D29" i="1"/>
  <c r="M28" i="1"/>
  <c r="B28" i="1"/>
  <c r="J27" i="1"/>
  <c r="Q26" i="1"/>
  <c r="F26" i="1"/>
  <c r="B26" i="1"/>
  <c r="J25" i="1"/>
  <c r="Q24" i="1"/>
  <c r="F24" i="1"/>
  <c r="O23" i="1"/>
  <c r="D23" i="1"/>
  <c r="B22" i="1"/>
  <c r="J21" i="1"/>
  <c r="Q20" i="1"/>
  <c r="F20" i="1"/>
  <c r="O19" i="1"/>
  <c r="D19" i="1"/>
  <c r="O17" i="1"/>
  <c r="D17" i="1"/>
  <c r="H19" i="6"/>
  <c r="M137" i="1"/>
  <c r="M128" i="1"/>
  <c r="L103" i="1"/>
  <c r="E100" i="1"/>
  <c r="R97" i="1"/>
  <c r="B97" i="1"/>
  <c r="J96" i="1"/>
  <c r="F95" i="1"/>
  <c r="D94" i="1"/>
  <c r="B93" i="1"/>
  <c r="F91" i="1"/>
  <c r="D90" i="1"/>
  <c r="B89" i="1"/>
  <c r="F87" i="1"/>
  <c r="D86" i="1"/>
  <c r="B85" i="1"/>
  <c r="F83" i="1"/>
  <c r="D82" i="1"/>
  <c r="B81" i="1"/>
  <c r="F79" i="1"/>
  <c r="D78" i="1"/>
  <c r="B77" i="1"/>
  <c r="F75" i="1"/>
  <c r="D74" i="1"/>
  <c r="B73" i="1"/>
  <c r="F71" i="1"/>
  <c r="D70" i="1"/>
  <c r="B69" i="1"/>
  <c r="F67" i="1"/>
  <c r="D66" i="1"/>
  <c r="B65" i="1"/>
  <c r="F63" i="1"/>
  <c r="D62" i="1"/>
  <c r="B61" i="1"/>
  <c r="F59" i="1"/>
  <c r="D58" i="1"/>
  <c r="B57" i="1"/>
  <c r="F55" i="1"/>
  <c r="D54" i="1"/>
  <c r="B53" i="1"/>
  <c r="F51" i="1"/>
  <c r="D50" i="1"/>
  <c r="B49" i="1"/>
  <c r="F47" i="1"/>
  <c r="D46" i="1"/>
  <c r="B45" i="1"/>
  <c r="F43" i="1"/>
  <c r="D42" i="1"/>
  <c r="B41" i="1"/>
  <c r="F39" i="1"/>
  <c r="D38" i="1"/>
  <c r="C37" i="1"/>
  <c r="D36" i="1"/>
  <c r="E35" i="1"/>
  <c r="E34" i="1"/>
  <c r="F33" i="1"/>
  <c r="G32" i="1"/>
  <c r="G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O15" i="6"/>
  <c r="S132" i="1"/>
  <c r="F113" i="1"/>
  <c r="N101" i="1"/>
  <c r="G99" i="1"/>
  <c r="G97" i="1"/>
  <c r="P96" i="1"/>
  <c r="E96" i="1"/>
  <c r="C95" i="1"/>
  <c r="G93" i="1"/>
  <c r="C91" i="1"/>
  <c r="G89" i="1"/>
  <c r="E88" i="1"/>
  <c r="C87" i="1"/>
  <c r="G85" i="1"/>
  <c r="E84" i="1"/>
  <c r="C83" i="1"/>
  <c r="E80" i="1"/>
  <c r="G77" i="1"/>
  <c r="C75" i="1"/>
  <c r="E72" i="1"/>
  <c r="E68" i="1"/>
  <c r="G65" i="1"/>
  <c r="C63" i="1"/>
  <c r="E60" i="1"/>
  <c r="G57" i="1"/>
  <c r="G53" i="1"/>
  <c r="C51" i="1"/>
  <c r="G49" i="1"/>
  <c r="C47" i="1"/>
  <c r="E44" i="1"/>
  <c r="E40" i="1"/>
  <c r="G37" i="1"/>
  <c r="C35" i="1"/>
  <c r="E33" i="1"/>
  <c r="F31" i="1"/>
  <c r="C30" i="1"/>
  <c r="L29" i="1"/>
  <c r="R28" i="1"/>
  <c r="G28" i="1"/>
  <c r="P27" i="1"/>
  <c r="E27" i="1"/>
  <c r="N26" i="1"/>
  <c r="C26" i="1"/>
  <c r="L25" i="1"/>
  <c r="R24" i="1"/>
  <c r="G24" i="1"/>
  <c r="P23" i="1"/>
  <c r="E23" i="1"/>
  <c r="G22" i="1"/>
  <c r="L21" i="1"/>
  <c r="R20" i="1"/>
  <c r="G20" i="1"/>
  <c r="P19" i="1"/>
  <c r="E19" i="1"/>
  <c r="C18" i="1"/>
  <c r="L17" i="1"/>
  <c r="J16" i="1"/>
  <c r="Q15" i="1"/>
  <c r="F15" i="1"/>
  <c r="D14" i="1"/>
  <c r="B9" i="1"/>
  <c r="E4" i="1"/>
  <c r="O131" i="1"/>
  <c r="D112" i="1"/>
  <c r="C99" i="1"/>
  <c r="O96" i="1"/>
  <c r="F93" i="1"/>
  <c r="B91" i="1"/>
  <c r="D88" i="1"/>
  <c r="F85" i="1"/>
  <c r="B83" i="1"/>
  <c r="D80" i="1"/>
  <c r="F77" i="1"/>
  <c r="B75" i="1"/>
  <c r="D72" i="1"/>
  <c r="D68" i="1"/>
  <c r="F65" i="1"/>
  <c r="B63" i="1"/>
  <c r="D60" i="1"/>
  <c r="F57" i="1"/>
  <c r="F53" i="1"/>
  <c r="F49" i="1"/>
  <c r="B47" i="1"/>
  <c r="D44" i="1"/>
  <c r="D40" i="1"/>
  <c r="F37" i="1"/>
  <c r="G35" i="1"/>
  <c r="C34" i="1"/>
  <c r="D32" i="1"/>
  <c r="E31" i="1"/>
  <c r="B30" i="1"/>
  <c r="J29" i="1"/>
  <c r="Q28" i="1"/>
  <c r="F28" i="1"/>
  <c r="O27" i="1"/>
  <c r="D27" i="1"/>
  <c r="M26" i="1"/>
  <c r="O25" i="1"/>
  <c r="D25" i="1"/>
  <c r="M24" i="1"/>
  <c r="B24" i="1"/>
  <c r="J23" i="1"/>
  <c r="F22" i="1"/>
  <c r="O21" i="1"/>
  <c r="D21" i="1"/>
  <c r="M20" i="1"/>
  <c r="B20" i="1"/>
  <c r="J19" i="1"/>
  <c r="F18" i="1"/>
  <c r="B18" i="1"/>
  <c r="J17" i="1"/>
  <c r="G16" i="1"/>
  <c r="E15" i="1"/>
  <c r="F8" i="1"/>
  <c r="C16" i="1"/>
  <c r="G14" i="1"/>
  <c r="B6" i="1"/>
  <c r="P15" i="1"/>
  <c r="C14" i="1"/>
  <c r="B4" i="1"/>
  <c r="L15" i="1"/>
  <c r="F10" i="1"/>
  <c r="O22" i="1" l="1"/>
  <c r="D121" i="1"/>
  <c r="P22" i="1"/>
  <c r="H122" i="1"/>
  <c r="J22" i="1"/>
  <c r="B118" i="1"/>
  <c r="B127" i="1"/>
  <c r="L22" i="1"/>
  <c r="B129" i="1"/>
  <c r="M22" i="1"/>
  <c r="Q22" i="1"/>
  <c r="H110" i="1"/>
  <c r="B124" i="1"/>
  <c r="B131" i="1"/>
  <c r="N22" i="1"/>
  <c r="R22" i="1"/>
  <c r="D117" i="1"/>
  <c r="H120" i="1"/>
  <c r="D125" i="1"/>
  <c r="B109" i="1"/>
  <c r="B111" i="1"/>
  <c r="B112" i="1"/>
  <c r="H117" i="1"/>
  <c r="D118" i="1"/>
  <c r="B119" i="1"/>
  <c r="H121" i="1"/>
  <c r="B123" i="1"/>
  <c r="D124" i="1"/>
  <c r="H125" i="1"/>
  <c r="H127" i="1"/>
  <c r="H129" i="1"/>
  <c r="H131" i="1"/>
  <c r="H109" i="1"/>
  <c r="H111" i="1"/>
  <c r="H118" i="1"/>
  <c r="D119" i="1"/>
  <c r="B120" i="1"/>
  <c r="B122" i="1"/>
  <c r="D123" i="1"/>
  <c r="H124" i="1"/>
  <c r="B126" i="1"/>
  <c r="B128" i="1"/>
  <c r="B130" i="1"/>
  <c r="B110" i="1"/>
  <c r="H112" i="1"/>
  <c r="B117" i="1"/>
  <c r="H119" i="1"/>
  <c r="D120" i="1"/>
  <c r="B121" i="1"/>
  <c r="D122" i="1"/>
  <c r="H123" i="1"/>
  <c r="B125" i="1"/>
  <c r="H126" i="1"/>
  <c r="H128" i="1"/>
  <c r="H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9" i="6"/>
  <c r="J22" i="6"/>
  <c r="J15" i="6"/>
  <c r="J21" i="6"/>
  <c r="J16" i="6"/>
  <c r="J23" i="6"/>
  <c r="J5" i="6"/>
  <c r="J18" i="6"/>
  <c r="J20" i="6"/>
  <c r="J6" i="6"/>
  <c r="J19" i="6"/>
  <c r="J7" i="6"/>
</calcChain>
</file>

<file path=xl/sharedStrings.xml><?xml version="1.0" encoding="utf-8"?>
<sst xmlns="http://schemas.openxmlformats.org/spreadsheetml/2006/main" count="623" uniqueCount="311">
  <si>
    <t>d19040109.IB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</si>
  <si>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</si>
  <si>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</si>
  <si>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</si>
  <si>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</si>
  <si>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</si>
  <si>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</si>
  <si>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</si>
  <si>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</si>
  <si>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</si>
  <si>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</si>
  <si>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</si>
  <si>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</si>
  <si>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</si>
  <si>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</si>
  <si>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</si>
  <si>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</si>
  <si>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</si>
  <si>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</si>
  <si>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</si>
  <si>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</si>
  <si>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</si>
  <si>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</si>
  <si>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125310.SH</t>
  </si>
  <si>
    <t>主体级别</t>
  </si>
  <si>
    <t>AA</t>
  </si>
  <si>
    <t>1380134.IB</t>
  </si>
  <si>
    <t>*选择性黏贴</t>
  </si>
  <si>
    <t>1382149.IB</t>
  </si>
  <si>
    <t>数据年度</t>
  </si>
  <si>
    <t>2017年</t>
  </si>
  <si>
    <t>1382118.IB</t>
  </si>
  <si>
    <t>总资产</t>
  </si>
  <si>
    <t>1282384.IB</t>
  </si>
  <si>
    <t>负债率</t>
  </si>
  <si>
    <t>101554042.IB</t>
  </si>
  <si>
    <t>流动比率</t>
  </si>
  <si>
    <t>1380101.IB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</si>
  <si>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</si>
  <si>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</si>
  <si>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</si>
  <si>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</si>
  <si>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</si>
  <si>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</si>
  <si>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</si>
  <si>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</si>
  <si>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</si>
  <si>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</si>
  <si>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</si>
  <si>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</si>
  <si>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</si>
  <si>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</si>
  <si>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</si>
  <si>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</si>
  <si>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</si>
  <si>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</si>
  <si>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</si>
  <si>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</si>
  <si>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</si>
  <si>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</si>
  <si>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</si>
  <si>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</si>
  <si>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</si>
  <si>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</si>
  <si>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</si>
  <si>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</si>
  <si>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</si>
  <si>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</si>
  <si>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</si>
  <si>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</si>
  <si>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</si>
  <si>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</si>
  <si>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</si>
  <si>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</si>
  <si>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</si>
  <si>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</si>
  <si>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</si>
  <si>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</si>
  <si>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</si>
  <si>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</si>
  <si>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</si>
  <si>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</si>
  <si>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</si>
  <si>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</si>
  <si>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</si>
  <si>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</si>
  <si>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</si>
  <si>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</si>
  <si>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</si>
  <si>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</si>
  <si>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</si>
  <si>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</si>
  <si>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</si>
  <si>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</si>
  <si>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</si>
  <si>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</si>
  <si>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</si>
  <si>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</si>
  <si>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</si>
  <si>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</si>
  <si>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</si>
  <si>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</si>
  <si>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</si>
  <si>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</si>
  <si>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</si>
  <si>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</si>
  <si>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</si>
  <si>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</si>
  <si>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</si>
  <si>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</si>
  <si>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</si>
  <si>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</si>
  <si>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</si>
  <si>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</si>
  <si>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</si>
  <si>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</si>
  <si>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</si>
  <si>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</si>
  <si>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</si>
  <si>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</si>
  <si>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</si>
  <si>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011900173.IB</t>
  </si>
  <si>
    <t>20190116</t>
  </si>
  <si>
    <t>19灵山SCP001</t>
  </si>
  <si>
    <t>101900003.IB</t>
  </si>
  <si>
    <t>20190102</t>
  </si>
  <si>
    <t>19灵山MTN001</t>
  </si>
  <si>
    <t>041800133.IB</t>
  </si>
  <si>
    <t>20180920</t>
  </si>
  <si>
    <t>18灵山CP001</t>
  </si>
  <si>
    <t>011801771.IB</t>
  </si>
  <si>
    <t>20180907</t>
  </si>
  <si>
    <t>18灵山SCP004</t>
  </si>
  <si>
    <t>011801150.IB</t>
  </si>
  <si>
    <t>20180810</t>
  </si>
  <si>
    <t>18灵山SCP003</t>
  </si>
  <si>
    <t>011800765.IB</t>
  </si>
  <si>
    <t>20180418</t>
  </si>
  <si>
    <t>18灵山SCP002</t>
  </si>
  <si>
    <t>011800764.IB</t>
  </si>
  <si>
    <t>18灵山SCP001</t>
  </si>
  <si>
    <t>011762094.IB</t>
  </si>
  <si>
    <t>20171115</t>
  </si>
  <si>
    <t>17灵山SCP003</t>
  </si>
  <si>
    <t>011772016.IB</t>
  </si>
  <si>
    <t>20170711</t>
  </si>
  <si>
    <t>17灵山SCP002</t>
  </si>
  <si>
    <t>011762044.IB</t>
  </si>
  <si>
    <t>20170628</t>
  </si>
  <si>
    <t>17灵山SCP001</t>
  </si>
  <si>
    <t>101686001.IB</t>
  </si>
  <si>
    <t>20161028</t>
  </si>
  <si>
    <t>16灵山MTN002</t>
  </si>
  <si>
    <t>011698642.IB</t>
  </si>
  <si>
    <t>20161020</t>
  </si>
  <si>
    <t>16灵山SCP004</t>
  </si>
  <si>
    <t>011698489.IB</t>
  </si>
  <si>
    <t>20160921</t>
  </si>
  <si>
    <t>16灵山SCP003</t>
  </si>
  <si>
    <t>011698061.IB</t>
  </si>
  <si>
    <t>20160707</t>
  </si>
  <si>
    <t>16灵山SCP002</t>
  </si>
  <si>
    <t>041665001.IB</t>
  </si>
  <si>
    <t>20160406</t>
  </si>
  <si>
    <t>16灵山CP001</t>
  </si>
  <si>
    <t>011699287.IB</t>
  </si>
  <si>
    <t>20160225</t>
  </si>
  <si>
    <t>16灵山SCP001</t>
  </si>
  <si>
    <t>101662002.IB</t>
  </si>
  <si>
    <t>20160108</t>
  </si>
  <si>
    <t>16灵山MTN001</t>
  </si>
  <si>
    <t>011598152.IB</t>
  </si>
  <si>
    <t>20151229</t>
  </si>
  <si>
    <t>15灵山SCP009</t>
  </si>
  <si>
    <t>011598146.IB</t>
  </si>
  <si>
    <t>20151225</t>
  </si>
  <si>
    <t>15灵山SCP008</t>
  </si>
  <si>
    <t>011599754.IB</t>
  </si>
  <si>
    <t>20151013</t>
  </si>
  <si>
    <t>15灵山SCP007</t>
  </si>
  <si>
    <t>011599584.IB</t>
  </si>
  <si>
    <t>20150820</t>
  </si>
  <si>
    <t>15灵山SCP006</t>
  </si>
  <si>
    <t>011599383.IB</t>
  </si>
  <si>
    <t>20150804</t>
  </si>
  <si>
    <t>15灵山SCP005</t>
  </si>
  <si>
    <t>011599342.IB</t>
  </si>
  <si>
    <t>20150609</t>
  </si>
  <si>
    <t>15灵山SCP004</t>
  </si>
  <si>
    <t>011599127.IB</t>
  </si>
  <si>
    <t>20150413</t>
  </si>
  <si>
    <t>15灵山SCP003</t>
  </si>
  <si>
    <t>011599126.IB</t>
  </si>
  <si>
    <t>20150319</t>
  </si>
  <si>
    <t>15灵山SCP002</t>
  </si>
  <si>
    <t>041565002.IB</t>
  </si>
  <si>
    <t>20150225</t>
  </si>
  <si>
    <t>15灵山CP001</t>
  </si>
  <si>
    <t>011599026.IB</t>
  </si>
  <si>
    <t>20150122</t>
  </si>
  <si>
    <t>15灵山SCP001</t>
  </si>
  <si>
    <t>041465007.IB</t>
  </si>
  <si>
    <t>20140724</t>
  </si>
  <si>
    <t>14灵山CP002</t>
  </si>
  <si>
    <t>031490278.IB</t>
  </si>
  <si>
    <t>20140418</t>
  </si>
  <si>
    <t>14灵山PPN001</t>
  </si>
  <si>
    <t>041465003.IB</t>
  </si>
  <si>
    <t>20140416</t>
  </si>
  <si>
    <t>14灵山CP001</t>
  </si>
  <si>
    <t>041365010.IB</t>
  </si>
  <si>
    <t>20131021</t>
  </si>
  <si>
    <t>13灵山CP002</t>
  </si>
  <si>
    <t>1382093.IB</t>
  </si>
  <si>
    <t>20130313</t>
  </si>
  <si>
    <t>13锡灵山MTN1</t>
  </si>
  <si>
    <t>041365002.IB</t>
  </si>
  <si>
    <t>20130312</t>
  </si>
  <si>
    <t>13灵山CP001</t>
  </si>
  <si>
    <t>历史主体评级</t>
  </si>
  <si>
    <t>发布日期</t>
  </si>
  <si>
    <t>主体资信级别</t>
  </si>
  <si>
    <t>评级展望</t>
  </si>
  <si>
    <t>评级机构</t>
  </si>
  <si>
    <t>20190319</t>
  </si>
  <si>
    <t>稳定</t>
  </si>
  <si>
    <t>中诚信国际信用评级有限责任公司</t>
  </si>
  <si>
    <t>20181218</t>
  </si>
  <si>
    <t>20180910</t>
  </si>
  <si>
    <t>20180726</t>
  </si>
  <si>
    <t>20180323</t>
  </si>
  <si>
    <t>20170728</t>
  </si>
  <si>
    <t>20161027</t>
  </si>
  <si>
    <t>20160823</t>
  </si>
  <si>
    <t>20160727</t>
  </si>
  <si>
    <t>20160318</t>
  </si>
  <si>
    <t>20150626</t>
  </si>
  <si>
    <t>20140721</t>
  </si>
  <si>
    <t>20140317</t>
  </si>
  <si>
    <t>20140303</t>
  </si>
  <si>
    <t>20140117</t>
  </si>
  <si>
    <t>20130723</t>
  </si>
  <si>
    <t>20130117</t>
  </si>
  <si>
    <t>20121231</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</si>
  <si>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</si>
  <si>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</si>
  <si>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</si>
  <si>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</si>
  <si>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</si>
  <si>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</si>
  <si>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</si>
  <si>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</si>
  <si>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</si>
  <si>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浙江省旅游集团有限责任公司</t>
  </si>
  <si>
    <t>AA稳定上调至AA+稳定</t>
  </si>
  <si>
    <t>上海新世纪资信评估投资服务有限公司</t>
  </si>
  <si>
    <t>云南世博旅游控股集团有限公司</t>
  </si>
  <si>
    <t>东方金诚国际信用评估有限公司</t>
  </si>
  <si>
    <t>云南省旅游资源丰富，近年来经济保持较快增长，为公司旅游景区经营及相关业务的开展和长远发展创造了较好的区域经济环境；公司拥有较多优质旅游资源，收购宜良县九乡风景名胜区旅游开发有限公司股权，景区运营业务收入及毛利率均有所增长；公司的交通运输业务受出租车经营权摊销成本降低及云旅汽车业务收入上升影响，业务获利能力较为稳定；跟踪期内，云南世博实际控制人变更为华侨城集团，资本实力大幅增强，债务负担显著降低，盈利能力和抗风险能力明显提高，依托于华侨城集团的资金、管理及专业优势，将有助于云南世博综合实力的提升。</t>
  </si>
  <si>
    <t>云南旅游股份有限公司</t>
  </si>
  <si>
    <t>受世博园门票收入增长及接待的游客结构调整影响，景区运营业务收入和毛利润规模同比有所上升；2017 年公司房地产开发业务合同销售金额及销售面积同比有所增长，受益于鸣凤邻里项目销售结转，房地产开发业务收入及利润同比均大幅上升，未来可售面积较为充足；跟踪期内，公司实际控制人变更为华侨城集团，依托华侨城集团的资金、管理及专业优势，将有助于公司盈利能力和抗风险能力的增强；公司控股股东云南世博综合财务实力很强，为本期债券的按期还本付息提供连带责任保证担保，增信作用明显。</t>
  </si>
  <si>
    <t>近一年来同行业发债企业主体评级下调情况</t>
  </si>
  <si>
    <t>主体资信级别下调</t>
  </si>
  <si>
    <t>主体评级展望下调</t>
  </si>
  <si>
    <t>海航酒店控股集团有限公司</t>
  </si>
  <si>
    <t>AA-稳定下调至A+负面</t>
  </si>
  <si>
    <t>中证鹏元资信评估股份有限公司</t>
  </si>
  <si>
    <t xml:space="preserve">截至2018 年7 月6 日，公司未结清贷款存在欠息156.83 万元，同时公司存在30095万元关注类保证担保。公司己对外出售RHAB 流通股及
投票权和丽笙控股100%股权，未来国外酒店业务收入将大幅下滑。公司部分资产己抵质押，关联方对资金占用仍较多，需关注未来回收时间；期间费用率高，利润主要来自非经营性收益，未来需关注其持续性；有息债务规模大幅增长，面临较大的刚性债务压力；公司对海航集团内部关联方担保规模大，面临较大的或有负债风险； 中证鹏元未取得担保方海航商业主体长期信用跟踪评级所需的资料， 无法判断其信用级别及其对本期债券的增信效果。
</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</si>
  <si>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</si>
  <si>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</si>
  <si>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</si>
  <si>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</si>
  <si>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</si>
  <si>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</si>
  <si>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</si>
  <si>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</si>
  <si>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</si>
  <si>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</si>
  <si>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</si>
  <si>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</si>
  <si>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</si>
  <si>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</si>
  <si>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</si>
  <si>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</si>
  <si>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</si>
  <si>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</si>
  <si>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</si>
  <si>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</si>
  <si>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</si>
  <si>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</si>
  <si>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</si>
  <si>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</si>
  <si>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</si>
  <si>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无锡灵山文化旅游集团有限公司</t>
  </si>
  <si>
    <t>地方国有企业</t>
  </si>
  <si>
    <t>可选消费--消费者服务Ⅱ--酒店、餐馆与休闲Ⅲ--酒店、度假村与豪华游轮</t>
  </si>
  <si>
    <t>江苏省无锡市马山古竹路18号</t>
  </si>
  <si>
    <t>灵山胜境是无锡市乃至江苏的标志性景区，也是蜚声中外的文化胜迹，中国旅游驰名品牌，为华东和太湖黄金旅游线的亮点和热点。公司依托灵山品牌，全面提升公司的产业结构和核心竞争力，通过品牌和资本运作，整合周边地区的土地和旅游资源，把灵山建成世界级旅游胜地、沪宁杭都市圈的著名休闲旅游社区。2012年，公司的营业收入为60,266.12万元，公司营业额位居长三角旅游企业前列。在2012年4月，中国灵山公益慈善促进会等一批国家级的会址总部落户灵山，这为公司在长三角旅游市场的领先地位将得到进一步巩固。公司的品牌价值不断提升。2000年，灵山被评为中国首批AAAA级景区；2002年，被评为中国旅游知名品牌；2005年被评为江苏省著名品牌；2009年灵山被评为中国AAAAA级景区和中国驰名商标，灵山梵宫被《国宝档案》栏目纳入“国家级建筑”并被建设部、中国建筑业协会授予中国工程建设最高奖——鲁班奖。</t>
  </si>
  <si>
    <t>无锡市灵山景区管理中心</t>
  </si>
  <si>
    <t>无锡市人民政府国有资产监督管理委员会</t>
  </si>
  <si>
    <t>无锡产业发展集团有限公司</t>
  </si>
  <si>
    <t/>
  </si>
  <si>
    <t>A-1</t>
  </si>
  <si>
    <t>浙江长兴环太湖经济投资开发有限公司</t>
  </si>
  <si>
    <t>西安曲江大明宫投资(集团)有限公司</t>
  </si>
  <si>
    <t>天津市旅游(控股)集团有限公司</t>
  </si>
  <si>
    <t>重庆旅游投资集团有限公司</t>
  </si>
  <si>
    <t>丽江玉龙旅游股份有限公司</t>
  </si>
  <si>
    <t>张家界市武陵源旅游产业发展有限公司</t>
  </si>
  <si>
    <t>大理州旅游产业开发集团有限责任公司</t>
  </si>
  <si>
    <t>民营企业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</si>
</sst>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7" t="s">
        <v>1</v>
      </c>
      <c r="B3" s="118"/>
      <c r="C3" s="118"/>
      <c r="D3" s="118"/>
      <c r="E3" s="118"/>
      <c r="F3" s="118"/>
      <c r="G3" s="118"/>
    </row>
    <row r="4" spans="1:20" s="39" customFormat="1" ht="13.5" customHeight="1" x14ac:dyDescent="0.25">
      <c r="A4" s="95" t="s">
        <v>2</v>
      </c>
      <c r="B4" s="119" t="str">
        <f>[1]!b_info_issuerupdated(A2)</f>
        <v>无锡灵山文化旅游集团有限公司</v>
      </c>
      <c r="C4" s="120"/>
      <c r="D4" s="95" t="s">
        <v>3</v>
      </c>
      <c r="E4" s="119" t="str">
        <f>[1]!s_info_nature(A2)</f>
        <v>地方国有企业</v>
      </c>
      <c r="F4" s="120"/>
      <c r="G4" s="120"/>
      <c r="H4" s="43"/>
    </row>
    <row r="5" spans="1:20" s="39" customFormat="1" ht="14.25" customHeight="1" x14ac:dyDescent="0.25">
      <c r="A5" s="95" t="s">
        <v>4</v>
      </c>
      <c r="B5" s="119" t="str">
        <f>[1]!b_issuer_windindustry(A2,9)</f>
        <v>可选消费--消费者服务Ⅱ--酒店、餐馆与休闲Ⅲ--酒店、度假村与豪华游轮</v>
      </c>
      <c r="C5" s="120"/>
      <c r="D5" s="95" t="s">
        <v>5</v>
      </c>
      <c r="E5" s="119" t="str">
        <f>[1]!b_issuer_regaddress(A2)</f>
        <v>江苏省无锡市马山古竹路18号</v>
      </c>
      <c r="F5" s="120"/>
      <c r="G5" s="120"/>
    </row>
    <row r="6" spans="1:20" s="39" customFormat="1" ht="81" customHeight="1" x14ac:dyDescent="0.25">
      <c r="A6" s="95" t="s">
        <v>6</v>
      </c>
      <c r="B6" s="121" t="str">
        <f>[1]!s_info_briefing(A2)</f>
        <v>灵山胜境是无锡市乃至江苏的标志性景区，也是蜚声中外的文化胜迹，中国旅游驰名品牌，为华东和太湖黄金旅游线的亮点和热点。公司依托灵山品牌，全面提升公司的产业结构和核心竞争力，通过品牌和资本运作，整合周边地区的土地和旅游资源，把灵山建成世界级旅游胜地、沪宁杭都市圈的著名休闲旅游社区。2012年，公司的营业收入为60,266.12万元，公司营业额位居长三角旅游企业前列。在2012年4月，中国灵山公益慈善促进会等一批国家级的会址总部落户灵山，这为公司在长三角旅游市场的领先地位将得到进一步巩固。公司的品牌价值不断提升。2000年，灵山被评为中国首批AAAA级景区；2002年，被评为中国旅游知名品牌；2005年被评为江苏省著名品牌；2009年灵山被评为中国AAAAA级景区和中国驰名商标，灵山梵宫被《国宝档案》栏目纳入“国家级建筑”并被建设部、中国建筑业协会授予中国工程建设最高奖——鲁班奖。</v>
      </c>
      <c r="C6" s="120"/>
      <c r="D6" s="120"/>
      <c r="E6" s="120"/>
      <c r="F6" s="120"/>
      <c r="G6" s="120"/>
    </row>
    <row r="7" spans="1:20" s="39" customFormat="1" x14ac:dyDescent="0.25">
      <c r="A7" s="97" t="s">
        <v>7</v>
      </c>
      <c r="B7" s="122" t="str">
        <f>[1]!b_issuer_shareholder(A2,"",1)</f>
        <v>无锡市灵山景区管理中心</v>
      </c>
      <c r="C7" s="120"/>
      <c r="D7" s="120"/>
      <c r="E7" s="120"/>
      <c r="F7" s="99">
        <f>[1]!b_issuer_propofshareholder($A$2,"",1)%</f>
        <v>0.51</v>
      </c>
      <c r="G7" s="98"/>
      <c r="H7" s="44" t="s">
        <v>8</v>
      </c>
      <c r="M7" s="49">
        <v>42004</v>
      </c>
      <c r="N7" s="49">
        <v>42369</v>
      </c>
      <c r="O7" s="49">
        <v>41639</v>
      </c>
      <c r="P7" s="23" t="s">
        <v>9</v>
      </c>
      <c r="Q7" s="23" t="s">
        <v>10</v>
      </c>
      <c r="R7" s="23" t="s">
        <v>11</v>
      </c>
    </row>
    <row r="8" spans="1:20" s="39" customFormat="1" x14ac:dyDescent="0.25">
      <c r="A8" s="97"/>
      <c r="B8" s="122" t="str">
        <f>[1]!b_issuer_shareholder(A2,"",2)</f>
        <v>无锡市人民政府国有资产监督管理委员会</v>
      </c>
      <c r="C8" s="120"/>
      <c r="D8" s="120"/>
      <c r="E8" s="120"/>
      <c r="F8" s="99">
        <f>[1]!b_issuer_propofshareholder($A$2,"",2)%</f>
        <v>0.4818000030517578</v>
      </c>
      <c r="G8" s="98"/>
      <c r="H8" s="44"/>
      <c r="M8" s="50"/>
      <c r="O8" s="50"/>
      <c r="P8" s="51"/>
    </row>
    <row r="9" spans="1:20" s="39" customFormat="1" x14ac:dyDescent="0.25">
      <c r="A9" s="97"/>
      <c r="B9" s="122" t="str">
        <f>[1]!b_issuer_shareholder(A2,"",3)</f>
        <v>无锡产业发展集团有限公司</v>
      </c>
      <c r="C9" s="120"/>
      <c r="D9" s="120"/>
      <c r="E9" s="120"/>
      <c r="F9" s="99">
        <f>[1]!b_issuer_propofshareholder($A$2,"",3)%</f>
        <v>8.199999928474427E-3</v>
      </c>
      <c r="G9" s="98"/>
      <c r="H9" s="44"/>
      <c r="M9" s="50"/>
      <c r="O9" s="50"/>
      <c r="P9" s="51"/>
    </row>
    <row r="10" spans="1:20" s="39" customFormat="1" x14ac:dyDescent="0.25">
      <c r="A10" s="97"/>
      <c r="B10" s="122">
        <f>[1]!b_issuer_shareholder(A2,"",4)</f>
        <v>0</v>
      </c>
      <c r="C10" s="120"/>
      <c r="D10" s="120"/>
      <c r="E10" s="120"/>
      <c r="F10" s="99">
        <f>[1]!b_issuer_propofshareholder($A$2,"",4)%</f>
        <v>0</v>
      </c>
      <c r="G10" s="98"/>
      <c r="H10" s="44"/>
      <c r="M10" s="50"/>
      <c r="O10" s="50"/>
      <c r="P10" s="51"/>
    </row>
    <row r="11" spans="1:20" s="39" customFormat="1" x14ac:dyDescent="0.25">
      <c r="A11" s="97"/>
      <c r="B11" s="122">
        <f>[1]!b_issuer_shareholder(A2,"",5)</f>
        <v>0</v>
      </c>
      <c r="C11" s="120"/>
      <c r="D11" s="120"/>
      <c r="E11" s="120"/>
      <c r="F11" s="99">
        <f>[1]!b_issuer_propofshareholder($A$2,"",5)%</f>
        <v>0</v>
      </c>
      <c r="G11" s="98"/>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d19040109.IB</v>
      </c>
      <c r="K14" s="52"/>
      <c r="L14" s="53" t="str">
        <f>T15</f>
        <v>125310.SH</v>
      </c>
      <c r="M14" s="53" t="str">
        <f>T16</f>
        <v>1380134.IB</v>
      </c>
      <c r="N14" s="53" t="str">
        <f>T17</f>
        <v>1382149.IB</v>
      </c>
      <c r="O14" s="53" t="str">
        <f>T18</f>
        <v>1382118.IB</v>
      </c>
      <c r="P14" s="53" t="str">
        <f>T19</f>
        <v>1282384.IB</v>
      </c>
      <c r="Q14" s="53" t="str">
        <f>T20</f>
        <v>101554042.IB</v>
      </c>
      <c r="R14" s="15" t="str">
        <f>T21</f>
        <v>1380101.IB</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无锡灵山文化旅游集团有限公司</v>
      </c>
      <c r="K15" s="138"/>
      <c r="L15" s="20" t="str">
        <f>[1]!b_info_issuer(L14)</f>
        <v>浙江长兴环太湖经济投资开发有限公司</v>
      </c>
      <c r="M15" s="20" t="str">
        <f>[1]!b_info_issuer(M14)</f>
        <v>西安曲江大明宫投资(集团)有限公司</v>
      </c>
      <c r="N15" s="20" t="str">
        <f>[1]!b_info_issuer(N14)</f>
        <v>天津市旅游(控股)集团有限公司</v>
      </c>
      <c r="O15" s="20" t="str">
        <f>[1]!b_info_issuer(O14)</f>
        <v>重庆旅游投资集团有限公司</v>
      </c>
      <c r="P15" s="20" t="str">
        <f>[1]!b_info_issuer(P14)</f>
        <v>丽江玉龙旅游股份有限公司</v>
      </c>
      <c r="Q15" s="20" t="str">
        <f>[1]!b_info_issuer(Q14)</f>
        <v>张家界市武陵源旅游产业发展有限公司</v>
      </c>
      <c r="R15" s="20" t="str">
        <f>[1]!b_info_issuer(R14)</f>
        <v>大理州旅游产业开发集团有限责任公司</v>
      </c>
      <c r="T15" s="14" t="s">
        <v>23</v>
      </c>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24</v>
      </c>
      <c r="J16" s="11" t="str">
        <f>[1]!b_info_latestissurercreditrating(J14)</f>
        <v>AA</v>
      </c>
      <c r="K16" s="124"/>
      <c r="L16" s="11" t="s">
        <v>25</v>
      </c>
      <c r="M16" s="11" t="s">
        <v>25</v>
      </c>
      <c r="N16" s="11" t="s">
        <v>25</v>
      </c>
      <c r="O16" s="11" t="s">
        <v>25</v>
      </c>
      <c r="P16" s="11" t="s">
        <v>25</v>
      </c>
      <c r="Q16" s="11" t="s">
        <v>25</v>
      </c>
      <c r="R16" s="11" t="s">
        <v>25</v>
      </c>
      <c r="T16" s="14" t="s">
        <v>26</v>
      </c>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27</v>
      </c>
      <c r="I17" s="21" t="s">
        <v>3</v>
      </c>
      <c r="J17" s="22" t="str">
        <f>[1]!s_info_nature(J14)</f>
        <v>地方国有企业</v>
      </c>
      <c r="K17" s="124"/>
      <c r="L17" s="22" t="str">
        <f>[1]!s_info_nature(L14)</f>
        <v>地方国有企业</v>
      </c>
      <c r="M17" s="22" t="str">
        <f>[1]!s_info_nature(M14)</f>
        <v>地方国有企业</v>
      </c>
      <c r="N17" s="22" t="str">
        <f>[1]!s_info_nature(N14)</f>
        <v>地方国有企业</v>
      </c>
      <c r="O17" s="22" t="str">
        <f>[1]!s_info_nature(O14)</f>
        <v>地方国有企业</v>
      </c>
      <c r="P17" s="22" t="str">
        <f>[1]!s_info_nature(P14)</f>
        <v>民营企业</v>
      </c>
      <c r="Q17" s="22" t="str">
        <f>[1]!s_info_nature(Q14)</f>
        <v>地方国有企业</v>
      </c>
      <c r="R17" s="22" t="str">
        <f>[1]!s_info_nature(R14)</f>
        <v>地方国有企业</v>
      </c>
      <c r="T17" s="14" t="s">
        <v>28</v>
      </c>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29</v>
      </c>
      <c r="J18" s="23" t="s">
        <v>30</v>
      </c>
      <c r="K18" s="124"/>
      <c r="L18" s="23" t="s">
        <v>30</v>
      </c>
      <c r="M18" s="23" t="s">
        <v>30</v>
      </c>
      <c r="N18" s="23" t="s">
        <v>30</v>
      </c>
      <c r="O18" s="23" t="s">
        <v>30</v>
      </c>
      <c r="P18" s="23" t="s">
        <v>30</v>
      </c>
      <c r="Q18" s="23" t="s">
        <v>30</v>
      </c>
      <c r="R18" s="23" t="s">
        <v>30</v>
      </c>
      <c r="T18" s="14" t="s">
        <v>31</v>
      </c>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32</v>
      </c>
      <c r="J19" s="24">
        <f>[1]!b_stm07_bs(J14,74,J13,1)/100000000</f>
        <v>110.4184356582</v>
      </c>
      <c r="K19" s="124"/>
      <c r="L19" s="24">
        <f>[1]!b_stm07_bs(L14,74,L13,1)/100000000</f>
        <v>174.14702867130001</v>
      </c>
      <c r="M19" s="24">
        <f>[1]!b_stm07_bs(M14,74,M13,1)/100000000</f>
        <v>191.9847422938</v>
      </c>
      <c r="N19" s="24">
        <f>[1]!b_stm07_bs(N14,74,N13,1)/100000000</f>
        <v>87.232213104899998</v>
      </c>
      <c r="O19" s="24">
        <f>[1]!b_stm07_bs(O14,74,O13,1)/100000000</f>
        <v>201.0704477495</v>
      </c>
      <c r="P19" s="24">
        <f>[1]!b_stm07_bs(P14,74,P13,1)/100000000</f>
        <v>26.906754924800001</v>
      </c>
      <c r="Q19" s="24">
        <f>[1]!b_stm07_bs(Q14,74,Q13,1)/100000000</f>
        <v>103.35434069729999</v>
      </c>
      <c r="R19" s="24">
        <f>[1]!b_stm07_bs(R14,74,R13,1)/100000000</f>
        <v>96.172179125300005</v>
      </c>
      <c r="T19" s="16" t="s">
        <v>33</v>
      </c>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34</v>
      </c>
      <c r="J20" s="25">
        <f>[1]!s_fa_debttoassets(J14,J13)/100</f>
        <v>0.590642</v>
      </c>
      <c r="K20" s="124"/>
      <c r="L20" s="25">
        <f>[1]!s_fa_debttoassets(L14,L13)/100</f>
        <v>0.43576999999999999</v>
      </c>
      <c r="M20" s="25">
        <f>[1]!s_fa_debttoassets(M14,M13)/100</f>
        <v>0.75272000000000006</v>
      </c>
      <c r="N20" s="25">
        <f>[1]!s_fa_debttoassets(N14,N13)/100</f>
        <v>0.74641800000000003</v>
      </c>
      <c r="O20" s="25">
        <f>[1]!s_fa_debttoassets(O14,O13)/100</f>
        <v>0.71792800000000001</v>
      </c>
      <c r="P20" s="25">
        <f>[1]!s_fa_debttoassets(P14,P13)/100</f>
        <v>8.9715000000000003E-2</v>
      </c>
      <c r="Q20" s="25">
        <f>[1]!s_fa_debttoassets(Q14,Q13)/100</f>
        <v>0.42308500000000004</v>
      </c>
      <c r="R20" s="25">
        <f>[1]!s_fa_debttoassets(R14,R13)/100</f>
        <v>0.50468499999999994</v>
      </c>
      <c r="T20" s="16" t="s">
        <v>35</v>
      </c>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36</v>
      </c>
      <c r="J21" s="24">
        <f>[1]!s_fa_current(J14,J13)</f>
        <v>0.44519999999999998</v>
      </c>
      <c r="K21" s="124"/>
      <c r="L21" s="24">
        <f>[1]!s_fa_current(L14,L13)</f>
        <v>10.2026</v>
      </c>
      <c r="M21" s="24">
        <f>[1]!s_fa_current(M14,M13)</f>
        <v>4.2346000000000004</v>
      </c>
      <c r="N21" s="24">
        <f>[1]!s_fa_current(N14,N13)</f>
        <v>0.90400000000000003</v>
      </c>
      <c r="O21" s="24">
        <f>[1]!s_fa_current(O14,O13)</f>
        <v>1.5874999999999999</v>
      </c>
      <c r="P21" s="24">
        <f>[1]!s_fa_current(P14,P13)</f>
        <v>5.7039999999999997</v>
      </c>
      <c r="Q21" s="24">
        <f>[1]!s_fa_current(Q14,Q13)</f>
        <v>1.5298</v>
      </c>
      <c r="R21" s="24">
        <f>[1]!s_fa_current(R14,R13)</f>
        <v>1.5880000000000001</v>
      </c>
      <c r="T21" s="16" t="s">
        <v>37</v>
      </c>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38</v>
      </c>
      <c r="J22" s="11">
        <f>(J96+J97+J98+J99+J100+J101)/J103</f>
        <v>0.77698222397335492</v>
      </c>
      <c r="K22" s="124"/>
      <c r="L22" s="11">
        <f>(公式页!L96+公式页!L97+公式页!L98+公式页!L99+公式页!L100+公式页!L101)/公式页!L103</f>
        <v>0.46944508374573496</v>
      </c>
      <c r="M22" s="11">
        <f t="shared" ref="M22:R22" si="0">(M96+M97+M98+M99+M100+M101)/M103</f>
        <v>2.4498151763695977</v>
      </c>
      <c r="N22" s="11">
        <f t="shared" si="0"/>
        <v>1.7099110340062895</v>
      </c>
      <c r="O22" s="11">
        <f t="shared" si="0"/>
        <v>1.7187666531916572</v>
      </c>
      <c r="P22" s="11">
        <f t="shared" si="0"/>
        <v>3.7786582603259705E-2</v>
      </c>
      <c r="Q22" s="11">
        <f t="shared" si="0"/>
        <v>0.57317273145420466</v>
      </c>
      <c r="R22" s="11">
        <f t="shared" si="0"/>
        <v>0.37306589720781275</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39</v>
      </c>
      <c r="J23" s="24">
        <f>[1]!s_fa_ebitdatodebt(J14,J13)</f>
        <v>8.0600000000000005E-2</v>
      </c>
      <c r="K23" s="124"/>
      <c r="L23" s="24">
        <f>[1]!s_fa_ebitdatodebt(L14,L13)</f>
        <v>1.8700000000000001E-2</v>
      </c>
      <c r="M23" s="24">
        <f>[1]!s_fa_ebitdatodebt(M14,M13)</f>
        <v>1.11E-2</v>
      </c>
      <c r="N23" s="24">
        <f>[1]!s_fa_ebitdatodebt(N14,N13)</f>
        <v>4.7199999999999999E-2</v>
      </c>
      <c r="O23" s="24">
        <f>[1]!s_fa_ebitdatodebt(O14,O13)</f>
        <v>4.9599999999999998E-2</v>
      </c>
      <c r="P23" s="24">
        <f>[1]!s_fa_ebitdatodebt(P14,P13)</f>
        <v>1.4052</v>
      </c>
      <c r="Q23" s="24">
        <f>[1]!s_fa_ebitdatodebt(Q14,Q13)</f>
        <v>8.8599999999999998E-2</v>
      </c>
      <c r="R23" s="24">
        <f>[1]!s_fa_ebitdatodebt(R14,R13)</f>
        <v>2.2700000000000001E-2</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40</v>
      </c>
      <c r="J24" s="24">
        <f>[1]!b_stm07_is(J14,9,J13,1)/100000000</f>
        <v>11.433438308900001</v>
      </c>
      <c r="K24" s="124"/>
      <c r="L24" s="24">
        <f>[1]!b_stm07_is(L14,9,L13,1)/100000000</f>
        <v>4.1029414232999999</v>
      </c>
      <c r="M24" s="24">
        <f>[1]!b_stm07_is(M14,9,M13,1)/100000000</f>
        <v>15.071419220099999</v>
      </c>
      <c r="N24" s="24">
        <f>[1]!b_stm07_is(N14,9,N13,1)/100000000</f>
        <v>46.467823027600005</v>
      </c>
      <c r="O24" s="24">
        <f>[1]!b_stm07_is(O14,9,O13,1)/100000000</f>
        <v>22.408429225799999</v>
      </c>
      <c r="P24" s="24">
        <f>[1]!b_stm07_is(P14,9,P13,1)/100000000</f>
        <v>6.8720399138000001</v>
      </c>
      <c r="Q24" s="24">
        <f>[1]!b_stm07_is(Q14,9,Q13,1)/100000000</f>
        <v>7.6131477730999997</v>
      </c>
      <c r="R24" s="24">
        <f>[1]!b_stm07_is(R14,9,R13,1)/100000000</f>
        <v>6.0391375658000008</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41</v>
      </c>
      <c r="J25" s="26">
        <f>[1]!s_fa_salescashintoor(J14,J13)%</f>
        <v>0.95459999999999989</v>
      </c>
      <c r="K25" s="124"/>
      <c r="L25" s="26">
        <f>[1]!s_fa_salescashintoor(L14,L13)%</f>
        <v>0.99009999999999987</v>
      </c>
      <c r="M25" s="26">
        <f>[1]!s_fa_salescashintoor(M14,M13)%</f>
        <v>1.1800999999999999</v>
      </c>
      <c r="N25" s="26">
        <f>[1]!s_fa_salescashintoor(N14,N13)%</f>
        <v>1.1788000000000001</v>
      </c>
      <c r="O25" s="26">
        <f>[1]!s_fa_salescashintoor(O14,O13)%</f>
        <v>1.016</v>
      </c>
      <c r="P25" s="26">
        <f>[1]!s_fa_salescashintoor(P14,P13)%</f>
        <v>1.1393</v>
      </c>
      <c r="Q25" s="26">
        <f>[1]!s_fa_salescashintoor(Q14,Q13)%</f>
        <v>1.0436000000000001</v>
      </c>
      <c r="R25" s="26">
        <f>[1]!s_fa_salescashintoor(R14,R13)%</f>
        <v>0.96950000000000003</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42</v>
      </c>
      <c r="J26" s="26">
        <f>[1]!s_fa_grossprofitmargin(J14,J13)%</f>
        <v>0.51850700000000005</v>
      </c>
      <c r="K26" s="124"/>
      <c r="L26" s="26">
        <f>[1]!s_fa_grossprofitmargin(L14,L13)%</f>
        <v>7.0787000000000003E-2</v>
      </c>
      <c r="M26" s="26">
        <f>[1]!s_fa_grossprofitmargin(M14,M13)%</f>
        <v>0.189363</v>
      </c>
      <c r="N26" s="26">
        <f>[1]!s_fa_grossprofitmargin(N14,N13)%</f>
        <v>0.148202</v>
      </c>
      <c r="O26" s="26">
        <f>[1]!s_fa_grossprofitmargin(O14,O13)%</f>
        <v>0.13469799999999998</v>
      </c>
      <c r="P26" s="26">
        <f>[1]!s_fa_grossprofitmargin(P14,P13)%</f>
        <v>0.700762</v>
      </c>
      <c r="Q26" s="26">
        <f>[1]!s_fa_grossprofitmargin(Q14,Q13)%</f>
        <v>0.41011999999999998</v>
      </c>
      <c r="R26" s="26">
        <f>[1]!s_fa_grossprofitmargin(R14,R13)%</f>
        <v>0.18022099999999999</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43</v>
      </c>
      <c r="J27" s="27">
        <f>[1]!b_stm07_is(J14,60,J13,1)/100000000</f>
        <v>0.46811187999999998</v>
      </c>
      <c r="K27" s="124"/>
      <c r="L27" s="27">
        <f>[1]!b_stm07_is(L14,60,L13,1)/100000000</f>
        <v>1.3790811476</v>
      </c>
      <c r="M27" s="27">
        <f>[1]!b_stm07_is(M14,60,M13,1)/100000000</f>
        <v>0.1464026021</v>
      </c>
      <c r="N27" s="27">
        <f>[1]!b_stm07_is(N14,60,N13,1)/100000000</f>
        <v>0.16002414030000001</v>
      </c>
      <c r="O27" s="27">
        <f>[1]!b_stm07_is(O14,60,O13,1)/100000000</f>
        <v>0.10846205130000001</v>
      </c>
      <c r="P27" s="27">
        <f>[1]!b_stm07_is(P14,60,P13,1)/100000000</f>
        <v>2.1688287527000001</v>
      </c>
      <c r="Q27" s="27">
        <f>[1]!b_stm07_is(Q14,60,Q13,1)/100000000</f>
        <v>0.97474325650000004</v>
      </c>
      <c r="R27" s="27">
        <f>[1]!b_stm07_is(R14,60,R13,1)/100000000</f>
        <v>0.22560552070000001</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44</v>
      </c>
      <c r="I28" s="19" t="s">
        <v>45</v>
      </c>
      <c r="J28" s="25">
        <f>[1]!s_fa_roe(J14,J13)%</f>
        <v>1.3395999999999998E-2</v>
      </c>
      <c r="K28" s="124"/>
      <c r="L28" s="25">
        <f>[1]!s_fa_roe(L14,L13)%</f>
        <v>1.5668999999999999E-2</v>
      </c>
      <c r="M28" s="25">
        <f>[1]!s_fa_roe(M14,M13)%</f>
        <v>3.715E-3</v>
      </c>
      <c r="N28" s="25">
        <f>[1]!s_fa_roe(N14,N13)%</f>
        <v>2.4979999999999998E-3</v>
      </c>
      <c r="O28" s="25">
        <f>[1]!s_fa_roe(O14,O13)%</f>
        <v>3.82E-3</v>
      </c>
      <c r="P28" s="25">
        <f>[1]!s_fa_roe(P14,P13)%</f>
        <v>9.0867000000000003E-2</v>
      </c>
      <c r="Q28" s="25">
        <f>[1]!s_fa_roe(Q14,Q13)%</f>
        <v>1.6329E-2</v>
      </c>
      <c r="R28" s="25">
        <f>[1]!s_fa_roe(R14,R13)%</f>
        <v>5.0480000000000004E-3</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46</v>
      </c>
      <c r="J29" s="27">
        <f>[1]!b_stm07_cs(J14,39,J13,1)/100000000</f>
        <v>6.5580221978999997</v>
      </c>
      <c r="K29" s="124"/>
      <c r="L29" s="27">
        <f>[1]!b_stm07_cs(L14,39,L13,1)/100000000</f>
        <v>-3.0901475273000001</v>
      </c>
      <c r="M29" s="27">
        <f>[1]!b_stm07_cs(M14,39,M13,1)/100000000</f>
        <v>-18.305405051199998</v>
      </c>
      <c r="N29" s="27">
        <f>[1]!b_stm07_cs(N14,39,N13,1)/100000000</f>
        <v>1.3318966977</v>
      </c>
      <c r="O29" s="27">
        <f>[1]!b_stm07_cs(O14,39,O13,1)/100000000</f>
        <v>4.5788224039000003</v>
      </c>
      <c r="P29" s="27">
        <f>[1]!b_stm07_cs(P14,39,P13,1)/100000000</f>
        <v>3.0022504894000002</v>
      </c>
      <c r="Q29" s="27">
        <f>[1]!b_stm07_cs(Q14,39,Q13,1)/100000000</f>
        <v>-0.11400806519999999</v>
      </c>
      <c r="R29" s="27">
        <f>[1]!b_stm07_cs(R14,39,R13,1)/100000000</f>
        <v>0.3941864115</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47</v>
      </c>
      <c r="J96" s="62">
        <f>[1]!b_stm07_bs(J14,75,J13,1)</f>
        <v>930000000</v>
      </c>
      <c r="K96" s="62"/>
      <c r="L96" s="62">
        <f>[1]!b_stm07_bs(L14,75,L13,1)</f>
        <v>0</v>
      </c>
      <c r="M96" s="62">
        <f>[1]!b_stm07_bs(M14,75,M13,1)</f>
        <v>148000000</v>
      </c>
      <c r="N96" s="62">
        <f>[1]!b_stm07_bs(N14,75,N13,1)</f>
        <v>1472867494.6500001</v>
      </c>
      <c r="O96" s="62">
        <f>[1]!b_stm07_bs(O14,75,O13,1)</f>
        <v>290000000</v>
      </c>
      <c r="P96" s="62">
        <f>[1]!b_stm07_bs(P14,75,P13,1)</f>
        <v>0</v>
      </c>
      <c r="Q96" s="62">
        <f>[1]!b_stm07_bs(Q14,75,Q13,1)</f>
        <v>480000000</v>
      </c>
      <c r="R96" s="62">
        <f>[1]!b_stm07_bs(R14,75,R13,1)</f>
        <v>321848689.35000002</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48</v>
      </c>
      <c r="J97" s="62">
        <f>[1]!b_stm07_bs(J14,82,J13,1)</f>
        <v>59912104.859999999</v>
      </c>
      <c r="K97" s="62"/>
      <c r="L97" s="62">
        <f>[1]!b_stm07_bs(L14,82,L13,1)</f>
        <v>72607399.510000005</v>
      </c>
      <c r="M97" s="62">
        <f>[1]!b_stm07_bs(M14,82,M13,1)</f>
        <v>36605279.450000003</v>
      </c>
      <c r="N97" s="62">
        <f>[1]!b_stm07_bs(N14,82,N13,1)</f>
        <v>499083.34</v>
      </c>
      <c r="O97" s="62">
        <f>[1]!b_stm07_bs(O14,82,O13,1)</f>
        <v>115749792.40000001</v>
      </c>
      <c r="P97" s="62">
        <f>[1]!b_stm07_bs(P14,82,P13,1)</f>
        <v>2550000</v>
      </c>
      <c r="Q97" s="62">
        <f>[1]!b_stm07_bs(Q14,82,Q13,1)</f>
        <v>13500000</v>
      </c>
      <c r="R97" s="62">
        <f>[1]!b_stm07_bs(R14,82,R13,1)</f>
        <v>43996745.579999998</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49</v>
      </c>
      <c r="J98" s="62">
        <f>[1]!b_stm07_bs(J14,88,J13,1)</f>
        <v>570000000</v>
      </c>
      <c r="K98" s="62"/>
      <c r="L98" s="62">
        <f>[1]!b_stm07_bs(L14,88,L13,1)</f>
        <v>1013676604.4299999</v>
      </c>
      <c r="M98" s="62">
        <f>[1]!b_stm07_bs(M14,88,M13,1)</f>
        <v>1585488032.1300001</v>
      </c>
      <c r="N98" s="62">
        <f>[1]!b_stm07_bs(N14,88,N13,1)</f>
        <v>340500000</v>
      </c>
      <c r="O98" s="62">
        <f>[1]!b_stm07_bs(O14,88,O13,1)</f>
        <v>617230962.64999998</v>
      </c>
      <c r="P98" s="62">
        <f>[1]!b_stm07_bs(P14,88,P13,1)</f>
        <v>90000000</v>
      </c>
      <c r="Q98" s="62">
        <f>[1]!b_stm07_bs(Q14,88,Q13,1)</f>
        <v>181000000</v>
      </c>
      <c r="R98" s="62">
        <f>[1]!b_stm07_bs(R14,88,R13,1)</f>
        <v>226000000</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50</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51</v>
      </c>
      <c r="J100" s="62">
        <f>[1]!b_stm07_bs(J14,94,J13,1)</f>
        <v>1602100000</v>
      </c>
      <c r="K100" s="62"/>
      <c r="L100" s="62">
        <f>[1]!b_stm07_bs(L14,94,L13,1)</f>
        <v>2041735203.8299999</v>
      </c>
      <c r="M100" s="62">
        <f>[1]!b_stm07_bs(M14,94,M13,1)</f>
        <v>9260167581.1399994</v>
      </c>
      <c r="N100" s="62">
        <f>[1]!b_stm07_bs(N14,94,N13,1)</f>
        <v>1968545125.25</v>
      </c>
      <c r="O100" s="62">
        <f>[1]!b_stm07_bs(O14,94,O13,1)</f>
        <v>6645408000</v>
      </c>
      <c r="P100" s="62">
        <f>[1]!b_stm07_bs(P14,94,P13,1)</f>
        <v>0</v>
      </c>
      <c r="Q100" s="62">
        <f>[1]!b_stm07_bs(Q14,94,Q13,1)</f>
        <v>2297990000</v>
      </c>
      <c r="R100" s="62">
        <f>[1]!b_stm07_bs(R14,94,R13,1)</f>
        <v>385600000</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52</v>
      </c>
      <c r="J101" s="62">
        <f>[1]!b_stm07_bs(J14,95,J13,1)</f>
        <v>350000000</v>
      </c>
      <c r="K101" s="62"/>
      <c r="L101" s="62">
        <f>[1]!b_stm07_bs(L14,95,L13,1)</f>
        <v>1484700000</v>
      </c>
      <c r="M101" s="62">
        <f>[1]!b_stm07_bs(M14,95,M13,1)</f>
        <v>600000000</v>
      </c>
      <c r="N101" s="62">
        <f>[1]!b_stm07_bs(N14,95,N13,1)</f>
        <v>0</v>
      </c>
      <c r="O101" s="62">
        <f>[1]!b_stm07_bs(O14,95,O13,1)</f>
        <v>2079825000</v>
      </c>
      <c r="P101" s="62">
        <f>[1]!b_stm07_bs(P14,95,P13,1)</f>
        <v>0</v>
      </c>
      <c r="Q101" s="62">
        <f>[1]!b_stm07_bs(Q14,95,Q13,1)</f>
        <v>445149663.80000001</v>
      </c>
      <c r="R101" s="62">
        <f>[1]!b_stm07_bs(R14,95,R13,1)</f>
        <v>799674294.80999994</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53</v>
      </c>
      <c r="J103" s="62">
        <f>[1]!b_stm07_bs(J14,141,J13,1)</f>
        <v>4520067507.9799995</v>
      </c>
      <c r="K103" s="62"/>
      <c r="L103" s="62">
        <f>[1]!b_stm07_bs(L14,141,L13,1)</f>
        <v>9825897357.2900009</v>
      </c>
      <c r="M103" s="62">
        <f>[1]!b_stm07_bs(M14,141,M13,1)</f>
        <v>4747403397.9799995</v>
      </c>
      <c r="N103" s="62">
        <f>[1]!b_stm07_bs(N14,141,N13,1)</f>
        <v>2212051754.75</v>
      </c>
      <c r="O103" s="62">
        <f>[1]!b_stm07_bs(O14,141,O13,1)</f>
        <v>5671633049.75</v>
      </c>
      <c r="P103" s="62">
        <f>[1]!b_stm07_bs(P14,141,P13,1)</f>
        <v>2449282089.6700001</v>
      </c>
      <c r="Q103" s="62">
        <f>[1]!b_stm07_bs(Q14,141,Q13,1)</f>
        <v>5962669673.9899998</v>
      </c>
      <c r="R103" s="62">
        <f>[1]!b_stm07_bs(R14,141,R13,1)</f>
        <v>4763554490.0799999</v>
      </c>
    </row>
    <row r="106" spans="1:19" ht="14.25" customHeight="1" x14ac:dyDescent="0.25">
      <c r="A106" s="123" t="s">
        <v>54</v>
      </c>
      <c r="B106" s="118"/>
      <c r="C106" s="118"/>
      <c r="D106" s="124"/>
      <c r="E106" s="124"/>
      <c r="F106" s="124"/>
      <c r="G106" s="124"/>
      <c r="H106" s="124"/>
      <c r="I106" s="124"/>
      <c r="J106" s="124"/>
      <c r="L106" s="39"/>
      <c r="M106" s="39"/>
    </row>
    <row r="107" spans="1:19" x14ac:dyDescent="0.25">
      <c r="A107" s="125" t="s">
        <v>55</v>
      </c>
      <c r="B107" s="118"/>
      <c r="C107" s="118"/>
      <c r="D107" s="124"/>
      <c r="E107" s="124"/>
      <c r="F107" s="124"/>
      <c r="G107" s="126">
        <v>2017</v>
      </c>
      <c r="H107" s="124"/>
      <c r="I107" s="124"/>
      <c r="J107" s="124"/>
      <c r="K107" s="74" t="str">
        <f>A2</f>
        <v>d19040109.IB</v>
      </c>
      <c r="L107" s="63">
        <f>B2</f>
        <v>43100</v>
      </c>
      <c r="M107" s="39"/>
    </row>
    <row r="108" spans="1:19" ht="12.75" customHeight="1" x14ac:dyDescent="0.25">
      <c r="A108" s="127" t="s">
        <v>56</v>
      </c>
      <c r="B108" s="118"/>
      <c r="C108" s="127" t="s">
        <v>57</v>
      </c>
      <c r="D108" s="124"/>
      <c r="E108" s="127" t="s">
        <v>58</v>
      </c>
      <c r="F108" s="124"/>
      <c r="G108" s="127" t="s">
        <v>59</v>
      </c>
      <c r="H108" s="124"/>
      <c r="I108" s="127" t="s">
        <v>60</v>
      </c>
      <c r="J108" s="124"/>
      <c r="L108" s="39"/>
      <c r="M108" s="39"/>
    </row>
    <row r="109" spans="1:19" ht="16.5" customHeight="1" x14ac:dyDescent="0.25">
      <c r="A109" s="19" t="s">
        <v>61</v>
      </c>
      <c r="B109" s="29">
        <f>M109/100</f>
        <v>0.590642</v>
      </c>
      <c r="C109" s="19" t="s">
        <v>36</v>
      </c>
      <c r="D109" s="30">
        <f>[1]!s_fa_current(A2,B2)</f>
        <v>0.44519999999999998</v>
      </c>
      <c r="E109" s="19" t="s">
        <v>41</v>
      </c>
      <c r="F109" s="33">
        <f>[1]!s_fa_salescashintoor(A2,B2)/100</f>
        <v>0.95459999999999989</v>
      </c>
      <c r="G109" s="19" t="s">
        <v>42</v>
      </c>
      <c r="H109" s="29">
        <f>S109/100</f>
        <v>0.51850700000000005</v>
      </c>
      <c r="I109" s="19"/>
      <c r="J109" s="38"/>
      <c r="K109" s="50"/>
      <c r="L109" s="64" t="s">
        <v>61</v>
      </c>
      <c r="M109" s="65">
        <f>[1]!s_fa_debttoassets(A2,B2)</f>
        <v>59.0642</v>
      </c>
      <c r="N109" s="19" t="s">
        <v>36</v>
      </c>
      <c r="O109" s="66"/>
      <c r="P109" s="19" t="s">
        <v>41</v>
      </c>
      <c r="Q109" s="66"/>
      <c r="R109" s="19" t="s">
        <v>42</v>
      </c>
      <c r="S109" s="69">
        <f>[1]!s_fa_grossprofitmargin(A2,B2)</f>
        <v>51.850700000000003</v>
      </c>
    </row>
    <row r="110" spans="1:19" ht="15.75" customHeight="1" x14ac:dyDescent="0.25">
      <c r="A110" s="19" t="s">
        <v>62</v>
      </c>
      <c r="B110" s="29">
        <f>M110/100</f>
        <v>0.164988</v>
      </c>
      <c r="C110" s="19" t="s">
        <v>63</v>
      </c>
      <c r="D110" s="33">
        <f>[1]!s_fa_quick(A2,B2)</f>
        <v>0.42809999999999998</v>
      </c>
      <c r="E110" s="19" t="s">
        <v>64</v>
      </c>
      <c r="F110" s="30">
        <f>[1]!s_fa_arturn(A2,B2)</f>
        <v>9.8247999999999998</v>
      </c>
      <c r="G110" s="19" t="s">
        <v>65</v>
      </c>
      <c r="H110" s="29">
        <f>S110/100</f>
        <v>8.9019999999999988E-2</v>
      </c>
      <c r="I110" s="19"/>
      <c r="J110" s="38"/>
      <c r="L110" s="19" t="s">
        <v>62</v>
      </c>
      <c r="M110" s="65">
        <f>[1]!s_fa_catoassets(A2,B2)</f>
        <v>16.498799999999999</v>
      </c>
      <c r="N110" s="19" t="s">
        <v>63</v>
      </c>
      <c r="O110" s="66"/>
      <c r="P110" s="19" t="s">
        <v>64</v>
      </c>
      <c r="Q110" s="33"/>
      <c r="R110" s="19" t="s">
        <v>65</v>
      </c>
      <c r="S110" s="69">
        <f>[1]!s_fa_optogr(A2,B2)</f>
        <v>8.9019999999999992</v>
      </c>
    </row>
    <row r="111" spans="1:19" ht="15" customHeight="1" x14ac:dyDescent="0.25">
      <c r="A111" s="19" t="s">
        <v>66</v>
      </c>
      <c r="B111" s="29">
        <f>M111/100</f>
        <v>0.62750399999999995</v>
      </c>
      <c r="C111" s="19" t="s">
        <v>39</v>
      </c>
      <c r="D111" s="33">
        <f>[1]!s_fa_ebitdatodebt(A2,B2)</f>
        <v>8.0600000000000005E-2</v>
      </c>
      <c r="E111" s="19" t="s">
        <v>67</v>
      </c>
      <c r="F111" s="30">
        <f>[1]!s_fa_invturn(A2,B2)</f>
        <v>0.871</v>
      </c>
      <c r="G111" s="19" t="s">
        <v>45</v>
      </c>
      <c r="H111" s="29">
        <f>S111/100</f>
        <v>1.3395999999999998E-2</v>
      </c>
      <c r="I111" s="19"/>
      <c r="J111" s="38"/>
      <c r="L111" s="19" t="s">
        <v>66</v>
      </c>
      <c r="M111" s="65">
        <f>[1]!s_fa_currentdebttodebt(A2,B2)</f>
        <v>62.750399999999999</v>
      </c>
      <c r="N111" s="19" t="s">
        <v>39</v>
      </c>
      <c r="O111" s="66"/>
      <c r="P111" s="19" t="s">
        <v>67</v>
      </c>
      <c r="Q111" s="66"/>
      <c r="R111" s="19" t="s">
        <v>45</v>
      </c>
      <c r="S111" s="69">
        <f>[1]!s_fa_roe(A2,B2)</f>
        <v>1.3395999999999999</v>
      </c>
    </row>
    <row r="112" spans="1:19" ht="14.25" customHeight="1" x14ac:dyDescent="0.25">
      <c r="A112" s="19" t="s">
        <v>38</v>
      </c>
      <c r="B112" s="31">
        <f>(M116+M117+M118+M119+M120+M121)/M123</f>
        <v>0.77698222397335492</v>
      </c>
      <c r="C112" s="19" t="s">
        <v>68</v>
      </c>
      <c r="D112" s="33">
        <f>[1]!s_fa_ebittointerest(A2,B2)</f>
        <v>1.4359999999999999</v>
      </c>
      <c r="E112" s="19" t="s">
        <v>69</v>
      </c>
      <c r="F112" s="30">
        <f>[1]!s_fa_caturn(A2,B2)</f>
        <v>0.50280000000000002</v>
      </c>
      <c r="G112" s="19" t="s">
        <v>70</v>
      </c>
      <c r="H112" s="29">
        <f>S112/100</f>
        <v>2.6353000000000001E-2</v>
      </c>
      <c r="I112" s="19"/>
      <c r="J112" s="38"/>
      <c r="L112" s="19" t="s">
        <v>38</v>
      </c>
      <c r="M112" s="67"/>
      <c r="N112" s="19" t="s">
        <v>68</v>
      </c>
      <c r="O112" s="66"/>
      <c r="P112" s="19" t="s">
        <v>69</v>
      </c>
      <c r="Q112" s="66"/>
      <c r="R112" s="19" t="s">
        <v>70</v>
      </c>
      <c r="S112" s="69">
        <f>[1]!s_fa_roa2(A2,B2)</f>
        <v>2.6353</v>
      </c>
    </row>
    <row r="113" spans="1:21" x14ac:dyDescent="0.25">
      <c r="A113" s="57"/>
      <c r="B113" s="58"/>
      <c r="C113" s="57"/>
      <c r="D113" s="59"/>
      <c r="E113" s="57" t="s">
        <v>71</v>
      </c>
      <c r="F113" s="60">
        <f>[1]!s_fa_dupont_faturnover(A2,B2)</f>
        <v>0.11</v>
      </c>
      <c r="G113" s="57"/>
      <c r="H113" s="58"/>
      <c r="I113" s="57"/>
      <c r="J113" s="58"/>
      <c r="L113" s="57"/>
      <c r="M113" s="68"/>
      <c r="N113" s="57"/>
      <c r="O113" s="59"/>
      <c r="P113" s="57" t="s">
        <v>71</v>
      </c>
      <c r="Q113" s="70"/>
      <c r="R113" s="57"/>
      <c r="S113" s="58"/>
    </row>
    <row r="114" spans="1:21" ht="13.5" customHeight="1" x14ac:dyDescent="0.25">
      <c r="A114" s="123" t="s">
        <v>72</v>
      </c>
      <c r="B114" s="118"/>
      <c r="C114" s="118"/>
      <c r="D114" s="124"/>
      <c r="E114" s="124"/>
      <c r="F114" s="124"/>
      <c r="G114" s="124"/>
      <c r="H114" s="124"/>
      <c r="I114" s="124"/>
      <c r="J114" s="124"/>
      <c r="L114" s="39"/>
      <c r="M114" s="39"/>
    </row>
    <row r="115" spans="1:21" ht="13.5" customHeight="1" x14ac:dyDescent="0.25">
      <c r="A115" s="125" t="s">
        <v>73</v>
      </c>
      <c r="B115" s="118"/>
      <c r="C115" s="118"/>
      <c r="D115" s="124"/>
      <c r="E115" s="124"/>
      <c r="F115" s="124"/>
      <c r="G115" s="128">
        <v>2017</v>
      </c>
      <c r="H115" s="124"/>
      <c r="I115" s="124"/>
      <c r="J115" s="124"/>
      <c r="L115" s="39"/>
      <c r="M115" s="39"/>
    </row>
    <row r="116" spans="1:21" x14ac:dyDescent="0.25">
      <c r="A116" s="129" t="s">
        <v>74</v>
      </c>
      <c r="B116" s="118"/>
      <c r="C116" s="129" t="s">
        <v>75</v>
      </c>
      <c r="D116" s="124"/>
      <c r="E116" s="130" t="s">
        <v>76</v>
      </c>
      <c r="F116" s="124"/>
      <c r="G116" s="124"/>
      <c r="H116" s="124"/>
      <c r="I116" s="124"/>
      <c r="J116" s="124"/>
      <c r="L116" s="39" t="s">
        <v>47</v>
      </c>
      <c r="M116" s="62">
        <f>[1]!b_stm07_bs(K107,75,L107,1)</f>
        <v>930000000</v>
      </c>
    </row>
    <row r="117" spans="1:21" ht="14.25" customHeight="1" x14ac:dyDescent="0.25">
      <c r="A117" s="19" t="s">
        <v>77</v>
      </c>
      <c r="B117" s="33">
        <f t="shared" ref="B117:B131" si="1">M127/100000000</f>
        <v>12.039678083699998</v>
      </c>
      <c r="C117" s="19" t="s">
        <v>78</v>
      </c>
      <c r="D117" s="31">
        <f t="shared" ref="D117:D125" si="2">O127/100000000</f>
        <v>11.433438308900001</v>
      </c>
      <c r="E117" s="131" t="s">
        <v>79</v>
      </c>
      <c r="F117" s="124"/>
      <c r="G117" s="124"/>
      <c r="H117" s="132">
        <f t="shared" ref="H117:H131" si="3">S127/100000000</f>
        <v>10.914450327200001</v>
      </c>
      <c r="I117" s="124"/>
      <c r="J117" s="124"/>
      <c r="L117" s="39" t="s">
        <v>48</v>
      </c>
      <c r="M117" s="62">
        <f>[1]!b_stm07_bs(K107,82,L107,1)</f>
        <v>59912104.859999999</v>
      </c>
    </row>
    <row r="118" spans="1:21" ht="14.25" customHeight="1" x14ac:dyDescent="0.25">
      <c r="A118" s="19" t="s">
        <v>80</v>
      </c>
      <c r="B118" s="33">
        <f t="shared" si="1"/>
        <v>1.3700891028</v>
      </c>
      <c r="C118" s="19" t="s">
        <v>81</v>
      </c>
      <c r="D118" s="31">
        <f t="shared" si="2"/>
        <v>12.131974418199999</v>
      </c>
      <c r="E118" s="131" t="s">
        <v>82</v>
      </c>
      <c r="F118" s="124"/>
      <c r="G118" s="124"/>
      <c r="H118" s="132">
        <f t="shared" si="3"/>
        <v>4.8150726311999996</v>
      </c>
      <c r="I118" s="124"/>
      <c r="J118" s="124"/>
      <c r="L118" s="39" t="s">
        <v>49</v>
      </c>
      <c r="M118" s="62">
        <f>[1]!b_stm07_bs(K107,88,L107,1)</f>
        <v>570000000</v>
      </c>
    </row>
    <row r="119" spans="1:21" ht="14.25" customHeight="1" x14ac:dyDescent="0.25">
      <c r="A119" s="19" t="s">
        <v>83</v>
      </c>
      <c r="B119" s="33">
        <f t="shared" si="1"/>
        <v>2.3623621375999999</v>
      </c>
      <c r="C119" s="19" t="s">
        <v>84</v>
      </c>
      <c r="D119" s="31">
        <f t="shared" si="2"/>
        <v>5.5051177896999999</v>
      </c>
      <c r="E119" s="131" t="s">
        <v>85</v>
      </c>
      <c r="F119" s="124"/>
      <c r="G119" s="124"/>
      <c r="H119" s="133">
        <f t="shared" si="3"/>
        <v>15.7552170804</v>
      </c>
      <c r="I119" s="124"/>
      <c r="J119" s="124"/>
      <c r="L119" s="39" t="s">
        <v>50</v>
      </c>
      <c r="M119" s="62">
        <f>[1]!b_stm07_bs(K107,147,L107,1)</f>
        <v>0</v>
      </c>
    </row>
    <row r="120" spans="1:21" ht="14.25" customHeight="1" x14ac:dyDescent="0.25">
      <c r="A120" s="19" t="s">
        <v>86</v>
      </c>
      <c r="B120" s="33">
        <f t="shared" si="1"/>
        <v>52.690351140099999</v>
      </c>
      <c r="C120" s="19" t="s">
        <v>87</v>
      </c>
      <c r="D120" s="31">
        <f t="shared" si="2"/>
        <v>1.7244596577000002</v>
      </c>
      <c r="E120" s="131" t="s">
        <v>88</v>
      </c>
      <c r="F120" s="124"/>
      <c r="G120" s="124"/>
      <c r="H120" s="132">
        <f t="shared" si="3"/>
        <v>2.9074131210000003</v>
      </c>
      <c r="I120" s="124"/>
      <c r="J120" s="124"/>
      <c r="L120" s="39" t="s">
        <v>51</v>
      </c>
      <c r="M120" s="62">
        <f>[1]!b_stm07_bs(K107,94,L107,1)</f>
        <v>1602100000</v>
      </c>
    </row>
    <row r="121" spans="1:21" ht="14.25" customHeight="1" x14ac:dyDescent="0.25">
      <c r="A121" s="19" t="s">
        <v>89</v>
      </c>
      <c r="B121" s="33">
        <f t="shared" si="1"/>
        <v>15.545997699900001</v>
      </c>
      <c r="C121" s="19" t="s">
        <v>90</v>
      </c>
      <c r="D121" s="31">
        <f t="shared" si="2"/>
        <v>2.5696640232000001</v>
      </c>
      <c r="E121" s="131" t="s">
        <v>91</v>
      </c>
      <c r="F121" s="124"/>
      <c r="G121" s="124"/>
      <c r="H121" s="132">
        <f t="shared" si="3"/>
        <v>2.8765396948000004</v>
      </c>
      <c r="I121" s="124"/>
      <c r="J121" s="124"/>
      <c r="L121" s="39" t="s">
        <v>52</v>
      </c>
      <c r="M121" s="62">
        <f>[1]!b_stm07_bs(K107,95,L107,1)</f>
        <v>350000000</v>
      </c>
    </row>
    <row r="122" spans="1:21" ht="14.25" customHeight="1" x14ac:dyDescent="0.25">
      <c r="A122" s="19" t="s">
        <v>92</v>
      </c>
      <c r="B122" s="33">
        <f t="shared" si="1"/>
        <v>18.1425855785</v>
      </c>
      <c r="C122" s="19" t="s">
        <v>93</v>
      </c>
      <c r="D122" s="31">
        <f t="shared" si="2"/>
        <v>2.0120445803</v>
      </c>
      <c r="E122" s="131" t="s">
        <v>94</v>
      </c>
      <c r="F122" s="124"/>
      <c r="G122" s="124"/>
      <c r="H122" s="133">
        <f t="shared" si="3"/>
        <v>9.1971948824999998</v>
      </c>
      <c r="I122" s="124"/>
      <c r="J122" s="124"/>
      <c r="L122" s="39"/>
      <c r="M122" s="39"/>
    </row>
    <row r="123" spans="1:21" ht="14.25" customHeight="1" x14ac:dyDescent="0.25">
      <c r="A123" s="19" t="s">
        <v>95</v>
      </c>
      <c r="B123" s="61">
        <f t="shared" si="1"/>
        <v>110.4184356582</v>
      </c>
      <c r="C123" s="19" t="s">
        <v>96</v>
      </c>
      <c r="D123" s="31">
        <f t="shared" si="2"/>
        <v>1.0178067648</v>
      </c>
      <c r="E123" s="131" t="s">
        <v>97</v>
      </c>
      <c r="F123" s="124"/>
      <c r="G123" s="124"/>
      <c r="H123" s="133">
        <f t="shared" si="3"/>
        <v>6.5580221978999997</v>
      </c>
      <c r="I123" s="124"/>
      <c r="J123" s="124"/>
      <c r="L123" s="39" t="s">
        <v>53</v>
      </c>
      <c r="M123" s="62">
        <f>[1]!b_stm07_bs(K107,141,L107,1)</f>
        <v>4520067507.9799995</v>
      </c>
    </row>
    <row r="124" spans="1:21" ht="14.25" customHeight="1" x14ac:dyDescent="0.25">
      <c r="A124" s="19" t="s">
        <v>98</v>
      </c>
      <c r="B124" s="33">
        <f t="shared" si="1"/>
        <v>9.3000000000000007</v>
      </c>
      <c r="C124" s="19" t="s">
        <v>99</v>
      </c>
      <c r="D124" s="31">
        <f t="shared" si="2"/>
        <v>0.83170400400000011</v>
      </c>
      <c r="E124" s="131" t="s">
        <v>100</v>
      </c>
      <c r="F124" s="124"/>
      <c r="G124" s="124"/>
      <c r="H124" s="133">
        <f t="shared" si="3"/>
        <v>-8.3332250382000002</v>
      </c>
      <c r="I124" s="124"/>
      <c r="J124" s="124"/>
      <c r="L124" s="39"/>
      <c r="M124" s="39"/>
    </row>
    <row r="125" spans="1:21" ht="27" customHeight="1" x14ac:dyDescent="0.25">
      <c r="A125" s="19" t="s">
        <v>101</v>
      </c>
      <c r="B125" s="33">
        <f t="shared" si="1"/>
        <v>5.7</v>
      </c>
      <c r="C125" s="19" t="s">
        <v>43</v>
      </c>
      <c r="D125" s="31">
        <f t="shared" si="2"/>
        <v>0.46811187999999998</v>
      </c>
      <c r="E125" s="131" t="s">
        <v>102</v>
      </c>
      <c r="F125" s="124"/>
      <c r="G125" s="124"/>
      <c r="H125" s="132">
        <f t="shared" si="3"/>
        <v>4.5750000000000002</v>
      </c>
      <c r="I125" s="124"/>
      <c r="J125" s="124"/>
      <c r="L125" s="39"/>
      <c r="M125" s="39"/>
    </row>
    <row r="126" spans="1:21" ht="16.5" customHeight="1" x14ac:dyDescent="0.25">
      <c r="A126" s="19" t="s">
        <v>103</v>
      </c>
      <c r="B126" s="33">
        <f t="shared" si="1"/>
        <v>0</v>
      </c>
      <c r="C126" s="19"/>
      <c r="D126" s="34"/>
      <c r="E126" s="131" t="s">
        <v>104</v>
      </c>
      <c r="F126" s="124"/>
      <c r="G126" s="124"/>
      <c r="H126" s="132">
        <f t="shared" si="3"/>
        <v>18.8</v>
      </c>
      <c r="I126" s="124"/>
      <c r="J126" s="124"/>
      <c r="L126" s="134" t="s">
        <v>74</v>
      </c>
      <c r="M126" s="124"/>
      <c r="N126" s="134" t="s">
        <v>75</v>
      </c>
      <c r="O126" s="124"/>
      <c r="P126" s="125" t="s">
        <v>76</v>
      </c>
      <c r="Q126" s="124"/>
      <c r="R126" s="124"/>
      <c r="S126" s="135"/>
      <c r="T126" s="135"/>
      <c r="U126" s="135"/>
    </row>
    <row r="127" spans="1:21" ht="14.25" customHeight="1" x14ac:dyDescent="0.25">
      <c r="A127" s="19" t="s">
        <v>105</v>
      </c>
      <c r="B127" s="33">
        <f t="shared" si="1"/>
        <v>16.021000000000001</v>
      </c>
      <c r="C127" s="19"/>
      <c r="D127" s="34"/>
      <c r="E127" s="131" t="s">
        <v>106</v>
      </c>
      <c r="F127" s="124"/>
      <c r="G127" s="124"/>
      <c r="H127" s="132">
        <f t="shared" si="3"/>
        <v>0</v>
      </c>
      <c r="I127" s="124"/>
      <c r="J127" s="124"/>
      <c r="L127" s="19" t="s">
        <v>77</v>
      </c>
      <c r="M127" s="69">
        <f>[1]!b_stm07_bs(K107,9,L107,1)</f>
        <v>1203967808.3699999</v>
      </c>
      <c r="N127" s="19" t="s">
        <v>78</v>
      </c>
      <c r="O127" s="69">
        <f>[1]!b_stm07_is(K107,83,L107,1)</f>
        <v>1143343830.8900001</v>
      </c>
      <c r="P127" s="131" t="s">
        <v>79</v>
      </c>
      <c r="Q127" s="124"/>
      <c r="R127" s="124"/>
      <c r="S127" s="136">
        <f>[1]!b_stm07_cs(K107,9,L107,1)</f>
        <v>1091445032.72</v>
      </c>
      <c r="T127" s="135"/>
      <c r="U127" s="135"/>
    </row>
    <row r="128" spans="1:21" ht="14.25" customHeight="1" x14ac:dyDescent="0.25">
      <c r="A128" s="19" t="s">
        <v>107</v>
      </c>
      <c r="B128" s="33">
        <f t="shared" si="1"/>
        <v>3.5</v>
      </c>
      <c r="C128" s="19"/>
      <c r="D128" s="34"/>
      <c r="E128" s="131" t="s">
        <v>108</v>
      </c>
      <c r="F128" s="124"/>
      <c r="G128" s="124"/>
      <c r="H128" s="133">
        <f t="shared" si="3"/>
        <v>32.375</v>
      </c>
      <c r="I128" s="124"/>
      <c r="J128" s="124"/>
      <c r="L128" s="19" t="s">
        <v>80</v>
      </c>
      <c r="M128" s="69">
        <f>[1]!b_stm07_bs(K107,12,L107,1)</f>
        <v>137008910.28</v>
      </c>
      <c r="N128" s="19" t="s">
        <v>81</v>
      </c>
      <c r="O128" s="69">
        <f>[1]!b_stm07_is(K107,84,L107,1)</f>
        <v>1213197441.8199999</v>
      </c>
      <c r="P128" s="131" t="s">
        <v>82</v>
      </c>
      <c r="Q128" s="124"/>
      <c r="R128" s="124"/>
      <c r="S128" s="136">
        <f>[1]!b_stm07_cs(K107,11,L107,1)</f>
        <v>481507263.12</v>
      </c>
      <c r="T128" s="135"/>
      <c r="U128" s="135"/>
    </row>
    <row r="129" spans="1:21" ht="14.25" customHeight="1" x14ac:dyDescent="0.25">
      <c r="A129" s="19" t="s">
        <v>109</v>
      </c>
      <c r="B129" s="61">
        <f t="shared" si="1"/>
        <v>65.217760578400004</v>
      </c>
      <c r="C129" s="35"/>
      <c r="D129" s="32"/>
      <c r="E129" s="131" t="s">
        <v>110</v>
      </c>
      <c r="F129" s="124"/>
      <c r="G129" s="124"/>
      <c r="H129" s="132">
        <f t="shared" si="3"/>
        <v>11.624000000000001</v>
      </c>
      <c r="I129" s="124"/>
      <c r="J129" s="124"/>
      <c r="L129" s="19" t="s">
        <v>83</v>
      </c>
      <c r="M129" s="69">
        <f>[1]!b_stm07_bs(K107,13,L107,1)</f>
        <v>236236213.75999999</v>
      </c>
      <c r="N129" s="19" t="s">
        <v>84</v>
      </c>
      <c r="O129" s="69">
        <f>[1]!b_stm07_is(K107,10,L107,1)</f>
        <v>550511778.97000003</v>
      </c>
      <c r="P129" s="131" t="s">
        <v>85</v>
      </c>
      <c r="Q129" s="124"/>
      <c r="R129" s="124"/>
      <c r="S129" s="137">
        <f>[1]!b_stm07_cs(K107,25,L107,1)</f>
        <v>1575521708.04</v>
      </c>
      <c r="T129" s="135"/>
      <c r="U129" s="135"/>
    </row>
    <row r="130" spans="1:21" ht="14.25" customHeight="1" x14ac:dyDescent="0.25">
      <c r="A130" s="19" t="s">
        <v>111</v>
      </c>
      <c r="B130" s="61">
        <f t="shared" si="1"/>
        <v>45.200675079799993</v>
      </c>
      <c r="C130" s="35"/>
      <c r="D130" s="32"/>
      <c r="E130" s="131" t="s">
        <v>112</v>
      </c>
      <c r="F130" s="124"/>
      <c r="G130" s="124"/>
      <c r="H130" s="132">
        <f t="shared" si="3"/>
        <v>26.436798766300001</v>
      </c>
      <c r="I130" s="124"/>
      <c r="J130" s="124"/>
      <c r="L130" s="19" t="s">
        <v>86</v>
      </c>
      <c r="M130" s="69">
        <f>[1]!b_stm07_bs(K107,31,L107,1)</f>
        <v>5269035114.0100002</v>
      </c>
      <c r="N130" s="19" t="s">
        <v>87</v>
      </c>
      <c r="O130" s="69">
        <f>[1]!b_stm07_is(K107,12,L107,1)</f>
        <v>172445965.77000001</v>
      </c>
      <c r="P130" s="131" t="s">
        <v>88</v>
      </c>
      <c r="Q130" s="124"/>
      <c r="R130" s="124"/>
      <c r="S130" s="136">
        <f>[1]!b_stm07_cs(K107,26,L107,1)</f>
        <v>290741312.10000002</v>
      </c>
      <c r="T130" s="135"/>
      <c r="U130" s="135"/>
    </row>
    <row r="131" spans="1:21" ht="14.25" customHeight="1" x14ac:dyDescent="0.25">
      <c r="A131" s="36" t="s">
        <v>113</v>
      </c>
      <c r="B131" s="61">
        <f t="shared" si="1"/>
        <v>110.4184356582</v>
      </c>
      <c r="C131" s="35"/>
      <c r="D131" s="32"/>
      <c r="E131" s="131" t="s">
        <v>114</v>
      </c>
      <c r="F131" s="124"/>
      <c r="G131" s="124"/>
      <c r="H131" s="133">
        <f t="shared" si="3"/>
        <v>5.9382012337000001</v>
      </c>
      <c r="I131" s="124"/>
      <c r="J131" s="124"/>
      <c r="L131" s="19" t="s">
        <v>89</v>
      </c>
      <c r="M131" s="69">
        <f>[1]!b_stm07_bs(K107,33,L107,1)</f>
        <v>1554599769.99</v>
      </c>
      <c r="N131" s="19" t="s">
        <v>90</v>
      </c>
      <c r="O131" s="69">
        <f>[1]!b_stm07_is(K107,13,L107,1)</f>
        <v>256966402.31999999</v>
      </c>
      <c r="P131" s="131" t="s">
        <v>91</v>
      </c>
      <c r="Q131" s="124"/>
      <c r="R131" s="124"/>
      <c r="S131" s="136">
        <f>[1]!b_stm07_cs(K107,29,L107,1)</f>
        <v>287653969.48000002</v>
      </c>
      <c r="T131" s="135"/>
      <c r="U131" s="135"/>
    </row>
    <row r="132" spans="1:21" x14ac:dyDescent="0.25">
      <c r="L132" s="19" t="s">
        <v>92</v>
      </c>
      <c r="M132" s="69">
        <f>[1]!b_stm07_bs(K107,37,L107,1)</f>
        <v>1814258557.8499999</v>
      </c>
      <c r="N132" s="19" t="s">
        <v>93</v>
      </c>
      <c r="O132" s="69">
        <f>[1]!b_stm07_is(K107,14,L107,1)</f>
        <v>201204458.03</v>
      </c>
      <c r="P132" s="131" t="s">
        <v>94</v>
      </c>
      <c r="Q132" s="124"/>
      <c r="R132" s="124"/>
      <c r="S132" s="137">
        <f>[1]!b_stm07_cs(K107,37,L107,1)</f>
        <v>919719488.25</v>
      </c>
      <c r="T132" s="135"/>
      <c r="U132" s="135"/>
    </row>
    <row r="133" spans="1:21" x14ac:dyDescent="0.25">
      <c r="L133" s="19" t="s">
        <v>95</v>
      </c>
      <c r="M133" s="71">
        <f>[1]!b_stm07_bs(K107,74,L107,1)</f>
        <v>11041843565.82</v>
      </c>
      <c r="N133" s="19" t="s">
        <v>96</v>
      </c>
      <c r="O133" s="69">
        <f>[1]!b_stm07_is(K107,48,L107,1)</f>
        <v>101780676.48</v>
      </c>
      <c r="P133" s="131" t="s">
        <v>97</v>
      </c>
      <c r="Q133" s="124"/>
      <c r="R133" s="124"/>
      <c r="S133" s="137">
        <f>[1]!b_stm07_cs(K107,39,L107,1)</f>
        <v>655802219.78999996</v>
      </c>
      <c r="T133" s="135"/>
      <c r="U133" s="135"/>
    </row>
    <row r="134" spans="1:21" x14ac:dyDescent="0.25">
      <c r="L134" s="19" t="s">
        <v>98</v>
      </c>
      <c r="M134" s="69">
        <f>[1]!b_stm07_bs(K107,75,L107,1)</f>
        <v>930000000</v>
      </c>
      <c r="N134" s="19" t="s">
        <v>99</v>
      </c>
      <c r="O134" s="69">
        <f>[1]!b_stm07_is(K107,55,L107,1)</f>
        <v>83170400.400000006</v>
      </c>
      <c r="P134" s="131" t="s">
        <v>100</v>
      </c>
      <c r="Q134" s="124"/>
      <c r="R134" s="124"/>
      <c r="S134" s="137">
        <f>[1]!b_stm07_cs(K107,59,L107,1)</f>
        <v>-833322503.82000005</v>
      </c>
      <c r="T134" s="135"/>
      <c r="U134" s="135"/>
    </row>
    <row r="135" spans="1:21" ht="32.4" customHeight="1" x14ac:dyDescent="0.25">
      <c r="L135" s="19" t="s">
        <v>101</v>
      </c>
      <c r="M135" s="69">
        <f>[1]!b_stm07_bs(K107,88,L107,1)</f>
        <v>570000000</v>
      </c>
      <c r="N135" s="19" t="s">
        <v>43</v>
      </c>
      <c r="O135" s="69">
        <f>[1]!b_stm07_is(K107,60,L107,1)</f>
        <v>46811188</v>
      </c>
      <c r="P135" s="131" t="s">
        <v>102</v>
      </c>
      <c r="Q135" s="124"/>
      <c r="R135" s="124"/>
      <c r="S135" s="136">
        <f>[1]!b_stm07_cs(K107,60,L107,1)</f>
        <v>457500000</v>
      </c>
      <c r="T135" s="135"/>
      <c r="U135" s="135"/>
    </row>
    <row r="136" spans="1:21" ht="21.6" customHeight="1" x14ac:dyDescent="0.25">
      <c r="L136" s="19" t="s">
        <v>103</v>
      </c>
      <c r="M136" s="69">
        <f>[1]!b_stm07_bs(K107,147,L107,1)</f>
        <v>0</v>
      </c>
      <c r="N136" s="19"/>
      <c r="O136" s="34"/>
      <c r="P136" s="131" t="s">
        <v>104</v>
      </c>
      <c r="Q136" s="124"/>
      <c r="R136" s="124"/>
      <c r="S136" s="136">
        <f>[1]!b_stm07_cs(K107,61,L107,1)</f>
        <v>1880000000</v>
      </c>
      <c r="T136" s="135"/>
      <c r="U136" s="135"/>
    </row>
    <row r="137" spans="1:21" x14ac:dyDescent="0.25">
      <c r="L137" s="19" t="s">
        <v>105</v>
      </c>
      <c r="M137" s="69">
        <f>[1]!b_stm07_bs(K107,94,L107,1)</f>
        <v>1602100000</v>
      </c>
      <c r="N137" s="19"/>
      <c r="O137" s="34"/>
      <c r="P137" s="131" t="s">
        <v>106</v>
      </c>
      <c r="Q137" s="124"/>
      <c r="R137" s="124"/>
      <c r="S137" s="136">
        <f>[1]!b_stm07_cs(K107,63,L107,1)</f>
        <v>0</v>
      </c>
      <c r="T137" s="135"/>
      <c r="U137" s="135"/>
    </row>
    <row r="138" spans="1:21" x14ac:dyDescent="0.25">
      <c r="L138" s="19" t="s">
        <v>107</v>
      </c>
      <c r="M138" s="69">
        <f>[1]!b_stm07_bs(K107,95,L107,1)</f>
        <v>350000000</v>
      </c>
      <c r="N138" s="19"/>
      <c r="O138" s="34"/>
      <c r="P138" s="131" t="s">
        <v>108</v>
      </c>
      <c r="Q138" s="124"/>
      <c r="R138" s="124"/>
      <c r="S138" s="137">
        <f>[1]!b_stm07_cs(K107,68,L107,1)</f>
        <v>3237500000</v>
      </c>
      <c r="T138" s="135"/>
      <c r="U138" s="135"/>
    </row>
    <row r="139" spans="1:21" x14ac:dyDescent="0.25">
      <c r="L139" s="19" t="s">
        <v>109</v>
      </c>
      <c r="M139" s="71">
        <f>[1]!b_stm07_bs(K107,128,L107,1)</f>
        <v>6521776057.8400002</v>
      </c>
      <c r="N139" s="35"/>
      <c r="O139" s="32"/>
      <c r="P139" s="131" t="s">
        <v>110</v>
      </c>
      <c r="Q139" s="124"/>
      <c r="R139" s="124"/>
      <c r="S139" s="136">
        <f>[1]!b_stm07_cs(K107,69,L107,1)</f>
        <v>1162400000</v>
      </c>
      <c r="T139" s="135"/>
      <c r="U139" s="135"/>
    </row>
    <row r="140" spans="1:21" ht="21.6" customHeight="1" x14ac:dyDescent="0.25">
      <c r="L140" s="19" t="s">
        <v>111</v>
      </c>
      <c r="M140" s="71">
        <f>[1]!b_stm07_bs(K107,141,L107,1)</f>
        <v>4520067507.9799995</v>
      </c>
      <c r="N140" s="35"/>
      <c r="O140" s="32"/>
      <c r="P140" s="131" t="s">
        <v>112</v>
      </c>
      <c r="Q140" s="124"/>
      <c r="R140" s="124"/>
      <c r="S140" s="136">
        <f>[1]!b_stm07_cs(K107,75,L107,1)</f>
        <v>2643679876.6300001</v>
      </c>
      <c r="T140" s="135"/>
      <c r="U140" s="135"/>
    </row>
    <row r="141" spans="1:21" ht="21.6" customHeight="1" x14ac:dyDescent="0.25">
      <c r="L141" s="36" t="s">
        <v>113</v>
      </c>
      <c r="M141" s="71">
        <f>[1]!b_stm07_bs(K107,145,L107,1)</f>
        <v>11041843565.82</v>
      </c>
      <c r="N141" s="35"/>
      <c r="O141" s="32"/>
      <c r="P141" s="131" t="s">
        <v>114</v>
      </c>
      <c r="Q141" s="124"/>
      <c r="R141" s="124"/>
      <c r="S141" s="137">
        <f>[1]!b_stm07_cs(K107,77,L107,1)</f>
        <v>593820123.37</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9" t="s">
        <v>1</v>
      </c>
      <c r="B1" s="118"/>
      <c r="C1" s="118"/>
      <c r="D1" s="118"/>
      <c r="E1" s="118"/>
      <c r="F1" s="118"/>
      <c r="G1" s="118"/>
    </row>
    <row r="2" spans="1:12" ht="13.5" customHeight="1" x14ac:dyDescent="0.25">
      <c r="A2" s="95" t="s">
        <v>2</v>
      </c>
      <c r="B2" s="119" t="s">
        <v>293</v>
      </c>
      <c r="C2" s="120"/>
      <c r="D2" s="95" t="s">
        <v>3</v>
      </c>
      <c r="E2" s="119" t="s">
        <v>294</v>
      </c>
      <c r="F2" s="120"/>
      <c r="G2" s="120"/>
    </row>
    <row r="3" spans="1:12" ht="14.25" customHeight="1" x14ac:dyDescent="0.25">
      <c r="A3" s="95" t="s">
        <v>4</v>
      </c>
      <c r="B3" s="119" t="s">
        <v>295</v>
      </c>
      <c r="C3" s="120"/>
      <c r="D3" s="95" t="s">
        <v>5</v>
      </c>
      <c r="E3" s="119" t="s">
        <v>296</v>
      </c>
      <c r="F3" s="120"/>
      <c r="G3" s="120"/>
    </row>
    <row r="4" spans="1:12" ht="113.25" customHeight="1" x14ac:dyDescent="0.25">
      <c r="A4" s="95" t="s">
        <v>6</v>
      </c>
      <c r="B4" s="121" t="s">
        <v>297</v>
      </c>
      <c r="C4" s="120"/>
      <c r="D4" s="120"/>
      <c r="E4" s="120"/>
      <c r="F4" s="120"/>
      <c r="G4" s="120"/>
    </row>
    <row r="5" spans="1:12" ht="14.4" x14ac:dyDescent="0.25">
      <c r="A5" s="100" t="s">
        <v>115</v>
      </c>
      <c r="B5" s="140" t="s">
        <v>298</v>
      </c>
      <c r="C5" s="120"/>
      <c r="D5" s="120"/>
      <c r="E5" s="120"/>
      <c r="F5" s="141">
        <v>0.51</v>
      </c>
      <c r="G5" s="120"/>
    </row>
    <row r="6" spans="1:12" ht="11.25" customHeight="1" x14ac:dyDescent="0.25">
      <c r="A6" s="100" t="s">
        <v>116</v>
      </c>
      <c r="B6" s="140" t="s">
        <v>299</v>
      </c>
      <c r="C6" s="120"/>
      <c r="D6" s="120"/>
      <c r="E6" s="120"/>
      <c r="F6" s="141">
        <v>0.4818000030517578</v>
      </c>
      <c r="G6" s="120"/>
    </row>
    <row r="7" spans="1:12" ht="11.25" customHeight="1" x14ac:dyDescent="0.25">
      <c r="A7" s="100" t="s">
        <v>117</v>
      </c>
      <c r="B7" s="140" t="s">
        <v>300</v>
      </c>
      <c r="C7" s="120"/>
      <c r="D7" s="120"/>
      <c r="E7" s="120"/>
      <c r="F7" s="141">
        <v>8.199999928474427E-3</v>
      </c>
      <c r="G7" s="120"/>
    </row>
    <row r="8" spans="1:12" ht="11.25" customHeight="1" x14ac:dyDescent="0.25">
      <c r="A8" s="100" t="s">
        <v>118</v>
      </c>
      <c r="B8" s="140" t="s">
        <v>301</v>
      </c>
      <c r="C8" s="120"/>
      <c r="D8" s="120"/>
      <c r="E8" s="120"/>
      <c r="F8" s="141" t="s">
        <v>301</v>
      </c>
      <c r="G8" s="120"/>
    </row>
    <row r="9" spans="1:12" ht="11.25" customHeight="1" x14ac:dyDescent="0.25">
      <c r="A9" s="100" t="s">
        <v>119</v>
      </c>
      <c r="B9" s="140" t="s">
        <v>301</v>
      </c>
      <c r="C9" s="120"/>
      <c r="D9" s="120"/>
      <c r="E9" s="120"/>
      <c r="F9" s="141" t="s">
        <v>301</v>
      </c>
      <c r="G9" s="120"/>
    </row>
    <row r="11" spans="1:12" ht="14.4" customHeight="1" x14ac:dyDescent="0.25">
      <c r="A11" s="142" t="s">
        <v>120</v>
      </c>
      <c r="B11" s="120"/>
      <c r="C11" s="120"/>
      <c r="D11" s="120"/>
      <c r="E11" s="120"/>
      <c r="F11" s="120"/>
      <c r="G11" s="120"/>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121</v>
      </c>
      <c r="B13" t="s">
        <v>122</v>
      </c>
      <c r="C13" t="s">
        <v>123</v>
      </c>
      <c r="D13" s="40">
        <v>3.75</v>
      </c>
      <c r="E13" s="40">
        <v>0.53972602739726028</v>
      </c>
      <c r="F13" s="47">
        <v>0</v>
      </c>
      <c r="G13" s="40">
        <v>4</v>
      </c>
    </row>
    <row r="14" spans="1:12" ht="14.4" customHeight="1" x14ac:dyDescent="0.25">
      <c r="A14" t="s">
        <v>124</v>
      </c>
      <c r="B14" t="s">
        <v>125</v>
      </c>
      <c r="C14" t="s">
        <v>126</v>
      </c>
      <c r="D14" s="40">
        <v>4.8899999999999997</v>
      </c>
      <c r="E14" s="41">
        <v>4.7589041095890412</v>
      </c>
      <c r="F14" t="s">
        <v>25</v>
      </c>
      <c r="G14" s="40">
        <v>5.5</v>
      </c>
    </row>
    <row r="15" spans="1:12" ht="14.4" customHeight="1" x14ac:dyDescent="0.25">
      <c r="A15" t="s">
        <v>127</v>
      </c>
      <c r="B15" t="s">
        <v>128</v>
      </c>
      <c r="C15" t="s">
        <v>129</v>
      </c>
      <c r="D15" s="40">
        <v>4.6500000000000004</v>
      </c>
      <c r="E15" s="41">
        <v>0.48493150684931507</v>
      </c>
      <c r="F15" t="s">
        <v>302</v>
      </c>
      <c r="G15" s="40">
        <v>5</v>
      </c>
    </row>
    <row r="16" spans="1:12" ht="14.4" customHeight="1" x14ac:dyDescent="0.25">
      <c r="A16" t="s">
        <v>130</v>
      </c>
      <c r="B16" t="s">
        <v>131</v>
      </c>
      <c r="C16" t="s">
        <v>132</v>
      </c>
      <c r="D16" s="40">
        <v>4.67</v>
      </c>
      <c r="E16" s="41">
        <v>0.18630136986301371</v>
      </c>
      <c r="F16">
        <v>0</v>
      </c>
      <c r="G16" s="40">
        <v>3</v>
      </c>
    </row>
    <row r="17" spans="1:7" ht="14.4" customHeight="1" x14ac:dyDescent="0.25">
      <c r="A17" t="s">
        <v>133</v>
      </c>
      <c r="B17" t="s">
        <v>134</v>
      </c>
      <c r="C17" t="s">
        <v>135</v>
      </c>
      <c r="D17" s="40">
        <v>4.82</v>
      </c>
      <c r="E17" s="41">
        <v>0.1095890410958904</v>
      </c>
      <c r="F17">
        <v>0</v>
      </c>
      <c r="G17" s="40">
        <v>2</v>
      </c>
    </row>
    <row r="18" spans="1:7" ht="14.4" customHeight="1" x14ac:dyDescent="0.25">
      <c r="A18" t="s">
        <v>136</v>
      </c>
      <c r="B18" t="s">
        <v>137</v>
      </c>
      <c r="C18" t="s">
        <v>138</v>
      </c>
      <c r="D18" s="40">
        <v>5</v>
      </c>
      <c r="E18" s="41">
        <v>0</v>
      </c>
      <c r="F18">
        <v>0</v>
      </c>
      <c r="G18" s="40">
        <v>2</v>
      </c>
    </row>
    <row r="19" spans="1:7" ht="14.4" customHeight="1" x14ac:dyDescent="0.25">
      <c r="A19" t="s">
        <v>139</v>
      </c>
      <c r="B19" t="s">
        <v>137</v>
      </c>
      <c r="C19" t="s">
        <v>140</v>
      </c>
      <c r="D19" s="40">
        <v>5</v>
      </c>
      <c r="E19" s="41">
        <v>0</v>
      </c>
      <c r="F19">
        <v>0</v>
      </c>
      <c r="G19" s="40">
        <v>3</v>
      </c>
    </row>
    <row r="20" spans="1:7" ht="14.4" customHeight="1" x14ac:dyDescent="0.25">
      <c r="A20" t="s">
        <v>141</v>
      </c>
      <c r="B20" t="s">
        <v>142</v>
      </c>
      <c r="C20" t="s">
        <v>143</v>
      </c>
      <c r="D20" s="40">
        <v>4.8</v>
      </c>
      <c r="E20" s="41">
        <v>0</v>
      </c>
      <c r="F20">
        <v>0</v>
      </c>
      <c r="G20" s="40">
        <v>3</v>
      </c>
    </row>
    <row r="21" spans="1:7" ht="14.4" customHeight="1" x14ac:dyDescent="0.25">
      <c r="A21" t="s">
        <v>144</v>
      </c>
      <c r="B21" t="s">
        <v>145</v>
      </c>
      <c r="C21" t="s">
        <v>146</v>
      </c>
      <c r="D21" s="40">
        <v>4.76</v>
      </c>
      <c r="E21" s="41">
        <v>0</v>
      </c>
      <c r="F21">
        <v>0</v>
      </c>
      <c r="G21" s="40">
        <v>3</v>
      </c>
    </row>
    <row r="22" spans="1:7" ht="14.4" customHeight="1" x14ac:dyDescent="0.25">
      <c r="A22" t="s">
        <v>147</v>
      </c>
      <c r="B22" t="s">
        <v>148</v>
      </c>
      <c r="C22" t="s">
        <v>149</v>
      </c>
      <c r="D22" s="40">
        <v>4.96</v>
      </c>
      <c r="E22" s="41">
        <v>0</v>
      </c>
      <c r="F22">
        <v>0</v>
      </c>
      <c r="G22" s="40">
        <v>3</v>
      </c>
    </row>
    <row r="23" spans="1:7" ht="14.4" customHeight="1" x14ac:dyDescent="0.25">
      <c r="A23" t="s">
        <v>150</v>
      </c>
      <c r="B23" t="s">
        <v>151</v>
      </c>
      <c r="C23" t="s">
        <v>152</v>
      </c>
      <c r="D23" s="40">
        <v>4.2</v>
      </c>
      <c r="E23" s="41">
        <v>2.5863013698630137</v>
      </c>
      <c r="F23" t="s">
        <v>25</v>
      </c>
      <c r="G23" s="40">
        <v>6</v>
      </c>
    </row>
    <row r="24" spans="1:7" ht="14.4" customHeight="1" x14ac:dyDescent="0.25">
      <c r="A24" t="s">
        <v>153</v>
      </c>
      <c r="B24" t="s">
        <v>154</v>
      </c>
      <c r="C24" t="s">
        <v>155</v>
      </c>
      <c r="D24" s="40">
        <v>3.1</v>
      </c>
      <c r="E24" s="41">
        <v>0</v>
      </c>
      <c r="F24">
        <v>0</v>
      </c>
      <c r="G24" s="40">
        <v>3</v>
      </c>
    </row>
    <row r="25" spans="1:7" ht="14.4" customHeight="1" x14ac:dyDescent="0.25">
      <c r="A25" t="s">
        <v>156</v>
      </c>
      <c r="B25" t="s">
        <v>157</v>
      </c>
      <c r="C25" t="s">
        <v>158</v>
      </c>
      <c r="D25" s="40">
        <v>3.08</v>
      </c>
      <c r="E25" s="41">
        <v>0</v>
      </c>
      <c r="F25">
        <v>0</v>
      </c>
      <c r="G25" s="40">
        <v>3</v>
      </c>
    </row>
    <row r="26" spans="1:7" ht="14.4" customHeight="1" x14ac:dyDescent="0.25">
      <c r="A26" t="s">
        <v>159</v>
      </c>
      <c r="B26" t="s">
        <v>160</v>
      </c>
      <c r="C26" t="s">
        <v>161</v>
      </c>
      <c r="D26" s="40">
        <v>3.19</v>
      </c>
      <c r="E26" s="41">
        <v>0</v>
      </c>
      <c r="F26">
        <v>0</v>
      </c>
      <c r="G26" s="40">
        <v>2</v>
      </c>
    </row>
    <row r="27" spans="1:7" ht="14.4" customHeight="1" x14ac:dyDescent="0.25">
      <c r="A27" t="s">
        <v>162</v>
      </c>
      <c r="B27" t="s">
        <v>163</v>
      </c>
      <c r="C27" t="s">
        <v>164</v>
      </c>
      <c r="D27" s="40">
        <v>3.1</v>
      </c>
      <c r="E27" s="41">
        <v>0</v>
      </c>
      <c r="F27" t="s">
        <v>302</v>
      </c>
      <c r="G27" s="40">
        <v>3.5</v>
      </c>
    </row>
    <row r="28" spans="1:7" ht="14.4" customHeight="1" x14ac:dyDescent="0.25">
      <c r="A28" t="s">
        <v>165</v>
      </c>
      <c r="B28" t="s">
        <v>166</v>
      </c>
      <c r="C28" t="s">
        <v>167</v>
      </c>
      <c r="D28" s="40">
        <v>3.3</v>
      </c>
      <c r="E28" s="41">
        <v>0</v>
      </c>
      <c r="F28">
        <v>0</v>
      </c>
      <c r="G28" s="40">
        <v>2</v>
      </c>
    </row>
    <row r="29" spans="1:7" ht="14.4" customHeight="1" x14ac:dyDescent="0.25">
      <c r="A29" t="s">
        <v>168</v>
      </c>
      <c r="B29" t="s">
        <v>169</v>
      </c>
      <c r="C29" t="s">
        <v>170</v>
      </c>
      <c r="D29" s="40">
        <v>4</v>
      </c>
      <c r="E29" s="41">
        <v>1.7808219178082192</v>
      </c>
      <c r="F29" t="s">
        <v>25</v>
      </c>
      <c r="G29" s="40">
        <v>3.5</v>
      </c>
    </row>
    <row r="30" spans="1:7" ht="14.4" customHeight="1" x14ac:dyDescent="0.25">
      <c r="A30" t="s">
        <v>171</v>
      </c>
      <c r="B30" t="s">
        <v>172</v>
      </c>
      <c r="C30" t="s">
        <v>173</v>
      </c>
      <c r="D30" s="40">
        <v>3.38</v>
      </c>
      <c r="E30" s="41">
        <v>0</v>
      </c>
      <c r="F30">
        <v>0</v>
      </c>
      <c r="G30" s="40">
        <v>3</v>
      </c>
    </row>
    <row r="31" spans="1:7" ht="14.4" customHeight="1" x14ac:dyDescent="0.25">
      <c r="A31" t="s">
        <v>174</v>
      </c>
      <c r="B31" t="s">
        <v>175</v>
      </c>
      <c r="C31" t="s">
        <v>176</v>
      </c>
      <c r="D31" s="40">
        <v>3.48</v>
      </c>
      <c r="E31" s="41">
        <v>0</v>
      </c>
      <c r="F31">
        <v>0</v>
      </c>
      <c r="G31" s="40">
        <v>2</v>
      </c>
    </row>
    <row r="32" spans="1:7" ht="14.4" customHeight="1" x14ac:dyDescent="0.25">
      <c r="A32" t="s">
        <v>177</v>
      </c>
      <c r="B32" t="s">
        <v>178</v>
      </c>
      <c r="C32" t="s">
        <v>179</v>
      </c>
      <c r="D32" s="40">
        <v>3.8</v>
      </c>
      <c r="E32" s="41">
        <v>0</v>
      </c>
      <c r="F32">
        <v>0</v>
      </c>
      <c r="G32" s="40">
        <v>2.5</v>
      </c>
    </row>
    <row r="33" spans="1:7" ht="14.4" customHeight="1" x14ac:dyDescent="0.25">
      <c r="A33" t="s">
        <v>180</v>
      </c>
      <c r="B33" t="s">
        <v>181</v>
      </c>
      <c r="C33" t="s">
        <v>182</v>
      </c>
      <c r="D33" s="40">
        <v>3.8</v>
      </c>
      <c r="E33" s="41">
        <v>0</v>
      </c>
      <c r="F33">
        <v>0</v>
      </c>
      <c r="G33" s="40">
        <v>3</v>
      </c>
    </row>
    <row r="34" spans="1:7" ht="14.4" customHeight="1" x14ac:dyDescent="0.25">
      <c r="A34" t="s">
        <v>183</v>
      </c>
      <c r="B34" t="s">
        <v>184</v>
      </c>
      <c r="C34" t="s">
        <v>185</v>
      </c>
      <c r="D34" s="40">
        <v>3.7</v>
      </c>
      <c r="E34" s="41">
        <v>0</v>
      </c>
      <c r="F34">
        <v>0</v>
      </c>
      <c r="G34" s="40">
        <v>3</v>
      </c>
    </row>
    <row r="35" spans="1:7" ht="14.4" customHeight="1" x14ac:dyDescent="0.25">
      <c r="A35" t="s">
        <v>186</v>
      </c>
      <c r="B35" t="s">
        <v>187</v>
      </c>
      <c r="C35" t="s">
        <v>188</v>
      </c>
      <c r="D35" s="40">
        <v>4.37</v>
      </c>
      <c r="E35" s="41">
        <v>0</v>
      </c>
      <c r="F35">
        <v>0</v>
      </c>
      <c r="G35" s="40">
        <v>3</v>
      </c>
    </row>
    <row r="36" spans="1:7" ht="14.4" customHeight="1" x14ac:dyDescent="0.25">
      <c r="A36" t="s">
        <v>189</v>
      </c>
      <c r="B36" t="s">
        <v>190</v>
      </c>
      <c r="C36" t="s">
        <v>191</v>
      </c>
      <c r="D36" s="40">
        <v>5.3</v>
      </c>
      <c r="E36" s="41">
        <v>0</v>
      </c>
      <c r="F36">
        <v>0</v>
      </c>
      <c r="G36" s="40">
        <v>2.5</v>
      </c>
    </row>
    <row r="37" spans="1:7" ht="14.4" customHeight="1" x14ac:dyDescent="0.25">
      <c r="A37" t="s">
        <v>192</v>
      </c>
      <c r="B37" t="s">
        <v>193</v>
      </c>
      <c r="C37" t="s">
        <v>194</v>
      </c>
      <c r="D37" s="40">
        <v>5.4</v>
      </c>
      <c r="E37" s="41">
        <v>0</v>
      </c>
      <c r="F37">
        <v>0</v>
      </c>
      <c r="G37" s="40">
        <v>1</v>
      </c>
    </row>
    <row r="38" spans="1:7" ht="14.4" customHeight="1" x14ac:dyDescent="0.25">
      <c r="A38" t="s">
        <v>195</v>
      </c>
      <c r="B38" t="s">
        <v>196</v>
      </c>
      <c r="C38" t="s">
        <v>197</v>
      </c>
      <c r="D38" s="40">
        <v>5</v>
      </c>
      <c r="E38" s="41">
        <v>0</v>
      </c>
      <c r="F38" t="s">
        <v>302</v>
      </c>
      <c r="G38" s="40">
        <v>2.2999999999999998</v>
      </c>
    </row>
    <row r="39" spans="1:7" ht="14.4" customHeight="1" x14ac:dyDescent="0.25">
      <c r="A39" t="s">
        <v>198</v>
      </c>
      <c r="B39" t="s">
        <v>199</v>
      </c>
      <c r="C39" t="s">
        <v>200</v>
      </c>
      <c r="D39" s="40">
        <v>5.18</v>
      </c>
      <c r="E39" s="41">
        <v>0</v>
      </c>
      <c r="F39">
        <v>0</v>
      </c>
      <c r="G39" s="40">
        <v>5</v>
      </c>
    </row>
    <row r="40" spans="1:7" ht="14.4" customHeight="1" x14ac:dyDescent="0.25">
      <c r="A40" t="s">
        <v>201</v>
      </c>
      <c r="B40" t="s">
        <v>202</v>
      </c>
      <c r="C40" t="s">
        <v>203</v>
      </c>
      <c r="D40" s="40">
        <v>5.45</v>
      </c>
      <c r="E40" s="41">
        <v>0</v>
      </c>
      <c r="F40" t="s">
        <v>302</v>
      </c>
      <c r="G40" s="40">
        <v>3.5</v>
      </c>
    </row>
    <row r="41" spans="1:7" ht="14.4" customHeight="1" x14ac:dyDescent="0.25">
      <c r="A41" t="s">
        <v>204</v>
      </c>
      <c r="B41" t="s">
        <v>205</v>
      </c>
      <c r="C41" t="s">
        <v>206</v>
      </c>
      <c r="D41" s="40">
        <v>6.8</v>
      </c>
      <c r="E41" s="41">
        <v>0</v>
      </c>
      <c r="F41">
        <v>0</v>
      </c>
      <c r="G41" s="40">
        <v>2</v>
      </c>
    </row>
    <row r="42" spans="1:7" ht="14.4" customHeight="1" x14ac:dyDescent="0.25">
      <c r="A42" t="s">
        <v>207</v>
      </c>
      <c r="B42" t="s">
        <v>208</v>
      </c>
      <c r="C42" t="s">
        <v>209</v>
      </c>
      <c r="D42" s="40">
        <v>5.7</v>
      </c>
      <c r="E42" s="41">
        <v>0</v>
      </c>
      <c r="F42" t="s">
        <v>302</v>
      </c>
      <c r="G42" s="40">
        <v>2.2999999999999998</v>
      </c>
    </row>
    <row r="43" spans="1:7" ht="14.4" customHeight="1" x14ac:dyDescent="0.25">
      <c r="A43" t="s">
        <v>210</v>
      </c>
      <c r="B43" t="s">
        <v>211</v>
      </c>
      <c r="C43" t="s">
        <v>212</v>
      </c>
      <c r="D43" s="40">
        <v>5.8</v>
      </c>
      <c r="E43" s="41">
        <v>0</v>
      </c>
      <c r="F43" t="s">
        <v>302</v>
      </c>
      <c r="G43" s="40">
        <v>2.2999999999999998</v>
      </c>
    </row>
    <row r="44" spans="1:7" ht="14.4" customHeight="1" x14ac:dyDescent="0.25">
      <c r="A44" t="s">
        <v>213</v>
      </c>
      <c r="B44" t="s">
        <v>214</v>
      </c>
      <c r="C44" t="s">
        <v>215</v>
      </c>
      <c r="D44" s="40">
        <v>5.62</v>
      </c>
      <c r="E44" s="41">
        <v>0</v>
      </c>
      <c r="F44" t="s">
        <v>25</v>
      </c>
      <c r="G44" s="40">
        <v>4.5999999999999996</v>
      </c>
    </row>
    <row r="45" spans="1:7" ht="14.4" customHeight="1" x14ac:dyDescent="0.25">
      <c r="A45" t="s">
        <v>216</v>
      </c>
      <c r="B45" t="s">
        <v>217</v>
      </c>
      <c r="C45" t="s">
        <v>218</v>
      </c>
      <c r="D45" s="40">
        <v>4.42</v>
      </c>
      <c r="E45" s="41">
        <v>0</v>
      </c>
      <c r="F45" t="s">
        <v>302</v>
      </c>
      <c r="G45" s="40">
        <v>2.2999999999999998</v>
      </c>
    </row>
    <row r="46" spans="1:7" ht="14.4" customHeight="1" x14ac:dyDescent="0.25">
      <c r="D46" s="40"/>
      <c r="E46" s="41"/>
      <c r="G46" s="40"/>
    </row>
    <row r="47" spans="1:7" ht="14.4" customHeight="1" x14ac:dyDescent="0.25">
      <c r="D47" s="40"/>
      <c r="E47" s="41"/>
      <c r="G47" s="40"/>
    </row>
    <row r="48" spans="1:7" ht="14.4" customHeight="1" x14ac:dyDescent="0.25">
      <c r="D48" s="40"/>
      <c r="E48" s="41"/>
      <c r="G48" s="40"/>
    </row>
    <row r="49" spans="1:7" ht="14.4" customHeight="1" x14ac:dyDescent="0.25">
      <c r="D49" s="40"/>
      <c r="E49" s="41"/>
      <c r="G49" s="40"/>
    </row>
    <row r="50" spans="1:7" ht="14.4" customHeight="1" x14ac:dyDescent="0.25">
      <c r="D50" s="40"/>
      <c r="E50" s="41"/>
      <c r="G50" s="40"/>
    </row>
    <row r="51" spans="1:7" ht="14.4" customHeight="1" x14ac:dyDescent="0.25">
      <c r="A51" s="143" t="s">
        <v>219</v>
      </c>
      <c r="B51" s="143"/>
      <c r="C51" s="143"/>
      <c r="D51" s="143"/>
      <c r="E51" s="41"/>
      <c r="G51" s="40"/>
    </row>
    <row r="52" spans="1:7" ht="14.4" customHeight="1" x14ac:dyDescent="0.25">
      <c r="A52" s="101" t="s">
        <v>220</v>
      </c>
      <c r="B52" s="101" t="s">
        <v>221</v>
      </c>
      <c r="C52" s="101" t="s">
        <v>222</v>
      </c>
      <c r="D52" s="102" t="s">
        <v>223</v>
      </c>
      <c r="E52" s="41"/>
      <c r="G52" s="40"/>
    </row>
    <row r="53" spans="1:7" ht="14.4" customHeight="1" x14ac:dyDescent="0.25">
      <c r="A53" t="s">
        <v>224</v>
      </c>
      <c r="B53" t="s">
        <v>25</v>
      </c>
      <c r="C53" t="s">
        <v>225</v>
      </c>
      <c r="D53" s="40" t="s">
        <v>226</v>
      </c>
      <c r="E53" s="41"/>
      <c r="G53" s="40"/>
    </row>
    <row r="54" spans="1:7" ht="14.4" customHeight="1" x14ac:dyDescent="0.25">
      <c r="A54" t="s">
        <v>227</v>
      </c>
      <c r="B54" t="s">
        <v>25</v>
      </c>
      <c r="C54" t="s">
        <v>225</v>
      </c>
      <c r="D54" s="40" t="s">
        <v>226</v>
      </c>
      <c r="E54" s="41"/>
      <c r="G54" s="40"/>
    </row>
    <row r="55" spans="1:7" ht="14.4" customHeight="1" x14ac:dyDescent="0.25">
      <c r="A55" t="s">
        <v>228</v>
      </c>
      <c r="B55" t="s">
        <v>25</v>
      </c>
      <c r="C55" t="s">
        <v>225</v>
      </c>
      <c r="D55" s="40" t="s">
        <v>226</v>
      </c>
      <c r="E55" s="41"/>
      <c r="G55" s="40"/>
    </row>
    <row r="56" spans="1:7" ht="14.4" customHeight="1" x14ac:dyDescent="0.25">
      <c r="A56" t="s">
        <v>229</v>
      </c>
      <c r="B56" t="s">
        <v>25</v>
      </c>
      <c r="C56" t="s">
        <v>225</v>
      </c>
      <c r="D56" s="40" t="s">
        <v>226</v>
      </c>
      <c r="E56" s="41"/>
      <c r="G56" s="40"/>
    </row>
    <row r="57" spans="1:7" ht="14.4" customHeight="1" x14ac:dyDescent="0.25">
      <c r="A57" t="s">
        <v>230</v>
      </c>
      <c r="B57" t="s">
        <v>25</v>
      </c>
      <c r="C57" t="s">
        <v>225</v>
      </c>
      <c r="D57" s="40" t="s">
        <v>226</v>
      </c>
      <c r="E57" s="41"/>
      <c r="G57" s="40"/>
    </row>
    <row r="58" spans="1:7" ht="14.4" customHeight="1" x14ac:dyDescent="0.25">
      <c r="A58" t="s">
        <v>231</v>
      </c>
      <c r="B58" t="s">
        <v>25</v>
      </c>
      <c r="C58" t="s">
        <v>225</v>
      </c>
      <c r="D58" s="40" t="s">
        <v>226</v>
      </c>
      <c r="E58" s="41"/>
      <c r="G58" s="40"/>
    </row>
    <row r="59" spans="1:7" ht="14.4" customHeight="1" x14ac:dyDescent="0.25">
      <c r="A59" t="s">
        <v>232</v>
      </c>
      <c r="B59" t="s">
        <v>25</v>
      </c>
      <c r="C59" t="s">
        <v>225</v>
      </c>
      <c r="D59" s="40" t="s">
        <v>226</v>
      </c>
      <c r="E59" s="41"/>
      <c r="G59" s="40"/>
    </row>
    <row r="60" spans="1:7" ht="14.4" customHeight="1" x14ac:dyDescent="0.25">
      <c r="A60" t="s">
        <v>233</v>
      </c>
      <c r="B60" t="s">
        <v>25</v>
      </c>
      <c r="C60" t="s">
        <v>225</v>
      </c>
      <c r="D60" s="40" t="s">
        <v>226</v>
      </c>
      <c r="E60" s="41"/>
      <c r="G60" s="40"/>
    </row>
    <row r="61" spans="1:7" ht="14.4" customHeight="1" x14ac:dyDescent="0.25">
      <c r="A61" t="s">
        <v>234</v>
      </c>
      <c r="B61" t="s">
        <v>25</v>
      </c>
      <c r="C61" t="s">
        <v>225</v>
      </c>
      <c r="D61" s="40" t="s">
        <v>226</v>
      </c>
      <c r="E61" s="41"/>
      <c r="G61" s="40"/>
    </row>
    <row r="62" spans="1:7" ht="14.4" customHeight="1" x14ac:dyDescent="0.25">
      <c r="A62" t="s">
        <v>235</v>
      </c>
      <c r="B62" t="s">
        <v>25</v>
      </c>
      <c r="C62" t="s">
        <v>225</v>
      </c>
      <c r="D62" s="40" t="s">
        <v>226</v>
      </c>
      <c r="E62" s="41"/>
      <c r="G62" s="40"/>
    </row>
    <row r="63" spans="1:7" ht="14.4" customHeight="1" x14ac:dyDescent="0.25">
      <c r="A63" t="s">
        <v>172</v>
      </c>
      <c r="B63" t="s">
        <v>25</v>
      </c>
      <c r="C63" t="s">
        <v>225</v>
      </c>
      <c r="D63" s="40" t="s">
        <v>226</v>
      </c>
      <c r="E63" s="41"/>
      <c r="G63" s="40"/>
    </row>
    <row r="64" spans="1:7" ht="14.4" customHeight="1" x14ac:dyDescent="0.25">
      <c r="A64" t="s">
        <v>236</v>
      </c>
      <c r="B64" t="s">
        <v>25</v>
      </c>
      <c r="C64" t="s">
        <v>225</v>
      </c>
      <c r="D64" s="40" t="s">
        <v>226</v>
      </c>
      <c r="E64" s="41"/>
      <c r="G64" s="40"/>
    </row>
    <row r="65" spans="1:7" ht="14.4" customHeight="1" x14ac:dyDescent="0.25">
      <c r="A65" t="s">
        <v>199</v>
      </c>
      <c r="B65" t="s">
        <v>25</v>
      </c>
      <c r="C65" t="s">
        <v>225</v>
      </c>
      <c r="D65" s="40" t="s">
        <v>226</v>
      </c>
      <c r="E65" s="41"/>
      <c r="G65" s="40"/>
    </row>
    <row r="66" spans="1:7" ht="14.4" customHeight="1" x14ac:dyDescent="0.25">
      <c r="A66" t="s">
        <v>237</v>
      </c>
      <c r="B66" t="s">
        <v>25</v>
      </c>
      <c r="C66" t="s">
        <v>225</v>
      </c>
      <c r="D66" s="40" t="s">
        <v>226</v>
      </c>
      <c r="E66" s="41"/>
      <c r="G66" s="40"/>
    </row>
    <row r="67" spans="1:7" ht="14.4" customHeight="1" x14ac:dyDescent="0.25">
      <c r="A67" t="s">
        <v>238</v>
      </c>
      <c r="B67" t="s">
        <v>25</v>
      </c>
      <c r="C67" t="s">
        <v>225</v>
      </c>
      <c r="D67" s="40" t="s">
        <v>226</v>
      </c>
      <c r="E67" s="41"/>
      <c r="G67" s="40"/>
    </row>
    <row r="68" spans="1:7" ht="14.4" customHeight="1" x14ac:dyDescent="0.25">
      <c r="A68" t="s">
        <v>239</v>
      </c>
      <c r="B68" t="s">
        <v>25</v>
      </c>
      <c r="C68" t="s">
        <v>225</v>
      </c>
      <c r="D68" s="40" t="s">
        <v>226</v>
      </c>
      <c r="E68" s="41"/>
      <c r="G68" s="40"/>
    </row>
    <row r="69" spans="1:7" ht="14.4" customHeight="1" x14ac:dyDescent="0.25">
      <c r="A69" t="s">
        <v>240</v>
      </c>
      <c r="B69" t="s">
        <v>25</v>
      </c>
      <c r="C69" t="s">
        <v>225</v>
      </c>
      <c r="D69" s="40" t="s">
        <v>226</v>
      </c>
      <c r="E69" s="41"/>
      <c r="G69" s="40"/>
    </row>
    <row r="70" spans="1:7" ht="14.4" customHeight="1" x14ac:dyDescent="0.25">
      <c r="A70" t="s">
        <v>241</v>
      </c>
      <c r="B70" t="s">
        <v>25</v>
      </c>
      <c r="C70" t="s">
        <v>225</v>
      </c>
      <c r="D70" s="40" t="s">
        <v>226</v>
      </c>
      <c r="E70" s="41"/>
      <c r="G70" s="40"/>
    </row>
    <row r="71" spans="1:7" ht="14.4" customHeight="1" x14ac:dyDescent="0.25">
      <c r="A71" t="s">
        <v>242</v>
      </c>
      <c r="B71" t="s">
        <v>25</v>
      </c>
      <c r="C71" t="s">
        <v>225</v>
      </c>
      <c r="D71" s="40" t="s">
        <v>226</v>
      </c>
      <c r="E71" s="41"/>
      <c r="G71" s="40"/>
    </row>
    <row r="72" spans="1:7" ht="14.4" customHeight="1" x14ac:dyDescent="0.25">
      <c r="A72" t="s">
        <v>243</v>
      </c>
      <c r="B72" t="s">
        <v>25</v>
      </c>
      <c r="C72" t="s">
        <v>225</v>
      </c>
      <c r="D72" s="40" t="s">
        <v>226</v>
      </c>
      <c r="E72" s="41"/>
      <c r="G72" s="40"/>
    </row>
    <row r="73" spans="1:7" ht="14.4" customHeight="1" x14ac:dyDescent="0.25">
      <c r="D73" s="40"/>
      <c r="E73" s="41"/>
      <c r="G73" s="40"/>
    </row>
    <row r="74" spans="1:7" ht="14.4" customHeight="1" x14ac:dyDescent="0.25">
      <c r="D74" s="40"/>
      <c r="E74" s="41"/>
      <c r="G74" s="40"/>
    </row>
    <row r="75" spans="1:7" ht="14.4" customHeight="1" x14ac:dyDescent="0.25">
      <c r="D75" s="40"/>
      <c r="E75" s="41"/>
      <c r="G75" s="40"/>
    </row>
    <row r="76" spans="1:7" ht="14.4" customHeight="1" x14ac:dyDescent="0.25">
      <c r="D76" s="40"/>
      <c r="E76" s="41"/>
      <c r="G76" s="40"/>
    </row>
    <row r="77" spans="1:7" ht="14.4" customHeight="1" x14ac:dyDescent="0.25">
      <c r="D77" s="40"/>
      <c r="E77" s="41"/>
      <c r="G77" s="40"/>
    </row>
    <row r="78" spans="1:7" ht="14.4" customHeight="1" x14ac:dyDescent="0.25">
      <c r="D78" s="40"/>
      <c r="E78" s="41"/>
      <c r="G78" s="40"/>
    </row>
    <row r="79" spans="1:7" ht="14.4" customHeight="1" x14ac:dyDescent="0.25">
      <c r="D79" s="40"/>
      <c r="E79" s="41"/>
      <c r="G79" s="40"/>
    </row>
    <row r="80" spans="1:7" ht="14.4" customHeight="1" x14ac:dyDescent="0.25">
      <c r="D80" s="40"/>
      <c r="E80" s="41"/>
      <c r="G80" s="40"/>
    </row>
    <row r="81" spans="4:7" ht="14.4" customHeight="1" x14ac:dyDescent="0.25">
      <c r="D81" s="40"/>
      <c r="E81" s="41"/>
      <c r="G81" s="40"/>
    </row>
    <row r="82" spans="4:7" ht="14.4" customHeight="1" x14ac:dyDescent="0.25">
      <c r="D82" s="40"/>
      <c r="E82" s="41"/>
      <c r="G82" s="40"/>
    </row>
    <row r="83" spans="4:7" ht="14.4" customHeight="1" x14ac:dyDescent="0.25">
      <c r="D83" s="40"/>
      <c r="E83" s="41"/>
      <c r="G83" s="40"/>
    </row>
    <row r="84" spans="4:7" ht="14.4" customHeight="1" x14ac:dyDescent="0.25">
      <c r="D84" s="40"/>
      <c r="E84" s="41"/>
      <c r="G84" s="40"/>
    </row>
    <row r="85" spans="4:7" ht="14.4" customHeight="1" x14ac:dyDescent="0.25">
      <c r="D85" s="40"/>
      <c r="E85" s="41"/>
      <c r="G85" s="40"/>
    </row>
    <row r="86" spans="4:7" ht="14.4" customHeight="1" x14ac:dyDescent="0.25">
      <c r="D86" s="40"/>
      <c r="E86" s="41"/>
      <c r="G86" s="40"/>
    </row>
    <row r="87" spans="4:7" ht="14.4" customHeight="1" x14ac:dyDescent="0.25">
      <c r="D87" s="40"/>
      <c r="E87" s="41"/>
      <c r="G87" s="40"/>
    </row>
    <row r="88" spans="4:7" ht="14.4" customHeight="1" x14ac:dyDescent="0.25">
      <c r="D88" s="40"/>
      <c r="E88" s="41"/>
      <c r="G88" s="40"/>
    </row>
    <row r="89" spans="4:7" ht="14.4" customHeight="1" x14ac:dyDescent="0.25">
      <c r="D89" s="40"/>
      <c r="E89" s="41"/>
      <c r="G89" s="40"/>
    </row>
    <row r="90" spans="4:7" ht="14.4" customHeight="1" x14ac:dyDescent="0.25">
      <c r="D90" s="40"/>
      <c r="E90" s="41"/>
      <c r="G90" s="40"/>
    </row>
    <row r="91" spans="4:7" ht="14.4" customHeight="1" x14ac:dyDescent="0.25">
      <c r="D91" s="40"/>
      <c r="E91" s="41"/>
      <c r="G91" s="40"/>
    </row>
    <row r="92" spans="4:7" ht="14.4" customHeight="1" x14ac:dyDescent="0.25">
      <c r="D92" s="40"/>
      <c r="E92" s="41"/>
      <c r="G92" s="40"/>
    </row>
    <row r="93" spans="4:7" ht="14.4" customHeight="1" x14ac:dyDescent="0.25">
      <c r="D93" s="40"/>
      <c r="E93" s="41"/>
      <c r="G93" s="40"/>
    </row>
    <row r="94" spans="4:7" ht="14.4" customHeight="1" x14ac:dyDescent="0.25">
      <c r="D94" s="40"/>
      <c r="E94" s="41"/>
      <c r="G94" s="40"/>
    </row>
    <row r="95" spans="4:7" ht="14.4" customHeight="1" x14ac:dyDescent="0.25">
      <c r="D95" s="40"/>
      <c r="E95" s="41"/>
      <c r="G95" s="40"/>
    </row>
    <row r="96" spans="4:7" ht="14.4" customHeight="1" x14ac:dyDescent="0.25">
      <c r="D96" s="40"/>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51:D51"/>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95" t="s">
        <v>61</v>
      </c>
      <c r="B4" s="103">
        <v>0.590642</v>
      </c>
      <c r="C4" s="95" t="s">
        <v>36</v>
      </c>
      <c r="D4" s="104">
        <v>0.44519999999999998</v>
      </c>
      <c r="E4" s="95" t="s">
        <v>41</v>
      </c>
      <c r="F4" s="103">
        <v>0.95459999999999989</v>
      </c>
      <c r="G4" s="95" t="s">
        <v>42</v>
      </c>
      <c r="H4" s="103">
        <v>0.51850700000000005</v>
      </c>
      <c r="I4" s="95"/>
      <c r="J4" s="105"/>
    </row>
    <row r="5" spans="1:10" ht="15.75" customHeight="1" x14ac:dyDescent="0.25">
      <c r="A5" s="95" t="s">
        <v>62</v>
      </c>
      <c r="B5" s="103">
        <v>0.164988</v>
      </c>
      <c r="C5" s="95" t="s">
        <v>63</v>
      </c>
      <c r="D5" s="104">
        <v>0.42809999999999998</v>
      </c>
      <c r="E5" s="95" t="s">
        <v>64</v>
      </c>
      <c r="F5" s="104">
        <v>9.8247999999999998</v>
      </c>
      <c r="G5" s="95" t="s">
        <v>65</v>
      </c>
      <c r="H5" s="103">
        <v>8.9019999999999988E-2</v>
      </c>
      <c r="I5" s="95"/>
      <c r="J5" s="105"/>
    </row>
    <row r="6" spans="1:10" ht="15" customHeight="1" x14ac:dyDescent="0.25">
      <c r="A6" s="95" t="s">
        <v>66</v>
      </c>
      <c r="B6" s="103">
        <v>0.62750399999999995</v>
      </c>
      <c r="C6" s="95" t="s">
        <v>39</v>
      </c>
      <c r="D6" s="106">
        <v>8.0600000000000005E-2</v>
      </c>
      <c r="E6" s="95" t="s">
        <v>67</v>
      </c>
      <c r="F6" s="104">
        <v>0.871</v>
      </c>
      <c r="G6" s="95" t="s">
        <v>45</v>
      </c>
      <c r="H6" s="103">
        <v>1.3395999999999998E-2</v>
      </c>
      <c r="I6" s="95"/>
      <c r="J6" s="105"/>
    </row>
    <row r="7" spans="1:10" ht="14.25" customHeight="1" x14ac:dyDescent="0.25">
      <c r="A7" s="95" t="s">
        <v>38</v>
      </c>
      <c r="B7" s="106">
        <v>0.77698222397335492</v>
      </c>
      <c r="C7" s="95" t="s">
        <v>68</v>
      </c>
      <c r="D7" s="106">
        <v>1.4359999999999999</v>
      </c>
      <c r="E7" s="95" t="s">
        <v>69</v>
      </c>
      <c r="F7" s="104">
        <v>0.50280000000000002</v>
      </c>
      <c r="G7" s="95" t="s">
        <v>70</v>
      </c>
      <c r="H7" s="103">
        <v>2.6353000000000001E-2</v>
      </c>
      <c r="I7" s="95"/>
      <c r="J7" s="105"/>
    </row>
    <row r="8" spans="1:10" x14ac:dyDescent="0.25">
      <c r="A8" s="95"/>
      <c r="B8" s="107"/>
      <c r="C8" s="95"/>
      <c r="D8" s="108"/>
      <c r="E8" s="95" t="s">
        <v>71</v>
      </c>
      <c r="F8" s="104">
        <v>0.11</v>
      </c>
      <c r="G8" s="95"/>
      <c r="H8" s="107"/>
      <c r="I8" s="95"/>
      <c r="J8" s="107"/>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95" t="s">
        <v>77</v>
      </c>
      <c r="B12" s="109">
        <v>12.039678083699998</v>
      </c>
      <c r="C12" s="95" t="s">
        <v>78</v>
      </c>
      <c r="D12" s="106">
        <v>11.433438308900001</v>
      </c>
      <c r="E12" s="147" t="s">
        <v>79</v>
      </c>
      <c r="F12" s="120"/>
      <c r="G12" s="120"/>
      <c r="H12" s="148">
        <v>10.914450327200001</v>
      </c>
      <c r="I12" s="120"/>
      <c r="J12" s="120"/>
    </row>
    <row r="13" spans="1:10" ht="14.25" customHeight="1" x14ac:dyDescent="0.25">
      <c r="A13" s="95" t="s">
        <v>80</v>
      </c>
      <c r="B13" s="109">
        <v>1.3700891028</v>
      </c>
      <c r="C13" s="95" t="s">
        <v>81</v>
      </c>
      <c r="D13" s="106">
        <v>12.131974418199999</v>
      </c>
      <c r="E13" s="147" t="s">
        <v>82</v>
      </c>
      <c r="F13" s="120"/>
      <c r="G13" s="120"/>
      <c r="H13" s="148">
        <v>4.8150726311999996</v>
      </c>
      <c r="I13" s="120"/>
      <c r="J13" s="120"/>
    </row>
    <row r="14" spans="1:10" ht="14.25" customHeight="1" x14ac:dyDescent="0.25">
      <c r="A14" s="95" t="s">
        <v>83</v>
      </c>
      <c r="B14" s="109">
        <v>2.3623621375999999</v>
      </c>
      <c r="C14" s="95" t="s">
        <v>84</v>
      </c>
      <c r="D14" s="106">
        <v>5.5051177896999999</v>
      </c>
      <c r="E14" s="147" t="s">
        <v>85</v>
      </c>
      <c r="F14" s="120"/>
      <c r="G14" s="120"/>
      <c r="H14" s="148">
        <v>15.7552170804</v>
      </c>
      <c r="I14" s="120"/>
      <c r="J14" s="120"/>
    </row>
    <row r="15" spans="1:10" ht="14.25" customHeight="1" x14ac:dyDescent="0.25">
      <c r="A15" s="95" t="s">
        <v>86</v>
      </c>
      <c r="B15" s="109">
        <v>52.690351140099999</v>
      </c>
      <c r="C15" s="95" t="s">
        <v>87</v>
      </c>
      <c r="D15" s="106">
        <v>1.7244596577000002</v>
      </c>
      <c r="E15" s="147" t="s">
        <v>88</v>
      </c>
      <c r="F15" s="120"/>
      <c r="G15" s="120"/>
      <c r="H15" s="148">
        <v>2.9074131210000003</v>
      </c>
      <c r="I15" s="120"/>
      <c r="J15" s="120"/>
    </row>
    <row r="16" spans="1:10" ht="14.25" customHeight="1" x14ac:dyDescent="0.25">
      <c r="A16" s="95" t="s">
        <v>89</v>
      </c>
      <c r="B16" s="109">
        <v>15.545997699900001</v>
      </c>
      <c r="C16" s="95" t="s">
        <v>90</v>
      </c>
      <c r="D16" s="106">
        <v>2.5696640232000001</v>
      </c>
      <c r="E16" s="147" t="s">
        <v>91</v>
      </c>
      <c r="F16" s="120"/>
      <c r="G16" s="120"/>
      <c r="H16" s="148">
        <v>2.8765396948000004</v>
      </c>
      <c r="I16" s="120"/>
      <c r="J16" s="120"/>
    </row>
    <row r="17" spans="1:10" ht="14.25" customHeight="1" x14ac:dyDescent="0.25">
      <c r="A17" s="95" t="s">
        <v>92</v>
      </c>
      <c r="B17" s="109">
        <v>18.1425855785</v>
      </c>
      <c r="C17" s="95" t="s">
        <v>93</v>
      </c>
      <c r="D17" s="106">
        <v>2.0120445803</v>
      </c>
      <c r="E17" s="147" t="s">
        <v>94</v>
      </c>
      <c r="F17" s="120"/>
      <c r="G17" s="120"/>
      <c r="H17" s="148">
        <v>9.1971948824999998</v>
      </c>
      <c r="I17" s="120"/>
      <c r="J17" s="120"/>
    </row>
    <row r="18" spans="1:10" ht="14.25" customHeight="1" x14ac:dyDescent="0.25">
      <c r="A18" s="95" t="s">
        <v>95</v>
      </c>
      <c r="B18" s="109">
        <v>110.4184356582</v>
      </c>
      <c r="C18" s="95" t="s">
        <v>96</v>
      </c>
      <c r="D18" s="106">
        <v>1.0178067648</v>
      </c>
      <c r="E18" s="147" t="s">
        <v>97</v>
      </c>
      <c r="F18" s="120"/>
      <c r="G18" s="120"/>
      <c r="H18" s="148">
        <v>6.5580221978999997</v>
      </c>
      <c r="I18" s="120"/>
      <c r="J18" s="120"/>
    </row>
    <row r="19" spans="1:10" ht="14.25" customHeight="1" x14ac:dyDescent="0.25">
      <c r="A19" s="95" t="s">
        <v>98</v>
      </c>
      <c r="B19" s="109">
        <v>9.3000000000000007</v>
      </c>
      <c r="C19" s="95" t="s">
        <v>99</v>
      </c>
      <c r="D19" s="106">
        <v>0.83170400400000011</v>
      </c>
      <c r="E19" s="147" t="s">
        <v>100</v>
      </c>
      <c r="F19" s="120"/>
      <c r="G19" s="120"/>
      <c r="H19" s="148">
        <v>-8.3332250382000002</v>
      </c>
      <c r="I19" s="120"/>
      <c r="J19" s="120"/>
    </row>
    <row r="20" spans="1:10" ht="27" customHeight="1" x14ac:dyDescent="0.25">
      <c r="A20" s="95" t="s">
        <v>101</v>
      </c>
      <c r="B20" s="109">
        <v>5.7</v>
      </c>
      <c r="C20" s="95" t="s">
        <v>43</v>
      </c>
      <c r="D20" s="106">
        <v>0.46811187999999998</v>
      </c>
      <c r="E20" s="147" t="s">
        <v>102</v>
      </c>
      <c r="F20" s="120"/>
      <c r="G20" s="120"/>
      <c r="H20" s="148">
        <v>4.5750000000000002</v>
      </c>
      <c r="I20" s="120"/>
      <c r="J20" s="120"/>
    </row>
    <row r="21" spans="1:10" ht="16.5" customHeight="1" x14ac:dyDescent="0.25">
      <c r="A21" s="95" t="s">
        <v>103</v>
      </c>
      <c r="B21" s="109">
        <v>0</v>
      </c>
      <c r="C21" s="95"/>
      <c r="D21" s="110"/>
      <c r="E21" s="147" t="s">
        <v>104</v>
      </c>
      <c r="F21" s="120"/>
      <c r="G21" s="120"/>
      <c r="H21" s="148">
        <v>18.8</v>
      </c>
      <c r="I21" s="120"/>
      <c r="J21" s="120"/>
    </row>
    <row r="22" spans="1:10" ht="14.25" customHeight="1" x14ac:dyDescent="0.25">
      <c r="A22" s="95" t="s">
        <v>105</v>
      </c>
      <c r="B22" s="109">
        <v>16.021000000000001</v>
      </c>
      <c r="C22" s="95"/>
      <c r="D22" s="110"/>
      <c r="E22" s="147" t="s">
        <v>106</v>
      </c>
      <c r="F22" s="120"/>
      <c r="G22" s="120"/>
      <c r="H22" s="148">
        <v>0</v>
      </c>
      <c r="I22" s="120"/>
      <c r="J22" s="120"/>
    </row>
    <row r="23" spans="1:10" ht="14.25" customHeight="1" x14ac:dyDescent="0.25">
      <c r="A23" s="95" t="s">
        <v>107</v>
      </c>
      <c r="B23" s="109">
        <v>3.5</v>
      </c>
      <c r="C23" s="95"/>
      <c r="D23" s="110"/>
      <c r="E23" s="147" t="s">
        <v>108</v>
      </c>
      <c r="F23" s="120"/>
      <c r="G23" s="120"/>
      <c r="H23" s="148">
        <v>32.375</v>
      </c>
      <c r="I23" s="120"/>
      <c r="J23" s="120"/>
    </row>
    <row r="24" spans="1:10" ht="14.25" customHeight="1" x14ac:dyDescent="0.25">
      <c r="A24" s="95" t="s">
        <v>109</v>
      </c>
      <c r="B24" s="109">
        <v>65.217760578400004</v>
      </c>
      <c r="C24" s="111"/>
      <c r="D24" s="108"/>
      <c r="E24" s="147" t="s">
        <v>110</v>
      </c>
      <c r="F24" s="120"/>
      <c r="G24" s="120"/>
      <c r="H24" s="148">
        <v>11.624000000000001</v>
      </c>
      <c r="I24" s="120"/>
      <c r="J24" s="120"/>
    </row>
    <row r="25" spans="1:10" ht="14.25" customHeight="1" x14ac:dyDescent="0.25">
      <c r="A25" s="95" t="s">
        <v>111</v>
      </c>
      <c r="B25" s="109">
        <v>45.200675079799993</v>
      </c>
      <c r="C25" s="111"/>
      <c r="D25" s="108"/>
      <c r="E25" s="147" t="s">
        <v>112</v>
      </c>
      <c r="F25" s="120"/>
      <c r="G25" s="120"/>
      <c r="H25" s="148">
        <v>26.436798766300001</v>
      </c>
      <c r="I25" s="120"/>
      <c r="J25" s="120"/>
    </row>
    <row r="26" spans="1:10" ht="14.25" customHeight="1" x14ac:dyDescent="0.25">
      <c r="A26" s="112" t="s">
        <v>113</v>
      </c>
      <c r="B26" s="109">
        <v>110.4184356582</v>
      </c>
      <c r="C26" s="111"/>
      <c r="D26" s="108"/>
      <c r="E26" s="147" t="s">
        <v>114</v>
      </c>
      <c r="F26" s="120"/>
      <c r="G26" s="120"/>
      <c r="H26" s="148">
        <v>5.9382012337000001</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3" t="s">
        <v>244</v>
      </c>
      <c r="B1" s="124"/>
      <c r="C1" s="124"/>
      <c r="D1" s="124"/>
      <c r="E1" s="124"/>
      <c r="F1" s="124"/>
      <c r="G1" s="124"/>
      <c r="H1" s="124"/>
      <c r="I1" s="124"/>
    </row>
    <row r="2" spans="1:10" ht="46.5" customHeight="1" x14ac:dyDescent="0.25">
      <c r="A2" s="19" t="s">
        <v>22</v>
      </c>
      <c r="B2" s="77" t="s">
        <v>293</v>
      </c>
      <c r="C2" s="77" t="s">
        <v>245</v>
      </c>
      <c r="D2" s="77" t="s">
        <v>303</v>
      </c>
      <c r="E2" s="77" t="s">
        <v>304</v>
      </c>
      <c r="F2" s="77" t="s">
        <v>305</v>
      </c>
      <c r="G2" s="77" t="s">
        <v>306</v>
      </c>
      <c r="H2" s="77" t="s">
        <v>307</v>
      </c>
      <c r="I2" s="77" t="s">
        <v>308</v>
      </c>
      <c r="J2" s="77" t="s">
        <v>309</v>
      </c>
    </row>
    <row r="3" spans="1:10" x14ac:dyDescent="0.25">
      <c r="A3" s="19" t="s">
        <v>24</v>
      </c>
      <c r="B3" s="78" t="s">
        <v>25</v>
      </c>
      <c r="C3" s="86" t="s">
        <v>246</v>
      </c>
      <c r="D3" s="78" t="s">
        <v>25</v>
      </c>
      <c r="E3" s="78" t="s">
        <v>25</v>
      </c>
      <c r="F3" s="78" t="s">
        <v>25</v>
      </c>
      <c r="G3" s="78" t="s">
        <v>25</v>
      </c>
      <c r="H3" s="78" t="s">
        <v>25</v>
      </c>
      <c r="I3" s="78" t="s">
        <v>25</v>
      </c>
      <c r="J3" s="78" t="s">
        <v>25</v>
      </c>
    </row>
    <row r="4" spans="1:10" s="18" customFormat="1" ht="21.6" x14ac:dyDescent="0.25">
      <c r="A4" s="21" t="s">
        <v>3</v>
      </c>
      <c r="B4" s="79" t="s">
        <v>294</v>
      </c>
      <c r="C4" s="86" t="s">
        <v>246</v>
      </c>
      <c r="D4" s="79" t="s">
        <v>294</v>
      </c>
      <c r="E4" s="79" t="s">
        <v>294</v>
      </c>
      <c r="F4" s="79" t="s">
        <v>294</v>
      </c>
      <c r="G4" s="79" t="s">
        <v>294</v>
      </c>
      <c r="H4" s="79" t="s">
        <v>310</v>
      </c>
      <c r="I4" s="79" t="s">
        <v>294</v>
      </c>
      <c r="J4" s="79" t="s">
        <v>294</v>
      </c>
    </row>
    <row r="5" spans="1:10" s="18" customFormat="1" x14ac:dyDescent="0.25">
      <c r="A5" s="21" t="s">
        <v>29</v>
      </c>
      <c r="B5" s="80" t="s">
        <v>30</v>
      </c>
      <c r="C5" s="86" t="s">
        <v>246</v>
      </c>
      <c r="D5" s="80" t="s">
        <v>30</v>
      </c>
      <c r="E5" s="80" t="s">
        <v>30</v>
      </c>
      <c r="F5" s="80" t="s">
        <v>30</v>
      </c>
      <c r="G5" s="80" t="s">
        <v>30</v>
      </c>
      <c r="H5" s="80" t="s">
        <v>30</v>
      </c>
      <c r="I5" s="80" t="s">
        <v>30</v>
      </c>
      <c r="J5" s="80" t="s">
        <v>30</v>
      </c>
    </row>
    <row r="6" spans="1:10" x14ac:dyDescent="0.25">
      <c r="A6" s="19" t="s">
        <v>32</v>
      </c>
      <c r="B6" s="81">
        <v>110.4184356582</v>
      </c>
      <c r="C6" s="86">
        <v>125.83824379527142</v>
      </c>
      <c r="D6" s="81">
        <v>174.14702867130001</v>
      </c>
      <c r="E6" s="81">
        <v>191.9847422938</v>
      </c>
      <c r="F6" s="81">
        <v>87.232213104899998</v>
      </c>
      <c r="G6" s="81">
        <v>201.0704477495</v>
      </c>
      <c r="H6" s="81">
        <v>26.906754924800001</v>
      </c>
      <c r="I6" s="81">
        <v>103.35434069729999</v>
      </c>
      <c r="J6" s="81">
        <v>96.172179125300005</v>
      </c>
    </row>
    <row r="7" spans="1:10" x14ac:dyDescent="0.25">
      <c r="A7" s="19" t="s">
        <v>34</v>
      </c>
      <c r="B7" s="82">
        <v>0.590642</v>
      </c>
      <c r="C7" s="86">
        <v>0.52433157142857145</v>
      </c>
      <c r="D7" s="82">
        <v>0.43576999999999999</v>
      </c>
      <c r="E7" s="82">
        <v>0.75272000000000006</v>
      </c>
      <c r="F7" s="82">
        <v>0.74641800000000003</v>
      </c>
      <c r="G7" s="82">
        <v>0.71792800000000001</v>
      </c>
      <c r="H7" s="82">
        <v>8.9715000000000003E-2</v>
      </c>
      <c r="I7" s="82">
        <v>0.42308500000000004</v>
      </c>
      <c r="J7" s="82">
        <v>0.50468499999999994</v>
      </c>
    </row>
    <row r="8" spans="1:10" x14ac:dyDescent="0.25">
      <c r="A8" s="19" t="s">
        <v>36</v>
      </c>
      <c r="B8" s="81">
        <v>0.44519999999999998</v>
      </c>
      <c r="C8" s="86">
        <v>3.6786428571428575</v>
      </c>
      <c r="D8" s="81">
        <v>10.2026</v>
      </c>
      <c r="E8" s="81">
        <v>4.2346000000000004</v>
      </c>
      <c r="F8" s="81">
        <v>0.90400000000000003</v>
      </c>
      <c r="G8" s="81">
        <v>1.5874999999999999</v>
      </c>
      <c r="H8" s="81">
        <v>5.7039999999999997</v>
      </c>
      <c r="I8" s="81">
        <v>1.5298</v>
      </c>
      <c r="J8" s="81">
        <v>1.5880000000000001</v>
      </c>
    </row>
    <row r="9" spans="1:10" x14ac:dyDescent="0.25">
      <c r="A9" s="19" t="s">
        <v>38</v>
      </c>
      <c r="B9" s="78">
        <v>0.77698222397335492</v>
      </c>
      <c r="C9" s="86">
        <v>1.0474233083683653</v>
      </c>
      <c r="D9" s="78">
        <v>0.46944508374573496</v>
      </c>
      <c r="E9" s="78">
        <v>2.4498151763695977</v>
      </c>
      <c r="F9" s="78">
        <v>1.7099110340062895</v>
      </c>
      <c r="G9" s="78">
        <v>1.7187666531916572</v>
      </c>
      <c r="H9" s="78">
        <v>3.7786582603259705E-2</v>
      </c>
      <c r="I9" s="78">
        <v>0.57317273145420466</v>
      </c>
      <c r="J9" s="78">
        <v>0.37306589720781275</v>
      </c>
    </row>
    <row r="10" spans="1:10" ht="21.6" customHeight="1" x14ac:dyDescent="0.25">
      <c r="A10" s="19" t="s">
        <v>39</v>
      </c>
      <c r="B10" s="81">
        <v>8.0600000000000005E-2</v>
      </c>
      <c r="C10" s="86">
        <v>0.23472857142857143</v>
      </c>
      <c r="D10" s="81">
        <v>1.8700000000000001E-2</v>
      </c>
      <c r="E10" s="81">
        <v>1.11E-2</v>
      </c>
      <c r="F10" s="81">
        <v>4.7199999999999999E-2</v>
      </c>
      <c r="G10" s="81">
        <v>4.9599999999999998E-2</v>
      </c>
      <c r="H10" s="81">
        <v>1.4052</v>
      </c>
      <c r="I10" s="81">
        <v>8.8599999999999998E-2</v>
      </c>
      <c r="J10" s="81">
        <v>2.2700000000000001E-2</v>
      </c>
    </row>
    <row r="11" spans="1:10" x14ac:dyDescent="0.25">
      <c r="A11" s="19" t="s">
        <v>40</v>
      </c>
      <c r="B11" s="81">
        <v>11.433438308900001</v>
      </c>
      <c r="C11" s="86">
        <v>15.510705449928571</v>
      </c>
      <c r="D11" s="81">
        <v>4.1029414232999999</v>
      </c>
      <c r="E11" s="81">
        <v>15.071419220099999</v>
      </c>
      <c r="F11" s="81">
        <v>46.467823027600005</v>
      </c>
      <c r="G11" s="81">
        <v>22.408429225799999</v>
      </c>
      <c r="H11" s="81">
        <v>6.8720399138000001</v>
      </c>
      <c r="I11" s="81">
        <v>7.6131477730999997</v>
      </c>
      <c r="J11" s="81">
        <v>6.0391375658000008</v>
      </c>
    </row>
    <row r="12" spans="1:10" s="18" customFormat="1" x14ac:dyDescent="0.25">
      <c r="A12" s="21" t="s">
        <v>41</v>
      </c>
      <c r="B12" s="83">
        <v>0.95459999999999989</v>
      </c>
      <c r="C12" s="86">
        <v>1.0739142857142858</v>
      </c>
      <c r="D12" s="83">
        <v>0.99009999999999987</v>
      </c>
      <c r="E12" s="83">
        <v>1.1800999999999999</v>
      </c>
      <c r="F12" s="83">
        <v>1.1788000000000001</v>
      </c>
      <c r="G12" s="83">
        <v>1.016</v>
      </c>
      <c r="H12" s="83">
        <v>1.1393</v>
      </c>
      <c r="I12" s="83">
        <v>1.0436000000000001</v>
      </c>
      <c r="J12" s="83">
        <v>0.96950000000000003</v>
      </c>
    </row>
    <row r="13" spans="1:10" s="18" customFormat="1" x14ac:dyDescent="0.25">
      <c r="A13" s="21" t="s">
        <v>42</v>
      </c>
      <c r="B13" s="83">
        <v>0.51850700000000005</v>
      </c>
      <c r="C13" s="86">
        <v>0.26202185714285714</v>
      </c>
      <c r="D13" s="83">
        <v>7.0787000000000003E-2</v>
      </c>
      <c r="E13" s="83">
        <v>0.189363</v>
      </c>
      <c r="F13" s="83">
        <v>0.148202</v>
      </c>
      <c r="G13" s="83">
        <v>0.13469799999999998</v>
      </c>
      <c r="H13" s="83">
        <v>0.700762</v>
      </c>
      <c r="I13" s="83">
        <v>0.41011999999999998</v>
      </c>
      <c r="J13" s="83">
        <v>0.18022099999999999</v>
      </c>
    </row>
    <row r="14" spans="1:10" s="18" customFormat="1" x14ac:dyDescent="0.25">
      <c r="A14" s="21" t="s">
        <v>43</v>
      </c>
      <c r="B14" s="84">
        <v>0.46811187999999998</v>
      </c>
      <c r="C14" s="86">
        <v>0.73759249588571429</v>
      </c>
      <c r="D14" s="84">
        <v>1.3790811476</v>
      </c>
      <c r="E14" s="84">
        <v>0.1464026021</v>
      </c>
      <c r="F14" s="84">
        <v>0.16002414030000001</v>
      </c>
      <c r="G14" s="84">
        <v>0.10846205130000001</v>
      </c>
      <c r="H14" s="84">
        <v>2.1688287527000001</v>
      </c>
      <c r="I14" s="84">
        <v>0.97474325650000004</v>
      </c>
      <c r="J14" s="84">
        <v>0.22560552070000001</v>
      </c>
    </row>
    <row r="15" spans="1:10" x14ac:dyDescent="0.25">
      <c r="A15" s="19" t="s">
        <v>45</v>
      </c>
      <c r="B15" s="82">
        <v>1.3395999999999998E-2</v>
      </c>
      <c r="C15" s="86">
        <v>1.9706571428571431E-2</v>
      </c>
      <c r="D15" s="82">
        <v>1.5668999999999999E-2</v>
      </c>
      <c r="E15" s="82">
        <v>3.715E-3</v>
      </c>
      <c r="F15" s="82">
        <v>2.4979999999999998E-3</v>
      </c>
      <c r="G15" s="82">
        <v>3.82E-3</v>
      </c>
      <c r="H15" s="82">
        <v>9.0867000000000003E-2</v>
      </c>
      <c r="I15" s="82">
        <v>1.6329E-2</v>
      </c>
      <c r="J15" s="82">
        <v>5.0480000000000004E-3</v>
      </c>
    </row>
    <row r="16" spans="1:10" s="18" customFormat="1" ht="25.8" customHeight="1" x14ac:dyDescent="0.25">
      <c r="A16" s="21" t="s">
        <v>46</v>
      </c>
      <c r="B16" s="84">
        <v>6.5580221978999997</v>
      </c>
      <c r="C16" s="86">
        <v>-1.7432006630285712</v>
      </c>
      <c r="D16" s="84">
        <v>-3.0901475273000001</v>
      </c>
      <c r="E16" s="84">
        <v>-18.305405051199998</v>
      </c>
      <c r="F16" s="84">
        <v>1.3318966977</v>
      </c>
      <c r="G16" s="84">
        <v>4.5788224039000003</v>
      </c>
      <c r="H16" s="84">
        <v>3.0022504894000002</v>
      </c>
      <c r="I16" s="84">
        <v>-0.11400806519999999</v>
      </c>
      <c r="J16" s="84">
        <v>0.3941864115</v>
      </c>
    </row>
    <row r="17" spans="1:10" x14ac:dyDescent="0.25">
      <c r="A17" s="19" t="s">
        <v>60</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9" t="s">
        <v>247</v>
      </c>
      <c r="B1" s="124"/>
      <c r="C1" s="124"/>
      <c r="D1" s="124"/>
      <c r="E1" s="124"/>
      <c r="F1" s="124"/>
    </row>
    <row r="2" spans="1:6" x14ac:dyDescent="0.25">
      <c r="A2" s="91" t="s">
        <v>248</v>
      </c>
      <c r="B2" s="90" t="s">
        <v>249</v>
      </c>
      <c r="C2" s="90" t="s">
        <v>250</v>
      </c>
      <c r="D2" s="90" t="s">
        <v>251</v>
      </c>
      <c r="E2" s="90" t="s">
        <v>223</v>
      </c>
      <c r="F2" s="90" t="s">
        <v>252</v>
      </c>
    </row>
    <row r="3" spans="1:6" ht="48" customHeight="1" x14ac:dyDescent="0.25">
      <c r="A3" s="113">
        <v>43255</v>
      </c>
      <c r="B3" s="92" t="s">
        <v>253</v>
      </c>
      <c r="C3" s="114" t="s">
        <v>254</v>
      </c>
      <c r="D3" s="114"/>
      <c r="E3" s="92" t="s">
        <v>255</v>
      </c>
      <c r="F3" s="114"/>
    </row>
    <row r="4" spans="1:6" ht="49.5" customHeight="1" x14ac:dyDescent="0.25">
      <c r="A4" s="113">
        <v>43249</v>
      </c>
      <c r="B4" s="92" t="s">
        <v>256</v>
      </c>
      <c r="C4" s="114" t="s">
        <v>254</v>
      </c>
      <c r="D4" s="114"/>
      <c r="E4" s="92" t="s">
        <v>257</v>
      </c>
      <c r="F4" s="114" t="s">
        <v>258</v>
      </c>
    </row>
    <row r="5" spans="1:6" ht="91.2" x14ac:dyDescent="0.25">
      <c r="A5" s="113">
        <v>43249</v>
      </c>
      <c r="B5" s="92" t="s">
        <v>259</v>
      </c>
      <c r="C5" s="114"/>
      <c r="D5" s="114"/>
      <c r="E5" s="92" t="s">
        <v>257</v>
      </c>
      <c r="F5" s="114" t="s">
        <v>260</v>
      </c>
    </row>
    <row r="6" spans="1:6" x14ac:dyDescent="0.25">
      <c r="A6" s="93"/>
      <c r="B6" s="92"/>
      <c r="C6" s="17"/>
      <c r="D6" s="17"/>
      <c r="E6" s="92"/>
      <c r="F6" s="17"/>
    </row>
    <row r="7" spans="1:6" x14ac:dyDescent="0.25">
      <c r="A7" s="93"/>
      <c r="B7" s="92"/>
      <c r="C7" s="17"/>
      <c r="D7" s="17"/>
      <c r="E7" s="92"/>
      <c r="F7" s="17"/>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21" spans="1:6" x14ac:dyDescent="0.25">
      <c r="A21" s="143" t="s">
        <v>261</v>
      </c>
      <c r="B21" s="143"/>
      <c r="C21" s="143"/>
      <c r="D21" s="143"/>
      <c r="E21" s="143"/>
      <c r="F21" s="143"/>
    </row>
    <row r="22" spans="1:6" x14ac:dyDescent="0.25">
      <c r="A22" s="101" t="s">
        <v>248</v>
      </c>
      <c r="B22" s="101" t="s">
        <v>249</v>
      </c>
      <c r="C22" s="101" t="s">
        <v>262</v>
      </c>
      <c r="D22" s="101" t="s">
        <v>263</v>
      </c>
      <c r="E22" s="101" t="s">
        <v>223</v>
      </c>
      <c r="F22" s="101" t="s">
        <v>252</v>
      </c>
    </row>
    <row r="23" spans="1:6" x14ac:dyDescent="0.25">
      <c r="A23" s="115">
        <v>43463</v>
      </c>
      <c r="B23" s="96" t="s">
        <v>264</v>
      </c>
      <c r="C23" s="116" t="s">
        <v>265</v>
      </c>
      <c r="D23" s="116"/>
      <c r="E23" s="96" t="s">
        <v>266</v>
      </c>
      <c r="F23" s="116" t="s">
        <v>267</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50" t="s">
        <v>268</v>
      </c>
      <c r="B1" s="124"/>
      <c r="C1" s="124"/>
      <c r="D1" s="124"/>
      <c r="E1" s="124"/>
      <c r="F1" s="124"/>
      <c r="G1" s="124"/>
      <c r="H1" s="124"/>
      <c r="I1" s="124"/>
      <c r="J1" s="124"/>
      <c r="K1" s="124"/>
      <c r="L1" s="124"/>
      <c r="M1" s="124"/>
      <c r="N1" s="124"/>
    </row>
    <row r="2" spans="1:18" s="1" customFormat="1" ht="25.5" customHeight="1" x14ac:dyDescent="0.25">
      <c r="A2" s="3" t="s">
        <v>269</v>
      </c>
      <c r="B2" s="3" t="s">
        <v>270</v>
      </c>
      <c r="C2" s="3" t="s">
        <v>271</v>
      </c>
      <c r="D2" s="3" t="s">
        <v>272</v>
      </c>
      <c r="E2" s="3" t="s">
        <v>273</v>
      </c>
      <c r="F2" s="3" t="s">
        <v>274</v>
      </c>
      <c r="G2" s="3" t="s">
        <v>275</v>
      </c>
      <c r="H2" s="3" t="s">
        <v>16</v>
      </c>
      <c r="I2" s="3" t="s">
        <v>276</v>
      </c>
      <c r="J2" s="3" t="s">
        <v>277</v>
      </c>
      <c r="K2" s="3" t="s">
        <v>278</v>
      </c>
      <c r="L2" s="3" t="s">
        <v>279</v>
      </c>
      <c r="M2" s="3" t="s">
        <v>19</v>
      </c>
      <c r="N2" s="3" t="s">
        <v>280</v>
      </c>
      <c r="O2" s="9"/>
      <c r="P2" s="10" t="str">
        <f ca="1">Q2</f>
        <v>2019-03-29</v>
      </c>
      <c r="Q2" s="1" t="str">
        <f ca="1">[1]!td(R2-1)</f>
        <v>2019-03-29</v>
      </c>
      <c r="R2" s="9">
        <f ca="1">TODAY()</f>
        <v>43556</v>
      </c>
    </row>
    <row r="3" spans="1:18" ht="15.75" customHeight="1" x14ac:dyDescent="0.25">
      <c r="A3" s="4" t="str">
        <f>[1]!b_info_name(L3)</f>
        <v>19灵山SCP002</v>
      </c>
      <c r="B3" s="5" t="str">
        <f>[1]!b_issue_firstissue(L3)</f>
        <v>2019-04-02</v>
      </c>
      <c r="C3" s="4">
        <f>[1]!b_info_term(L3)</f>
        <v>0.57530000000000003</v>
      </c>
      <c r="D3" s="6" t="str">
        <f>[1]!issuerrating(L3)</f>
        <v>AA</v>
      </c>
      <c r="E3" s="6" t="str">
        <f>[1]!b_info_creditrating(L3)</f>
        <v>-</v>
      </c>
      <c r="F3" s="4" t="str">
        <f>[1]!b_rate_creditratingagency(L3)</f>
        <v>中诚信国际信用评级有限责任公司</v>
      </c>
      <c r="G3" s="7">
        <f>[1]!b_agency_guarantor(L3)</f>
        <v>0</v>
      </c>
      <c r="H3" s="8" t="s">
        <v>281</v>
      </c>
      <c r="I3" s="11"/>
      <c r="J3" s="12" t="s">
        <v>281</v>
      </c>
      <c r="K3" s="13"/>
      <c r="L3" s="75" t="str">
        <f>公式页!A2</f>
        <v>d19040109.IB</v>
      </c>
      <c r="M3" s="8" t="s">
        <v>281</v>
      </c>
      <c r="N3" s="4" t="str">
        <f>[1]!b_agency_leadunderwriter(L3)</f>
        <v>中国民生银行股份有限公司</v>
      </c>
      <c r="P3" s="2" t="str">
        <f t="shared" ref="P3:P29" ca="1" si="0">$P$2</f>
        <v>2019-03-29</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3.6463000000000001</v>
      </c>
      <c r="K4" s="13">
        <f>K3</f>
        <v>0</v>
      </c>
      <c r="L4" s="14" t="s">
        <v>282</v>
      </c>
      <c r="M4" s="8">
        <f>[1]!b_info_issueamount(L4)/100000000</f>
        <v>5</v>
      </c>
      <c r="N4" s="4" t="str">
        <f>[1]!b_agency_leadunderwriter(L4)</f>
        <v>上海浦东发展银行股份有限公司,中国国际金融股份有限公司</v>
      </c>
      <c r="P4" s="2" t="str">
        <f t="shared" ca="1" si="0"/>
        <v>2019-03-29</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2019-03-29</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2019-03-29</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2019-03-29</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2019-03-29</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2019-03-29</v>
      </c>
    </row>
    <row r="10" spans="1:18" x14ac:dyDescent="0.25">
      <c r="P10" s="2" t="str">
        <f t="shared" ca="1" si="0"/>
        <v>2019-03-29</v>
      </c>
    </row>
    <row r="11" spans="1:18" x14ac:dyDescent="0.25">
      <c r="P11" s="2" t="str">
        <f t="shared" ca="1" si="0"/>
        <v>2019-03-29</v>
      </c>
    </row>
    <row r="12" spans="1:18" x14ac:dyDescent="0.25">
      <c r="A12" s="150" t="s">
        <v>283</v>
      </c>
      <c r="B12" s="124"/>
      <c r="C12" s="124"/>
      <c r="D12" s="124"/>
      <c r="E12" s="124"/>
      <c r="F12" s="124"/>
      <c r="G12" s="124"/>
      <c r="H12" s="124"/>
      <c r="I12" s="124"/>
      <c r="J12" s="124"/>
      <c r="K12" s="124"/>
      <c r="L12" s="124"/>
      <c r="M12" s="124"/>
      <c r="N12" s="124"/>
      <c r="P12" s="2" t="str">
        <f t="shared" ca="1" si="0"/>
        <v>2019-03-29</v>
      </c>
    </row>
    <row r="13" spans="1:18" s="1" customFormat="1" ht="43.2" customHeight="1" x14ac:dyDescent="0.25">
      <c r="A13" s="3" t="s">
        <v>269</v>
      </c>
      <c r="B13" s="3" t="s">
        <v>270</v>
      </c>
      <c r="C13" s="3" t="s">
        <v>271</v>
      </c>
      <c r="D13" s="3" t="s">
        <v>272</v>
      </c>
      <c r="E13" s="3" t="s">
        <v>273</v>
      </c>
      <c r="F13" s="3" t="s">
        <v>274</v>
      </c>
      <c r="G13" s="3" t="s">
        <v>275</v>
      </c>
      <c r="H13" s="3" t="s">
        <v>16</v>
      </c>
      <c r="I13" s="3" t="s">
        <v>276</v>
      </c>
      <c r="J13" s="3" t="s">
        <v>277</v>
      </c>
      <c r="K13" s="3" t="s">
        <v>278</v>
      </c>
      <c r="L13" s="3" t="s">
        <v>279</v>
      </c>
      <c r="M13" s="3" t="s">
        <v>19</v>
      </c>
      <c r="N13" s="3" t="s">
        <v>280</v>
      </c>
      <c r="P13" s="2" t="str">
        <f t="shared" ca="1" si="0"/>
        <v>2019-03-29</v>
      </c>
    </row>
    <row r="14" spans="1:18" ht="15.75" customHeight="1" x14ac:dyDescent="0.25">
      <c r="A14" s="4" t="str">
        <f>[1]!b_info_name(L14)</f>
        <v>19灵山SCP002</v>
      </c>
      <c r="B14" s="5" t="str">
        <f>[1]!b_issue_firstissue(L14)</f>
        <v>2019-04-02</v>
      </c>
      <c r="C14" s="4">
        <f>[1]!b_info_term(L14)</f>
        <v>0.57530000000000003</v>
      </c>
      <c r="D14" s="6" t="str">
        <f>[1]!issuerrating(L14)</f>
        <v>AA</v>
      </c>
      <c r="E14" s="6" t="str">
        <f>[1]!b_info_creditrating(L14)</f>
        <v>-</v>
      </c>
      <c r="F14" s="4" t="str">
        <f>[1]!b_rate_creditratingagency(L14)</f>
        <v>中诚信国际信用评级有限责任公司</v>
      </c>
      <c r="G14" s="7">
        <f>[1]!b_agency_guarantor(L14)</f>
        <v>0</v>
      </c>
      <c r="H14" s="8" t="s">
        <v>281</v>
      </c>
      <c r="I14" s="11"/>
      <c r="J14" s="12" t="s">
        <v>281</v>
      </c>
      <c r="K14" s="13">
        <f>K3</f>
        <v>0</v>
      </c>
      <c r="L14" s="76" t="str">
        <f>L3</f>
        <v>d19040109.IB</v>
      </c>
      <c r="M14" s="8" t="s">
        <v>281</v>
      </c>
      <c r="N14" s="4" t="str">
        <f>[1]!b_agency_leadunderwriter(L14)</f>
        <v>中国民生银行股份有限公司</v>
      </c>
      <c r="P14" s="2" t="str">
        <f t="shared" ca="1" si="0"/>
        <v>2019-03-29</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284</v>
      </c>
      <c r="M15" s="8">
        <f>[1]!b_info_issueamount(L15)/100000000</f>
        <v>5</v>
      </c>
      <c r="N15" s="4" t="str">
        <f>[1]!b_agency_leadunderwriter(L15)</f>
        <v>招商银行股份有限公司</v>
      </c>
      <c r="O15" t="str">
        <f>[1]!b_issuer_windindustry(L15,4)</f>
        <v>西药</v>
      </c>
      <c r="P15" s="2" t="str">
        <f t="shared" ca="1" si="0"/>
        <v>2019-03-29</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285</v>
      </c>
      <c r="M16" s="8">
        <f>[1]!b_info_issueamount(L16)/100000000</f>
        <v>6</v>
      </c>
      <c r="N16" s="4" t="str">
        <f>[1]!b_agency_leadunderwriter(L16)</f>
        <v>北京银行股份有限公司</v>
      </c>
      <c r="O16" t="str">
        <f>[1]!b_issuer_windindustry(L16,4)</f>
        <v>化肥与农用化工</v>
      </c>
      <c r="P16" s="2" t="str">
        <f t="shared" ca="1" si="0"/>
        <v>2019-03-29</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286</v>
      </c>
      <c r="M17" s="8">
        <f>[1]!b_info_issueamount(L17)/100000000</f>
        <v>3.5</v>
      </c>
      <c r="N17" s="4" t="str">
        <f>[1]!b_agency_leadunderwriter(L17)</f>
        <v>华夏银行股份有限公司</v>
      </c>
      <c r="O17" t="str">
        <f>[1]!b_issuer_windindustry(L17,4)</f>
        <v>食品加工与肉类</v>
      </c>
      <c r="P17" s="2" t="str">
        <f t="shared" ca="1" si="0"/>
        <v>2019-03-29</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287</v>
      </c>
      <c r="M18" s="8">
        <f>[1]!b_info_issueamount(L18)/100000000</f>
        <v>3</v>
      </c>
      <c r="N18" s="4" t="str">
        <f>[1]!b_agency_leadunderwriter(L18)</f>
        <v>兴业银行股份有限公司</v>
      </c>
      <c r="O18" t="str">
        <f>[1]!b_issuer_windindustry(L18,4)</f>
        <v>工业机械</v>
      </c>
      <c r="P18" s="2" t="str">
        <f t="shared" ca="1" si="0"/>
        <v>2019-03-29</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288</v>
      </c>
      <c r="M19" s="8">
        <f>[1]!b_info_issueamount(L19)/100000000</f>
        <v>3</v>
      </c>
      <c r="N19" s="4" t="str">
        <f>[1]!b_agency_leadunderwriter(L19)</f>
        <v>中国银行股份有限公司</v>
      </c>
      <c r="O19" t="str">
        <f>[1]!b_issuer_windindustry(L19,4)</f>
        <v>半导体产品</v>
      </c>
      <c r="P19" s="2" t="str">
        <f t="shared" ca="1" si="0"/>
        <v>2019-03-29</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289</v>
      </c>
      <c r="M20" s="8">
        <f>[1]!b_info_issueamount(L20)/100000000</f>
        <v>5</v>
      </c>
      <c r="N20" s="4" t="str">
        <f>[1]!b_agency_leadunderwriter(L20)</f>
        <v>中国银行股份有限公司</v>
      </c>
      <c r="O20" t="str">
        <f>[1]!b_issuer_windindustry(L20,4)</f>
        <v>医疗保健用品</v>
      </c>
      <c r="P20" s="2" t="str">
        <f t="shared" ca="1" si="0"/>
        <v>2019-03-29</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290</v>
      </c>
      <c r="M21" s="8">
        <f>[1]!b_info_issueamount(L21)/100000000</f>
        <v>2</v>
      </c>
      <c r="N21" s="4" t="str">
        <f>[1]!b_agency_leadunderwriter(L21)</f>
        <v>中国银行股份有限公司</v>
      </c>
      <c r="O21" t="str">
        <f>[1]!b_issuer_windindustry(L21,4)</f>
        <v>食品加工与肉类</v>
      </c>
      <c r="P21" s="2" t="str">
        <f t="shared" ca="1" si="0"/>
        <v>2019-03-29</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291</v>
      </c>
      <c r="M22" s="8">
        <f>[1]!b_info_issueamount(L22)/100000000</f>
        <v>4</v>
      </c>
      <c r="N22" s="4" t="str">
        <f>[1]!b_agency_leadunderwriter(L22)</f>
        <v>中国工商银行股份有限公司</v>
      </c>
      <c r="O22" t="str">
        <f>[1]!b_issuer_windindustry(L22,4)</f>
        <v>酒店、度假村与豪华游轮</v>
      </c>
      <c r="P22" s="2" t="str">
        <f t="shared" ca="1" si="0"/>
        <v>2019-03-29</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292</v>
      </c>
      <c r="M23" s="8">
        <f>[1]!b_info_issueamount(L23)/100000000</f>
        <v>4</v>
      </c>
      <c r="N23" s="4" t="str">
        <f>[1]!b_agency_leadunderwriter(L23)</f>
        <v>中国银行股份有限公司</v>
      </c>
      <c r="O23" t="str">
        <f>[1]!b_issuer_windindustry(L23,4)</f>
        <v>金属非金属</v>
      </c>
      <c r="P23" s="2" t="str">
        <f t="shared" ca="1" si="0"/>
        <v>2019-03-29</v>
      </c>
    </row>
    <row r="24" spans="1:16" x14ac:dyDescent="0.25">
      <c r="P24" s="2" t="str">
        <f t="shared" ca="1" si="0"/>
        <v>2019-03-29</v>
      </c>
    </row>
    <row r="25" spans="1:16" x14ac:dyDescent="0.25">
      <c r="P25" s="2" t="str">
        <f t="shared" ca="1" si="0"/>
        <v>2019-03-29</v>
      </c>
    </row>
    <row r="26" spans="1:16" x14ac:dyDescent="0.25">
      <c r="P26" s="2" t="str">
        <f t="shared" ca="1" si="0"/>
        <v>2019-03-29</v>
      </c>
    </row>
    <row r="27" spans="1:16" x14ac:dyDescent="0.25">
      <c r="P27" s="2" t="str">
        <f t="shared" ca="1" si="0"/>
        <v>2019-03-29</v>
      </c>
    </row>
    <row r="28" spans="1:16" x14ac:dyDescent="0.25">
      <c r="P28" s="2" t="str">
        <f t="shared" ca="1" si="0"/>
        <v>2019-03-29</v>
      </c>
    </row>
    <row r="29" spans="1:16" x14ac:dyDescent="0.25">
      <c r="P29" s="2" t="str">
        <f t="shared" ca="1" si="0"/>
        <v>2019-03-29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2019-04-01T07:40:13Z</dcterms:modified>
</cp:coreProperties>
</file>