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2新券信评\"/>
    </mc:Choice>
  </mc:AlternateContent>
  <xr:revisionPtr revIDLastSave="0" documentId="13_ncr:1_{A68811F7-6ADC-4B5B-AD06-9007C93259A1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B5" i="6"/>
  <c r="E4" i="6"/>
  <c r="N3" i="6"/>
  <c r="D3" i="6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F5" i="6"/>
  <c r="A5" i="6"/>
  <c r="C4" i="6"/>
  <c r="C3" i="6"/>
  <c r="M22" i="6"/>
  <c r="G21" i="6"/>
  <c r="D20" i="6"/>
  <c r="A19" i="6"/>
  <c r="N17" i="6"/>
  <c r="H16" i="6"/>
  <c r="E15" i="6"/>
  <c r="D9" i="6"/>
  <c r="F8" i="6"/>
  <c r="F7" i="6"/>
  <c r="D6" i="6"/>
  <c r="E5" i="6"/>
  <c r="A4" i="6"/>
  <c r="A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O23" i="6"/>
  <c r="F21" i="6"/>
  <c r="C20" i="6"/>
  <c r="M17" i="6"/>
  <c r="G16" i="6"/>
  <c r="D15" i="6"/>
  <c r="A9" i="6"/>
  <c r="A8" i="6"/>
  <c r="C7" i="6"/>
  <c r="C6" i="6"/>
  <c r="D5" i="6"/>
  <c r="G4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E23" i="6"/>
  <c r="O20" i="6"/>
  <c r="F18" i="6"/>
  <c r="M7" i="6"/>
  <c r="G3" i="6"/>
  <c r="S141" i="1"/>
  <c r="S137" i="1"/>
  <c r="O134" i="1"/>
  <c r="S131" i="1"/>
  <c r="O128" i="1"/>
  <c r="M121" i="1"/>
  <c r="M119" i="1"/>
  <c r="M117" i="1"/>
  <c r="F112" i="1"/>
  <c r="M109" i="1"/>
  <c r="M103" i="1"/>
  <c r="B102" i="1"/>
  <c r="J101" i="1"/>
  <c r="Q100" i="1"/>
  <c r="F100" i="1"/>
  <c r="O99" i="1"/>
  <c r="D99" i="1"/>
  <c r="M98" i="1"/>
  <c r="B98" i="1"/>
  <c r="J97" i="1"/>
  <c r="Q96" i="1"/>
  <c r="F96" i="1"/>
  <c r="D95" i="1"/>
  <c r="B94" i="1"/>
  <c r="F92" i="1"/>
  <c r="D91" i="1"/>
  <c r="B90" i="1"/>
  <c r="F88" i="1"/>
  <c r="D87" i="1"/>
  <c r="B86" i="1"/>
  <c r="F84" i="1"/>
  <c r="D83" i="1"/>
  <c r="B82" i="1"/>
  <c r="F80" i="1"/>
  <c r="D79" i="1"/>
  <c r="B78" i="1"/>
  <c r="F76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F36" i="1"/>
  <c r="D35" i="1"/>
  <c r="C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Q16" i="1"/>
  <c r="E16" i="1"/>
  <c r="R15" i="1"/>
  <c r="N15" i="1"/>
  <c r="G15" i="1"/>
  <c r="C15" i="1"/>
  <c r="E14" i="1"/>
  <c r="F11" i="1"/>
  <c r="F9" i="1"/>
  <c r="F7" i="1"/>
  <c r="B5" i="1"/>
  <c r="B22" i="6"/>
  <c r="C17" i="6"/>
  <c r="M6" i="6"/>
  <c r="B4" i="6"/>
  <c r="S139" i="1"/>
  <c r="M133" i="1"/>
  <c r="M129" i="1"/>
  <c r="M120" i="1"/>
  <c r="M116" i="1"/>
  <c r="F110" i="1"/>
  <c r="F102" i="1"/>
  <c r="O101" i="1"/>
  <c r="M100" i="1"/>
  <c r="J99" i="1"/>
  <c r="F98" i="1"/>
  <c r="O97" i="1"/>
  <c r="M96" i="1"/>
  <c r="B96" i="1"/>
  <c r="D93" i="1"/>
  <c r="F90" i="1"/>
  <c r="B88" i="1"/>
  <c r="D85" i="1"/>
  <c r="F82" i="1"/>
  <c r="B80" i="1"/>
  <c r="D77" i="1"/>
  <c r="F74" i="1"/>
  <c r="B72" i="1"/>
  <c r="D69" i="1"/>
  <c r="F66" i="1"/>
  <c r="B64" i="1"/>
  <c r="F62" i="1"/>
  <c r="B60" i="1"/>
  <c r="D57" i="1"/>
  <c r="F54" i="1"/>
  <c r="B52" i="1"/>
  <c r="F50" i="1"/>
  <c r="B48" i="1"/>
  <c r="D45" i="1"/>
  <c r="F42" i="1"/>
  <c r="B40" i="1"/>
  <c r="D37" i="1"/>
  <c r="F34" i="1"/>
  <c r="B33" i="1"/>
  <c r="F31" i="1"/>
  <c r="B31" i="1"/>
  <c r="Q29" i="1"/>
  <c r="D23" i="6"/>
  <c r="N20" i="6"/>
  <c r="E18" i="6"/>
  <c r="O15" i="6"/>
  <c r="F4" i="6"/>
  <c r="E3" i="6"/>
  <c r="M140" i="1"/>
  <c r="M136" i="1"/>
  <c r="O133" i="1"/>
  <c r="O129" i="1"/>
  <c r="S111" i="1"/>
  <c r="D109" i="1"/>
  <c r="R103" i="1"/>
  <c r="G102" i="1"/>
  <c r="P101" i="1"/>
  <c r="E101" i="1"/>
  <c r="N100" i="1"/>
  <c r="C100" i="1"/>
  <c r="L99" i="1"/>
  <c r="R98" i="1"/>
  <c r="G98" i="1"/>
  <c r="P97" i="1"/>
  <c r="E97" i="1"/>
  <c r="N96" i="1"/>
  <c r="C96" i="1"/>
  <c r="G94" i="1"/>
  <c r="E93" i="1"/>
  <c r="C92" i="1"/>
  <c r="G90" i="1"/>
  <c r="E89" i="1"/>
  <c r="C88" i="1"/>
  <c r="G86" i="1"/>
  <c r="E85" i="1"/>
  <c r="C84" i="1"/>
  <c r="G82" i="1"/>
  <c r="E81" i="1"/>
  <c r="C80" i="1"/>
  <c r="G78" i="1"/>
  <c r="E77" i="1"/>
  <c r="C76" i="1"/>
  <c r="G74" i="1"/>
  <c r="E73" i="1"/>
  <c r="C72" i="1"/>
  <c r="G70" i="1"/>
  <c r="E69" i="1"/>
  <c r="C68" i="1"/>
  <c r="G66" i="1"/>
  <c r="E65" i="1"/>
  <c r="C64" i="1"/>
  <c r="G62" i="1"/>
  <c r="E61" i="1"/>
  <c r="C60" i="1"/>
  <c r="G58" i="1"/>
  <c r="E57" i="1"/>
  <c r="C56" i="1"/>
  <c r="G54" i="1"/>
  <c r="E53" i="1"/>
  <c r="C52" i="1"/>
  <c r="G50" i="1"/>
  <c r="E49" i="1"/>
  <c r="C48" i="1"/>
  <c r="G46" i="1"/>
  <c r="E45" i="1"/>
  <c r="C44" i="1"/>
  <c r="G42" i="1"/>
  <c r="E41" i="1"/>
  <c r="C40" i="1"/>
  <c r="G38" i="1"/>
  <c r="E37" i="1"/>
  <c r="C36" i="1"/>
  <c r="G34" i="1"/>
  <c r="B34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J16" i="1"/>
  <c r="D16" i="1"/>
  <c r="Q15" i="1"/>
  <c r="M15" i="1"/>
  <c r="F15" i="1"/>
  <c r="B15" i="1"/>
  <c r="D14" i="1"/>
  <c r="B11" i="1"/>
  <c r="B9" i="1"/>
  <c r="B7" i="1"/>
  <c r="E4" i="1"/>
  <c r="S135" i="1"/>
  <c r="S127" i="1"/>
  <c r="M118" i="1"/>
  <c r="M111" i="1"/>
  <c r="Q103" i="1"/>
  <c r="D101" i="1"/>
  <c r="B100" i="1"/>
  <c r="Q98" i="1"/>
  <c r="D97" i="1"/>
  <c r="F94" i="1"/>
  <c r="B92" i="1"/>
  <c r="D89" i="1"/>
  <c r="F86" i="1"/>
  <c r="B84" i="1"/>
  <c r="D81" i="1"/>
  <c r="F78" i="1"/>
  <c r="B76" i="1"/>
  <c r="D73" i="1"/>
  <c r="F70" i="1"/>
  <c r="B68" i="1"/>
  <c r="D65" i="1"/>
  <c r="D61" i="1"/>
  <c r="F58" i="1"/>
  <c r="B56" i="1"/>
  <c r="D53" i="1"/>
  <c r="D49" i="1"/>
  <c r="F46" i="1"/>
  <c r="B44" i="1"/>
  <c r="D41" i="1"/>
  <c r="F38" i="1"/>
  <c r="B36" i="1"/>
  <c r="F33" i="1"/>
  <c r="D32" i="1"/>
  <c r="D30" i="1"/>
  <c r="A22" i="6"/>
  <c r="G14" i="6"/>
  <c r="M132" i="1"/>
  <c r="R100" i="1"/>
  <c r="N98" i="1"/>
  <c r="G96" i="1"/>
  <c r="E91" i="1"/>
  <c r="C86" i="1"/>
  <c r="G80" i="1"/>
  <c r="E75" i="1"/>
  <c r="C70" i="1"/>
  <c r="G64" i="1"/>
  <c r="E59" i="1"/>
  <c r="C54" i="1"/>
  <c r="G48" i="1"/>
  <c r="E43" i="1"/>
  <c r="C38" i="1"/>
  <c r="E33" i="1"/>
  <c r="G30" i="1"/>
  <c r="L29" i="1"/>
  <c r="R28" i="1"/>
  <c r="G28" i="1"/>
  <c r="P27" i="1"/>
  <c r="E27" i="1"/>
  <c r="N26" i="1"/>
  <c r="C26" i="1"/>
  <c r="L25" i="1"/>
  <c r="R24" i="1"/>
  <c r="G24" i="1"/>
  <c r="P23" i="1"/>
  <c r="E23" i="1"/>
  <c r="C22" i="1"/>
  <c r="L21" i="1"/>
  <c r="R20" i="1"/>
  <c r="G20" i="1"/>
  <c r="P19" i="1"/>
  <c r="E19" i="1"/>
  <c r="C18" i="1"/>
  <c r="L17" i="1"/>
  <c r="R16" i="1"/>
  <c r="B16" i="1"/>
  <c r="J15" i="1"/>
  <c r="F14" i="1"/>
  <c r="B10" i="1"/>
  <c r="E5" i="1"/>
  <c r="H19" i="6"/>
  <c r="D111" i="1"/>
  <c r="G100" i="1"/>
  <c r="C98" i="1"/>
  <c r="C90" i="1"/>
  <c r="E79" i="1"/>
  <c r="G68" i="1"/>
  <c r="C58" i="1"/>
  <c r="E47" i="1"/>
  <c r="G36" i="1"/>
  <c r="C30" i="1"/>
  <c r="O28" i="1"/>
  <c r="M27" i="1"/>
  <c r="J26" i="1"/>
  <c r="F25" i="1"/>
  <c r="D24" i="1"/>
  <c r="B23" i="1"/>
  <c r="F21" i="1"/>
  <c r="O20" i="1"/>
  <c r="M19" i="1"/>
  <c r="F17" i="1"/>
  <c r="P15" i="1"/>
  <c r="C14" i="1"/>
  <c r="B4" i="1"/>
  <c r="B17" i="6"/>
  <c r="M138" i="1"/>
  <c r="S109" i="1"/>
  <c r="P99" i="1"/>
  <c r="C94" i="1"/>
  <c r="E83" i="1"/>
  <c r="G72" i="1"/>
  <c r="C62" i="1"/>
  <c r="E51" i="1"/>
  <c r="G40" i="1"/>
  <c r="C32" i="1"/>
  <c r="E29" i="1"/>
  <c r="C28" i="1"/>
  <c r="R26" i="1"/>
  <c r="G26" i="1"/>
  <c r="E25" i="1"/>
  <c r="C24" i="1"/>
  <c r="G22" i="1"/>
  <c r="E21" i="1"/>
  <c r="C20" i="1"/>
  <c r="G18" i="1"/>
  <c r="E17" i="1"/>
  <c r="O15" i="1"/>
  <c r="B14" i="1"/>
  <c r="L101" i="1"/>
  <c r="R96" i="1"/>
  <c r="C82" i="1"/>
  <c r="G76" i="1"/>
  <c r="G60" i="1"/>
  <c r="C50" i="1"/>
  <c r="G44" i="1"/>
  <c r="D34" i="1"/>
  <c r="M29" i="1"/>
  <c r="Q27" i="1"/>
  <c r="O26" i="1"/>
  <c r="M25" i="1"/>
  <c r="J24" i="1"/>
  <c r="D22" i="1"/>
  <c r="B21" i="1"/>
  <c r="Q19" i="1"/>
  <c r="D18" i="1"/>
  <c r="B17" i="1"/>
  <c r="L15" i="1"/>
  <c r="G14" i="1"/>
  <c r="B6" i="1"/>
  <c r="M130" i="1"/>
  <c r="N103" i="1"/>
  <c r="E95" i="1"/>
  <c r="G84" i="1"/>
  <c r="C74" i="1"/>
  <c r="E63" i="1"/>
  <c r="G52" i="1"/>
  <c r="C42" i="1"/>
  <c r="G32" i="1"/>
  <c r="F29" i="1"/>
  <c r="D28" i="1"/>
  <c r="B27" i="1"/>
  <c r="Q25" i="1"/>
  <c r="O24" i="1"/>
  <c r="M23" i="1"/>
  <c r="Q21" i="1"/>
  <c r="D20" i="1"/>
  <c r="B19" i="1"/>
  <c r="Q17" i="1"/>
  <c r="G16" i="1"/>
  <c r="E15" i="1"/>
  <c r="F8" i="1"/>
  <c r="S128" i="1"/>
  <c r="C102" i="1"/>
  <c r="L97" i="1"/>
  <c r="G88" i="1"/>
  <c r="C78" i="1"/>
  <c r="E67" i="1"/>
  <c r="G56" i="1"/>
  <c r="C46" i="1"/>
  <c r="E35" i="1"/>
  <c r="P29" i="1"/>
  <c r="N28" i="1"/>
  <c r="L27" i="1"/>
  <c r="P25" i="1"/>
  <c r="N24" i="1"/>
  <c r="L23" i="1"/>
  <c r="P21" i="1"/>
  <c r="N20" i="1"/>
  <c r="L19" i="1"/>
  <c r="P17" i="1"/>
  <c r="F16" i="1"/>
  <c r="D15" i="1"/>
  <c r="B8" i="1"/>
  <c r="M4" i="6"/>
  <c r="S134" i="1"/>
  <c r="E99" i="1"/>
  <c r="G92" i="1"/>
  <c r="E87" i="1"/>
  <c r="E71" i="1"/>
  <c r="C66" i="1"/>
  <c r="E55" i="1"/>
  <c r="E39" i="1"/>
  <c r="E31" i="1"/>
  <c r="B29" i="1"/>
  <c r="J28" i="1"/>
  <c r="F27" i="1"/>
  <c r="D26" i="1"/>
  <c r="B25" i="1"/>
  <c r="Q23" i="1"/>
  <c r="F23" i="1"/>
  <c r="M21" i="1"/>
  <c r="J20" i="1"/>
  <c r="F19" i="1"/>
  <c r="M17" i="1"/>
  <c r="C16" i="1"/>
  <c r="F10" i="1"/>
  <c r="H124" i="1" l="1"/>
  <c r="H118" i="1"/>
  <c r="B120" i="1"/>
  <c r="R22" i="1"/>
  <c r="H109" i="1"/>
  <c r="B128" i="1"/>
  <c r="B122" i="1"/>
  <c r="B111" i="1"/>
  <c r="H117" i="1"/>
  <c r="H125" i="1"/>
  <c r="N22" i="1"/>
  <c r="H111" i="1"/>
  <c r="D119" i="1"/>
  <c r="D123" i="1"/>
  <c r="B126" i="1"/>
  <c r="B130" i="1"/>
  <c r="M22" i="1"/>
  <c r="B112" i="1"/>
  <c r="B119" i="1"/>
  <c r="B123" i="1"/>
  <c r="H129" i="1"/>
  <c r="Q22" i="1"/>
  <c r="B109" i="1"/>
  <c r="D118" i="1"/>
  <c r="H121" i="1"/>
  <c r="D124" i="1"/>
  <c r="H127" i="1"/>
  <c r="H131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26" i="6"/>
  <c r="P22" i="6"/>
  <c r="P14" i="6"/>
  <c r="P23" i="6"/>
  <c r="P13" i="6"/>
  <c r="P18" i="6"/>
  <c r="P12" i="6"/>
  <c r="P15" i="6"/>
  <c r="P4" i="6"/>
  <c r="J8" i="6"/>
  <c r="J16" i="6"/>
  <c r="J19" i="6"/>
  <c r="J9" i="6"/>
  <c r="J22" i="6"/>
  <c r="J7" i="6"/>
  <c r="J17" i="6"/>
  <c r="J23" i="6"/>
  <c r="J5" i="6"/>
  <c r="J18" i="6"/>
  <c r="J21" i="6"/>
  <c r="J15" i="6"/>
  <c r="J6" i="6"/>
  <c r="J20" i="6"/>
</calcChain>
</file>

<file path=xl/sharedStrings.xml><?xml version="1.0" encoding="utf-8"?>
<sst xmlns="http://schemas.openxmlformats.org/spreadsheetml/2006/main" count="898" uniqueCount="540">
  <si>
    <t>q19032905.IB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</si>
  <si>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</si>
  <si>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</si>
  <si>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</si>
  <si>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</si>
  <si>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</si>
  <si>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</si>
  <si>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</si>
  <si>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</si>
  <si>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</si>
  <si>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</si>
  <si>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</si>
  <si>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</si>
  <si>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</si>
  <si>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</si>
  <si>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</si>
  <si>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</si>
  <si>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</si>
  <si>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</si>
  <si>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</si>
  <si>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</si>
  <si>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</si>
  <si>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</si>
  <si>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041454046.IB</t>
  </si>
  <si>
    <t>主体级别</t>
  </si>
  <si>
    <t>AAA</t>
  </si>
  <si>
    <t>1282311.IB</t>
  </si>
  <si>
    <t>*选择性黏贴</t>
  </si>
  <si>
    <t>122273.SH</t>
  </si>
  <si>
    <t>数据年度</t>
  </si>
  <si>
    <t>2017年</t>
  </si>
  <si>
    <t>101353013.IB</t>
  </si>
  <si>
    <t>总资产</t>
  </si>
  <si>
    <t>041372006.IB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</si>
  <si>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</si>
  <si>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</si>
  <si>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</si>
  <si>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</si>
  <si>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</si>
  <si>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</si>
  <si>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</si>
  <si>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</si>
  <si>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</si>
  <si>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</si>
  <si>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</si>
  <si>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</si>
  <si>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</si>
  <si>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</si>
  <si>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</si>
  <si>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</si>
  <si>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</si>
  <si>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</si>
  <si>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</si>
  <si>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</si>
  <si>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</si>
  <si>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</si>
  <si>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</si>
  <si>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</si>
  <si>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</si>
  <si>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</si>
  <si>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</si>
  <si>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</si>
  <si>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</si>
  <si>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</si>
  <si>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</si>
  <si>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</si>
  <si>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</si>
  <si>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</si>
  <si>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</si>
  <si>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</si>
  <si>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</si>
  <si>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</si>
  <si>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</si>
  <si>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</si>
  <si>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</si>
  <si>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</si>
  <si>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</si>
  <si>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</si>
  <si>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</si>
  <si>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</si>
  <si>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</si>
  <si>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</si>
  <si>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</si>
  <si>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</si>
  <si>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</si>
  <si>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</si>
  <si>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</si>
  <si>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</si>
  <si>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</si>
  <si>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</si>
  <si>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</si>
  <si>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</si>
  <si>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</si>
  <si>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</si>
  <si>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</si>
  <si>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</si>
  <si>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</si>
  <si>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</si>
  <si>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</si>
  <si>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</si>
  <si>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</si>
  <si>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</si>
  <si>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</si>
  <si>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</si>
  <si>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</si>
  <si>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</si>
  <si>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</si>
  <si>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</si>
  <si>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</si>
  <si>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</si>
  <si>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</si>
  <si>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</si>
  <si>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</si>
  <si>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</si>
  <si>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</si>
  <si>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</si>
  <si>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</si>
  <si>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</si>
  <si>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</si>
  <si>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101900438.IB</t>
  </si>
  <si>
    <t>20190327</t>
  </si>
  <si>
    <t>19鲁黄金MTN002</t>
  </si>
  <si>
    <t>101900422.IB</t>
  </si>
  <si>
    <t>20190325</t>
  </si>
  <si>
    <t>19鲁黄金MTN001</t>
  </si>
  <si>
    <t>011900626.IB</t>
  </si>
  <si>
    <t>20190314</t>
  </si>
  <si>
    <t>19鲁黄金SCP005</t>
  </si>
  <si>
    <t>011900522.IB</t>
  </si>
  <si>
    <t>20190306</t>
  </si>
  <si>
    <t>19鲁黄金SCP003</t>
  </si>
  <si>
    <t>011900502.IB</t>
  </si>
  <si>
    <t>20190304</t>
  </si>
  <si>
    <t>19鲁黄金SCP002</t>
  </si>
  <si>
    <t>011900465.IB</t>
  </si>
  <si>
    <t>20190227</t>
  </si>
  <si>
    <t>19鲁黄金SCP001</t>
  </si>
  <si>
    <t>011802524.IB</t>
  </si>
  <si>
    <t>20181218</t>
  </si>
  <si>
    <t>18鲁黄金SCP023</t>
  </si>
  <si>
    <t>011802456.IB</t>
  </si>
  <si>
    <t>20181211</t>
  </si>
  <si>
    <t>18鲁黄金SCP022</t>
  </si>
  <si>
    <t>011802408.IB</t>
  </si>
  <si>
    <t>20181205</t>
  </si>
  <si>
    <t>18鲁黄金SCP021</t>
  </si>
  <si>
    <t>011802279.IB</t>
  </si>
  <si>
    <t>20181121</t>
  </si>
  <si>
    <t>18鲁黄金SCP020</t>
  </si>
  <si>
    <t>011802198.IB</t>
  </si>
  <si>
    <t>20181114</t>
  </si>
  <si>
    <t>18鲁黄金SCP019</t>
  </si>
  <si>
    <t>011802188.IB</t>
  </si>
  <si>
    <t>20181113</t>
  </si>
  <si>
    <t>18鲁黄金SCP018</t>
  </si>
  <si>
    <t>011802108.IB</t>
  </si>
  <si>
    <t>20181031</t>
  </si>
  <si>
    <t>18鲁黄金SCP017</t>
  </si>
  <si>
    <t>011801920.IB</t>
  </si>
  <si>
    <t>20181010</t>
  </si>
  <si>
    <t>18鲁黄金SCP016</t>
  </si>
  <si>
    <t>011801769.IB</t>
  </si>
  <si>
    <t>20180907</t>
  </si>
  <si>
    <t>18鲁黄金SCP015</t>
  </si>
  <si>
    <t>011801628.IB</t>
  </si>
  <si>
    <t>20180822</t>
  </si>
  <si>
    <t>18鲁黄金SCP014</t>
  </si>
  <si>
    <t>031800471.IB</t>
  </si>
  <si>
    <t>20180816</t>
  </si>
  <si>
    <t>18鲁黄金PPN003</t>
  </si>
  <si>
    <t>011801359.IB</t>
  </si>
  <si>
    <t>20180720</t>
  </si>
  <si>
    <t>18鲁黄金SCP013</t>
  </si>
  <si>
    <t>011801303.IB</t>
  </si>
  <si>
    <t>20180716</t>
  </si>
  <si>
    <t>18鲁黄金SCP012</t>
  </si>
  <si>
    <t>011801228.IB</t>
  </si>
  <si>
    <t>20180703</t>
  </si>
  <si>
    <t>18鲁黄金SCP011</t>
  </si>
  <si>
    <t>011801160.IB</t>
  </si>
  <si>
    <t>20180621</t>
  </si>
  <si>
    <t>18鲁黄金SCP010</t>
  </si>
  <si>
    <t>011801144.IB</t>
  </si>
  <si>
    <t>20180619</t>
  </si>
  <si>
    <t>18鲁黄金SCP009</t>
  </si>
  <si>
    <t>031800345.IB</t>
  </si>
  <si>
    <t>20180531</t>
  </si>
  <si>
    <t>18鲁黄金PPN002</t>
  </si>
  <si>
    <t>011801023.IB</t>
  </si>
  <si>
    <t>20180529</t>
  </si>
  <si>
    <t>18鲁黄金SCP008</t>
  </si>
  <si>
    <t>011800970.IB</t>
  </si>
  <si>
    <t>20180521</t>
  </si>
  <si>
    <t>18鲁黄金SCP007</t>
  </si>
  <si>
    <t>011800933.IB</t>
  </si>
  <si>
    <t>20180514</t>
  </si>
  <si>
    <t>18鲁黄金SCP006</t>
  </si>
  <si>
    <t>011800784.IB</t>
  </si>
  <si>
    <t>20180419</t>
  </si>
  <si>
    <t>18鲁黄金SCP005</t>
  </si>
  <si>
    <t>011800628.IB</t>
  </si>
  <si>
    <t>20180409</t>
  </si>
  <si>
    <t>18鲁黄金SCP004</t>
  </si>
  <si>
    <t>011800626.IB</t>
  </si>
  <si>
    <t>20180403</t>
  </si>
  <si>
    <t>18鲁黄金SCP003</t>
  </si>
  <si>
    <t>031800201.IB</t>
  </si>
  <si>
    <t>20180329</t>
  </si>
  <si>
    <t>18鲁黄金PPN001</t>
  </si>
  <si>
    <t>011800555.IB</t>
  </si>
  <si>
    <t>20180326</t>
  </si>
  <si>
    <t>18鲁黄金SCP002</t>
  </si>
  <si>
    <t>011800274.IB</t>
  </si>
  <si>
    <t>20180226</t>
  </si>
  <si>
    <t>18鲁黄金SCP001</t>
  </si>
  <si>
    <t>011760172.IB</t>
  </si>
  <si>
    <t>20171120</t>
  </si>
  <si>
    <t>17鲁黄金SCP011</t>
  </si>
  <si>
    <t>011766030.IB</t>
  </si>
  <si>
    <t>20171101</t>
  </si>
  <si>
    <t>17鲁黄金SCP010</t>
  </si>
  <si>
    <t>011765005.IB</t>
  </si>
  <si>
    <t>20171031</t>
  </si>
  <si>
    <t>17鲁黄金SCP009</t>
  </si>
  <si>
    <t>145712.SH</t>
  </si>
  <si>
    <t>20170814</t>
  </si>
  <si>
    <t>17山金Y2</t>
  </si>
  <si>
    <t>011752049.IB</t>
  </si>
  <si>
    <t>20170802</t>
  </si>
  <si>
    <t>17鲁黄金SCP008</t>
  </si>
  <si>
    <t>011759062.IB</t>
  </si>
  <si>
    <t>20170726</t>
  </si>
  <si>
    <t>17鲁黄金SCP007</t>
  </si>
  <si>
    <t>011762053.IB</t>
  </si>
  <si>
    <t>20170724</t>
  </si>
  <si>
    <t>17鲁黄金SCP006</t>
  </si>
  <si>
    <t>011769026.IB</t>
  </si>
  <si>
    <t>20170719</t>
  </si>
  <si>
    <t>17鲁黄金SCP005BC</t>
  </si>
  <si>
    <t>145652.SH</t>
  </si>
  <si>
    <t>20170718</t>
  </si>
  <si>
    <t>17山金Y1</t>
  </si>
  <si>
    <t>011767012.IB</t>
  </si>
  <si>
    <t>20170714</t>
  </si>
  <si>
    <t>17鲁黄金SCP004</t>
  </si>
  <si>
    <t>011760075.IB</t>
  </si>
  <si>
    <t>20170615</t>
  </si>
  <si>
    <t>17鲁黄金SCP003</t>
  </si>
  <si>
    <t>011764052.IB</t>
  </si>
  <si>
    <t>20170608</t>
  </si>
  <si>
    <t>17鲁黄金SCP002</t>
  </si>
  <si>
    <t>011751033.IB</t>
  </si>
  <si>
    <t>20170418</t>
  </si>
  <si>
    <t>17鲁黄金SCP001</t>
  </si>
  <si>
    <t>011698792.IB</t>
  </si>
  <si>
    <t>20161111</t>
  </si>
  <si>
    <t>16鲁黄金SCP016</t>
  </si>
  <si>
    <t>011698767.IB</t>
  </si>
  <si>
    <t>20161108</t>
  </si>
  <si>
    <t>16鲁黄金SCP015</t>
  </si>
  <si>
    <t>011698755.IB</t>
  </si>
  <si>
    <t>20161104</t>
  </si>
  <si>
    <t>16鲁黄金SCP014</t>
  </si>
  <si>
    <t>011698745.IB</t>
  </si>
  <si>
    <t>20161101</t>
  </si>
  <si>
    <t>16鲁黄金SCP013</t>
  </si>
  <si>
    <t>011698661.IB</t>
  </si>
  <si>
    <t>20161025</t>
  </si>
  <si>
    <t>16鲁黄金SCP012</t>
  </si>
  <si>
    <t>145038.SH</t>
  </si>
  <si>
    <t>20161017</t>
  </si>
  <si>
    <t>16山金02</t>
  </si>
  <si>
    <t>145020.SH</t>
  </si>
  <si>
    <t>20160927</t>
  </si>
  <si>
    <t>16山金01</t>
  </si>
  <si>
    <t>011698397.IB</t>
  </si>
  <si>
    <t>20160830</t>
  </si>
  <si>
    <t>16鲁黄金SCP011</t>
  </si>
  <si>
    <t>011698092.IB</t>
  </si>
  <si>
    <t>20160713</t>
  </si>
  <si>
    <t>16鲁黄金SCP010</t>
  </si>
  <si>
    <t>011698060.IB</t>
  </si>
  <si>
    <t>20160707</t>
  </si>
  <si>
    <t>16鲁黄金SCP009</t>
  </si>
  <si>
    <t>011699957.IB</t>
  </si>
  <si>
    <t>20160615</t>
  </si>
  <si>
    <t>16鲁黄金集SCP008</t>
  </si>
  <si>
    <t>011699904.IB</t>
  </si>
  <si>
    <t>20160606</t>
  </si>
  <si>
    <t>16鲁黄金集SCP007</t>
  </si>
  <si>
    <t>011699806.IB</t>
  </si>
  <si>
    <t>20160518</t>
  </si>
  <si>
    <t>16鲁黄金SCP006</t>
  </si>
  <si>
    <t>031658015.IB</t>
  </si>
  <si>
    <t>20160407</t>
  </si>
  <si>
    <t>16鲁黄金PPN001</t>
  </si>
  <si>
    <t>011699410.IB</t>
  </si>
  <si>
    <t>20160310</t>
  </si>
  <si>
    <t>16鲁黄金SCP005</t>
  </si>
  <si>
    <t>011699375.IB</t>
  </si>
  <si>
    <t>20160308</t>
  </si>
  <si>
    <t>16鲁黄金SCP004</t>
  </si>
  <si>
    <t>011699269.IB</t>
  </si>
  <si>
    <t>20160224</t>
  </si>
  <si>
    <t>16鲁黄金集SCP003</t>
  </si>
  <si>
    <t>011699211.IB</t>
  </si>
  <si>
    <t>20160204</t>
  </si>
  <si>
    <t>16鲁黄金集SCP002</t>
  </si>
  <si>
    <t>011699131.IB</t>
  </si>
  <si>
    <t>20160120</t>
  </si>
  <si>
    <t>16鲁黄金集SCP001</t>
  </si>
  <si>
    <t>011599985.IB</t>
  </si>
  <si>
    <t>20151209</t>
  </si>
  <si>
    <t>15鲁黄金SCP019</t>
  </si>
  <si>
    <t>031558039.IB</t>
  </si>
  <si>
    <t>20151202</t>
  </si>
  <si>
    <t>15鲁黄金PPN001</t>
  </si>
  <si>
    <t>011599700.IB</t>
  </si>
  <si>
    <t>20151014</t>
  </si>
  <si>
    <t>15鲁黄金SCP018</t>
  </si>
  <si>
    <t>011599654.IB</t>
  </si>
  <si>
    <t>20150914</t>
  </si>
  <si>
    <t>15鲁黄金SCP017</t>
  </si>
  <si>
    <t>011599624.IB</t>
  </si>
  <si>
    <t>20150906</t>
  </si>
  <si>
    <t>15鲁黄金SCP016</t>
  </si>
  <si>
    <t>011599605.IB</t>
  </si>
  <si>
    <t>20150826</t>
  </si>
  <si>
    <t>15鲁黄金SCP015</t>
  </si>
  <si>
    <t>011599588.IB</t>
  </si>
  <si>
    <t>20150821</t>
  </si>
  <si>
    <t>15鲁黄金SCP014</t>
  </si>
  <si>
    <t>011599570.IB</t>
  </si>
  <si>
    <t>20150818</t>
  </si>
  <si>
    <t>15鲁黄金SCP013</t>
  </si>
  <si>
    <t>011599554.IB</t>
  </si>
  <si>
    <t>20150814</t>
  </si>
  <si>
    <t>15鲁黄金SCP012</t>
  </si>
  <si>
    <t>011599538.IB</t>
  </si>
  <si>
    <t>20150812</t>
  </si>
  <si>
    <t>15鲁黄金SCP011</t>
  </si>
  <si>
    <t>011599529.IB</t>
  </si>
  <si>
    <t>20150810</t>
  </si>
  <si>
    <t>15鲁黄金SCP010</t>
  </si>
  <si>
    <t>011599501.IB</t>
  </si>
  <si>
    <t>20150806</t>
  </si>
  <si>
    <t>15鲁黄金SCP009</t>
  </si>
  <si>
    <t>011599499.IB</t>
  </si>
  <si>
    <t>20150730</t>
  </si>
  <si>
    <t>15鲁黄金SCP008</t>
  </si>
  <si>
    <t>011599491.IB</t>
  </si>
  <si>
    <t>20150724</t>
  </si>
  <si>
    <t>15鲁黄金SCP007</t>
  </si>
  <si>
    <t>011599475.IB</t>
  </si>
  <si>
    <t>20150721</t>
  </si>
  <si>
    <t>15鲁黄金SCP006</t>
  </si>
  <si>
    <t>101560038.IB</t>
  </si>
  <si>
    <t>20150715</t>
  </si>
  <si>
    <t>15鲁黄金MTN001</t>
  </si>
  <si>
    <t>011599339.IB</t>
  </si>
  <si>
    <t>20150609</t>
  </si>
  <si>
    <t>15鲁黄金SCP005</t>
  </si>
  <si>
    <t>011599327.IB</t>
  </si>
  <si>
    <t>20150608</t>
  </si>
  <si>
    <t>15鲁黄金SCP004</t>
  </si>
  <si>
    <t>011599319.IB</t>
  </si>
  <si>
    <t>20150605</t>
  </si>
  <si>
    <t>15鲁黄金SCP003</t>
  </si>
  <si>
    <t>011599223.IB</t>
  </si>
  <si>
    <t>20150428</t>
  </si>
  <si>
    <t>15鲁黄金SCP002</t>
  </si>
  <si>
    <t>011599158.IB</t>
  </si>
  <si>
    <t>20150408</t>
  </si>
  <si>
    <t>15鲁黄金SCP001</t>
  </si>
  <si>
    <t>122284.SH</t>
  </si>
  <si>
    <t>20150330</t>
  </si>
  <si>
    <t>13鲁金02</t>
  </si>
  <si>
    <t>011499070.IB</t>
  </si>
  <si>
    <t>20141128</t>
  </si>
  <si>
    <t>14鲁黄金SCP001</t>
  </si>
  <si>
    <t>101460043.IB</t>
  </si>
  <si>
    <t>20141031</t>
  </si>
  <si>
    <t>14鲁黄金MTN001</t>
  </si>
  <si>
    <t>041455029.IB</t>
  </si>
  <si>
    <t>20140807</t>
  </si>
  <si>
    <t>14鲁黄金CP001</t>
  </si>
  <si>
    <t>031490644.IB</t>
  </si>
  <si>
    <t>20140725</t>
  </si>
  <si>
    <t>14鲁黄金PPN002</t>
  </si>
  <si>
    <t>031439001.IB</t>
  </si>
  <si>
    <t>20140626</t>
  </si>
  <si>
    <t>14鲁黄金PPN001</t>
  </si>
  <si>
    <t>031390345.IB</t>
  </si>
  <si>
    <t>20131024</t>
  </si>
  <si>
    <t>13鲁黄金PPN002</t>
  </si>
  <si>
    <t>20130903</t>
  </si>
  <si>
    <t>13鲁金01</t>
  </si>
  <si>
    <t>031390199.IB</t>
  </si>
  <si>
    <t>20130531</t>
  </si>
  <si>
    <t>13鲁黄金PPN001</t>
  </si>
  <si>
    <t>041355005.IB</t>
  </si>
  <si>
    <t>20130217</t>
  </si>
  <si>
    <t>13鲁黄金CP001</t>
  </si>
  <si>
    <t>1282322.IB</t>
  </si>
  <si>
    <t>20120905</t>
  </si>
  <si>
    <t>12鲁黄金MTN1</t>
  </si>
  <si>
    <t>031239001.IB</t>
  </si>
  <si>
    <t>20120330</t>
  </si>
  <si>
    <t>12鲁黄金PPN001</t>
  </si>
  <si>
    <t>1182003.IB</t>
  </si>
  <si>
    <t>20110111</t>
  </si>
  <si>
    <t>11鲁黄金MTN1</t>
  </si>
  <si>
    <t>098094.IB</t>
  </si>
  <si>
    <t>20090526</t>
  </si>
  <si>
    <t>09鲁黄金债</t>
  </si>
  <si>
    <t>0881213.IB</t>
  </si>
  <si>
    <t>20081010</t>
  </si>
  <si>
    <t>08鲁黄金CP02</t>
  </si>
  <si>
    <t>0881114.IB</t>
  </si>
  <si>
    <t>20080530</t>
  </si>
  <si>
    <t>08鲁黄金CP01</t>
  </si>
  <si>
    <t>0681213.IB</t>
  </si>
  <si>
    <t>20061127</t>
  </si>
  <si>
    <t>06黄金CP02</t>
  </si>
  <si>
    <t>0681117.IB</t>
  </si>
  <si>
    <t>20060712</t>
  </si>
  <si>
    <t>06黄金CP01</t>
  </si>
  <si>
    <t>0581063.IB</t>
  </si>
  <si>
    <t>20051124</t>
  </si>
  <si>
    <t>05黄金CP01</t>
  </si>
  <si>
    <t>历史主体评级</t>
  </si>
  <si>
    <t>发布日期</t>
  </si>
  <si>
    <t>主体资信级别</t>
  </si>
  <si>
    <t>评级展望</t>
  </si>
  <si>
    <t>评级机构</t>
  </si>
  <si>
    <t>20190320</t>
  </si>
  <si>
    <t>稳定</t>
  </si>
  <si>
    <t>中诚信国际信用评级有限责任公司</t>
  </si>
  <si>
    <t>20180627</t>
  </si>
  <si>
    <t>上海新世纪资信评估投资服务有限公司</t>
  </si>
  <si>
    <t>20180625</t>
  </si>
  <si>
    <t>中诚信证券评估有限公司</t>
  </si>
  <si>
    <t>20170725</t>
  </si>
  <si>
    <t>联合资信评估有限公司</t>
  </si>
  <si>
    <t>20170626</t>
  </si>
  <si>
    <t>20170515</t>
  </si>
  <si>
    <t>20161010</t>
  </si>
  <si>
    <t>20160727</t>
  </si>
  <si>
    <t>20160720</t>
  </si>
  <si>
    <t>20150825</t>
  </si>
  <si>
    <t>20150612</t>
  </si>
  <si>
    <t>20150527</t>
  </si>
  <si>
    <t>20150202</t>
  </si>
  <si>
    <t>20140804</t>
  </si>
  <si>
    <t>20140604</t>
  </si>
  <si>
    <t>20140603</t>
  </si>
  <si>
    <t>20130624</t>
  </si>
  <si>
    <t>20130107</t>
  </si>
  <si>
    <t>20121218</t>
  </si>
  <si>
    <t>20120530</t>
  </si>
  <si>
    <t>20111227</t>
  </si>
  <si>
    <t>AA+</t>
  </si>
  <si>
    <t>正面</t>
  </si>
  <si>
    <t>20101026</t>
  </si>
  <si>
    <t>20100625</t>
  </si>
  <si>
    <t>AA</t>
  </si>
  <si>
    <t>20090522</t>
  </si>
  <si>
    <t>AA-</t>
  </si>
  <si>
    <t>20080429</t>
  </si>
  <si>
    <t>大公国际资信评估有限公司</t>
  </si>
  <si>
    <t>20061020</t>
  </si>
  <si>
    <t>A+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</si>
  <si>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</si>
  <si>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</si>
  <si>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</si>
  <si>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</si>
  <si>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</si>
  <si>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</si>
  <si>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</si>
  <si>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</si>
  <si>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</si>
  <si>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</si>
  <si>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</si>
  <si>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</si>
  <si>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</si>
  <si>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东方金钰股份有限公司</t>
  </si>
  <si>
    <t>B负面下调至CC负面</t>
  </si>
  <si>
    <t>联合信用评级有限公司</t>
  </si>
  <si>
    <t>公司目前资金紧张</t>
  </si>
  <si>
    <t>金洲慈航集团股份有限公司</t>
  </si>
  <si>
    <t>AA-稳定下调至A</t>
  </si>
  <si>
    <t xml:space="preserve"> 公司盈利能力大幅下滑，经营获现及资产变现能力下滑，且债务融资渠道受阻、获得外部支持的难度加大，导致其偿债来源下降，整体偿债能力恶化；同时，金洲慈航面临重大资产出售、法律诉讼等不确定事项，可能会对其财务状况及偿债能力产生重大不利影响。</t>
  </si>
  <si>
    <t>甘肃刚泰控股(集团)股份有限公司</t>
  </si>
  <si>
    <t>A-负面下调至BBB负面</t>
  </si>
  <si>
    <t>东方金诚国际信用评估有限公司</t>
  </si>
  <si>
    <t>公司的流动性较差，面对到期债务的兑付压力较大</t>
  </si>
  <si>
    <t>刚泰集团有限公司</t>
  </si>
  <si>
    <t>AA稳定下调至C</t>
  </si>
  <si>
    <t>1，公司因流动性风险被列入信用观察名单；2，公司面临较差的偿债环境；3，公司财富创造能力较弱；4，公司长债来源安全度较低；5，公司偿债能力较大的依赖良好的经济环境；6，未按时偿付债券构成实质违约。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</si>
  <si>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</si>
  <si>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</si>
  <si>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</si>
  <si>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</si>
  <si>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</si>
  <si>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</si>
  <si>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</si>
  <si>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</si>
  <si>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</si>
  <si>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</si>
  <si>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</si>
  <si>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</si>
  <si>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</si>
  <si>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</si>
  <si>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</si>
  <si>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</si>
  <si>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</si>
  <si>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</si>
  <si>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</si>
  <si>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</si>
  <si>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</si>
  <si>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</si>
  <si>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</si>
  <si>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</si>
  <si>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</si>
  <si>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山东黄金集团有限公司</t>
  </si>
  <si>
    <t>地方国有企业</t>
  </si>
  <si>
    <t>材料--材料Ⅱ--金属、非金属与采矿--黄金</t>
  </si>
  <si>
    <t>山东省济南市舜华路2000号舜泰广场3号楼</t>
  </si>
  <si>
    <t>山东黄金集团有限公司于1996年7月12日经山东省人民政府批准(鲁政字[1996]128号)成立，属国有独资大型一类企业，主营业务为黄金矿山开采、冶炼和销售等。2000年2月份，由山东黄金集团有限公司作为主发起人，联合山东招金集团有限公司、山东莱州黄金(集团)有限公司、济南玉泉发展中心(2005年12月19日更名为“济南玉泉发展有限公司”)及山东金洲矿业集团有限公司(原“乳山市金矿”)等四家发起人，成立山东黄金矿业股份有限公司，2003年8月份在上海证交所成功发行上市，成为在国内上市的两家黄金公司之一。山东黄金集团集黄金地质勘探、采选和冶炼、科学研究和工程设计及施工、设备制造和安装、电力和物资供应、饰品设计以及黄金产品深加工等于一体，是国内五大黄金生产企业之一，也是全国第一产金大省山东省的龙头企业。</t>
  </si>
  <si>
    <t>山东省人民政府国有资产监督管理委员会</t>
  </si>
  <si>
    <t>山东国惠投资有限公司</t>
  </si>
  <si>
    <t>山东省社会保障基金理事会</t>
  </si>
  <si>
    <t/>
  </si>
  <si>
    <t>A-1</t>
  </si>
  <si>
    <t>招金矿业股份有限公司</t>
  </si>
  <si>
    <t>山东招金集团有限公司</t>
  </si>
  <si>
    <t>山东黄金矿业股份有限公司</t>
  </si>
  <si>
    <t>紫金矿业集团股份有限公司</t>
  </si>
  <si>
    <t>中金黄金股份有限公司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</si>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</sst>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4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4" fontId="0" fillId="0" borderId="12" xfId="0" applyNumberFormat="1" applyBorder="1" applyAlignment="1"/>
    <xf numFmtId="0" fontId="0" fillId="6" borderId="12" xfId="0" applyFill="1" applyBorder="1" applyAlignment="1"/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5" t="s">
        <v>1</v>
      </c>
      <c r="B3" s="116"/>
      <c r="C3" s="116"/>
      <c r="D3" s="116"/>
      <c r="E3" s="116"/>
      <c r="F3" s="116"/>
      <c r="G3" s="116"/>
    </row>
    <row r="4" spans="1:20" s="39" customFormat="1" ht="13.5" customHeight="1" x14ac:dyDescent="0.25">
      <c r="A4" s="95" t="s">
        <v>2</v>
      </c>
      <c r="B4" s="117" t="str">
        <f>[1]!b_info_issuerupdated(A2)</f>
        <v>山东黄金集团有限公司</v>
      </c>
      <c r="C4" s="118"/>
      <c r="D4" s="95" t="s">
        <v>3</v>
      </c>
      <c r="E4" s="117" t="str">
        <f>[1]!s_info_nature(A2)</f>
        <v>地方国有企业</v>
      </c>
      <c r="F4" s="118"/>
      <c r="G4" s="118"/>
      <c r="H4" s="43"/>
    </row>
    <row r="5" spans="1:20" s="39" customFormat="1" ht="14.25" customHeight="1" x14ac:dyDescent="0.25">
      <c r="A5" s="95" t="s">
        <v>4</v>
      </c>
      <c r="B5" s="117" t="str">
        <f>[1]!b_issuer_windindustry(A2,9)</f>
        <v>材料--材料Ⅱ--金属、非金属与采矿--黄金</v>
      </c>
      <c r="C5" s="118"/>
      <c r="D5" s="95" t="s">
        <v>5</v>
      </c>
      <c r="E5" s="117" t="str">
        <f>[1]!b_issuer_regaddress(A2)</f>
        <v>山东省济南市舜华路2000号舜泰广场3号楼</v>
      </c>
      <c r="F5" s="118"/>
      <c r="G5" s="118"/>
    </row>
    <row r="6" spans="1:20" s="39" customFormat="1" ht="81" customHeight="1" x14ac:dyDescent="0.25">
      <c r="A6" s="95" t="s">
        <v>6</v>
      </c>
      <c r="B6" s="119" t="str">
        <f>[1]!s_info_briefing(A2)</f>
        <v>山东黄金集团有限公司于1996年7月12日经山东省人民政府批准(鲁政字[1996]128号)成立，属国有独资大型一类企业，主营业务为黄金矿山开采、冶炼和销售等。2000年2月份，由山东黄金集团有限公司作为主发起人，联合山东招金集团有限公司、山东莱州黄金(集团)有限公司、济南玉泉发展中心(2005年12月19日更名为“济南玉泉发展有限公司”)及山东金洲矿业集团有限公司(原“乳山市金矿”)等四家发起人，成立山东黄金矿业股份有限公司，2003年8月份在上海证交所成功发行上市，成为在国内上市的两家黄金公司之一。山东黄金集团集黄金地质勘探、采选和冶炼、科学研究和工程设计及施工、设备制造和安装、电力和物资供应、饰品设计以及黄金产品深加工等于一体，是国内五大黄金生产企业之一，也是全国第一产金大省山东省的龙头企业。</v>
      </c>
      <c r="C6" s="118"/>
      <c r="D6" s="118"/>
      <c r="E6" s="118"/>
      <c r="F6" s="118"/>
      <c r="G6" s="118"/>
    </row>
    <row r="7" spans="1:20" s="39" customFormat="1" x14ac:dyDescent="0.25">
      <c r="A7" s="97" t="s">
        <v>7</v>
      </c>
      <c r="B7" s="120" t="str">
        <f>[1]!b_issuer_shareholder(A2,"",1)</f>
        <v>山东省人民政府国有资产监督管理委员会</v>
      </c>
      <c r="C7" s="118"/>
      <c r="D7" s="118"/>
      <c r="E7" s="118"/>
      <c r="F7" s="99">
        <f>[1]!b_issuer_propofshareholder($A$2,"",1)%</f>
        <v>0.7</v>
      </c>
      <c r="G7" s="98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7"/>
      <c r="B8" s="120" t="str">
        <f>[1]!b_issuer_shareholder(A2,"",2)</f>
        <v>山东国惠投资有限公司</v>
      </c>
      <c r="C8" s="118"/>
      <c r="D8" s="118"/>
      <c r="E8" s="118"/>
      <c r="F8" s="99">
        <f>[1]!b_issuer_propofshareholder($A$2,"",2)%</f>
        <v>0.2</v>
      </c>
      <c r="G8" s="98"/>
      <c r="H8" s="44"/>
      <c r="M8" s="50"/>
      <c r="O8" s="50"/>
      <c r="P8" s="51"/>
    </row>
    <row r="9" spans="1:20" s="39" customFormat="1" x14ac:dyDescent="0.25">
      <c r="A9" s="97"/>
      <c r="B9" s="120" t="str">
        <f>[1]!b_issuer_shareholder(A2,"",3)</f>
        <v>山东省社会保障基金理事会</v>
      </c>
      <c r="C9" s="118"/>
      <c r="D9" s="118"/>
      <c r="E9" s="118"/>
      <c r="F9" s="99">
        <f>[1]!b_issuer_propofshareholder($A$2,"",3)%</f>
        <v>0.1</v>
      </c>
      <c r="G9" s="98"/>
      <c r="H9" s="44"/>
      <c r="M9" s="50"/>
      <c r="O9" s="50"/>
      <c r="P9" s="51"/>
    </row>
    <row r="10" spans="1:20" s="39" customFormat="1" x14ac:dyDescent="0.25">
      <c r="A10" s="97"/>
      <c r="B10" s="120">
        <f>[1]!b_issuer_shareholder(A2,"",4)</f>
        <v>0</v>
      </c>
      <c r="C10" s="118"/>
      <c r="D10" s="118"/>
      <c r="E10" s="118"/>
      <c r="F10" s="99">
        <f>[1]!b_issuer_propofshareholder($A$2,"",4)%</f>
        <v>0</v>
      </c>
      <c r="G10" s="98"/>
      <c r="H10" s="44"/>
      <c r="M10" s="50"/>
      <c r="O10" s="50"/>
      <c r="P10" s="51"/>
    </row>
    <row r="11" spans="1:20" s="39" customFormat="1" x14ac:dyDescent="0.25">
      <c r="A11" s="97"/>
      <c r="B11" s="120">
        <f>[1]!b_issuer_shareholder(A2,"",5)</f>
        <v>0</v>
      </c>
      <c r="C11" s="118"/>
      <c r="D11" s="118"/>
      <c r="E11" s="118"/>
      <c r="F11" s="99">
        <f>[1]!b_issuer_propofshareholder($A$2,"",5)%</f>
        <v>0</v>
      </c>
      <c r="G11" s="98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q19032905.IB</v>
      </c>
      <c r="K14" s="52"/>
      <c r="L14" s="53" t="str">
        <f>T15</f>
        <v>041454046.IB</v>
      </c>
      <c r="M14" s="53" t="str">
        <f>T16</f>
        <v>1282311.IB</v>
      </c>
      <c r="N14" s="53" t="str">
        <f>T17</f>
        <v>122273.SH</v>
      </c>
      <c r="O14" s="53" t="str">
        <f>T18</f>
        <v>101353013.IB</v>
      </c>
      <c r="P14" s="53" t="str">
        <f>T19</f>
        <v>041372006.IB</v>
      </c>
      <c r="Q14" s="53">
        <f>T20</f>
        <v>0</v>
      </c>
      <c r="R14" s="1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山东黄金集团有限公司</v>
      </c>
      <c r="K15" s="136"/>
      <c r="L15" s="20" t="str">
        <f>[1]!b_info_issuer(L14)</f>
        <v>招金矿业股份有限公司</v>
      </c>
      <c r="M15" s="20" t="str">
        <f>[1]!b_info_issuer(M14)</f>
        <v>山东招金集团有限公司</v>
      </c>
      <c r="N15" s="20" t="str">
        <f>[1]!b_info_issuer(N14)</f>
        <v>山东黄金矿业股份有限公司</v>
      </c>
      <c r="O15" s="20" t="str">
        <f>[1]!b_info_issuer(O14)</f>
        <v>紫金矿业集团股份有限公司</v>
      </c>
      <c r="P15" s="20" t="str">
        <f>[1]!b_info_issuer(P14)</f>
        <v>中金黄金股份有限公司</v>
      </c>
      <c r="Q15" s="20">
        <f>[1]!b_info_issuer(Q14)</f>
        <v>0</v>
      </c>
      <c r="R15" s="20">
        <f>[1]!b_info_issuer(R14)</f>
        <v>0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AAA</v>
      </c>
      <c r="K16" s="122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>
        <f>[1]!b_info_latestissurercreditrating(Q14)</f>
        <v>0</v>
      </c>
      <c r="R16" s="11">
        <f>[1]!b_info_latestissurercreditrating(R14)</f>
        <v>0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地方国有企业</v>
      </c>
      <c r="K17" s="122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 t="str">
        <f>[1]!s_info_nature(P14)</f>
        <v>中央国有企业</v>
      </c>
      <c r="Q17" s="22">
        <f>[1]!s_info_nature(Q14)</f>
        <v>0</v>
      </c>
      <c r="R17" s="22">
        <f>[1]!s_info_nature(R14)</f>
        <v>0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2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1035.885271758</v>
      </c>
      <c r="K19" s="122"/>
      <c r="L19" s="24">
        <f>[1]!b_stm07_bs(L14,74,L13,1)/100000000</f>
        <v>337.25380545000002</v>
      </c>
      <c r="M19" s="24">
        <f>[1]!b_stm07_bs(M14,74,M13,1)/100000000</f>
        <v>489.35771479599998</v>
      </c>
      <c r="N19" s="24">
        <f>[1]!b_stm07_bs(N14,74,N13,1)/100000000</f>
        <v>421.16289694559998</v>
      </c>
      <c r="O19" s="24">
        <f>[1]!b_stm07_bs(O14,74,O13,1)/100000000</f>
        <v>893.15263549999997</v>
      </c>
      <c r="P19" s="24">
        <f>[1]!b_stm07_bs(P14,74,P13,1)/100000000</f>
        <v>385.1583148972</v>
      </c>
      <c r="Q19" s="24">
        <f>[1]!b_stm07_bs(Q14,74,Q13,1)/100000000</f>
        <v>0</v>
      </c>
      <c r="R19" s="24">
        <f>[1]!b_stm07_bs(R14,74,R13,1)/100000000</f>
        <v>0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0.69040400000000002</v>
      </c>
      <c r="K20" s="122"/>
      <c r="L20" s="25">
        <f>[1]!s_fa_debttoassets(L14,L13)/100</f>
        <v>0.50475300000000001</v>
      </c>
      <c r="M20" s="25">
        <f>[1]!s_fa_debttoassets(M14,M13)/100</f>
        <v>0.62578</v>
      </c>
      <c r="N20" s="25">
        <f>[1]!s_fa_debttoassets(N14,N13)/100</f>
        <v>0.59233599999999997</v>
      </c>
      <c r="O20" s="25">
        <f>[1]!s_fa_debttoassets(O14,O13)/100</f>
        <v>0.57853999999999994</v>
      </c>
      <c r="P20" s="25">
        <f>[1]!s_fa_debttoassets(P14,P13)/100</f>
        <v>0.593858</v>
      </c>
      <c r="Q20" s="25">
        <f>[1]!s_fa_debttoassets(Q14,Q13)/100</f>
        <v>0</v>
      </c>
      <c r="R20" s="25">
        <f>[1]!s_fa_debttoassets(R14,R13)/100</f>
        <v>0</v>
      </c>
      <c r="T20" s="16"/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35</v>
      </c>
      <c r="J21" s="24">
        <f>[1]!s_fa_current(J14,J13)</f>
        <v>0.80969999999999998</v>
      </c>
      <c r="K21" s="122"/>
      <c r="L21" s="24">
        <f>[1]!s_fa_current(L14,L13)</f>
        <v>0.58389999999999997</v>
      </c>
      <c r="M21" s="24">
        <f>[1]!s_fa_current(M14,M13)</f>
        <v>0.64229999999999998</v>
      </c>
      <c r="N21" s="24">
        <f>[1]!s_fa_current(N14,N13)</f>
        <v>0.64729999999999999</v>
      </c>
      <c r="O21" s="24">
        <f>[1]!s_fa_current(O14,O13)</f>
        <v>0.99590000000000001</v>
      </c>
      <c r="P21" s="24">
        <f>[1]!s_fa_current(P14,P13)</f>
        <v>0.96399999999999997</v>
      </c>
      <c r="Q21" s="24">
        <f>[1]!s_fa_current(Q14,Q13)</f>
        <v>0</v>
      </c>
      <c r="R21" s="24">
        <f>[1]!s_fa_current(R14,R13)</f>
        <v>0</v>
      </c>
      <c r="T21" s="16"/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36</v>
      </c>
      <c r="J22" s="11">
        <f>(J96+J97+J98+J99+J100+J101)/J103</f>
        <v>0.95392322271763774</v>
      </c>
      <c r="K22" s="122"/>
      <c r="L22" s="11">
        <f>(公式页!L96+公式页!L97+公式页!L98+公式页!L99+公式页!L100+公式页!L101)/公式页!L103</f>
        <v>0.71756895704644652</v>
      </c>
      <c r="M22" s="11">
        <f t="shared" ref="M22:R22" si="0">(M96+M97+M98+M99+M100+M101)/M103</f>
        <v>1.1862807933218211</v>
      </c>
      <c r="N22" s="11">
        <f t="shared" si="0"/>
        <v>0.6459744085407827</v>
      </c>
      <c r="O22" s="11">
        <f t="shared" si="0"/>
        <v>0.92539177977287823</v>
      </c>
      <c r="P22" s="11">
        <f t="shared" si="0"/>
        <v>1.0156845964661478</v>
      </c>
      <c r="Q22" s="11" t="e">
        <f t="shared" si="0"/>
        <v>#DIV/0!</v>
      </c>
      <c r="R22" s="11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37</v>
      </c>
      <c r="J23" s="24">
        <f>[1]!s_fa_ebitdatodebt(J14,J13)</f>
        <v>8.4500000000000006E-2</v>
      </c>
      <c r="K23" s="122"/>
      <c r="L23" s="24">
        <f>[1]!s_fa_ebitdatodebt(L14,L13)</f>
        <v>0.13089999999999999</v>
      </c>
      <c r="M23" s="24">
        <f>[1]!s_fa_ebitdatodebt(M14,M13)</f>
        <v>8.2199999999999995E-2</v>
      </c>
      <c r="N23" s="24">
        <f>[1]!s_fa_ebitdatodebt(N14,N13)</f>
        <v>0.17269999999999999</v>
      </c>
      <c r="O23" s="24">
        <f>[1]!s_fa_ebitdatodebt(O14,O13)</f>
        <v>0.19670000000000001</v>
      </c>
      <c r="P23" s="24">
        <f>[1]!s_fa_ebitdatodebt(P14,P13)</f>
        <v>0.13270000000000001</v>
      </c>
      <c r="Q23" s="24">
        <f>[1]!s_fa_ebitdatodebt(Q14,Q13)</f>
        <v>0</v>
      </c>
      <c r="R23" s="24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38</v>
      </c>
      <c r="J24" s="24">
        <f>[1]!b_stm07_is(J14,9,J13,1)/100000000</f>
        <v>748.06878140699996</v>
      </c>
      <c r="K24" s="122"/>
      <c r="L24" s="24">
        <f>[1]!b_stm07_is(L14,9,L13,1)/100000000</f>
        <v>69.775490099999999</v>
      </c>
      <c r="M24" s="24">
        <f>[1]!b_stm07_is(M14,9,M13,1)/100000000</f>
        <v>361.665295222</v>
      </c>
      <c r="N24" s="24">
        <f>[1]!b_stm07_is(N14,9,N13,1)/100000000</f>
        <v>510.41303382749999</v>
      </c>
      <c r="O24" s="24">
        <f>[1]!b_stm07_is(O14,9,O13,1)/100000000</f>
        <v>945.48619097999995</v>
      </c>
      <c r="P24" s="24">
        <f>[1]!b_stm07_is(P14,9,P13,1)/100000000</f>
        <v>329.28245496389997</v>
      </c>
      <c r="Q24" s="24">
        <f>[1]!b_stm07_is(Q14,9,Q13,1)/100000000</f>
        <v>0</v>
      </c>
      <c r="R24" s="24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39</v>
      </c>
      <c r="J25" s="26">
        <f>[1]!s_fa_salescashintoor(J14,J13)%</f>
        <v>1.0428999999999999</v>
      </c>
      <c r="K25" s="122"/>
      <c r="L25" s="26">
        <f>[1]!s_fa_salescashintoor(L14,L13)%</f>
        <v>1.0497000000000001</v>
      </c>
      <c r="M25" s="26">
        <f>[1]!s_fa_salescashintoor(M14,M13)%</f>
        <v>0.92169999999999996</v>
      </c>
      <c r="N25" s="26">
        <f>[1]!s_fa_salescashintoor(N14,N13)%</f>
        <v>1.0408999999999999</v>
      </c>
      <c r="O25" s="26">
        <f>[1]!s_fa_salescashintoor(O14,O13)%</f>
        <v>1.0569</v>
      </c>
      <c r="P25" s="26">
        <f>[1]!s_fa_salescashintoor(P14,P13)%</f>
        <v>0.99729999999999985</v>
      </c>
      <c r="Q25" s="26">
        <f>[1]!s_fa_salescashintoor(Q14,Q13)%</f>
        <v>0</v>
      </c>
      <c r="R25" s="26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40</v>
      </c>
      <c r="J26" s="26">
        <f>[1]!s_fa_grossprofitmargin(J14,J13)%</f>
        <v>9.5306000000000002E-2</v>
      </c>
      <c r="K26" s="122"/>
      <c r="L26" s="26">
        <f>[1]!s_fa_grossprofitmargin(L14,L13)%</f>
        <v>0.40868199999999999</v>
      </c>
      <c r="M26" s="26">
        <f>[1]!s_fa_grossprofitmargin(M14,M13)%</f>
        <v>9.3894000000000005E-2</v>
      </c>
      <c r="N26" s="26">
        <f>[1]!s_fa_grossprofitmargin(N14,N13)%</f>
        <v>9.0690000000000007E-2</v>
      </c>
      <c r="O26" s="26">
        <f>[1]!s_fa_grossprofitmargin(O14,O13)%</f>
        <v>0.13936400000000002</v>
      </c>
      <c r="P26" s="26">
        <f>[1]!s_fa_grossprofitmargin(P14,P13)%</f>
        <v>0.114236</v>
      </c>
      <c r="Q26" s="26">
        <f>[1]!s_fa_grossprofitmargin(Q14,Q13)%</f>
        <v>0</v>
      </c>
      <c r="R26" s="26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41</v>
      </c>
      <c r="J27" s="27">
        <f>[1]!b_stm07_is(J14,60,J13,1)/100000000</f>
        <v>8.3732689413999992</v>
      </c>
      <c r="K27" s="122"/>
      <c r="L27" s="27">
        <f>[1]!b_stm07_is(L14,60,L13,1)/100000000</f>
        <v>7.5202927800000001</v>
      </c>
      <c r="M27" s="27">
        <f>[1]!b_stm07_is(M14,60,M13,1)/100000000</f>
        <v>6.3321753207000002</v>
      </c>
      <c r="N27" s="27">
        <f>[1]!b_stm07_is(N14,60,N13,1)/100000000</f>
        <v>11.9339109975</v>
      </c>
      <c r="O27" s="27">
        <f>[1]!b_stm07_is(O14,60,O13,1)/100000000</f>
        <v>32.47549197</v>
      </c>
      <c r="P27" s="27">
        <f>[1]!b_stm07_is(P14,60,P13,1)/100000000</f>
        <v>5.4299927205999996</v>
      </c>
      <c r="Q27" s="27">
        <f>[1]!b_stm07_is(Q14,60,Q13,1)/100000000</f>
        <v>0</v>
      </c>
      <c r="R27" s="27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42</v>
      </c>
      <c r="I28" s="19" t="s">
        <v>43</v>
      </c>
      <c r="J28" s="25">
        <f>[1]!s_fa_roe(J14,J13)%</f>
        <v>9.3360000000000005E-3</v>
      </c>
      <c r="K28" s="122"/>
      <c r="L28" s="25">
        <f>[1]!s_fa_roe(L14,L13)%</f>
        <v>5.4837999999999998E-2</v>
      </c>
      <c r="M28" s="25">
        <f>[1]!s_fa_roe(M14,M13)%</f>
        <v>1.839E-2</v>
      </c>
      <c r="N28" s="25">
        <f>[1]!s_fa_roe(N14,N13)%</f>
        <v>7.1438000000000001E-2</v>
      </c>
      <c r="O28" s="25">
        <f>[1]!s_fa_roe(O14,O13)%</f>
        <v>0.11177799999999999</v>
      </c>
      <c r="P28" s="25">
        <f>[1]!s_fa_roe(P14,P13)%</f>
        <v>2.1810999999999997E-2</v>
      </c>
      <c r="Q28" s="25">
        <f>[1]!s_fa_roe(Q14,Q13)%</f>
        <v>0</v>
      </c>
      <c r="R28" s="25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44</v>
      </c>
      <c r="J29" s="27">
        <f>[1]!b_stm07_cs(J14,39,J13,1)/100000000</f>
        <v>56.856318037400001</v>
      </c>
      <c r="K29" s="122"/>
      <c r="L29" s="27">
        <f>[1]!b_stm07_cs(L14,39,L13,1)/100000000</f>
        <v>10.67363875</v>
      </c>
      <c r="M29" s="27">
        <f>[1]!b_stm07_cs(M14,39,M13,1)/100000000</f>
        <v>28.489595897499999</v>
      </c>
      <c r="N29" s="27">
        <f>[1]!b_stm07_cs(N14,39,N13,1)/100000000</f>
        <v>36.9867938911</v>
      </c>
      <c r="O29" s="27">
        <f>[1]!b_stm07_cs(O14,39,O13,1)/100000000</f>
        <v>97.643555140000004</v>
      </c>
      <c r="P29" s="27">
        <f>[1]!b_stm07_cs(P14,39,P13,1)/100000000</f>
        <v>6.3023462985999998</v>
      </c>
      <c r="Q29" s="27">
        <f>[1]!b_stm07_cs(Q14,39,Q13,1)/100000000</f>
        <v>0</v>
      </c>
      <c r="R29" s="27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45</v>
      </c>
      <c r="J96" s="62">
        <f>[1]!b_stm07_bs(J14,75,J13,1)</f>
        <v>10392865929.799999</v>
      </c>
      <c r="K96" s="62"/>
      <c r="L96" s="62">
        <f>[1]!b_stm07_bs(L14,75,L13,1)</f>
        <v>8711058998</v>
      </c>
      <c r="M96" s="62">
        <f>[1]!b_stm07_bs(M14,75,M13,1)</f>
        <v>17518225829.84</v>
      </c>
      <c r="N96" s="62">
        <f>[1]!b_stm07_bs(N14,75,N13,1)</f>
        <v>789300000</v>
      </c>
      <c r="O96" s="62">
        <f>[1]!b_stm07_bs(O14,75,O13,1)</f>
        <v>9855873011</v>
      </c>
      <c r="P96" s="62">
        <f>[1]!b_stm07_bs(P14,75,P13,1)</f>
        <v>7336124561.3400002</v>
      </c>
      <c r="Q96" s="62">
        <f>[1]!b_stm07_bs(Q14,75,Q13,1)</f>
        <v>0</v>
      </c>
      <c r="R96" s="62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46</v>
      </c>
      <c r="J97" s="62">
        <f>[1]!b_stm07_bs(J14,82,J13,1)</f>
        <v>454722575.31</v>
      </c>
      <c r="K97" s="62"/>
      <c r="L97" s="62">
        <f>[1]!b_stm07_bs(L14,82,L13,1)</f>
        <v>88798501</v>
      </c>
      <c r="M97" s="62">
        <f>[1]!b_stm07_bs(M14,82,M13,1)</f>
        <v>126085591.93000001</v>
      </c>
      <c r="N97" s="62">
        <f>[1]!b_stm07_bs(N14,82,N13,1)</f>
        <v>110575709.62</v>
      </c>
      <c r="O97" s="62">
        <f>[1]!b_stm07_bs(O14,82,O13,1)</f>
        <v>0</v>
      </c>
      <c r="P97" s="62">
        <f>[1]!b_stm07_bs(P14,82,P13,1)</f>
        <v>12011670.710000001</v>
      </c>
      <c r="Q97" s="62">
        <f>[1]!b_stm07_bs(Q14,82,Q13,1)</f>
        <v>0</v>
      </c>
      <c r="R97" s="62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47</v>
      </c>
      <c r="J98" s="62">
        <f>[1]!b_stm07_bs(J14,88,J13,1)</f>
        <v>2638992473.4000001</v>
      </c>
      <c r="K98" s="62"/>
      <c r="L98" s="62">
        <f>[1]!b_stm07_bs(L14,88,L13,1)</f>
        <v>770968432</v>
      </c>
      <c r="M98" s="62">
        <f>[1]!b_stm07_bs(M14,88,M13,1)</f>
        <v>871168432</v>
      </c>
      <c r="N98" s="62">
        <f>[1]!b_stm07_bs(N14,88,N13,1)</f>
        <v>38992473.399999999</v>
      </c>
      <c r="O98" s="62">
        <f>[1]!b_stm07_bs(O14,88,O13,1)</f>
        <v>4600343261</v>
      </c>
      <c r="P98" s="62">
        <f>[1]!b_stm07_bs(P14,88,P13,1)</f>
        <v>2787645554</v>
      </c>
      <c r="Q98" s="62">
        <f>[1]!b_stm07_bs(Q14,88,Q13,1)</f>
        <v>0</v>
      </c>
      <c r="R98" s="62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48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49</v>
      </c>
      <c r="J100" s="62">
        <f>[1]!b_stm07_bs(J14,94,J13,1)</f>
        <v>6860957091</v>
      </c>
      <c r="K100" s="62"/>
      <c r="L100" s="62">
        <f>[1]!b_stm07_bs(L14,94,L13,1)</f>
        <v>619338322</v>
      </c>
      <c r="M100" s="62">
        <f>[1]!b_stm07_bs(M14,94,M13,1)</f>
        <v>1413599129.3900001</v>
      </c>
      <c r="N100" s="62">
        <f>[1]!b_stm07_bs(N14,94,N13,1)</f>
        <v>6857568000</v>
      </c>
      <c r="O100" s="62">
        <f>[1]!b_stm07_bs(O14,94,O13,1)</f>
        <v>6599046795</v>
      </c>
      <c r="P100" s="62">
        <f>[1]!b_stm07_bs(P14,94,P13,1)</f>
        <v>5752480372</v>
      </c>
      <c r="Q100" s="62">
        <f>[1]!b_stm07_bs(Q14,94,Q13,1)</f>
        <v>0</v>
      </c>
      <c r="R100" s="62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50</v>
      </c>
      <c r="J101" s="62">
        <f>[1]!b_stm07_bs(J14,95,J13,1)</f>
        <v>10245321720.02</v>
      </c>
      <c r="K101" s="62"/>
      <c r="L101" s="62">
        <f>[1]!b_stm07_bs(L14,95,L13,1)</f>
        <v>1794963891</v>
      </c>
      <c r="M101" s="62">
        <f>[1]!b_stm07_bs(M14,95,M13,1)</f>
        <v>1794963891</v>
      </c>
      <c r="N101" s="62">
        <f>[1]!b_stm07_bs(N14,95,N13,1)</f>
        <v>3294479700</v>
      </c>
      <c r="O101" s="62">
        <f>[1]!b_stm07_bs(O14,95,O13,1)</f>
        <v>13779116465</v>
      </c>
      <c r="P101" s="62">
        <f>[1]!b_stm07_bs(P14,95,P13,1)</f>
        <v>0</v>
      </c>
      <c r="Q101" s="62">
        <f>[1]!b_stm07_bs(Q14,95,Q13,1)</f>
        <v>0</v>
      </c>
      <c r="R101" s="62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51</v>
      </c>
      <c r="J103" s="62">
        <f>[1]!b_stm07_bs(J14,141,J13,1)</f>
        <v>32070568218.66</v>
      </c>
      <c r="K103" s="62"/>
      <c r="L103" s="62">
        <f>[1]!b_stm07_bs(L14,141,L13,1)</f>
        <v>16702406126</v>
      </c>
      <c r="M103" s="62">
        <f>[1]!b_stm07_bs(M14,141,M13,1)</f>
        <v>18312732530.490002</v>
      </c>
      <c r="N103" s="62">
        <f>[1]!b_stm07_bs(N14,141,N13,1)</f>
        <v>17169280603.66</v>
      </c>
      <c r="O103" s="62">
        <f>[1]!b_stm07_bs(O14,141,O13,1)</f>
        <v>37642845218</v>
      </c>
      <c r="P103" s="62">
        <f>[1]!b_stm07_bs(P14,141,P13,1)</f>
        <v>15642909435.99</v>
      </c>
      <c r="Q103" s="62">
        <f>[1]!b_stm07_bs(Q14,141,Q13,1)</f>
        <v>0</v>
      </c>
      <c r="R103" s="62">
        <f>[1]!b_stm07_bs(R14,141,R13,1)</f>
        <v>0</v>
      </c>
    </row>
    <row r="106" spans="1:19" ht="14.25" customHeight="1" x14ac:dyDescent="0.25">
      <c r="A106" s="121" t="s">
        <v>52</v>
      </c>
      <c r="B106" s="116"/>
      <c r="C106" s="116"/>
      <c r="D106" s="122"/>
      <c r="E106" s="122"/>
      <c r="F106" s="122"/>
      <c r="G106" s="122"/>
      <c r="H106" s="122"/>
      <c r="I106" s="122"/>
      <c r="J106" s="122"/>
      <c r="L106" s="39"/>
      <c r="M106" s="39"/>
    </row>
    <row r="107" spans="1:19" x14ac:dyDescent="0.25">
      <c r="A107" s="123" t="s">
        <v>53</v>
      </c>
      <c r="B107" s="116"/>
      <c r="C107" s="116"/>
      <c r="D107" s="122"/>
      <c r="E107" s="122"/>
      <c r="F107" s="122"/>
      <c r="G107" s="124">
        <v>2017</v>
      </c>
      <c r="H107" s="122"/>
      <c r="I107" s="122"/>
      <c r="J107" s="122"/>
      <c r="K107" s="74" t="str">
        <f>A2</f>
        <v>q19032905.IB</v>
      </c>
      <c r="L107" s="63">
        <f>B2</f>
        <v>43100</v>
      </c>
      <c r="M107" s="39"/>
    </row>
    <row r="108" spans="1:19" ht="12.75" customHeight="1" x14ac:dyDescent="0.25">
      <c r="A108" s="125" t="s">
        <v>54</v>
      </c>
      <c r="B108" s="116"/>
      <c r="C108" s="125" t="s">
        <v>55</v>
      </c>
      <c r="D108" s="122"/>
      <c r="E108" s="125" t="s">
        <v>56</v>
      </c>
      <c r="F108" s="122"/>
      <c r="G108" s="125" t="s">
        <v>57</v>
      </c>
      <c r="H108" s="122"/>
      <c r="I108" s="125" t="s">
        <v>58</v>
      </c>
      <c r="J108" s="122"/>
      <c r="L108" s="39"/>
      <c r="M108" s="39"/>
    </row>
    <row r="109" spans="1:19" ht="16.5" customHeight="1" x14ac:dyDescent="0.25">
      <c r="A109" s="19" t="s">
        <v>59</v>
      </c>
      <c r="B109" s="29">
        <f>M109/100</f>
        <v>0.69040400000000002</v>
      </c>
      <c r="C109" s="19" t="s">
        <v>35</v>
      </c>
      <c r="D109" s="30">
        <f>[1]!s_fa_current(A2,B2)</f>
        <v>0.80969999999999998</v>
      </c>
      <c r="E109" s="19" t="s">
        <v>39</v>
      </c>
      <c r="F109" s="33">
        <f>[1]!s_fa_salescashintoor(A2,B2)/100</f>
        <v>1.0428999999999999</v>
      </c>
      <c r="G109" s="19" t="s">
        <v>40</v>
      </c>
      <c r="H109" s="29">
        <f>S109/100</f>
        <v>9.5306000000000002E-2</v>
      </c>
      <c r="I109" s="19"/>
      <c r="J109" s="38"/>
      <c r="K109" s="50"/>
      <c r="L109" s="64" t="s">
        <v>59</v>
      </c>
      <c r="M109" s="65">
        <f>[1]!s_fa_debttoassets(A2,B2)</f>
        <v>69.040400000000005</v>
      </c>
      <c r="N109" s="19" t="s">
        <v>35</v>
      </c>
      <c r="O109" s="66"/>
      <c r="P109" s="19" t="s">
        <v>39</v>
      </c>
      <c r="Q109" s="66"/>
      <c r="R109" s="19" t="s">
        <v>40</v>
      </c>
      <c r="S109" s="69">
        <f>[1]!s_fa_grossprofitmargin(A2,B2)</f>
        <v>9.5305999999999997</v>
      </c>
    </row>
    <row r="110" spans="1:19" ht="15.75" customHeight="1" x14ac:dyDescent="0.25">
      <c r="A110" s="19" t="s">
        <v>60</v>
      </c>
      <c r="B110" s="29">
        <f>M110/100</f>
        <v>0.37170599999999998</v>
      </c>
      <c r="C110" s="19" t="s">
        <v>61</v>
      </c>
      <c r="D110" s="33">
        <f>[1]!s_fa_quick(A2,B2)</f>
        <v>0.5756</v>
      </c>
      <c r="E110" s="19" t="s">
        <v>62</v>
      </c>
      <c r="F110" s="30">
        <f>[1]!s_fa_arturn(A2,B2)</f>
        <v>54.584299999999999</v>
      </c>
      <c r="G110" s="19" t="s">
        <v>63</v>
      </c>
      <c r="H110" s="29">
        <f>S110/100</f>
        <v>2.2355999999999997E-2</v>
      </c>
      <c r="I110" s="19"/>
      <c r="J110" s="38"/>
      <c r="L110" s="19" t="s">
        <v>60</v>
      </c>
      <c r="M110" s="65">
        <f>[1]!s_fa_catoassets(A2,B2)</f>
        <v>37.1706</v>
      </c>
      <c r="N110" s="19" t="s">
        <v>61</v>
      </c>
      <c r="O110" s="66"/>
      <c r="P110" s="19" t="s">
        <v>62</v>
      </c>
      <c r="Q110" s="33"/>
      <c r="R110" s="19" t="s">
        <v>63</v>
      </c>
      <c r="S110" s="69">
        <f>[1]!s_fa_optogr(A2,B2)</f>
        <v>2.2355999999999998</v>
      </c>
    </row>
    <row r="111" spans="1:19" ht="15" customHeight="1" x14ac:dyDescent="0.25">
      <c r="A111" s="19" t="s">
        <v>64</v>
      </c>
      <c r="B111" s="29">
        <f>M111/100</f>
        <v>0.6649250000000001</v>
      </c>
      <c r="C111" s="19" t="s">
        <v>37</v>
      </c>
      <c r="D111" s="33">
        <f>[1]!s_fa_ebitdatodebt(A2,B2)</f>
        <v>8.4500000000000006E-2</v>
      </c>
      <c r="E111" s="19" t="s">
        <v>65</v>
      </c>
      <c r="F111" s="30">
        <f>[1]!s_fa_invturn(A2,B2)</f>
        <v>7.2381000000000002</v>
      </c>
      <c r="G111" s="19" t="s">
        <v>43</v>
      </c>
      <c r="H111" s="29">
        <f>S111/100</f>
        <v>9.3360000000000005E-3</v>
      </c>
      <c r="I111" s="19"/>
      <c r="J111" s="38"/>
      <c r="L111" s="19" t="s">
        <v>64</v>
      </c>
      <c r="M111" s="65">
        <f>[1]!s_fa_currentdebttodebt(A2,B2)</f>
        <v>66.492500000000007</v>
      </c>
      <c r="N111" s="19" t="s">
        <v>37</v>
      </c>
      <c r="O111" s="66"/>
      <c r="P111" s="19" t="s">
        <v>65</v>
      </c>
      <c r="Q111" s="66"/>
      <c r="R111" s="19" t="s">
        <v>43</v>
      </c>
      <c r="S111" s="69">
        <f>[1]!s_fa_roe(A2,B2)</f>
        <v>0.93359999999999999</v>
      </c>
    </row>
    <row r="112" spans="1:19" ht="14.25" customHeight="1" x14ac:dyDescent="0.25">
      <c r="A112" s="19" t="s">
        <v>36</v>
      </c>
      <c r="B112" s="31">
        <f>(M116+M117+M118+M119+M120+M121)/M123</f>
        <v>0.95392322271763774</v>
      </c>
      <c r="C112" s="19" t="s">
        <v>66</v>
      </c>
      <c r="D112" s="33">
        <f>[1]!s_fa_ebittointerest(A2,B2)</f>
        <v>2.0827</v>
      </c>
      <c r="E112" s="19" t="s">
        <v>67</v>
      </c>
      <c r="F112" s="30">
        <f>[1]!s_fa_caturn(A2,B2)</f>
        <v>2.2115999999999998</v>
      </c>
      <c r="G112" s="19" t="s">
        <v>68</v>
      </c>
      <c r="H112" s="29">
        <f>S112/100</f>
        <v>3.3750000000000002E-2</v>
      </c>
      <c r="I112" s="19"/>
      <c r="J112" s="38"/>
      <c r="L112" s="19" t="s">
        <v>36</v>
      </c>
      <c r="M112" s="67"/>
      <c r="N112" s="19" t="s">
        <v>66</v>
      </c>
      <c r="O112" s="66"/>
      <c r="P112" s="19" t="s">
        <v>67</v>
      </c>
      <c r="Q112" s="66"/>
      <c r="R112" s="19" t="s">
        <v>68</v>
      </c>
      <c r="S112" s="69">
        <f>[1]!s_fa_roa2(A2,B2)</f>
        <v>3.375</v>
      </c>
    </row>
    <row r="113" spans="1:21" x14ac:dyDescent="0.25">
      <c r="A113" s="57"/>
      <c r="B113" s="58"/>
      <c r="C113" s="57"/>
      <c r="D113" s="59"/>
      <c r="E113" s="57" t="s">
        <v>69</v>
      </c>
      <c r="F113" s="60">
        <f>[1]!s_fa_dupont_faturnover(A2,B2)</f>
        <v>0.79</v>
      </c>
      <c r="G113" s="57"/>
      <c r="H113" s="58"/>
      <c r="I113" s="57"/>
      <c r="J113" s="58"/>
      <c r="L113" s="57"/>
      <c r="M113" s="68"/>
      <c r="N113" s="57"/>
      <c r="O113" s="59"/>
      <c r="P113" s="57" t="s">
        <v>69</v>
      </c>
      <c r="Q113" s="70"/>
      <c r="R113" s="57"/>
      <c r="S113" s="58"/>
    </row>
    <row r="114" spans="1:21" ht="13.5" customHeight="1" x14ac:dyDescent="0.25">
      <c r="A114" s="121" t="s">
        <v>70</v>
      </c>
      <c r="B114" s="116"/>
      <c r="C114" s="116"/>
      <c r="D114" s="122"/>
      <c r="E114" s="122"/>
      <c r="F114" s="122"/>
      <c r="G114" s="122"/>
      <c r="H114" s="122"/>
      <c r="I114" s="122"/>
      <c r="J114" s="122"/>
      <c r="L114" s="39"/>
      <c r="M114" s="39"/>
    </row>
    <row r="115" spans="1:21" ht="13.5" customHeight="1" x14ac:dyDescent="0.25">
      <c r="A115" s="123" t="s">
        <v>71</v>
      </c>
      <c r="B115" s="116"/>
      <c r="C115" s="116"/>
      <c r="D115" s="122"/>
      <c r="E115" s="122"/>
      <c r="F115" s="122"/>
      <c r="G115" s="126">
        <v>2017</v>
      </c>
      <c r="H115" s="122"/>
      <c r="I115" s="122"/>
      <c r="J115" s="122"/>
      <c r="L115" s="39"/>
      <c r="M115" s="39"/>
    </row>
    <row r="116" spans="1:21" x14ac:dyDescent="0.25">
      <c r="A116" s="127" t="s">
        <v>72</v>
      </c>
      <c r="B116" s="116"/>
      <c r="C116" s="127" t="s">
        <v>73</v>
      </c>
      <c r="D116" s="122"/>
      <c r="E116" s="128" t="s">
        <v>74</v>
      </c>
      <c r="F116" s="122"/>
      <c r="G116" s="122"/>
      <c r="H116" s="122"/>
      <c r="I116" s="122"/>
      <c r="J116" s="122"/>
      <c r="L116" s="39" t="s">
        <v>45</v>
      </c>
      <c r="M116" s="62">
        <f>[1]!b_stm07_bs(K107,75,L107,1)</f>
        <v>10392865929.799999</v>
      </c>
    </row>
    <row r="117" spans="1:21" ht="14.25" customHeight="1" x14ac:dyDescent="0.25">
      <c r="A117" s="19" t="s">
        <v>75</v>
      </c>
      <c r="B117" s="33">
        <f t="shared" ref="B117:B131" si="1">M127/100000000</f>
        <v>62.851803320000002</v>
      </c>
      <c r="C117" s="19" t="s">
        <v>76</v>
      </c>
      <c r="D117" s="31">
        <f t="shared" ref="D117:D125" si="2">O127/100000000</f>
        <v>748.83447195839994</v>
      </c>
      <c r="E117" s="129" t="s">
        <v>77</v>
      </c>
      <c r="F117" s="122"/>
      <c r="G117" s="122"/>
      <c r="H117" s="130">
        <f t="shared" ref="H117:H131" si="3">S127/100000000</f>
        <v>780.19593469690005</v>
      </c>
      <c r="I117" s="122"/>
      <c r="J117" s="122"/>
      <c r="L117" s="39" t="s">
        <v>46</v>
      </c>
      <c r="M117" s="62">
        <f>[1]!b_stm07_bs(K107,82,L107,1)</f>
        <v>454722575.31</v>
      </c>
    </row>
    <row r="118" spans="1:21" ht="14.25" customHeight="1" x14ac:dyDescent="0.25">
      <c r="A118" s="19" t="s">
        <v>78</v>
      </c>
      <c r="B118" s="33">
        <f t="shared" si="1"/>
        <v>11.760752844900001</v>
      </c>
      <c r="C118" s="19" t="s">
        <v>79</v>
      </c>
      <c r="D118" s="31">
        <f t="shared" si="2"/>
        <v>740.28375875220001</v>
      </c>
      <c r="E118" s="129" t="s">
        <v>80</v>
      </c>
      <c r="F118" s="122"/>
      <c r="G118" s="122"/>
      <c r="H118" s="130">
        <f t="shared" si="3"/>
        <v>282.7403430096</v>
      </c>
      <c r="I118" s="122"/>
      <c r="J118" s="122"/>
      <c r="L118" s="39" t="s">
        <v>47</v>
      </c>
      <c r="M118" s="62">
        <f>[1]!b_stm07_bs(K107,88,L107,1)</f>
        <v>2638992473.4000001</v>
      </c>
    </row>
    <row r="119" spans="1:21" ht="14.25" customHeight="1" x14ac:dyDescent="0.25">
      <c r="A119" s="19" t="s">
        <v>81</v>
      </c>
      <c r="B119" s="33">
        <f t="shared" si="1"/>
        <v>70.988120694300008</v>
      </c>
      <c r="C119" s="19" t="s">
        <v>82</v>
      </c>
      <c r="D119" s="31">
        <f t="shared" si="2"/>
        <v>676.77348111160006</v>
      </c>
      <c r="E119" s="129" t="s">
        <v>83</v>
      </c>
      <c r="F119" s="122"/>
      <c r="G119" s="122"/>
      <c r="H119" s="131">
        <f t="shared" si="3"/>
        <v>1066.9747710642998</v>
      </c>
      <c r="I119" s="122"/>
      <c r="J119" s="122"/>
      <c r="L119" s="39" t="s">
        <v>48</v>
      </c>
      <c r="M119" s="62">
        <f>[1]!b_stm07_bs(K107,147,L107,1)</f>
        <v>0</v>
      </c>
    </row>
    <row r="120" spans="1:21" ht="14.25" customHeight="1" x14ac:dyDescent="0.25">
      <c r="A120" s="19" t="s">
        <v>84</v>
      </c>
      <c r="B120" s="33">
        <f t="shared" si="1"/>
        <v>274.13983234290004</v>
      </c>
      <c r="C120" s="19" t="s">
        <v>85</v>
      </c>
      <c r="D120" s="31">
        <f t="shared" si="2"/>
        <v>3.3206565895</v>
      </c>
      <c r="E120" s="129" t="s">
        <v>86</v>
      </c>
      <c r="F120" s="122"/>
      <c r="G120" s="122"/>
      <c r="H120" s="130">
        <f t="shared" si="3"/>
        <v>664.40199224640003</v>
      </c>
      <c r="I120" s="122"/>
      <c r="J120" s="122"/>
      <c r="L120" s="39" t="s">
        <v>49</v>
      </c>
      <c r="M120" s="62">
        <f>[1]!b_stm07_bs(K107,94,L107,1)</f>
        <v>6860957091</v>
      </c>
    </row>
    <row r="121" spans="1:21" ht="14.25" customHeight="1" x14ac:dyDescent="0.25">
      <c r="A121" s="19" t="s">
        <v>87</v>
      </c>
      <c r="B121" s="33">
        <f t="shared" si="1"/>
        <v>62.163200777200004</v>
      </c>
      <c r="C121" s="19" t="s">
        <v>88</v>
      </c>
      <c r="D121" s="31">
        <f t="shared" si="2"/>
        <v>33.783312328299999</v>
      </c>
      <c r="E121" s="129" t="s">
        <v>89</v>
      </c>
      <c r="F121" s="122"/>
      <c r="G121" s="122"/>
      <c r="H121" s="130">
        <f t="shared" si="3"/>
        <v>294.75403546270002</v>
      </c>
      <c r="I121" s="122"/>
      <c r="J121" s="122"/>
      <c r="L121" s="39" t="s">
        <v>50</v>
      </c>
      <c r="M121" s="62">
        <f>[1]!b_stm07_bs(K107,95,L107,1)</f>
        <v>10245321720.02</v>
      </c>
    </row>
    <row r="122" spans="1:21" ht="14.25" customHeight="1" x14ac:dyDescent="0.25">
      <c r="A122" s="19" t="s">
        <v>90</v>
      </c>
      <c r="B122" s="33">
        <f t="shared" si="1"/>
        <v>208.73200670770001</v>
      </c>
      <c r="C122" s="19" t="s">
        <v>91</v>
      </c>
      <c r="D122" s="31">
        <f t="shared" si="2"/>
        <v>16.815212351900001</v>
      </c>
      <c r="E122" s="129" t="s">
        <v>92</v>
      </c>
      <c r="F122" s="122"/>
      <c r="G122" s="122"/>
      <c r="H122" s="131">
        <f t="shared" si="3"/>
        <v>1010.1184530269001</v>
      </c>
      <c r="I122" s="122"/>
      <c r="J122" s="122"/>
      <c r="L122" s="39"/>
      <c r="M122" s="39"/>
    </row>
    <row r="123" spans="1:21" ht="14.25" customHeight="1" x14ac:dyDescent="0.25">
      <c r="A123" s="19" t="s">
        <v>93</v>
      </c>
      <c r="B123" s="61">
        <f t="shared" si="1"/>
        <v>1035.885271758</v>
      </c>
      <c r="C123" s="19" t="s">
        <v>94</v>
      </c>
      <c r="D123" s="31">
        <f t="shared" si="2"/>
        <v>16.740925216600001</v>
      </c>
      <c r="E123" s="129" t="s">
        <v>95</v>
      </c>
      <c r="F123" s="122"/>
      <c r="G123" s="122"/>
      <c r="H123" s="131">
        <f t="shared" si="3"/>
        <v>56.856318037400001</v>
      </c>
      <c r="I123" s="122"/>
      <c r="J123" s="122"/>
      <c r="L123" s="39" t="s">
        <v>51</v>
      </c>
      <c r="M123" s="62">
        <f>[1]!b_stm07_bs(K107,141,L107,1)</f>
        <v>32070568218.66</v>
      </c>
    </row>
    <row r="124" spans="1:21" ht="14.25" customHeight="1" x14ac:dyDescent="0.25">
      <c r="A124" s="19" t="s">
        <v>96</v>
      </c>
      <c r="B124" s="33">
        <f t="shared" si="1"/>
        <v>103.928659298</v>
      </c>
      <c r="C124" s="19" t="s">
        <v>97</v>
      </c>
      <c r="D124" s="31">
        <f t="shared" si="2"/>
        <v>16.6319743713</v>
      </c>
      <c r="E124" s="129" t="s">
        <v>98</v>
      </c>
      <c r="F124" s="122"/>
      <c r="G124" s="122"/>
      <c r="H124" s="131">
        <f t="shared" si="3"/>
        <v>-141.4393950674</v>
      </c>
      <c r="I124" s="122"/>
      <c r="J124" s="122"/>
      <c r="L124" s="39"/>
      <c r="M124" s="39"/>
    </row>
    <row r="125" spans="1:21" ht="27" customHeight="1" x14ac:dyDescent="0.25">
      <c r="A125" s="19" t="s">
        <v>99</v>
      </c>
      <c r="B125" s="33">
        <f t="shared" si="1"/>
        <v>26.389924734000001</v>
      </c>
      <c r="C125" s="19" t="s">
        <v>41</v>
      </c>
      <c r="D125" s="31">
        <f t="shared" si="2"/>
        <v>8.3732689413999992</v>
      </c>
      <c r="E125" s="129" t="s">
        <v>100</v>
      </c>
      <c r="F125" s="122"/>
      <c r="G125" s="122"/>
      <c r="H125" s="130">
        <f t="shared" si="3"/>
        <v>147.56440873139999</v>
      </c>
      <c r="I125" s="122"/>
      <c r="J125" s="122"/>
      <c r="L125" s="39"/>
      <c r="M125" s="39"/>
    </row>
    <row r="126" spans="1:21" ht="16.5" customHeight="1" x14ac:dyDescent="0.25">
      <c r="A126" s="19" t="s">
        <v>101</v>
      </c>
      <c r="B126" s="33">
        <f t="shared" si="1"/>
        <v>0</v>
      </c>
      <c r="C126" s="19"/>
      <c r="D126" s="34"/>
      <c r="E126" s="129" t="s">
        <v>102</v>
      </c>
      <c r="F126" s="122"/>
      <c r="G126" s="122"/>
      <c r="H126" s="130">
        <f t="shared" si="3"/>
        <v>271.39428495129999</v>
      </c>
      <c r="I126" s="122"/>
      <c r="J126" s="122"/>
      <c r="L126" s="132" t="s">
        <v>72</v>
      </c>
      <c r="M126" s="122"/>
      <c r="N126" s="132" t="s">
        <v>73</v>
      </c>
      <c r="O126" s="122"/>
      <c r="P126" s="123" t="s">
        <v>74</v>
      </c>
      <c r="Q126" s="122"/>
      <c r="R126" s="122"/>
      <c r="S126" s="133"/>
      <c r="T126" s="133"/>
      <c r="U126" s="133"/>
    </row>
    <row r="127" spans="1:21" ht="14.25" customHeight="1" x14ac:dyDescent="0.25">
      <c r="A127" s="19" t="s">
        <v>103</v>
      </c>
      <c r="B127" s="33">
        <f t="shared" si="1"/>
        <v>68.609570910000002</v>
      </c>
      <c r="C127" s="19"/>
      <c r="D127" s="34"/>
      <c r="E127" s="129" t="s">
        <v>104</v>
      </c>
      <c r="F127" s="122"/>
      <c r="G127" s="122"/>
      <c r="H127" s="130">
        <f t="shared" si="3"/>
        <v>21.1589370216</v>
      </c>
      <c r="I127" s="122"/>
      <c r="J127" s="122"/>
      <c r="L127" s="19" t="s">
        <v>75</v>
      </c>
      <c r="M127" s="69">
        <f>[1]!b_stm07_bs(K107,9,L107,1)</f>
        <v>6285180332</v>
      </c>
      <c r="N127" s="19" t="s">
        <v>76</v>
      </c>
      <c r="O127" s="69">
        <f>[1]!b_stm07_is(K107,83,L107,1)</f>
        <v>74883447195.839996</v>
      </c>
      <c r="P127" s="129" t="s">
        <v>77</v>
      </c>
      <c r="Q127" s="122"/>
      <c r="R127" s="122"/>
      <c r="S127" s="134">
        <f>[1]!b_stm07_cs(K107,9,L107,1)</f>
        <v>78019593469.690002</v>
      </c>
      <c r="T127" s="133"/>
      <c r="U127" s="133"/>
    </row>
    <row r="128" spans="1:21" ht="14.25" customHeight="1" x14ac:dyDescent="0.25">
      <c r="A128" s="19" t="s">
        <v>105</v>
      </c>
      <c r="B128" s="33">
        <f t="shared" si="1"/>
        <v>102.4532172002</v>
      </c>
      <c r="C128" s="19"/>
      <c r="D128" s="34"/>
      <c r="E128" s="129" t="s">
        <v>106</v>
      </c>
      <c r="F128" s="122"/>
      <c r="G128" s="122"/>
      <c r="H128" s="131">
        <f t="shared" si="3"/>
        <v>607.55030022569997</v>
      </c>
      <c r="I128" s="122"/>
      <c r="J128" s="122"/>
      <c r="L128" s="19" t="s">
        <v>78</v>
      </c>
      <c r="M128" s="69">
        <f>[1]!b_stm07_bs(K107,12,L107,1)</f>
        <v>1176075284.49</v>
      </c>
      <c r="N128" s="19" t="s">
        <v>79</v>
      </c>
      <c r="O128" s="69">
        <f>[1]!b_stm07_is(K107,84,L107,1)</f>
        <v>74028375875.220001</v>
      </c>
      <c r="P128" s="129" t="s">
        <v>80</v>
      </c>
      <c r="Q128" s="122"/>
      <c r="R128" s="122"/>
      <c r="S128" s="134">
        <f>[1]!b_stm07_cs(K107,11,L107,1)</f>
        <v>28274034300.959999</v>
      </c>
      <c r="T128" s="133"/>
      <c r="U128" s="133"/>
    </row>
    <row r="129" spans="1:21" ht="14.25" customHeight="1" x14ac:dyDescent="0.25">
      <c r="A129" s="19" t="s">
        <v>107</v>
      </c>
      <c r="B129" s="61">
        <f t="shared" si="1"/>
        <v>715.17958957140002</v>
      </c>
      <c r="C129" s="35"/>
      <c r="D129" s="32"/>
      <c r="E129" s="129" t="s">
        <v>108</v>
      </c>
      <c r="F129" s="122"/>
      <c r="G129" s="122"/>
      <c r="H129" s="130">
        <f t="shared" si="3"/>
        <v>279.79046764890001</v>
      </c>
      <c r="I129" s="122"/>
      <c r="J129" s="122"/>
      <c r="L129" s="19" t="s">
        <v>81</v>
      </c>
      <c r="M129" s="69">
        <f>[1]!b_stm07_bs(K107,13,L107,1)</f>
        <v>7098812069.4300003</v>
      </c>
      <c r="N129" s="19" t="s">
        <v>82</v>
      </c>
      <c r="O129" s="69">
        <f>[1]!b_stm07_is(K107,10,L107,1)</f>
        <v>67677348111.160004</v>
      </c>
      <c r="P129" s="129" t="s">
        <v>83</v>
      </c>
      <c r="Q129" s="122"/>
      <c r="R129" s="122"/>
      <c r="S129" s="135">
        <f>[1]!b_stm07_cs(K107,25,L107,1)</f>
        <v>106697477106.42999</v>
      </c>
      <c r="T129" s="133"/>
      <c r="U129" s="133"/>
    </row>
    <row r="130" spans="1:21" ht="14.25" customHeight="1" x14ac:dyDescent="0.25">
      <c r="A130" s="19" t="s">
        <v>109</v>
      </c>
      <c r="B130" s="61">
        <f t="shared" si="1"/>
        <v>320.70568218659997</v>
      </c>
      <c r="C130" s="35"/>
      <c r="D130" s="32"/>
      <c r="E130" s="129" t="s">
        <v>110</v>
      </c>
      <c r="F130" s="122"/>
      <c r="G130" s="122"/>
      <c r="H130" s="130">
        <f t="shared" si="3"/>
        <v>512.30563070279993</v>
      </c>
      <c r="I130" s="122"/>
      <c r="J130" s="122"/>
      <c r="L130" s="19" t="s">
        <v>84</v>
      </c>
      <c r="M130" s="69">
        <f>[1]!b_stm07_bs(K107,31,L107,1)</f>
        <v>27413983234.290001</v>
      </c>
      <c r="N130" s="19" t="s">
        <v>85</v>
      </c>
      <c r="O130" s="69">
        <f>[1]!b_stm07_is(K107,12,L107,1)</f>
        <v>332065658.94999999</v>
      </c>
      <c r="P130" s="129" t="s">
        <v>86</v>
      </c>
      <c r="Q130" s="122"/>
      <c r="R130" s="122"/>
      <c r="S130" s="134">
        <f>[1]!b_stm07_cs(K107,26,L107,1)</f>
        <v>66440199224.639999</v>
      </c>
      <c r="T130" s="133"/>
      <c r="U130" s="133"/>
    </row>
    <row r="131" spans="1:21" ht="14.25" customHeight="1" x14ac:dyDescent="0.25">
      <c r="A131" s="36" t="s">
        <v>111</v>
      </c>
      <c r="B131" s="61">
        <f t="shared" si="1"/>
        <v>1035.885271758</v>
      </c>
      <c r="C131" s="35"/>
      <c r="D131" s="32"/>
      <c r="E131" s="129" t="s">
        <v>112</v>
      </c>
      <c r="F131" s="122"/>
      <c r="G131" s="122"/>
      <c r="H131" s="131">
        <f t="shared" si="3"/>
        <v>95.244669522900011</v>
      </c>
      <c r="I131" s="122"/>
      <c r="J131" s="122"/>
      <c r="L131" s="19" t="s">
        <v>87</v>
      </c>
      <c r="M131" s="69">
        <f>[1]!b_stm07_bs(K107,33,L107,1)</f>
        <v>6216320077.7200003</v>
      </c>
      <c r="N131" s="19" t="s">
        <v>88</v>
      </c>
      <c r="O131" s="69">
        <f>[1]!b_stm07_is(K107,13,L107,1)</f>
        <v>3378331232.8299999</v>
      </c>
      <c r="P131" s="129" t="s">
        <v>89</v>
      </c>
      <c r="Q131" s="122"/>
      <c r="R131" s="122"/>
      <c r="S131" s="134">
        <f>[1]!b_stm07_cs(K107,29,L107,1)</f>
        <v>29475403546.27</v>
      </c>
      <c r="T131" s="133"/>
      <c r="U131" s="133"/>
    </row>
    <row r="132" spans="1:21" x14ac:dyDescent="0.25">
      <c r="L132" s="19" t="s">
        <v>90</v>
      </c>
      <c r="M132" s="69">
        <f>[1]!b_stm07_bs(K107,37,L107,1)</f>
        <v>20873200670.77</v>
      </c>
      <c r="N132" s="19" t="s">
        <v>91</v>
      </c>
      <c r="O132" s="69">
        <f>[1]!b_stm07_is(K107,14,L107,1)</f>
        <v>1681521235.1900001</v>
      </c>
      <c r="P132" s="129" t="s">
        <v>92</v>
      </c>
      <c r="Q132" s="122"/>
      <c r="R132" s="122"/>
      <c r="S132" s="135">
        <f>[1]!b_stm07_cs(K107,37,L107,1)</f>
        <v>101011845302.69</v>
      </c>
      <c r="T132" s="133"/>
      <c r="U132" s="133"/>
    </row>
    <row r="133" spans="1:21" x14ac:dyDescent="0.25">
      <c r="L133" s="19" t="s">
        <v>93</v>
      </c>
      <c r="M133" s="71">
        <f>[1]!b_stm07_bs(K107,74,L107,1)</f>
        <v>103588527175.8</v>
      </c>
      <c r="N133" s="19" t="s">
        <v>94</v>
      </c>
      <c r="O133" s="69">
        <f>[1]!b_stm07_is(K107,48,L107,1)</f>
        <v>1674092521.6600001</v>
      </c>
      <c r="P133" s="129" t="s">
        <v>95</v>
      </c>
      <c r="Q133" s="122"/>
      <c r="R133" s="122"/>
      <c r="S133" s="135">
        <f>[1]!b_stm07_cs(K107,39,L107,1)</f>
        <v>5685631803.7399998</v>
      </c>
      <c r="T133" s="133"/>
      <c r="U133" s="133"/>
    </row>
    <row r="134" spans="1:21" x14ac:dyDescent="0.25">
      <c r="L134" s="19" t="s">
        <v>96</v>
      </c>
      <c r="M134" s="69">
        <f>[1]!b_stm07_bs(K107,75,L107,1)</f>
        <v>10392865929.799999</v>
      </c>
      <c r="N134" s="19" t="s">
        <v>97</v>
      </c>
      <c r="O134" s="69">
        <f>[1]!b_stm07_is(K107,55,L107,1)</f>
        <v>1663197437.1300001</v>
      </c>
      <c r="P134" s="129" t="s">
        <v>98</v>
      </c>
      <c r="Q134" s="122"/>
      <c r="R134" s="122"/>
      <c r="S134" s="135">
        <f>[1]!b_stm07_cs(K107,59,L107,1)</f>
        <v>-14143939506.74</v>
      </c>
      <c r="T134" s="133"/>
      <c r="U134" s="133"/>
    </row>
    <row r="135" spans="1:21" ht="32.4" customHeight="1" x14ac:dyDescent="0.25">
      <c r="L135" s="19" t="s">
        <v>99</v>
      </c>
      <c r="M135" s="69">
        <f>[1]!b_stm07_bs(K107,88,L107,1)</f>
        <v>2638992473.4000001</v>
      </c>
      <c r="N135" s="19" t="s">
        <v>41</v>
      </c>
      <c r="O135" s="69">
        <f>[1]!b_stm07_is(K107,60,L107,1)</f>
        <v>837326894.13999999</v>
      </c>
      <c r="P135" s="129" t="s">
        <v>100</v>
      </c>
      <c r="Q135" s="122"/>
      <c r="R135" s="122"/>
      <c r="S135" s="134">
        <f>[1]!b_stm07_cs(K107,60,L107,1)</f>
        <v>14756440873.139999</v>
      </c>
      <c r="T135" s="133"/>
      <c r="U135" s="133"/>
    </row>
    <row r="136" spans="1:21" ht="21.6" customHeight="1" x14ac:dyDescent="0.25">
      <c r="L136" s="19" t="s">
        <v>101</v>
      </c>
      <c r="M136" s="69">
        <f>[1]!b_stm07_bs(K107,147,L107,1)</f>
        <v>0</v>
      </c>
      <c r="N136" s="19"/>
      <c r="O136" s="34"/>
      <c r="P136" s="129" t="s">
        <v>102</v>
      </c>
      <c r="Q136" s="122"/>
      <c r="R136" s="122"/>
      <c r="S136" s="134">
        <f>[1]!b_stm07_cs(K107,61,L107,1)</f>
        <v>27139428495.130001</v>
      </c>
      <c r="T136" s="133"/>
      <c r="U136" s="133"/>
    </row>
    <row r="137" spans="1:21" x14ac:dyDescent="0.25">
      <c r="L137" s="19" t="s">
        <v>103</v>
      </c>
      <c r="M137" s="69">
        <f>[1]!b_stm07_bs(K107,94,L107,1)</f>
        <v>6860957091</v>
      </c>
      <c r="N137" s="19"/>
      <c r="O137" s="34"/>
      <c r="P137" s="129" t="s">
        <v>104</v>
      </c>
      <c r="Q137" s="122"/>
      <c r="R137" s="122"/>
      <c r="S137" s="134">
        <f>[1]!b_stm07_cs(K107,63,L107,1)</f>
        <v>2115893702.1600001</v>
      </c>
      <c r="T137" s="133"/>
      <c r="U137" s="133"/>
    </row>
    <row r="138" spans="1:21" x14ac:dyDescent="0.25">
      <c r="L138" s="19" t="s">
        <v>105</v>
      </c>
      <c r="M138" s="69">
        <f>[1]!b_stm07_bs(K107,95,L107,1)</f>
        <v>10245321720.02</v>
      </c>
      <c r="N138" s="19"/>
      <c r="O138" s="34"/>
      <c r="P138" s="129" t="s">
        <v>106</v>
      </c>
      <c r="Q138" s="122"/>
      <c r="R138" s="122"/>
      <c r="S138" s="135">
        <f>[1]!b_stm07_cs(K107,68,L107,1)</f>
        <v>60755030022.57</v>
      </c>
      <c r="T138" s="133"/>
      <c r="U138" s="133"/>
    </row>
    <row r="139" spans="1:21" x14ac:dyDescent="0.25">
      <c r="L139" s="19" t="s">
        <v>107</v>
      </c>
      <c r="M139" s="71">
        <f>[1]!b_stm07_bs(K107,128,L107,1)</f>
        <v>71517958957.139999</v>
      </c>
      <c r="N139" s="35"/>
      <c r="O139" s="32"/>
      <c r="P139" s="129" t="s">
        <v>108</v>
      </c>
      <c r="Q139" s="122"/>
      <c r="R139" s="122"/>
      <c r="S139" s="134">
        <f>[1]!b_stm07_cs(K107,69,L107,1)</f>
        <v>27979046764.889999</v>
      </c>
      <c r="T139" s="133"/>
      <c r="U139" s="133"/>
    </row>
    <row r="140" spans="1:21" ht="21.6" customHeight="1" x14ac:dyDescent="0.25">
      <c r="L140" s="19" t="s">
        <v>109</v>
      </c>
      <c r="M140" s="71">
        <f>[1]!b_stm07_bs(K107,141,L107,1)</f>
        <v>32070568218.66</v>
      </c>
      <c r="N140" s="35"/>
      <c r="O140" s="32"/>
      <c r="P140" s="129" t="s">
        <v>110</v>
      </c>
      <c r="Q140" s="122"/>
      <c r="R140" s="122"/>
      <c r="S140" s="134">
        <f>[1]!b_stm07_cs(K107,75,L107,1)</f>
        <v>51230563070.279999</v>
      </c>
      <c r="T140" s="133"/>
      <c r="U140" s="133"/>
    </row>
    <row r="141" spans="1:21" ht="21.6" customHeight="1" x14ac:dyDescent="0.25">
      <c r="L141" s="36" t="s">
        <v>111</v>
      </c>
      <c r="M141" s="71">
        <f>[1]!b_stm07_bs(K107,145,L107,1)</f>
        <v>103588527175.8</v>
      </c>
      <c r="N141" s="35"/>
      <c r="O141" s="32"/>
      <c r="P141" s="129" t="s">
        <v>112</v>
      </c>
      <c r="Q141" s="122"/>
      <c r="R141" s="122"/>
      <c r="S141" s="135">
        <f>[1]!b_stm07_cs(K107,77,L107,1)</f>
        <v>9524466952.2900009</v>
      </c>
      <c r="T141" s="133"/>
      <c r="U141" s="133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7" t="s">
        <v>1</v>
      </c>
      <c r="B1" s="116"/>
      <c r="C1" s="116"/>
      <c r="D1" s="116"/>
      <c r="E1" s="116"/>
      <c r="F1" s="116"/>
      <c r="G1" s="116"/>
    </row>
    <row r="2" spans="1:12" ht="13.5" customHeight="1" x14ac:dyDescent="0.25">
      <c r="A2" s="95" t="s">
        <v>2</v>
      </c>
      <c r="B2" s="117" t="s">
        <v>524</v>
      </c>
      <c r="C2" s="118"/>
      <c r="D2" s="95" t="s">
        <v>3</v>
      </c>
      <c r="E2" s="117" t="s">
        <v>525</v>
      </c>
      <c r="F2" s="118"/>
      <c r="G2" s="118"/>
    </row>
    <row r="3" spans="1:12" ht="14.25" customHeight="1" x14ac:dyDescent="0.25">
      <c r="A3" s="95" t="s">
        <v>4</v>
      </c>
      <c r="B3" s="117" t="s">
        <v>526</v>
      </c>
      <c r="C3" s="118"/>
      <c r="D3" s="95" t="s">
        <v>5</v>
      </c>
      <c r="E3" s="117" t="s">
        <v>527</v>
      </c>
      <c r="F3" s="118"/>
      <c r="G3" s="118"/>
    </row>
    <row r="4" spans="1:12" ht="113.25" customHeight="1" x14ac:dyDescent="0.25">
      <c r="A4" s="95" t="s">
        <v>6</v>
      </c>
      <c r="B4" s="119" t="s">
        <v>528</v>
      </c>
      <c r="C4" s="118"/>
      <c r="D4" s="118"/>
      <c r="E4" s="118"/>
      <c r="F4" s="118"/>
      <c r="G4" s="118"/>
    </row>
    <row r="5" spans="1:12" ht="14.4" x14ac:dyDescent="0.25">
      <c r="A5" s="100" t="s">
        <v>113</v>
      </c>
      <c r="B5" s="138" t="s">
        <v>529</v>
      </c>
      <c r="C5" s="118"/>
      <c r="D5" s="118"/>
      <c r="E5" s="118"/>
      <c r="F5" s="139">
        <v>0.7</v>
      </c>
      <c r="G5" s="118"/>
    </row>
    <row r="6" spans="1:12" ht="11.25" customHeight="1" x14ac:dyDescent="0.25">
      <c r="A6" s="100" t="s">
        <v>114</v>
      </c>
      <c r="B6" s="138" t="s">
        <v>530</v>
      </c>
      <c r="C6" s="118"/>
      <c r="D6" s="118"/>
      <c r="E6" s="118"/>
      <c r="F6" s="139">
        <v>0.2</v>
      </c>
      <c r="G6" s="118"/>
    </row>
    <row r="7" spans="1:12" ht="11.25" customHeight="1" x14ac:dyDescent="0.25">
      <c r="A7" s="100" t="s">
        <v>115</v>
      </c>
      <c r="B7" s="138" t="s">
        <v>531</v>
      </c>
      <c r="C7" s="118"/>
      <c r="D7" s="118"/>
      <c r="E7" s="118"/>
      <c r="F7" s="139">
        <v>0.1</v>
      </c>
      <c r="G7" s="118"/>
    </row>
    <row r="8" spans="1:12" ht="11.25" customHeight="1" x14ac:dyDescent="0.25">
      <c r="A8" s="100" t="s">
        <v>116</v>
      </c>
      <c r="B8" s="138" t="s">
        <v>532</v>
      </c>
      <c r="C8" s="118"/>
      <c r="D8" s="118"/>
      <c r="E8" s="118"/>
      <c r="F8" s="139" t="s">
        <v>532</v>
      </c>
      <c r="G8" s="118"/>
    </row>
    <row r="9" spans="1:12" ht="11.25" customHeight="1" x14ac:dyDescent="0.25">
      <c r="A9" s="100" t="s">
        <v>117</v>
      </c>
      <c r="B9" s="138" t="s">
        <v>532</v>
      </c>
      <c r="C9" s="118"/>
      <c r="D9" s="118"/>
      <c r="E9" s="118"/>
      <c r="F9" s="139" t="s">
        <v>532</v>
      </c>
      <c r="G9" s="118"/>
    </row>
    <row r="11" spans="1:12" ht="14.4" customHeight="1" x14ac:dyDescent="0.25">
      <c r="A11" s="140" t="s">
        <v>118</v>
      </c>
      <c r="B11" s="118"/>
      <c r="C11" s="118"/>
      <c r="D11" s="118"/>
      <c r="E11" s="118"/>
      <c r="F11" s="118"/>
      <c r="G11" s="118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119</v>
      </c>
      <c r="B13" t="s">
        <v>120</v>
      </c>
      <c r="C13" t="s">
        <v>121</v>
      </c>
      <c r="D13" s="40">
        <v>3.8</v>
      </c>
      <c r="E13" s="40">
        <v>2.9918032786885247</v>
      </c>
      <c r="F13" s="47" t="s">
        <v>25</v>
      </c>
      <c r="G13" s="40">
        <v>10</v>
      </c>
    </row>
    <row r="14" spans="1:12" ht="14.4" customHeight="1" x14ac:dyDescent="0.25">
      <c r="A14" t="s">
        <v>122</v>
      </c>
      <c r="B14" t="s">
        <v>123</v>
      </c>
      <c r="C14" t="s">
        <v>124</v>
      </c>
      <c r="D14" s="40">
        <v>3.8</v>
      </c>
      <c r="E14" s="41">
        <v>2.9836065573770494</v>
      </c>
      <c r="F14" t="s">
        <v>25</v>
      </c>
      <c r="G14" s="40">
        <v>10</v>
      </c>
    </row>
    <row r="15" spans="1:12" ht="14.4" customHeight="1" x14ac:dyDescent="0.25">
      <c r="A15" t="s">
        <v>125</v>
      </c>
      <c r="B15" t="s">
        <v>126</v>
      </c>
      <c r="C15" t="s">
        <v>127</v>
      </c>
      <c r="D15" s="40">
        <v>3.3</v>
      </c>
      <c r="E15" s="41">
        <v>0.70136986301369864</v>
      </c>
      <c r="F15">
        <v>0</v>
      </c>
      <c r="G15" s="40">
        <v>5</v>
      </c>
    </row>
    <row r="16" spans="1:12" ht="14.4" customHeight="1" x14ac:dyDescent="0.25">
      <c r="A16" t="s">
        <v>128</v>
      </c>
      <c r="B16" t="s">
        <v>129</v>
      </c>
      <c r="C16" t="s">
        <v>130</v>
      </c>
      <c r="D16" s="40">
        <v>3.24</v>
      </c>
      <c r="E16" s="41">
        <v>0.67397260273972603</v>
      </c>
      <c r="F16">
        <v>0</v>
      </c>
      <c r="G16" s="40">
        <v>5</v>
      </c>
    </row>
    <row r="17" spans="1:7" ht="14.4" customHeight="1" x14ac:dyDescent="0.25">
      <c r="A17" t="s">
        <v>131</v>
      </c>
      <c r="B17" t="s">
        <v>132</v>
      </c>
      <c r="C17" t="s">
        <v>133</v>
      </c>
      <c r="D17" s="40">
        <v>3.19</v>
      </c>
      <c r="E17" s="41">
        <v>0.66849315068493154</v>
      </c>
      <c r="F17">
        <v>0</v>
      </c>
      <c r="G17" s="40">
        <v>5</v>
      </c>
    </row>
    <row r="18" spans="1:7" ht="14.4" customHeight="1" x14ac:dyDescent="0.25">
      <c r="A18" t="s">
        <v>134</v>
      </c>
      <c r="B18" t="s">
        <v>135</v>
      </c>
      <c r="C18" t="s">
        <v>136</v>
      </c>
      <c r="D18" s="40">
        <v>3.27</v>
      </c>
      <c r="E18" s="41">
        <v>0.65205479452054793</v>
      </c>
      <c r="F18">
        <v>0</v>
      </c>
      <c r="G18" s="40">
        <v>5</v>
      </c>
    </row>
    <row r="19" spans="1:7" ht="14.4" customHeight="1" x14ac:dyDescent="0.25">
      <c r="A19" t="s">
        <v>137</v>
      </c>
      <c r="B19" t="s">
        <v>138</v>
      </c>
      <c r="C19" t="s">
        <v>139</v>
      </c>
      <c r="D19" s="40">
        <v>3.8</v>
      </c>
      <c r="E19" s="41">
        <v>0.46027397260273972</v>
      </c>
      <c r="F19">
        <v>0</v>
      </c>
      <c r="G19" s="40">
        <v>10</v>
      </c>
    </row>
    <row r="20" spans="1:7" ht="14.4" customHeight="1" x14ac:dyDescent="0.25">
      <c r="A20" t="s">
        <v>140</v>
      </c>
      <c r="B20" t="s">
        <v>141</v>
      </c>
      <c r="C20" t="s">
        <v>142</v>
      </c>
      <c r="D20" s="40">
        <v>3.8</v>
      </c>
      <c r="E20" s="41">
        <v>0.44109589041095892</v>
      </c>
      <c r="F20">
        <v>0</v>
      </c>
      <c r="G20" s="40">
        <v>10</v>
      </c>
    </row>
    <row r="21" spans="1:7" ht="14.4" customHeight="1" x14ac:dyDescent="0.25">
      <c r="A21" t="s">
        <v>143</v>
      </c>
      <c r="B21" t="s">
        <v>144</v>
      </c>
      <c r="C21" t="s">
        <v>145</v>
      </c>
      <c r="D21" s="40">
        <v>3.74</v>
      </c>
      <c r="E21" s="41">
        <v>0.42465753424657532</v>
      </c>
      <c r="F21">
        <v>0</v>
      </c>
      <c r="G21" s="40">
        <v>10</v>
      </c>
    </row>
    <row r="22" spans="1:7" ht="14.4" customHeight="1" x14ac:dyDescent="0.25">
      <c r="A22" t="s">
        <v>146</v>
      </c>
      <c r="B22" t="s">
        <v>147</v>
      </c>
      <c r="C22" t="s">
        <v>148</v>
      </c>
      <c r="D22" s="40">
        <v>3.76</v>
      </c>
      <c r="E22" s="41">
        <v>0.38630136986301372</v>
      </c>
      <c r="F22">
        <v>0</v>
      </c>
      <c r="G22" s="40">
        <v>10</v>
      </c>
    </row>
    <row r="23" spans="1:7" ht="14.4" customHeight="1" x14ac:dyDescent="0.25">
      <c r="A23" t="s">
        <v>149</v>
      </c>
      <c r="B23" t="s">
        <v>150</v>
      </c>
      <c r="C23" t="s">
        <v>151</v>
      </c>
      <c r="D23" s="40">
        <v>3.67</v>
      </c>
      <c r="E23" s="41">
        <v>0.23013698630136986</v>
      </c>
      <c r="F23">
        <v>0</v>
      </c>
      <c r="G23" s="40">
        <v>5</v>
      </c>
    </row>
    <row r="24" spans="1:7" ht="14.4" customHeight="1" x14ac:dyDescent="0.25">
      <c r="A24" t="s">
        <v>152</v>
      </c>
      <c r="B24" t="s">
        <v>153</v>
      </c>
      <c r="C24" t="s">
        <v>154</v>
      </c>
      <c r="D24" s="40">
        <v>3.71</v>
      </c>
      <c r="E24" s="41">
        <v>0.36438356164383562</v>
      </c>
      <c r="F24">
        <v>0</v>
      </c>
      <c r="G24" s="40">
        <v>10</v>
      </c>
    </row>
    <row r="25" spans="1:7" ht="14.4" customHeight="1" x14ac:dyDescent="0.25">
      <c r="A25" t="s">
        <v>155</v>
      </c>
      <c r="B25" t="s">
        <v>156</v>
      </c>
      <c r="C25" t="s">
        <v>157</v>
      </c>
      <c r="D25" s="40">
        <v>3.77</v>
      </c>
      <c r="E25" s="41">
        <v>0.32876712328767121</v>
      </c>
      <c r="F25">
        <v>0</v>
      </c>
      <c r="G25" s="40">
        <v>10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40">
        <v>3.77</v>
      </c>
      <c r="E26" s="41">
        <v>0.27123287671232876</v>
      </c>
      <c r="F26">
        <v>0</v>
      </c>
      <c r="G26" s="40">
        <v>10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40">
        <v>3.8</v>
      </c>
      <c r="E27" s="41">
        <v>0.18630136986301371</v>
      </c>
      <c r="F27">
        <v>0</v>
      </c>
      <c r="G27" s="40">
        <v>10</v>
      </c>
    </row>
    <row r="28" spans="1:7" ht="14.4" customHeight="1" x14ac:dyDescent="0.25">
      <c r="A28" t="s">
        <v>164</v>
      </c>
      <c r="B28" t="s">
        <v>165</v>
      </c>
      <c r="C28" t="s">
        <v>166</v>
      </c>
      <c r="D28" s="40">
        <v>3.9</v>
      </c>
      <c r="E28" s="41">
        <v>0.13698630136986301</v>
      </c>
      <c r="F28">
        <v>0</v>
      </c>
      <c r="G28" s="40">
        <v>10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40">
        <v>6.5</v>
      </c>
      <c r="E29" s="41">
        <v>2.3780821917808219</v>
      </c>
      <c r="F29">
        <v>0</v>
      </c>
      <c r="G29" s="40">
        <v>10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40">
        <v>4.03</v>
      </c>
      <c r="E30" s="41">
        <v>5.2054794520547946E-2</v>
      </c>
      <c r="F30">
        <v>0</v>
      </c>
      <c r="G30" s="40">
        <v>10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40">
        <v>4.3</v>
      </c>
      <c r="E31" s="41">
        <v>3.5616438356164383E-2</v>
      </c>
      <c r="F31">
        <v>0</v>
      </c>
      <c r="G31" s="40">
        <v>10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40">
        <v>4.38</v>
      </c>
      <c r="E32" s="41">
        <v>0</v>
      </c>
      <c r="F32">
        <v>0</v>
      </c>
      <c r="G32" s="40">
        <v>5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40">
        <v>4.8499999999999996</v>
      </c>
      <c r="E33" s="41">
        <v>0</v>
      </c>
      <c r="F33">
        <v>0</v>
      </c>
      <c r="G33" s="40">
        <v>5</v>
      </c>
    </row>
    <row r="34" spans="1:7" ht="14.4" customHeight="1" x14ac:dyDescent="0.25">
      <c r="A34" t="s">
        <v>182</v>
      </c>
      <c r="B34" t="s">
        <v>183</v>
      </c>
      <c r="C34" t="s">
        <v>184</v>
      </c>
      <c r="D34" s="40">
        <v>4.9000000000000004</v>
      </c>
      <c r="E34" s="41">
        <v>0</v>
      </c>
      <c r="F34">
        <v>0</v>
      </c>
      <c r="G34" s="40">
        <v>10</v>
      </c>
    </row>
    <row r="35" spans="1:7" ht="14.4" customHeight="1" x14ac:dyDescent="0.25">
      <c r="A35" t="s">
        <v>185</v>
      </c>
      <c r="B35" t="s">
        <v>186</v>
      </c>
      <c r="C35" t="s">
        <v>187</v>
      </c>
      <c r="D35" s="40">
        <v>6.5</v>
      </c>
      <c r="E35" s="41">
        <v>2.1671232876712327</v>
      </c>
      <c r="F35">
        <v>0</v>
      </c>
      <c r="G35" s="40">
        <v>10</v>
      </c>
    </row>
    <row r="36" spans="1:7" ht="14.4" customHeight="1" x14ac:dyDescent="0.25">
      <c r="A36" t="s">
        <v>188</v>
      </c>
      <c r="B36" t="s">
        <v>189</v>
      </c>
      <c r="C36" t="s">
        <v>190</v>
      </c>
      <c r="D36" s="40">
        <v>4.6900000000000004</v>
      </c>
      <c r="E36" s="41">
        <v>0</v>
      </c>
      <c r="F36">
        <v>0</v>
      </c>
      <c r="G36" s="40">
        <v>10</v>
      </c>
    </row>
    <row r="37" spans="1:7" ht="14.4" customHeight="1" x14ac:dyDescent="0.25">
      <c r="A37" t="s">
        <v>191</v>
      </c>
      <c r="B37" t="s">
        <v>192</v>
      </c>
      <c r="C37" t="s">
        <v>193</v>
      </c>
      <c r="D37" s="40">
        <v>4.5999999999999996</v>
      </c>
      <c r="E37" s="41">
        <v>0</v>
      </c>
      <c r="F37">
        <v>0</v>
      </c>
      <c r="G37" s="40">
        <v>10</v>
      </c>
    </row>
    <row r="38" spans="1:7" ht="14.4" customHeight="1" x14ac:dyDescent="0.25">
      <c r="A38" t="s">
        <v>194</v>
      </c>
      <c r="B38" t="s">
        <v>195</v>
      </c>
      <c r="C38" t="s">
        <v>196</v>
      </c>
      <c r="D38" s="40">
        <v>4.6500000000000004</v>
      </c>
      <c r="E38" s="41">
        <v>0</v>
      </c>
      <c r="F38">
        <v>0</v>
      </c>
      <c r="G38" s="40">
        <v>10</v>
      </c>
    </row>
    <row r="39" spans="1:7" ht="14.4" customHeight="1" x14ac:dyDescent="0.25">
      <c r="A39" t="s">
        <v>197</v>
      </c>
      <c r="B39" t="s">
        <v>198</v>
      </c>
      <c r="C39" t="s">
        <v>199</v>
      </c>
      <c r="D39" s="40">
        <v>4.4800000000000004</v>
      </c>
      <c r="E39" s="41">
        <v>0</v>
      </c>
      <c r="F39">
        <v>0</v>
      </c>
      <c r="G39" s="40">
        <v>10</v>
      </c>
    </row>
    <row r="40" spans="1:7" ht="14.4" customHeight="1" x14ac:dyDescent="0.25">
      <c r="A40" t="s">
        <v>200</v>
      </c>
      <c r="B40" t="s">
        <v>201</v>
      </c>
      <c r="C40" t="s">
        <v>202</v>
      </c>
      <c r="D40" s="40">
        <v>4.5</v>
      </c>
      <c r="E40" s="41">
        <v>0</v>
      </c>
      <c r="F40">
        <v>0</v>
      </c>
      <c r="G40" s="40">
        <v>5</v>
      </c>
    </row>
    <row r="41" spans="1:7" ht="14.4" customHeight="1" x14ac:dyDescent="0.25">
      <c r="A41" t="s">
        <v>203</v>
      </c>
      <c r="B41" t="s">
        <v>204</v>
      </c>
      <c r="C41" t="s">
        <v>205</v>
      </c>
      <c r="D41" s="40">
        <v>4.68</v>
      </c>
      <c r="E41" s="41">
        <v>0</v>
      </c>
      <c r="F41">
        <v>0</v>
      </c>
      <c r="G41" s="40">
        <v>10</v>
      </c>
    </row>
    <row r="42" spans="1:7" ht="14.4" customHeight="1" x14ac:dyDescent="0.25">
      <c r="A42" t="s">
        <v>206</v>
      </c>
      <c r="B42" t="s">
        <v>207</v>
      </c>
      <c r="C42" t="s">
        <v>208</v>
      </c>
      <c r="D42" s="40">
        <v>6.23</v>
      </c>
      <c r="E42" s="41">
        <v>1.9945355191256831</v>
      </c>
      <c r="F42">
        <v>0</v>
      </c>
      <c r="G42" s="40">
        <v>20</v>
      </c>
    </row>
    <row r="43" spans="1:7" ht="14.4" customHeight="1" x14ac:dyDescent="0.25">
      <c r="A43" t="s">
        <v>209</v>
      </c>
      <c r="B43" t="s">
        <v>210</v>
      </c>
      <c r="C43" t="s">
        <v>211</v>
      </c>
      <c r="D43" s="40">
        <v>4.8099999999999996</v>
      </c>
      <c r="E43" s="41">
        <v>0</v>
      </c>
      <c r="F43">
        <v>0</v>
      </c>
      <c r="G43" s="40">
        <v>10</v>
      </c>
    </row>
    <row r="44" spans="1:7" ht="14.4" customHeight="1" x14ac:dyDescent="0.25">
      <c r="A44" t="s">
        <v>212</v>
      </c>
      <c r="B44" t="s">
        <v>213</v>
      </c>
      <c r="C44" t="s">
        <v>214</v>
      </c>
      <c r="D44" s="40">
        <v>5.07</v>
      </c>
      <c r="E44" s="41">
        <v>0</v>
      </c>
      <c r="F44">
        <v>0</v>
      </c>
      <c r="G44" s="40">
        <v>10</v>
      </c>
    </row>
    <row r="45" spans="1:7" ht="14.4" customHeight="1" x14ac:dyDescent="0.25">
      <c r="A45" t="s">
        <v>215</v>
      </c>
      <c r="B45" t="s">
        <v>216</v>
      </c>
      <c r="C45" t="s">
        <v>217</v>
      </c>
      <c r="D45" s="40">
        <v>5</v>
      </c>
      <c r="E45" s="41">
        <v>0</v>
      </c>
      <c r="F45">
        <v>0</v>
      </c>
      <c r="G45" s="40">
        <v>10</v>
      </c>
    </row>
    <row r="46" spans="1:7" ht="14.4" customHeight="1" x14ac:dyDescent="0.25">
      <c r="A46" t="s">
        <v>218</v>
      </c>
      <c r="B46" t="s">
        <v>219</v>
      </c>
      <c r="C46" t="s">
        <v>220</v>
      </c>
      <c r="D46" s="40">
        <v>4.84</v>
      </c>
      <c r="E46" s="41">
        <v>0</v>
      </c>
      <c r="F46">
        <v>0</v>
      </c>
      <c r="G46" s="40">
        <v>5</v>
      </c>
    </row>
    <row r="47" spans="1:7" ht="14.4" customHeight="1" x14ac:dyDescent="0.25">
      <c r="A47" t="s">
        <v>221</v>
      </c>
      <c r="B47" t="s">
        <v>222</v>
      </c>
      <c r="C47" t="s">
        <v>223</v>
      </c>
      <c r="D47" s="40">
        <v>4.84</v>
      </c>
      <c r="E47" s="41">
        <v>0</v>
      </c>
      <c r="F47">
        <v>0</v>
      </c>
      <c r="G47" s="40">
        <v>5</v>
      </c>
    </row>
    <row r="48" spans="1:7" ht="14.4" customHeight="1" x14ac:dyDescent="0.25">
      <c r="A48" t="s">
        <v>224</v>
      </c>
      <c r="B48" t="s">
        <v>225</v>
      </c>
      <c r="C48" t="s">
        <v>226</v>
      </c>
      <c r="D48" s="40">
        <v>5.6</v>
      </c>
      <c r="E48" s="41">
        <v>1.3726027397260274</v>
      </c>
      <c r="F48" t="s">
        <v>25</v>
      </c>
      <c r="G48" s="40">
        <v>15.25</v>
      </c>
    </row>
    <row r="49" spans="1:7" ht="14.4" customHeight="1" x14ac:dyDescent="0.25">
      <c r="A49" t="s">
        <v>227</v>
      </c>
      <c r="B49" t="s">
        <v>228</v>
      </c>
      <c r="C49" t="s">
        <v>229</v>
      </c>
      <c r="D49" s="40">
        <v>4.4800000000000004</v>
      </c>
      <c r="E49" s="41">
        <v>0</v>
      </c>
      <c r="F49">
        <v>0</v>
      </c>
      <c r="G49" s="40">
        <v>5</v>
      </c>
    </row>
    <row r="50" spans="1:7" ht="14.4" customHeight="1" x14ac:dyDescent="0.25">
      <c r="A50" t="s">
        <v>230</v>
      </c>
      <c r="B50" t="s">
        <v>231</v>
      </c>
      <c r="C50" t="s">
        <v>232</v>
      </c>
      <c r="D50" s="40">
        <v>4.4800000000000004</v>
      </c>
      <c r="E50" s="41">
        <v>0</v>
      </c>
      <c r="F50">
        <v>0</v>
      </c>
      <c r="G50" s="40">
        <v>15</v>
      </c>
    </row>
    <row r="51" spans="1:7" ht="14.4" customHeight="1" x14ac:dyDescent="0.25">
      <c r="A51" t="s">
        <v>233</v>
      </c>
      <c r="B51" t="s">
        <v>234</v>
      </c>
      <c r="C51" t="s">
        <v>235</v>
      </c>
      <c r="D51" s="40">
        <v>4.4800000000000004</v>
      </c>
      <c r="E51" s="41">
        <v>0</v>
      </c>
      <c r="F51">
        <v>0</v>
      </c>
      <c r="G51" s="40">
        <v>10</v>
      </c>
    </row>
    <row r="52" spans="1:7" ht="14.4" customHeight="1" x14ac:dyDescent="0.25">
      <c r="A52" t="s">
        <v>236</v>
      </c>
      <c r="B52" t="s">
        <v>237</v>
      </c>
      <c r="C52" t="s">
        <v>238</v>
      </c>
      <c r="D52" s="40">
        <v>4.55</v>
      </c>
      <c r="E52" s="41">
        <v>0</v>
      </c>
      <c r="F52">
        <v>0</v>
      </c>
      <c r="G52" s="40">
        <v>10</v>
      </c>
    </row>
    <row r="53" spans="1:7" ht="14.4" customHeight="1" x14ac:dyDescent="0.25">
      <c r="A53" t="s">
        <v>239</v>
      </c>
      <c r="B53" t="s">
        <v>240</v>
      </c>
      <c r="C53" t="s">
        <v>241</v>
      </c>
      <c r="D53" s="40">
        <v>5.8</v>
      </c>
      <c r="E53" s="41">
        <v>1.2986301369863014</v>
      </c>
      <c r="F53" t="s">
        <v>25</v>
      </c>
      <c r="G53" s="40">
        <v>24.75</v>
      </c>
    </row>
    <row r="54" spans="1:7" ht="14.4" customHeight="1" x14ac:dyDescent="0.25">
      <c r="A54" t="s">
        <v>242</v>
      </c>
      <c r="B54" t="s">
        <v>243</v>
      </c>
      <c r="C54" t="s">
        <v>244</v>
      </c>
      <c r="D54" s="40">
        <v>4.4400000000000004</v>
      </c>
      <c r="E54" s="41">
        <v>0</v>
      </c>
      <c r="F54">
        <v>0</v>
      </c>
      <c r="G54" s="40">
        <v>5</v>
      </c>
    </row>
    <row r="55" spans="1:7" ht="14.4" customHeight="1" x14ac:dyDescent="0.25">
      <c r="A55" t="s">
        <v>245</v>
      </c>
      <c r="B55" t="s">
        <v>246</v>
      </c>
      <c r="C55" t="s">
        <v>247</v>
      </c>
      <c r="D55" s="40">
        <v>4.83</v>
      </c>
      <c r="E55" s="41">
        <v>0</v>
      </c>
      <c r="F55">
        <v>0</v>
      </c>
      <c r="G55" s="40">
        <v>10</v>
      </c>
    </row>
    <row r="56" spans="1:7" ht="14.4" customHeight="1" x14ac:dyDescent="0.25">
      <c r="A56" t="s">
        <v>248</v>
      </c>
      <c r="B56" t="s">
        <v>249</v>
      </c>
      <c r="C56" t="s">
        <v>250</v>
      </c>
      <c r="D56" s="40">
        <v>4.8</v>
      </c>
      <c r="E56" s="41">
        <v>0</v>
      </c>
      <c r="F56">
        <v>0</v>
      </c>
      <c r="G56" s="40">
        <v>10</v>
      </c>
    </row>
    <row r="57" spans="1:7" ht="14.4" customHeight="1" x14ac:dyDescent="0.25">
      <c r="A57" t="s">
        <v>251</v>
      </c>
      <c r="B57" t="s">
        <v>252</v>
      </c>
      <c r="C57" t="s">
        <v>253</v>
      </c>
      <c r="D57" s="40">
        <v>4.3499999999999996</v>
      </c>
      <c r="E57" s="41">
        <v>0</v>
      </c>
      <c r="F57">
        <v>0</v>
      </c>
      <c r="G57" s="40">
        <v>10</v>
      </c>
    </row>
    <row r="58" spans="1:7" ht="14.4" customHeight="1" x14ac:dyDescent="0.25">
      <c r="A58" t="s">
        <v>254</v>
      </c>
      <c r="B58" t="s">
        <v>255</v>
      </c>
      <c r="C58" t="s">
        <v>256</v>
      </c>
      <c r="D58" s="40">
        <v>3.09</v>
      </c>
      <c r="E58" s="41">
        <v>0</v>
      </c>
      <c r="F58">
        <v>0</v>
      </c>
      <c r="G58" s="40">
        <v>10</v>
      </c>
    </row>
    <row r="59" spans="1:7" ht="14.4" customHeight="1" x14ac:dyDescent="0.25">
      <c r="A59" t="s">
        <v>257</v>
      </c>
      <c r="B59" t="s">
        <v>258</v>
      </c>
      <c r="C59" t="s">
        <v>259</v>
      </c>
      <c r="D59" s="40">
        <v>2.99</v>
      </c>
      <c r="E59" s="41">
        <v>0</v>
      </c>
      <c r="F59">
        <v>0</v>
      </c>
      <c r="G59" s="40">
        <v>10</v>
      </c>
    </row>
    <row r="60" spans="1:7" ht="14.4" customHeight="1" x14ac:dyDescent="0.25">
      <c r="A60" t="s">
        <v>260</v>
      </c>
      <c r="B60" t="s">
        <v>261</v>
      </c>
      <c r="C60" t="s">
        <v>262</v>
      </c>
      <c r="D60" s="40">
        <v>2.97</v>
      </c>
      <c r="E60" s="41">
        <v>0</v>
      </c>
      <c r="F60">
        <v>0</v>
      </c>
      <c r="G60" s="40">
        <v>10</v>
      </c>
    </row>
    <row r="61" spans="1:7" ht="14.4" customHeight="1" x14ac:dyDescent="0.25">
      <c r="A61" t="s">
        <v>263</v>
      </c>
      <c r="B61" t="s">
        <v>264</v>
      </c>
      <c r="C61" t="s">
        <v>265</v>
      </c>
      <c r="D61" s="40">
        <v>3.05</v>
      </c>
      <c r="E61" s="41">
        <v>0</v>
      </c>
      <c r="F61">
        <v>0</v>
      </c>
      <c r="G61" s="40">
        <v>10</v>
      </c>
    </row>
    <row r="62" spans="1:7" ht="14.4" customHeight="1" x14ac:dyDescent="0.25">
      <c r="A62" t="s">
        <v>266</v>
      </c>
      <c r="B62" t="s">
        <v>267</v>
      </c>
      <c r="C62" t="s">
        <v>268</v>
      </c>
      <c r="D62" s="40">
        <v>3</v>
      </c>
      <c r="E62" s="41">
        <v>0</v>
      </c>
      <c r="F62">
        <v>0</v>
      </c>
      <c r="G62" s="40">
        <v>10</v>
      </c>
    </row>
    <row r="63" spans="1:7" ht="14.4" customHeight="1" x14ac:dyDescent="0.25">
      <c r="A63" t="s">
        <v>269</v>
      </c>
      <c r="B63" t="s">
        <v>270</v>
      </c>
      <c r="C63" t="s">
        <v>271</v>
      </c>
      <c r="D63" s="40">
        <v>3.7</v>
      </c>
      <c r="E63" s="41">
        <v>2.547945205479452</v>
      </c>
      <c r="F63" t="s">
        <v>25</v>
      </c>
      <c r="G63" s="40">
        <v>25</v>
      </c>
    </row>
    <row r="64" spans="1:7" ht="14.4" customHeight="1" x14ac:dyDescent="0.25">
      <c r="A64" t="s">
        <v>272</v>
      </c>
      <c r="B64" t="s">
        <v>273</v>
      </c>
      <c r="C64" t="s">
        <v>274</v>
      </c>
      <c r="D64" s="40">
        <v>3.75</v>
      </c>
      <c r="E64" s="41">
        <v>2.4904109589041097</v>
      </c>
      <c r="F64" t="s">
        <v>25</v>
      </c>
      <c r="G64" s="40">
        <v>25</v>
      </c>
    </row>
    <row r="65" spans="1:7" ht="14.4" customHeight="1" x14ac:dyDescent="0.25">
      <c r="A65" t="s">
        <v>275</v>
      </c>
      <c r="B65" t="s">
        <v>276</v>
      </c>
      <c r="C65" t="s">
        <v>277</v>
      </c>
      <c r="D65" s="40">
        <v>2.87</v>
      </c>
      <c r="E65" s="41">
        <v>0</v>
      </c>
      <c r="F65">
        <v>0</v>
      </c>
      <c r="G65" s="40">
        <v>10</v>
      </c>
    </row>
    <row r="66" spans="1:7" ht="14.4" customHeight="1" x14ac:dyDescent="0.25">
      <c r="A66" t="s">
        <v>278</v>
      </c>
      <c r="B66" t="s">
        <v>279</v>
      </c>
      <c r="C66" t="s">
        <v>280</v>
      </c>
      <c r="D66" s="40">
        <v>2.9</v>
      </c>
      <c r="E66" s="41">
        <v>0</v>
      </c>
      <c r="F66">
        <v>0</v>
      </c>
      <c r="G66" s="40">
        <v>5</v>
      </c>
    </row>
    <row r="67" spans="1:7" ht="14.4" customHeight="1" x14ac:dyDescent="0.25">
      <c r="A67" t="s">
        <v>281</v>
      </c>
      <c r="B67" t="s">
        <v>282</v>
      </c>
      <c r="C67" t="s">
        <v>283</v>
      </c>
      <c r="D67" s="40">
        <v>2.82</v>
      </c>
      <c r="E67" s="41">
        <v>0</v>
      </c>
      <c r="F67">
        <v>0</v>
      </c>
      <c r="G67" s="40">
        <v>5</v>
      </c>
    </row>
    <row r="68" spans="1:7" ht="14.4" customHeight="1" x14ac:dyDescent="0.25">
      <c r="A68" t="s">
        <v>284</v>
      </c>
      <c r="B68" t="s">
        <v>285</v>
      </c>
      <c r="C68" t="s">
        <v>286</v>
      </c>
      <c r="D68" s="40">
        <v>3.13</v>
      </c>
      <c r="E68" s="41">
        <v>0</v>
      </c>
      <c r="F68">
        <v>0</v>
      </c>
      <c r="G68" s="40">
        <v>5</v>
      </c>
    </row>
    <row r="69" spans="1:7" ht="14.4" customHeight="1" x14ac:dyDescent="0.25">
      <c r="A69" t="s">
        <v>287</v>
      </c>
      <c r="B69" t="s">
        <v>288</v>
      </c>
      <c r="C69" t="s">
        <v>289</v>
      </c>
      <c r="D69" s="40">
        <v>3.15</v>
      </c>
      <c r="E69" s="41">
        <v>0</v>
      </c>
      <c r="F69">
        <v>0</v>
      </c>
      <c r="G69" s="40">
        <v>5</v>
      </c>
    </row>
    <row r="70" spans="1:7" ht="14.4" customHeight="1" x14ac:dyDescent="0.25">
      <c r="A70" t="s">
        <v>290</v>
      </c>
      <c r="B70" t="s">
        <v>291</v>
      </c>
      <c r="C70" t="s">
        <v>292</v>
      </c>
      <c r="D70" s="40">
        <v>3.2</v>
      </c>
      <c r="E70" s="41">
        <v>0</v>
      </c>
      <c r="F70">
        <v>0</v>
      </c>
      <c r="G70" s="40">
        <v>5</v>
      </c>
    </row>
    <row r="71" spans="1:7" ht="14.4" customHeight="1" x14ac:dyDescent="0.25">
      <c r="A71" t="s">
        <v>293</v>
      </c>
      <c r="B71" t="s">
        <v>294</v>
      </c>
      <c r="C71" t="s">
        <v>295</v>
      </c>
      <c r="D71" s="40">
        <v>4.8</v>
      </c>
      <c r="E71" s="41">
        <v>1.9178082191780823E-2</v>
      </c>
      <c r="F71">
        <v>0</v>
      </c>
      <c r="G71" s="40">
        <v>35</v>
      </c>
    </row>
    <row r="72" spans="1:7" ht="14.4" customHeight="1" x14ac:dyDescent="0.25">
      <c r="A72" t="s">
        <v>296</v>
      </c>
      <c r="B72" t="s">
        <v>297</v>
      </c>
      <c r="C72" t="s">
        <v>298</v>
      </c>
      <c r="D72" s="40">
        <v>2.75</v>
      </c>
      <c r="E72" s="41">
        <v>0</v>
      </c>
      <c r="F72">
        <v>0</v>
      </c>
      <c r="G72" s="40">
        <v>5</v>
      </c>
    </row>
    <row r="73" spans="1:7" ht="14.4" customHeight="1" x14ac:dyDescent="0.25">
      <c r="A73" t="s">
        <v>299</v>
      </c>
      <c r="B73" t="s">
        <v>300</v>
      </c>
      <c r="C73" t="s">
        <v>301</v>
      </c>
      <c r="D73" s="40">
        <v>2.75</v>
      </c>
      <c r="E73" s="41">
        <v>0</v>
      </c>
      <c r="F73">
        <v>0</v>
      </c>
      <c r="G73" s="40">
        <v>10</v>
      </c>
    </row>
    <row r="74" spans="1:7" ht="14.4" customHeight="1" x14ac:dyDescent="0.25">
      <c r="A74" t="s">
        <v>302</v>
      </c>
      <c r="B74" t="s">
        <v>303</v>
      </c>
      <c r="C74" t="s">
        <v>304</v>
      </c>
      <c r="D74" s="40">
        <v>2.8</v>
      </c>
      <c r="E74" s="41">
        <v>0</v>
      </c>
      <c r="F74">
        <v>0</v>
      </c>
      <c r="G74" s="40">
        <v>10</v>
      </c>
    </row>
    <row r="75" spans="1:7" ht="14.4" customHeight="1" x14ac:dyDescent="0.25">
      <c r="A75" t="s">
        <v>305</v>
      </c>
      <c r="B75" t="s">
        <v>306</v>
      </c>
      <c r="C75" t="s">
        <v>307</v>
      </c>
      <c r="D75" s="40">
        <v>2.97</v>
      </c>
      <c r="E75" s="41">
        <v>0</v>
      </c>
      <c r="F75">
        <v>0</v>
      </c>
      <c r="G75" s="40">
        <v>5</v>
      </c>
    </row>
    <row r="76" spans="1:7" ht="14.4" customHeight="1" x14ac:dyDescent="0.25">
      <c r="A76" t="s">
        <v>308</v>
      </c>
      <c r="B76" t="s">
        <v>309</v>
      </c>
      <c r="C76" t="s">
        <v>310</v>
      </c>
      <c r="D76" s="40">
        <v>2.99</v>
      </c>
      <c r="E76" s="41">
        <v>0</v>
      </c>
      <c r="F76">
        <v>0</v>
      </c>
      <c r="G76" s="40">
        <v>10</v>
      </c>
    </row>
    <row r="77" spans="1:7" ht="14.4" customHeight="1" x14ac:dyDescent="0.25">
      <c r="A77" t="s">
        <v>311</v>
      </c>
      <c r="B77" t="s">
        <v>312</v>
      </c>
      <c r="C77" t="s">
        <v>313</v>
      </c>
      <c r="D77" s="40">
        <v>3.17</v>
      </c>
      <c r="E77" s="41">
        <v>0</v>
      </c>
      <c r="F77">
        <v>0</v>
      </c>
      <c r="G77" s="40">
        <v>10</v>
      </c>
    </row>
    <row r="78" spans="1:7" ht="14.4" customHeight="1" x14ac:dyDescent="0.25">
      <c r="A78" t="s">
        <v>314</v>
      </c>
      <c r="B78" t="s">
        <v>315</v>
      </c>
      <c r="C78" t="s">
        <v>316</v>
      </c>
      <c r="D78" s="40">
        <v>4.9000000000000004</v>
      </c>
      <c r="E78" s="41">
        <v>0</v>
      </c>
      <c r="F78">
        <v>0</v>
      </c>
      <c r="G78" s="40">
        <v>15</v>
      </c>
    </row>
    <row r="79" spans="1:7" ht="14.4" customHeight="1" x14ac:dyDescent="0.25">
      <c r="A79" t="s">
        <v>317</v>
      </c>
      <c r="B79" t="s">
        <v>318</v>
      </c>
      <c r="C79" t="s">
        <v>319</v>
      </c>
      <c r="D79" s="40">
        <v>3.3</v>
      </c>
      <c r="E79" s="41">
        <v>0</v>
      </c>
      <c r="F79">
        <v>0</v>
      </c>
      <c r="G79" s="40">
        <v>10</v>
      </c>
    </row>
    <row r="80" spans="1:7" ht="14.4" customHeight="1" x14ac:dyDescent="0.25">
      <c r="A80" t="s">
        <v>320</v>
      </c>
      <c r="B80" t="s">
        <v>321</v>
      </c>
      <c r="C80" t="s">
        <v>322</v>
      </c>
      <c r="D80" s="40">
        <v>3.3</v>
      </c>
      <c r="E80" s="41">
        <v>0</v>
      </c>
      <c r="F80">
        <v>0</v>
      </c>
      <c r="G80" s="40">
        <v>10</v>
      </c>
    </row>
    <row r="81" spans="1:7" ht="14.4" customHeight="1" x14ac:dyDescent="0.25">
      <c r="A81" t="s">
        <v>323</v>
      </c>
      <c r="B81" t="s">
        <v>324</v>
      </c>
      <c r="C81" t="s">
        <v>325</v>
      </c>
      <c r="D81" s="40">
        <v>3.45</v>
      </c>
      <c r="E81" s="41">
        <v>0</v>
      </c>
      <c r="F81">
        <v>0</v>
      </c>
      <c r="G81" s="40">
        <v>5</v>
      </c>
    </row>
    <row r="82" spans="1:7" ht="14.4" customHeight="1" x14ac:dyDescent="0.25">
      <c r="A82" t="s">
        <v>326</v>
      </c>
      <c r="B82" t="s">
        <v>327</v>
      </c>
      <c r="C82" t="s">
        <v>328</v>
      </c>
      <c r="D82" s="40">
        <v>3.09</v>
      </c>
      <c r="E82" s="41">
        <v>0</v>
      </c>
      <c r="F82">
        <v>0</v>
      </c>
      <c r="G82" s="40">
        <v>5</v>
      </c>
    </row>
    <row r="83" spans="1:7" ht="14.4" customHeight="1" x14ac:dyDescent="0.25">
      <c r="A83" t="s">
        <v>329</v>
      </c>
      <c r="B83" t="s">
        <v>330</v>
      </c>
      <c r="C83" t="s">
        <v>331</v>
      </c>
      <c r="D83" s="40">
        <v>3.3</v>
      </c>
      <c r="E83" s="41">
        <v>0</v>
      </c>
      <c r="F83">
        <v>0</v>
      </c>
      <c r="G83" s="40">
        <v>5</v>
      </c>
    </row>
    <row r="84" spans="1:7" ht="14.4" customHeight="1" x14ac:dyDescent="0.25">
      <c r="A84" t="s">
        <v>332</v>
      </c>
      <c r="B84" t="s">
        <v>333</v>
      </c>
      <c r="C84" t="s">
        <v>334</v>
      </c>
      <c r="D84" s="40">
        <v>3.3</v>
      </c>
      <c r="E84" s="41">
        <v>0</v>
      </c>
      <c r="F84">
        <v>0</v>
      </c>
      <c r="G84" s="40">
        <v>5</v>
      </c>
    </row>
    <row r="85" spans="1:7" ht="14.4" customHeight="1" x14ac:dyDescent="0.25">
      <c r="A85" t="s">
        <v>335</v>
      </c>
      <c r="B85" t="s">
        <v>336</v>
      </c>
      <c r="C85" t="s">
        <v>337</v>
      </c>
      <c r="D85" s="40">
        <v>3.34</v>
      </c>
      <c r="E85" s="41">
        <v>0</v>
      </c>
      <c r="F85">
        <v>0</v>
      </c>
      <c r="G85" s="40">
        <v>5</v>
      </c>
    </row>
    <row r="86" spans="1:7" ht="14.4" customHeight="1" x14ac:dyDescent="0.25">
      <c r="A86" t="s">
        <v>338</v>
      </c>
      <c r="B86" t="s">
        <v>339</v>
      </c>
      <c r="C86" t="s">
        <v>340</v>
      </c>
      <c r="D86" s="40">
        <v>2.92</v>
      </c>
      <c r="E86" s="41">
        <v>0</v>
      </c>
      <c r="F86">
        <v>0</v>
      </c>
      <c r="G86" s="40">
        <v>10</v>
      </c>
    </row>
    <row r="87" spans="1:7" ht="14.4" customHeight="1" x14ac:dyDescent="0.25">
      <c r="A87" t="s">
        <v>341</v>
      </c>
      <c r="B87" t="s">
        <v>342</v>
      </c>
      <c r="C87" t="s">
        <v>343</v>
      </c>
      <c r="D87" s="40">
        <v>2.7</v>
      </c>
      <c r="E87" s="41">
        <v>0</v>
      </c>
      <c r="F87">
        <v>0</v>
      </c>
      <c r="G87" s="40">
        <v>10</v>
      </c>
    </row>
    <row r="88" spans="1:7" ht="14.4" customHeight="1" x14ac:dyDescent="0.25">
      <c r="A88" t="s">
        <v>344</v>
      </c>
      <c r="B88" t="s">
        <v>345</v>
      </c>
      <c r="C88" t="s">
        <v>346</v>
      </c>
      <c r="D88" s="40">
        <v>3.1</v>
      </c>
      <c r="E88" s="41">
        <v>0</v>
      </c>
      <c r="F88">
        <v>0</v>
      </c>
      <c r="G88" s="40">
        <v>5</v>
      </c>
    </row>
    <row r="89" spans="1:7" ht="14.4" customHeight="1" x14ac:dyDescent="0.25">
      <c r="A89" t="s">
        <v>347</v>
      </c>
      <c r="B89" t="s">
        <v>348</v>
      </c>
      <c r="C89" t="s">
        <v>349</v>
      </c>
      <c r="D89" s="40">
        <v>3.19</v>
      </c>
      <c r="E89" s="41">
        <v>0</v>
      </c>
      <c r="F89">
        <v>0</v>
      </c>
      <c r="G89" s="40">
        <v>10</v>
      </c>
    </row>
    <row r="90" spans="1:7" ht="14.4" customHeight="1" x14ac:dyDescent="0.25">
      <c r="A90" t="s">
        <v>350</v>
      </c>
      <c r="B90" t="s">
        <v>351</v>
      </c>
      <c r="C90" t="s">
        <v>352</v>
      </c>
      <c r="D90" s="40">
        <v>3.18</v>
      </c>
      <c r="E90" s="41">
        <v>0</v>
      </c>
      <c r="F90">
        <v>0</v>
      </c>
      <c r="G90" s="40">
        <v>10</v>
      </c>
    </row>
    <row r="91" spans="1:7" ht="14.4" customHeight="1" x14ac:dyDescent="0.25">
      <c r="A91" t="s">
        <v>353</v>
      </c>
      <c r="B91" t="s">
        <v>354</v>
      </c>
      <c r="C91" t="s">
        <v>355</v>
      </c>
      <c r="D91" s="40">
        <v>3.32</v>
      </c>
      <c r="E91" s="41">
        <v>0</v>
      </c>
      <c r="F91">
        <v>0</v>
      </c>
      <c r="G91" s="40">
        <v>5</v>
      </c>
    </row>
    <row r="92" spans="1:7" ht="14.4" customHeight="1" x14ac:dyDescent="0.25">
      <c r="A92" t="s">
        <v>356</v>
      </c>
      <c r="B92" t="s">
        <v>357</v>
      </c>
      <c r="C92" t="s">
        <v>358</v>
      </c>
      <c r="D92" s="40">
        <v>4.8899999999999997</v>
      </c>
      <c r="E92" s="41">
        <v>0</v>
      </c>
      <c r="F92" t="s">
        <v>25</v>
      </c>
      <c r="G92" s="40">
        <v>20</v>
      </c>
    </row>
    <row r="93" spans="1:7" ht="14.4" customHeight="1" x14ac:dyDescent="0.25">
      <c r="A93" t="s">
        <v>359</v>
      </c>
      <c r="B93" t="s">
        <v>360</v>
      </c>
      <c r="C93" t="s">
        <v>361</v>
      </c>
      <c r="D93" s="40">
        <v>3.45</v>
      </c>
      <c r="E93" s="41">
        <v>0</v>
      </c>
      <c r="F93">
        <v>0</v>
      </c>
      <c r="G93" s="40">
        <v>5</v>
      </c>
    </row>
    <row r="94" spans="1:7" ht="14.4" customHeight="1" x14ac:dyDescent="0.25">
      <c r="A94" t="s">
        <v>362</v>
      </c>
      <c r="B94" t="s">
        <v>363</v>
      </c>
      <c r="C94" t="s">
        <v>364</v>
      </c>
      <c r="D94" s="40">
        <v>3.5</v>
      </c>
      <c r="E94" s="41">
        <v>0</v>
      </c>
      <c r="F94">
        <v>0</v>
      </c>
      <c r="G94" s="40">
        <v>5</v>
      </c>
    </row>
    <row r="95" spans="1:7" ht="14.4" customHeight="1" x14ac:dyDescent="0.25">
      <c r="A95" t="s">
        <v>365</v>
      </c>
      <c r="B95" t="s">
        <v>366</v>
      </c>
      <c r="C95" t="s">
        <v>367</v>
      </c>
      <c r="D95" s="40">
        <v>3.5</v>
      </c>
      <c r="E95" s="41">
        <v>0</v>
      </c>
      <c r="F95">
        <v>0</v>
      </c>
      <c r="G95" s="40">
        <v>5</v>
      </c>
    </row>
    <row r="96" spans="1:7" ht="14.4" customHeight="1" x14ac:dyDescent="0.25">
      <c r="A96" t="s">
        <v>368</v>
      </c>
      <c r="B96" t="s">
        <v>369</v>
      </c>
      <c r="C96" t="s">
        <v>370</v>
      </c>
      <c r="D96" s="40">
        <v>4.1900000000000004</v>
      </c>
      <c r="E96" s="41">
        <v>0</v>
      </c>
      <c r="F96">
        <v>0</v>
      </c>
      <c r="G96" s="40">
        <v>10</v>
      </c>
    </row>
    <row r="97" spans="1:7" ht="14.4" customHeight="1" x14ac:dyDescent="0.25">
      <c r="A97" t="s">
        <v>371</v>
      </c>
      <c r="B97" t="s">
        <v>372</v>
      </c>
      <c r="C97" t="s">
        <v>373</v>
      </c>
      <c r="D97" s="40">
        <v>4.8499999999999996</v>
      </c>
      <c r="E97" s="41">
        <v>0</v>
      </c>
      <c r="F97">
        <v>0</v>
      </c>
      <c r="G97" s="40">
        <v>20</v>
      </c>
    </row>
    <row r="98" spans="1:7" ht="14.4" customHeight="1" x14ac:dyDescent="0.25">
      <c r="A98" t="s">
        <v>374</v>
      </c>
      <c r="B98" t="s">
        <v>375</v>
      </c>
      <c r="C98" t="s">
        <v>376</v>
      </c>
      <c r="D98" s="40">
        <v>4.8</v>
      </c>
      <c r="E98" s="41">
        <v>0.99453551912568305</v>
      </c>
      <c r="F98" t="s">
        <v>25</v>
      </c>
      <c r="G98" s="40">
        <v>13</v>
      </c>
    </row>
    <row r="99" spans="1:7" ht="14.4" customHeight="1" x14ac:dyDescent="0.25">
      <c r="A99" t="s">
        <v>377</v>
      </c>
      <c r="B99" t="s">
        <v>378</v>
      </c>
      <c r="C99" t="s">
        <v>379</v>
      </c>
      <c r="D99" s="40">
        <v>4.5999999999999996</v>
      </c>
      <c r="E99" s="41">
        <v>0</v>
      </c>
      <c r="F99">
        <v>0</v>
      </c>
      <c r="G99" s="40">
        <v>20</v>
      </c>
    </row>
    <row r="100" spans="1:7" ht="14.4" customHeight="1" x14ac:dyDescent="0.25">
      <c r="A100" t="s">
        <v>380</v>
      </c>
      <c r="B100" t="s">
        <v>381</v>
      </c>
      <c r="C100" t="s">
        <v>382</v>
      </c>
      <c r="D100" s="40">
        <v>5.58</v>
      </c>
      <c r="E100" s="41">
        <v>0</v>
      </c>
      <c r="F100" t="s">
        <v>25</v>
      </c>
      <c r="G100" s="40">
        <v>30</v>
      </c>
    </row>
    <row r="101" spans="1:7" ht="14.4" customHeight="1" x14ac:dyDescent="0.25">
      <c r="A101" t="s">
        <v>383</v>
      </c>
      <c r="B101" t="s">
        <v>384</v>
      </c>
      <c r="C101" t="s">
        <v>385</v>
      </c>
      <c r="D101" s="40">
        <v>4.83</v>
      </c>
      <c r="E101" s="41">
        <v>0</v>
      </c>
      <c r="F101" t="s">
        <v>533</v>
      </c>
      <c r="G101" s="40">
        <v>20</v>
      </c>
    </row>
    <row r="102" spans="1:7" ht="14.4" customHeight="1" x14ac:dyDescent="0.25">
      <c r="A102" t="s">
        <v>386</v>
      </c>
      <c r="B102" t="s">
        <v>387</v>
      </c>
      <c r="C102" t="s">
        <v>388</v>
      </c>
      <c r="D102" s="40">
        <v>6.6</v>
      </c>
      <c r="E102" s="41">
        <v>0</v>
      </c>
      <c r="F102">
        <v>0</v>
      </c>
      <c r="G102" s="40">
        <v>15</v>
      </c>
    </row>
    <row r="103" spans="1:7" ht="14.4" customHeight="1" x14ac:dyDescent="0.25">
      <c r="A103" t="s">
        <v>389</v>
      </c>
      <c r="B103" t="s">
        <v>390</v>
      </c>
      <c r="C103" t="s">
        <v>391</v>
      </c>
      <c r="D103" s="40">
        <v>6.6</v>
      </c>
      <c r="E103" s="41">
        <v>0</v>
      </c>
      <c r="F103">
        <v>0</v>
      </c>
      <c r="G103" s="40">
        <v>15</v>
      </c>
    </row>
    <row r="104" spans="1:7" ht="14.4" customHeight="1" x14ac:dyDescent="0.25">
      <c r="A104" t="s">
        <v>392</v>
      </c>
      <c r="B104" t="s">
        <v>393</v>
      </c>
      <c r="C104" t="s">
        <v>394</v>
      </c>
      <c r="D104" s="40">
        <v>6.2</v>
      </c>
      <c r="E104" s="41">
        <v>0</v>
      </c>
      <c r="F104">
        <v>0</v>
      </c>
      <c r="G104" s="40">
        <v>25</v>
      </c>
    </row>
    <row r="105" spans="1:7" ht="14.4" customHeight="1" x14ac:dyDescent="0.25">
      <c r="A105" t="s">
        <v>28</v>
      </c>
      <c r="B105" t="s">
        <v>395</v>
      </c>
      <c r="C105" t="s">
        <v>396</v>
      </c>
      <c r="D105" s="40">
        <v>5.16</v>
      </c>
      <c r="E105" s="41">
        <v>0</v>
      </c>
      <c r="F105" t="s">
        <v>25</v>
      </c>
      <c r="G105" s="40">
        <v>20</v>
      </c>
    </row>
    <row r="106" spans="1:7" ht="14.4" customHeight="1" x14ac:dyDescent="0.25">
      <c r="A106" t="s">
        <v>397</v>
      </c>
      <c r="B106" t="s">
        <v>398</v>
      </c>
      <c r="C106" t="s">
        <v>399</v>
      </c>
      <c r="D106" s="40">
        <v>5.45</v>
      </c>
      <c r="E106" s="41">
        <v>0</v>
      </c>
      <c r="F106">
        <v>0</v>
      </c>
      <c r="G106" s="40">
        <v>25</v>
      </c>
    </row>
    <row r="107" spans="1:7" ht="14.4" customHeight="1" x14ac:dyDescent="0.25">
      <c r="A107" t="s">
        <v>400</v>
      </c>
      <c r="B107" t="s">
        <v>401</v>
      </c>
      <c r="C107" t="s">
        <v>402</v>
      </c>
      <c r="D107" s="40">
        <v>4.12</v>
      </c>
      <c r="E107" s="41">
        <v>0</v>
      </c>
      <c r="F107" t="s">
        <v>533</v>
      </c>
      <c r="G107" s="40">
        <v>20</v>
      </c>
    </row>
    <row r="108" spans="1:7" ht="14.4" customHeight="1" x14ac:dyDescent="0.25">
      <c r="A108" t="s">
        <v>403</v>
      </c>
      <c r="B108" t="s">
        <v>404</v>
      </c>
      <c r="C108" t="s">
        <v>405</v>
      </c>
      <c r="D108" s="40">
        <v>4.82</v>
      </c>
      <c r="E108" s="41">
        <v>0</v>
      </c>
      <c r="F108" t="s">
        <v>25</v>
      </c>
      <c r="G108" s="40">
        <v>17</v>
      </c>
    </row>
    <row r="109" spans="1:7" ht="14.4" customHeight="1" x14ac:dyDescent="0.25">
      <c r="A109" t="s">
        <v>406</v>
      </c>
      <c r="B109" t="s">
        <v>407</v>
      </c>
      <c r="C109" t="s">
        <v>408</v>
      </c>
      <c r="D109" s="40">
        <v>6.06</v>
      </c>
      <c r="E109" s="41">
        <v>0</v>
      </c>
      <c r="F109">
        <v>0</v>
      </c>
      <c r="G109" s="40">
        <v>25</v>
      </c>
    </row>
    <row r="110" spans="1:7" ht="14.4" customHeight="1" x14ac:dyDescent="0.25">
      <c r="A110" t="s">
        <v>409</v>
      </c>
      <c r="B110" t="s">
        <v>410</v>
      </c>
      <c r="C110" t="s">
        <v>411</v>
      </c>
      <c r="D110" s="40">
        <v>5.26</v>
      </c>
      <c r="E110" s="41">
        <v>0</v>
      </c>
      <c r="F110" t="s">
        <v>25</v>
      </c>
      <c r="G110" s="40">
        <v>12</v>
      </c>
    </row>
    <row r="111" spans="1:7" ht="14.4" customHeight="1" x14ac:dyDescent="0.25">
      <c r="A111" t="s">
        <v>412</v>
      </c>
      <c r="B111" t="s">
        <v>413</v>
      </c>
      <c r="C111" t="s">
        <v>414</v>
      </c>
      <c r="D111" s="40">
        <v>4.5999999999999996</v>
      </c>
      <c r="E111" s="41">
        <v>0</v>
      </c>
      <c r="F111" t="s">
        <v>25</v>
      </c>
      <c r="G111" s="40">
        <v>10</v>
      </c>
    </row>
    <row r="112" spans="1:7" ht="14.4" customHeight="1" x14ac:dyDescent="0.25">
      <c r="A112" t="s">
        <v>415</v>
      </c>
      <c r="B112" t="s">
        <v>416</v>
      </c>
      <c r="C112" t="s">
        <v>417</v>
      </c>
      <c r="D112" s="40">
        <v>5.0999999999999996</v>
      </c>
      <c r="E112" s="41">
        <v>0</v>
      </c>
      <c r="F112" t="s">
        <v>533</v>
      </c>
      <c r="G112" s="40">
        <v>5</v>
      </c>
    </row>
    <row r="113" spans="1:7" ht="14.4" customHeight="1" x14ac:dyDescent="0.25">
      <c r="A113" t="s">
        <v>418</v>
      </c>
      <c r="B113" t="s">
        <v>419</v>
      </c>
      <c r="C113" t="s">
        <v>420</v>
      </c>
      <c r="D113" s="40">
        <v>5.6</v>
      </c>
      <c r="E113" s="41">
        <v>0</v>
      </c>
      <c r="F113" t="s">
        <v>533</v>
      </c>
      <c r="G113" s="40">
        <v>5</v>
      </c>
    </row>
    <row r="114" spans="1:7" ht="14.4" customHeight="1" x14ac:dyDescent="0.25">
      <c r="A114" t="s">
        <v>421</v>
      </c>
      <c r="B114" t="s">
        <v>422</v>
      </c>
      <c r="C114" t="s">
        <v>423</v>
      </c>
      <c r="D114" s="40">
        <v>4</v>
      </c>
      <c r="E114" s="41">
        <v>0</v>
      </c>
      <c r="F114" t="s">
        <v>533</v>
      </c>
      <c r="G114" s="40">
        <v>5</v>
      </c>
    </row>
    <row r="115" spans="1:7" ht="14.4" customHeight="1" x14ac:dyDescent="0.25">
      <c r="A115" t="s">
        <v>424</v>
      </c>
      <c r="B115" t="s">
        <v>425</v>
      </c>
      <c r="C115" t="s">
        <v>426</v>
      </c>
      <c r="D115" s="40">
        <v>3.7</v>
      </c>
      <c r="E115" s="41">
        <v>0</v>
      </c>
      <c r="F115" t="s">
        <v>533</v>
      </c>
      <c r="G115" s="40">
        <v>3.8</v>
      </c>
    </row>
    <row r="116" spans="1:7" ht="14.4" customHeight="1" x14ac:dyDescent="0.25">
      <c r="A116" t="s">
        <v>427</v>
      </c>
      <c r="B116" t="s">
        <v>428</v>
      </c>
      <c r="C116" t="s">
        <v>429</v>
      </c>
      <c r="D116" s="40">
        <v>2.7</v>
      </c>
      <c r="E116" s="41">
        <v>0</v>
      </c>
      <c r="F116" t="s">
        <v>533</v>
      </c>
      <c r="G116" s="40">
        <v>5</v>
      </c>
    </row>
    <row r="117" spans="1:7" ht="14.4" customHeight="1" x14ac:dyDescent="0.25">
      <c r="D117" s="40"/>
      <c r="E117" s="41"/>
      <c r="G117" s="40"/>
    </row>
    <row r="118" spans="1:7" ht="14.4" customHeight="1" x14ac:dyDescent="0.25">
      <c r="D118" s="40"/>
      <c r="E118" s="41"/>
      <c r="G118" s="40"/>
    </row>
    <row r="119" spans="1:7" ht="14.4" customHeight="1" x14ac:dyDescent="0.25">
      <c r="D119" s="40"/>
      <c r="E119" s="41"/>
      <c r="G119" s="40"/>
    </row>
    <row r="120" spans="1:7" ht="14.4" customHeight="1" x14ac:dyDescent="0.25">
      <c r="D120" s="40"/>
      <c r="E120" s="41"/>
      <c r="G120" s="40"/>
    </row>
    <row r="121" spans="1:7" ht="14.4" customHeight="1" x14ac:dyDescent="0.25">
      <c r="D121" s="40"/>
      <c r="E121" s="41"/>
      <c r="G121" s="40"/>
    </row>
    <row r="122" spans="1:7" ht="14.4" customHeight="1" x14ac:dyDescent="0.25">
      <c r="A122" s="141" t="s">
        <v>430</v>
      </c>
      <c r="B122" s="141"/>
      <c r="C122" s="141"/>
      <c r="D122" s="141"/>
      <c r="E122" s="41"/>
      <c r="G122" s="40"/>
    </row>
    <row r="123" spans="1:7" ht="14.4" customHeight="1" x14ac:dyDescent="0.25">
      <c r="A123" s="101" t="s">
        <v>431</v>
      </c>
      <c r="B123" s="101" t="s">
        <v>432</v>
      </c>
      <c r="C123" s="101" t="s">
        <v>433</v>
      </c>
      <c r="D123" s="102" t="s">
        <v>434</v>
      </c>
      <c r="E123" s="41"/>
      <c r="G123" s="40"/>
    </row>
    <row r="124" spans="1:7" ht="14.4" customHeight="1" x14ac:dyDescent="0.25">
      <c r="A124" t="s">
        <v>435</v>
      </c>
      <c r="B124" t="s">
        <v>25</v>
      </c>
      <c r="C124" t="s">
        <v>436</v>
      </c>
      <c r="D124" s="40" t="s">
        <v>437</v>
      </c>
      <c r="E124" s="41"/>
      <c r="G124" s="40"/>
    </row>
    <row r="125" spans="1:7" ht="14.4" customHeight="1" x14ac:dyDescent="0.25">
      <c r="A125" t="s">
        <v>438</v>
      </c>
      <c r="B125" t="s">
        <v>25</v>
      </c>
      <c r="C125" t="s">
        <v>436</v>
      </c>
      <c r="D125" s="40" t="s">
        <v>439</v>
      </c>
      <c r="E125" s="41"/>
      <c r="G125" s="40"/>
    </row>
    <row r="126" spans="1:7" ht="14.4" customHeight="1" x14ac:dyDescent="0.25">
      <c r="A126" t="s">
        <v>440</v>
      </c>
      <c r="B126" t="s">
        <v>25</v>
      </c>
      <c r="C126" t="s">
        <v>436</v>
      </c>
      <c r="D126" s="40" t="s">
        <v>441</v>
      </c>
      <c r="E126" s="41"/>
      <c r="G126" s="40"/>
    </row>
    <row r="127" spans="1:7" ht="14.4" customHeight="1" x14ac:dyDescent="0.25">
      <c r="A127" t="s">
        <v>228</v>
      </c>
      <c r="B127" t="s">
        <v>25</v>
      </c>
      <c r="C127" t="s">
        <v>436</v>
      </c>
      <c r="D127" s="40" t="s">
        <v>441</v>
      </c>
      <c r="E127" s="41"/>
      <c r="G127" s="40"/>
    </row>
    <row r="128" spans="1:7" ht="14.4" customHeight="1" x14ac:dyDescent="0.25">
      <c r="A128" t="s">
        <v>442</v>
      </c>
      <c r="B128" t="s">
        <v>25</v>
      </c>
      <c r="C128" t="s">
        <v>436</v>
      </c>
      <c r="D128" s="40" t="s">
        <v>443</v>
      </c>
      <c r="E128" s="41"/>
      <c r="G128" s="40"/>
    </row>
    <row r="129" spans="1:7" ht="14.4" customHeight="1" x14ac:dyDescent="0.25">
      <c r="A129" t="s">
        <v>240</v>
      </c>
      <c r="B129" t="s">
        <v>25</v>
      </c>
      <c r="C129" t="s">
        <v>436</v>
      </c>
      <c r="D129" s="40" t="s">
        <v>441</v>
      </c>
      <c r="E129" s="41"/>
      <c r="G129" s="40"/>
    </row>
    <row r="130" spans="1:7" ht="14.4" customHeight="1" x14ac:dyDescent="0.25">
      <c r="A130" t="s">
        <v>444</v>
      </c>
      <c r="B130" t="s">
        <v>25</v>
      </c>
      <c r="C130" t="s">
        <v>436</v>
      </c>
      <c r="D130" s="40" t="s">
        <v>439</v>
      </c>
      <c r="E130" s="41"/>
      <c r="G130" s="40"/>
    </row>
    <row r="131" spans="1:7" ht="14.4" customHeight="1" x14ac:dyDescent="0.25">
      <c r="A131" t="s">
        <v>445</v>
      </c>
      <c r="B131" t="s">
        <v>25</v>
      </c>
      <c r="C131" t="s">
        <v>436</v>
      </c>
      <c r="D131" s="40" t="s">
        <v>441</v>
      </c>
      <c r="E131" s="41"/>
      <c r="G131" s="40"/>
    </row>
    <row r="132" spans="1:7" ht="14.4" customHeight="1" x14ac:dyDescent="0.25">
      <c r="A132" t="s">
        <v>446</v>
      </c>
      <c r="B132" t="s">
        <v>25</v>
      </c>
      <c r="C132" t="s">
        <v>436</v>
      </c>
      <c r="D132" s="40" t="s">
        <v>439</v>
      </c>
      <c r="E132" s="41"/>
      <c r="G132" s="40"/>
    </row>
    <row r="133" spans="1:7" ht="14.4" customHeight="1" x14ac:dyDescent="0.25">
      <c r="A133" t="s">
        <v>447</v>
      </c>
      <c r="B133" t="s">
        <v>25</v>
      </c>
      <c r="C133" t="s">
        <v>436</v>
      </c>
      <c r="D133" s="40" t="s">
        <v>443</v>
      </c>
      <c r="E133" s="41"/>
      <c r="G133" s="40"/>
    </row>
    <row r="134" spans="1:7" ht="14.4" customHeight="1" x14ac:dyDescent="0.25">
      <c r="A134" t="s">
        <v>448</v>
      </c>
      <c r="B134" t="s">
        <v>25</v>
      </c>
      <c r="C134" t="s">
        <v>436</v>
      </c>
      <c r="D134" s="40" t="s">
        <v>439</v>
      </c>
      <c r="E134" s="41"/>
      <c r="G134" s="40"/>
    </row>
    <row r="135" spans="1:7" ht="14.4" customHeight="1" x14ac:dyDescent="0.25">
      <c r="A135" t="s">
        <v>449</v>
      </c>
      <c r="B135" t="s">
        <v>25</v>
      </c>
      <c r="C135" t="s">
        <v>436</v>
      </c>
      <c r="D135" s="40" t="s">
        <v>439</v>
      </c>
      <c r="E135" s="41"/>
      <c r="G135" s="40"/>
    </row>
    <row r="136" spans="1:7" ht="14.4" customHeight="1" x14ac:dyDescent="0.25">
      <c r="A136" t="s">
        <v>450</v>
      </c>
      <c r="B136" t="s">
        <v>25</v>
      </c>
      <c r="C136" t="s">
        <v>436</v>
      </c>
      <c r="D136" s="40" t="s">
        <v>443</v>
      </c>
      <c r="E136" s="41"/>
      <c r="G136" s="40"/>
    </row>
    <row r="137" spans="1:7" ht="14.4" customHeight="1" x14ac:dyDescent="0.25">
      <c r="A137" t="s">
        <v>451</v>
      </c>
      <c r="B137" t="s">
        <v>25</v>
      </c>
      <c r="C137" t="s">
        <v>436</v>
      </c>
      <c r="D137" s="40" t="s">
        <v>443</v>
      </c>
      <c r="E137" s="41"/>
      <c r="G137" s="40"/>
    </row>
    <row r="138" spans="1:7" ht="14.4" customHeight="1" x14ac:dyDescent="0.25">
      <c r="A138" t="s">
        <v>452</v>
      </c>
      <c r="B138" t="s">
        <v>25</v>
      </c>
      <c r="C138" t="s">
        <v>436</v>
      </c>
      <c r="D138" s="40" t="s">
        <v>443</v>
      </c>
      <c r="E138" s="41"/>
      <c r="G138" s="40"/>
    </row>
    <row r="139" spans="1:7" ht="14.4" customHeight="1" x14ac:dyDescent="0.25">
      <c r="A139" t="s">
        <v>453</v>
      </c>
      <c r="B139" t="s">
        <v>25</v>
      </c>
      <c r="C139" t="s">
        <v>436</v>
      </c>
      <c r="D139" s="40" t="s">
        <v>443</v>
      </c>
      <c r="E139" s="41"/>
      <c r="G139" s="40"/>
    </row>
    <row r="140" spans="1:7" ht="14.4" customHeight="1" x14ac:dyDescent="0.25">
      <c r="A140" t="s">
        <v>454</v>
      </c>
      <c r="B140" t="s">
        <v>25</v>
      </c>
      <c r="C140" t="s">
        <v>436</v>
      </c>
      <c r="D140" s="40" t="s">
        <v>443</v>
      </c>
      <c r="E140" s="41"/>
      <c r="G140" s="40"/>
    </row>
    <row r="141" spans="1:7" ht="14.4" customHeight="1" x14ac:dyDescent="0.25">
      <c r="A141" t="s">
        <v>455</v>
      </c>
      <c r="B141" t="s">
        <v>25</v>
      </c>
      <c r="C141" t="s">
        <v>436</v>
      </c>
      <c r="D141" s="40" t="s">
        <v>443</v>
      </c>
      <c r="E141" s="41"/>
      <c r="G141" s="40"/>
    </row>
    <row r="142" spans="1:7" ht="14.4" customHeight="1" x14ac:dyDescent="0.25">
      <c r="A142" t="s">
        <v>456</v>
      </c>
      <c r="B142" t="s">
        <v>25</v>
      </c>
      <c r="C142" t="s">
        <v>436</v>
      </c>
      <c r="D142" s="40" t="s">
        <v>443</v>
      </c>
      <c r="E142" s="41"/>
      <c r="G142" s="40"/>
    </row>
    <row r="143" spans="1:7" ht="14.4" customHeight="1" x14ac:dyDescent="0.25">
      <c r="A143" t="s">
        <v>457</v>
      </c>
      <c r="B143" t="s">
        <v>25</v>
      </c>
      <c r="C143" t="s">
        <v>436</v>
      </c>
      <c r="D143" s="40" t="s">
        <v>443</v>
      </c>
      <c r="E143" s="41"/>
      <c r="G143" s="40"/>
    </row>
    <row r="144" spans="1:7" ht="14.4" customHeight="1" x14ac:dyDescent="0.25">
      <c r="A144" t="s">
        <v>458</v>
      </c>
      <c r="B144" t="s">
        <v>25</v>
      </c>
      <c r="C144" t="s">
        <v>436</v>
      </c>
      <c r="D144" s="40" t="s">
        <v>443</v>
      </c>
      <c r="E144" s="41"/>
      <c r="G144" s="40"/>
    </row>
    <row r="145" spans="1:7" ht="14.4" customHeight="1" x14ac:dyDescent="0.25">
      <c r="A145" t="s">
        <v>459</v>
      </c>
      <c r="B145" t="s">
        <v>25</v>
      </c>
      <c r="C145" t="s">
        <v>436</v>
      </c>
      <c r="D145" s="40" t="s">
        <v>443</v>
      </c>
      <c r="E145" s="41"/>
      <c r="G145" s="40"/>
    </row>
    <row r="146" spans="1:7" ht="14.4" customHeight="1" x14ac:dyDescent="0.25">
      <c r="A146" t="s">
        <v>460</v>
      </c>
      <c r="B146" t="s">
        <v>461</v>
      </c>
      <c r="C146" t="s">
        <v>462</v>
      </c>
      <c r="D146" s="40" t="s">
        <v>443</v>
      </c>
      <c r="E146" s="41"/>
      <c r="G146" s="40"/>
    </row>
    <row r="147" spans="1:7" ht="14.4" customHeight="1" x14ac:dyDescent="0.25">
      <c r="A147" t="s">
        <v>463</v>
      </c>
      <c r="B147" t="s">
        <v>461</v>
      </c>
      <c r="C147" t="s">
        <v>436</v>
      </c>
      <c r="D147" s="40" t="s">
        <v>443</v>
      </c>
      <c r="E147" s="41"/>
      <c r="G147" s="40"/>
    </row>
    <row r="148" spans="1:7" ht="14.4" customHeight="1" x14ac:dyDescent="0.25">
      <c r="A148" t="s">
        <v>464</v>
      </c>
      <c r="B148" t="s">
        <v>465</v>
      </c>
      <c r="C148" t="s">
        <v>462</v>
      </c>
      <c r="D148" s="40" t="s">
        <v>443</v>
      </c>
      <c r="E148" s="41"/>
      <c r="G148" s="40"/>
    </row>
    <row r="149" spans="1:7" ht="14.4" customHeight="1" x14ac:dyDescent="0.25">
      <c r="A149" t="s">
        <v>466</v>
      </c>
      <c r="B149" t="s">
        <v>467</v>
      </c>
      <c r="C149" t="s">
        <v>436</v>
      </c>
      <c r="D149" s="40" t="s">
        <v>443</v>
      </c>
      <c r="E149" s="41"/>
      <c r="G149" s="40"/>
    </row>
    <row r="150" spans="1:7" ht="14.4" customHeight="1" x14ac:dyDescent="0.25">
      <c r="A150" t="s">
        <v>468</v>
      </c>
      <c r="B150" t="s">
        <v>467</v>
      </c>
      <c r="C150" t="s">
        <v>436</v>
      </c>
      <c r="D150" s="40" t="s">
        <v>469</v>
      </c>
      <c r="E150" s="41"/>
      <c r="G150" s="40"/>
    </row>
    <row r="151" spans="1:7" ht="14.4" customHeight="1" x14ac:dyDescent="0.25">
      <c r="A151" t="s">
        <v>470</v>
      </c>
      <c r="B151" t="s">
        <v>471</v>
      </c>
      <c r="C151" t="s">
        <v>436</v>
      </c>
      <c r="D151" s="40" t="s">
        <v>469</v>
      </c>
      <c r="E151" s="41"/>
      <c r="G151" s="40"/>
    </row>
    <row r="152" spans="1:7" ht="14.4" customHeight="1" x14ac:dyDescent="0.25">
      <c r="D152" s="40"/>
      <c r="E152" s="41"/>
      <c r="G152" s="40"/>
    </row>
    <row r="153" spans="1:7" ht="14.4" customHeight="1" x14ac:dyDescent="0.25">
      <c r="D153" s="40"/>
      <c r="E153" s="41"/>
      <c r="G153" s="40"/>
    </row>
    <row r="154" spans="1:7" ht="14.4" customHeight="1" x14ac:dyDescent="0.25">
      <c r="D154" s="40"/>
      <c r="E154" s="41"/>
      <c r="G154" s="40"/>
    </row>
    <row r="155" spans="1:7" ht="14.4" customHeight="1" x14ac:dyDescent="0.25">
      <c r="D155" s="40"/>
      <c r="E155" s="41"/>
      <c r="G155" s="40"/>
    </row>
    <row r="156" spans="1:7" ht="14.4" customHeight="1" x14ac:dyDescent="0.25">
      <c r="D156" s="40"/>
      <c r="E156" s="41"/>
      <c r="G156" s="40"/>
    </row>
    <row r="157" spans="1:7" ht="14.4" customHeight="1" x14ac:dyDescent="0.25">
      <c r="D157" s="40"/>
      <c r="E157" s="41"/>
      <c r="G157" s="40"/>
    </row>
    <row r="158" spans="1:7" ht="14.4" customHeight="1" x14ac:dyDescent="0.25">
      <c r="D158" s="40"/>
      <c r="E158" s="41"/>
      <c r="G158" s="40"/>
    </row>
    <row r="159" spans="1:7" ht="14.4" customHeight="1" x14ac:dyDescent="0.25">
      <c r="D159" s="40"/>
      <c r="E159" s="41"/>
      <c r="G159" s="40"/>
    </row>
    <row r="160" spans="1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122:D12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2" t="s">
        <v>52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5">
      <c r="A2" s="140" t="s">
        <v>53</v>
      </c>
      <c r="B2" s="118"/>
      <c r="C2" s="118"/>
      <c r="D2" s="118"/>
      <c r="E2" s="118"/>
      <c r="F2" s="118"/>
      <c r="G2" s="143">
        <v>2017</v>
      </c>
      <c r="H2" s="118"/>
      <c r="I2" s="118"/>
      <c r="J2" s="118"/>
    </row>
    <row r="3" spans="1:10" ht="12.75" customHeight="1" x14ac:dyDescent="0.25">
      <c r="A3" s="140" t="s">
        <v>54</v>
      </c>
      <c r="B3" s="118"/>
      <c r="C3" s="140" t="s">
        <v>55</v>
      </c>
      <c r="D3" s="118"/>
      <c r="E3" s="140" t="s">
        <v>56</v>
      </c>
      <c r="F3" s="118"/>
      <c r="G3" s="140" t="s">
        <v>57</v>
      </c>
      <c r="H3" s="118"/>
      <c r="I3" s="140" t="s">
        <v>58</v>
      </c>
      <c r="J3" s="118"/>
    </row>
    <row r="4" spans="1:10" ht="21.6" customHeight="1" x14ac:dyDescent="0.25">
      <c r="A4" s="95" t="s">
        <v>59</v>
      </c>
      <c r="B4" s="103">
        <v>0.69040400000000002</v>
      </c>
      <c r="C4" s="95" t="s">
        <v>35</v>
      </c>
      <c r="D4" s="104">
        <v>0.80969999999999998</v>
      </c>
      <c r="E4" s="95" t="s">
        <v>39</v>
      </c>
      <c r="F4" s="103">
        <v>1.0428999999999999</v>
      </c>
      <c r="G4" s="95" t="s">
        <v>40</v>
      </c>
      <c r="H4" s="103">
        <v>9.5306000000000002E-2</v>
      </c>
      <c r="I4" s="95"/>
      <c r="J4" s="105"/>
    </row>
    <row r="5" spans="1:10" ht="15.75" customHeight="1" x14ac:dyDescent="0.25">
      <c r="A5" s="95" t="s">
        <v>60</v>
      </c>
      <c r="B5" s="103">
        <v>0.37170599999999998</v>
      </c>
      <c r="C5" s="95" t="s">
        <v>61</v>
      </c>
      <c r="D5" s="104">
        <v>0.5756</v>
      </c>
      <c r="E5" s="95" t="s">
        <v>62</v>
      </c>
      <c r="F5" s="104">
        <v>54.584299999999999</v>
      </c>
      <c r="G5" s="95" t="s">
        <v>63</v>
      </c>
      <c r="H5" s="103">
        <v>2.2355999999999997E-2</v>
      </c>
      <c r="I5" s="95"/>
      <c r="J5" s="105"/>
    </row>
    <row r="6" spans="1:10" ht="15" customHeight="1" x14ac:dyDescent="0.25">
      <c r="A6" s="95" t="s">
        <v>64</v>
      </c>
      <c r="B6" s="103">
        <v>0.6649250000000001</v>
      </c>
      <c r="C6" s="95" t="s">
        <v>37</v>
      </c>
      <c r="D6" s="106">
        <v>8.4500000000000006E-2</v>
      </c>
      <c r="E6" s="95" t="s">
        <v>65</v>
      </c>
      <c r="F6" s="104">
        <v>7.2381000000000002</v>
      </c>
      <c r="G6" s="95" t="s">
        <v>43</v>
      </c>
      <c r="H6" s="103">
        <v>9.3360000000000005E-3</v>
      </c>
      <c r="I6" s="95"/>
      <c r="J6" s="105"/>
    </row>
    <row r="7" spans="1:10" ht="14.25" customHeight="1" x14ac:dyDescent="0.25">
      <c r="A7" s="95" t="s">
        <v>36</v>
      </c>
      <c r="B7" s="106">
        <v>0.95392322271763774</v>
      </c>
      <c r="C7" s="95" t="s">
        <v>66</v>
      </c>
      <c r="D7" s="106">
        <v>2.0827</v>
      </c>
      <c r="E7" s="95" t="s">
        <v>67</v>
      </c>
      <c r="F7" s="104">
        <v>2.2115999999999998</v>
      </c>
      <c r="G7" s="95" t="s">
        <v>68</v>
      </c>
      <c r="H7" s="103">
        <v>3.3750000000000002E-2</v>
      </c>
      <c r="I7" s="95"/>
      <c r="J7" s="105"/>
    </row>
    <row r="8" spans="1:10" x14ac:dyDescent="0.25">
      <c r="A8" s="95"/>
      <c r="B8" s="107"/>
      <c r="C8" s="95"/>
      <c r="D8" s="108"/>
      <c r="E8" s="95" t="s">
        <v>69</v>
      </c>
      <c r="F8" s="104">
        <v>0.79</v>
      </c>
      <c r="G8" s="95"/>
      <c r="H8" s="107"/>
      <c r="I8" s="95"/>
      <c r="J8" s="107"/>
    </row>
    <row r="9" spans="1:10" ht="13.5" customHeight="1" x14ac:dyDescent="0.25">
      <c r="A9" s="142" t="s">
        <v>70</v>
      </c>
      <c r="B9" s="118"/>
      <c r="C9" s="118"/>
      <c r="D9" s="118"/>
      <c r="E9" s="118"/>
      <c r="F9" s="118"/>
      <c r="G9" s="118"/>
      <c r="H9" s="118"/>
      <c r="I9" s="118"/>
      <c r="J9" s="118"/>
    </row>
    <row r="10" spans="1:10" ht="13.5" customHeight="1" x14ac:dyDescent="0.25">
      <c r="A10" s="140" t="s">
        <v>71</v>
      </c>
      <c r="B10" s="118"/>
      <c r="C10" s="118"/>
      <c r="D10" s="118"/>
      <c r="E10" s="118"/>
      <c r="F10" s="118"/>
      <c r="G10" s="144">
        <v>2017</v>
      </c>
      <c r="H10" s="118"/>
      <c r="I10" s="118"/>
      <c r="J10" s="118"/>
    </row>
    <row r="11" spans="1:10" x14ac:dyDescent="0.25">
      <c r="A11" s="140" t="s">
        <v>72</v>
      </c>
      <c r="B11" s="118"/>
      <c r="C11" s="140" t="s">
        <v>73</v>
      </c>
      <c r="D11" s="118"/>
      <c r="E11" s="140" t="s">
        <v>74</v>
      </c>
      <c r="F11" s="118"/>
      <c r="G11" s="118"/>
      <c r="H11" s="118"/>
      <c r="I11" s="118"/>
      <c r="J11" s="118"/>
    </row>
    <row r="12" spans="1:10" ht="14.25" customHeight="1" x14ac:dyDescent="0.25">
      <c r="A12" s="95" t="s">
        <v>75</v>
      </c>
      <c r="B12" s="109">
        <v>62.851803320000002</v>
      </c>
      <c r="C12" s="95" t="s">
        <v>76</v>
      </c>
      <c r="D12" s="106">
        <v>748.83447195839994</v>
      </c>
      <c r="E12" s="145" t="s">
        <v>77</v>
      </c>
      <c r="F12" s="118"/>
      <c r="G12" s="118"/>
      <c r="H12" s="146">
        <v>780.19593469690005</v>
      </c>
      <c r="I12" s="118"/>
      <c r="J12" s="118"/>
    </row>
    <row r="13" spans="1:10" ht="14.25" customHeight="1" x14ac:dyDescent="0.25">
      <c r="A13" s="95" t="s">
        <v>78</v>
      </c>
      <c r="B13" s="109">
        <v>11.760752844900001</v>
      </c>
      <c r="C13" s="95" t="s">
        <v>79</v>
      </c>
      <c r="D13" s="106">
        <v>740.28375875220001</v>
      </c>
      <c r="E13" s="145" t="s">
        <v>80</v>
      </c>
      <c r="F13" s="118"/>
      <c r="G13" s="118"/>
      <c r="H13" s="146">
        <v>282.7403430096</v>
      </c>
      <c r="I13" s="118"/>
      <c r="J13" s="118"/>
    </row>
    <row r="14" spans="1:10" ht="14.25" customHeight="1" x14ac:dyDescent="0.25">
      <c r="A14" s="95" t="s">
        <v>81</v>
      </c>
      <c r="B14" s="109">
        <v>70.988120694300008</v>
      </c>
      <c r="C14" s="95" t="s">
        <v>82</v>
      </c>
      <c r="D14" s="106">
        <v>676.77348111160006</v>
      </c>
      <c r="E14" s="145" t="s">
        <v>83</v>
      </c>
      <c r="F14" s="118"/>
      <c r="G14" s="118"/>
      <c r="H14" s="146">
        <v>1066.9747710642998</v>
      </c>
      <c r="I14" s="118"/>
      <c r="J14" s="118"/>
    </row>
    <row r="15" spans="1:10" ht="14.25" customHeight="1" x14ac:dyDescent="0.25">
      <c r="A15" s="95" t="s">
        <v>84</v>
      </c>
      <c r="B15" s="109">
        <v>274.13983234290004</v>
      </c>
      <c r="C15" s="95" t="s">
        <v>85</v>
      </c>
      <c r="D15" s="106">
        <v>3.3206565895</v>
      </c>
      <c r="E15" s="145" t="s">
        <v>86</v>
      </c>
      <c r="F15" s="118"/>
      <c r="G15" s="118"/>
      <c r="H15" s="146">
        <v>664.40199224640003</v>
      </c>
      <c r="I15" s="118"/>
      <c r="J15" s="118"/>
    </row>
    <row r="16" spans="1:10" ht="14.25" customHeight="1" x14ac:dyDescent="0.25">
      <c r="A16" s="95" t="s">
        <v>87</v>
      </c>
      <c r="B16" s="109">
        <v>62.163200777200004</v>
      </c>
      <c r="C16" s="95" t="s">
        <v>88</v>
      </c>
      <c r="D16" s="106">
        <v>33.783312328299999</v>
      </c>
      <c r="E16" s="145" t="s">
        <v>89</v>
      </c>
      <c r="F16" s="118"/>
      <c r="G16" s="118"/>
      <c r="H16" s="146">
        <v>294.75403546270002</v>
      </c>
      <c r="I16" s="118"/>
      <c r="J16" s="118"/>
    </row>
    <row r="17" spans="1:10" ht="14.25" customHeight="1" x14ac:dyDescent="0.25">
      <c r="A17" s="95" t="s">
        <v>90</v>
      </c>
      <c r="B17" s="109">
        <v>208.73200670770001</v>
      </c>
      <c r="C17" s="95" t="s">
        <v>91</v>
      </c>
      <c r="D17" s="106">
        <v>16.815212351900001</v>
      </c>
      <c r="E17" s="145" t="s">
        <v>92</v>
      </c>
      <c r="F17" s="118"/>
      <c r="G17" s="118"/>
      <c r="H17" s="146">
        <v>1010.1184530269001</v>
      </c>
      <c r="I17" s="118"/>
      <c r="J17" s="118"/>
    </row>
    <row r="18" spans="1:10" ht="14.25" customHeight="1" x14ac:dyDescent="0.25">
      <c r="A18" s="95" t="s">
        <v>93</v>
      </c>
      <c r="B18" s="109">
        <v>1035.885271758</v>
      </c>
      <c r="C18" s="95" t="s">
        <v>94</v>
      </c>
      <c r="D18" s="106">
        <v>16.740925216600001</v>
      </c>
      <c r="E18" s="145" t="s">
        <v>95</v>
      </c>
      <c r="F18" s="118"/>
      <c r="G18" s="118"/>
      <c r="H18" s="146">
        <v>56.856318037400001</v>
      </c>
      <c r="I18" s="118"/>
      <c r="J18" s="118"/>
    </row>
    <row r="19" spans="1:10" ht="14.25" customHeight="1" x14ac:dyDescent="0.25">
      <c r="A19" s="95" t="s">
        <v>96</v>
      </c>
      <c r="B19" s="109">
        <v>103.928659298</v>
      </c>
      <c r="C19" s="95" t="s">
        <v>97</v>
      </c>
      <c r="D19" s="106">
        <v>16.6319743713</v>
      </c>
      <c r="E19" s="145" t="s">
        <v>98</v>
      </c>
      <c r="F19" s="118"/>
      <c r="G19" s="118"/>
      <c r="H19" s="146">
        <v>-141.4393950674</v>
      </c>
      <c r="I19" s="118"/>
      <c r="J19" s="118"/>
    </row>
    <row r="20" spans="1:10" ht="27" customHeight="1" x14ac:dyDescent="0.25">
      <c r="A20" s="95" t="s">
        <v>99</v>
      </c>
      <c r="B20" s="109">
        <v>26.389924734000001</v>
      </c>
      <c r="C20" s="95" t="s">
        <v>41</v>
      </c>
      <c r="D20" s="106">
        <v>8.3732689413999992</v>
      </c>
      <c r="E20" s="145" t="s">
        <v>100</v>
      </c>
      <c r="F20" s="118"/>
      <c r="G20" s="118"/>
      <c r="H20" s="146">
        <v>147.56440873139999</v>
      </c>
      <c r="I20" s="118"/>
      <c r="J20" s="118"/>
    </row>
    <row r="21" spans="1:10" ht="16.5" customHeight="1" x14ac:dyDescent="0.25">
      <c r="A21" s="95" t="s">
        <v>101</v>
      </c>
      <c r="B21" s="109">
        <v>0</v>
      </c>
      <c r="C21" s="95"/>
      <c r="D21" s="110"/>
      <c r="E21" s="145" t="s">
        <v>102</v>
      </c>
      <c r="F21" s="118"/>
      <c r="G21" s="118"/>
      <c r="H21" s="146">
        <v>271.39428495129999</v>
      </c>
      <c r="I21" s="118"/>
      <c r="J21" s="118"/>
    </row>
    <row r="22" spans="1:10" ht="14.25" customHeight="1" x14ac:dyDescent="0.25">
      <c r="A22" s="95" t="s">
        <v>103</v>
      </c>
      <c r="B22" s="109">
        <v>68.609570910000002</v>
      </c>
      <c r="C22" s="95"/>
      <c r="D22" s="110"/>
      <c r="E22" s="145" t="s">
        <v>104</v>
      </c>
      <c r="F22" s="118"/>
      <c r="G22" s="118"/>
      <c r="H22" s="146">
        <v>21.1589370216</v>
      </c>
      <c r="I22" s="118"/>
      <c r="J22" s="118"/>
    </row>
    <row r="23" spans="1:10" ht="14.25" customHeight="1" x14ac:dyDescent="0.25">
      <c r="A23" s="95" t="s">
        <v>105</v>
      </c>
      <c r="B23" s="109">
        <v>102.4532172002</v>
      </c>
      <c r="C23" s="95"/>
      <c r="D23" s="110"/>
      <c r="E23" s="145" t="s">
        <v>106</v>
      </c>
      <c r="F23" s="118"/>
      <c r="G23" s="118"/>
      <c r="H23" s="146">
        <v>607.55030022569997</v>
      </c>
      <c r="I23" s="118"/>
      <c r="J23" s="118"/>
    </row>
    <row r="24" spans="1:10" ht="14.25" customHeight="1" x14ac:dyDescent="0.25">
      <c r="A24" s="95" t="s">
        <v>107</v>
      </c>
      <c r="B24" s="109">
        <v>715.17958957140002</v>
      </c>
      <c r="C24" s="111"/>
      <c r="D24" s="108"/>
      <c r="E24" s="145" t="s">
        <v>108</v>
      </c>
      <c r="F24" s="118"/>
      <c r="G24" s="118"/>
      <c r="H24" s="146">
        <v>279.79046764890001</v>
      </c>
      <c r="I24" s="118"/>
      <c r="J24" s="118"/>
    </row>
    <row r="25" spans="1:10" ht="14.25" customHeight="1" x14ac:dyDescent="0.25">
      <c r="A25" s="95" t="s">
        <v>109</v>
      </c>
      <c r="B25" s="109">
        <v>320.70568218659997</v>
      </c>
      <c r="C25" s="111"/>
      <c r="D25" s="108"/>
      <c r="E25" s="145" t="s">
        <v>110</v>
      </c>
      <c r="F25" s="118"/>
      <c r="G25" s="118"/>
      <c r="H25" s="146">
        <v>512.30563070279993</v>
      </c>
      <c r="I25" s="118"/>
      <c r="J25" s="118"/>
    </row>
    <row r="26" spans="1:10" ht="14.25" customHeight="1" x14ac:dyDescent="0.25">
      <c r="A26" s="112" t="s">
        <v>111</v>
      </c>
      <c r="B26" s="109">
        <v>1035.885271758</v>
      </c>
      <c r="C26" s="111"/>
      <c r="D26" s="108"/>
      <c r="E26" s="145" t="s">
        <v>112</v>
      </c>
      <c r="F26" s="118"/>
      <c r="G26" s="118"/>
      <c r="H26" s="146">
        <v>95.244669522900011</v>
      </c>
      <c r="I26" s="118"/>
      <c r="J26" s="118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1" t="s">
        <v>472</v>
      </c>
      <c r="B1" s="122"/>
      <c r="C1" s="122"/>
      <c r="D1" s="122"/>
      <c r="E1" s="122"/>
      <c r="F1" s="122"/>
      <c r="G1" s="122"/>
      <c r="H1" s="122"/>
      <c r="I1" s="122"/>
    </row>
    <row r="2" spans="1:10" ht="46.5" customHeight="1" x14ac:dyDescent="0.25">
      <c r="A2" s="19" t="s">
        <v>22</v>
      </c>
      <c r="B2" s="77" t="s">
        <v>524</v>
      </c>
      <c r="C2" s="77" t="s">
        <v>473</v>
      </c>
      <c r="D2" s="77" t="s">
        <v>534</v>
      </c>
      <c r="E2" s="77" t="s">
        <v>535</v>
      </c>
      <c r="F2" s="77" t="s">
        <v>536</v>
      </c>
      <c r="G2" s="77" t="s">
        <v>537</v>
      </c>
      <c r="H2" s="77" t="s">
        <v>538</v>
      </c>
      <c r="I2" s="77" t="s">
        <v>532</v>
      </c>
      <c r="J2" s="77" t="s">
        <v>532</v>
      </c>
    </row>
    <row r="3" spans="1:10" x14ac:dyDescent="0.25">
      <c r="A3" s="19" t="s">
        <v>24</v>
      </c>
      <c r="B3" s="78" t="s">
        <v>25</v>
      </c>
      <c r="C3" s="86" t="s">
        <v>474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532</v>
      </c>
      <c r="J3" s="78" t="s">
        <v>532</v>
      </c>
    </row>
    <row r="4" spans="1:10" s="18" customFormat="1" ht="21.6" x14ac:dyDescent="0.25">
      <c r="A4" s="21" t="s">
        <v>3</v>
      </c>
      <c r="B4" s="79" t="s">
        <v>525</v>
      </c>
      <c r="C4" s="86" t="s">
        <v>474</v>
      </c>
      <c r="D4" s="79" t="s">
        <v>525</v>
      </c>
      <c r="E4" s="79" t="s">
        <v>525</v>
      </c>
      <c r="F4" s="79" t="s">
        <v>525</v>
      </c>
      <c r="G4" s="79" t="s">
        <v>525</v>
      </c>
      <c r="H4" s="79" t="s">
        <v>539</v>
      </c>
      <c r="I4" s="79" t="s">
        <v>532</v>
      </c>
      <c r="J4" s="79" t="s">
        <v>532</v>
      </c>
    </row>
    <row r="5" spans="1:10" s="18" customFormat="1" x14ac:dyDescent="0.25">
      <c r="A5" s="21" t="s">
        <v>29</v>
      </c>
      <c r="B5" s="80" t="s">
        <v>30</v>
      </c>
      <c r="C5" s="86" t="s">
        <v>474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532</v>
      </c>
      <c r="J5" s="80" t="s">
        <v>532</v>
      </c>
    </row>
    <row r="6" spans="1:10" x14ac:dyDescent="0.25">
      <c r="A6" s="19" t="s">
        <v>32</v>
      </c>
      <c r="B6" s="81">
        <v>1035.885271758</v>
      </c>
      <c r="C6" s="86">
        <v>505.21707351776001</v>
      </c>
      <c r="D6" s="81">
        <v>337.25380545000002</v>
      </c>
      <c r="E6" s="81">
        <v>489.35771479599998</v>
      </c>
      <c r="F6" s="81">
        <v>421.16289694559998</v>
      </c>
      <c r="G6" s="81">
        <v>893.15263549999997</v>
      </c>
      <c r="H6" s="81">
        <v>385.1583148972</v>
      </c>
      <c r="I6" s="81" t="s">
        <v>532</v>
      </c>
      <c r="J6" s="81" t="s">
        <v>532</v>
      </c>
    </row>
    <row r="7" spans="1:10" x14ac:dyDescent="0.25">
      <c r="A7" s="19" t="s">
        <v>34</v>
      </c>
      <c r="B7" s="82">
        <v>0.69040400000000002</v>
      </c>
      <c r="C7" s="86">
        <v>0.57905340000000005</v>
      </c>
      <c r="D7" s="82">
        <v>0.50475300000000001</v>
      </c>
      <c r="E7" s="82">
        <v>0.62578</v>
      </c>
      <c r="F7" s="82">
        <v>0.59233599999999997</v>
      </c>
      <c r="G7" s="82">
        <v>0.57853999999999994</v>
      </c>
      <c r="H7" s="82">
        <v>0.593858</v>
      </c>
      <c r="I7" s="82" t="s">
        <v>532</v>
      </c>
      <c r="J7" s="82" t="s">
        <v>532</v>
      </c>
    </row>
    <row r="8" spans="1:10" x14ac:dyDescent="0.25">
      <c r="A8" s="19" t="s">
        <v>35</v>
      </c>
      <c r="B8" s="81">
        <v>0.80969999999999998</v>
      </c>
      <c r="C8" s="86">
        <v>0.76667999999999992</v>
      </c>
      <c r="D8" s="81">
        <v>0.58389999999999997</v>
      </c>
      <c r="E8" s="81">
        <v>0.64229999999999998</v>
      </c>
      <c r="F8" s="81">
        <v>0.64729999999999999</v>
      </c>
      <c r="G8" s="81">
        <v>0.99590000000000001</v>
      </c>
      <c r="H8" s="81">
        <v>0.96399999999999997</v>
      </c>
      <c r="I8" s="81" t="s">
        <v>532</v>
      </c>
      <c r="J8" s="81" t="s">
        <v>532</v>
      </c>
    </row>
    <row r="9" spans="1:10" x14ac:dyDescent="0.25">
      <c r="A9" s="19" t="s">
        <v>36</v>
      </c>
      <c r="B9" s="78">
        <v>0.95392322271763774</v>
      </c>
      <c r="C9" s="86">
        <v>0.89818010702961537</v>
      </c>
      <c r="D9" s="78">
        <v>0.71756895704644652</v>
      </c>
      <c r="E9" s="78">
        <v>1.1862807933218211</v>
      </c>
      <c r="F9" s="78">
        <v>0.6459744085407827</v>
      </c>
      <c r="G9" s="78">
        <v>0.92539177977287823</v>
      </c>
      <c r="H9" s="78">
        <v>1.0156845964661478</v>
      </c>
      <c r="I9" s="78" t="s">
        <v>532</v>
      </c>
      <c r="J9" s="78" t="s">
        <v>532</v>
      </c>
    </row>
    <row r="10" spans="1:10" ht="21.6" customHeight="1" x14ac:dyDescent="0.25">
      <c r="A10" s="19" t="s">
        <v>37</v>
      </c>
      <c r="B10" s="81">
        <v>8.4500000000000006E-2</v>
      </c>
      <c r="C10" s="86">
        <v>0.14304</v>
      </c>
      <c r="D10" s="81">
        <v>0.13089999999999999</v>
      </c>
      <c r="E10" s="81">
        <v>8.2199999999999995E-2</v>
      </c>
      <c r="F10" s="81">
        <v>0.17269999999999999</v>
      </c>
      <c r="G10" s="81">
        <v>0.19670000000000001</v>
      </c>
      <c r="H10" s="81">
        <v>0.13270000000000001</v>
      </c>
      <c r="I10" s="81" t="s">
        <v>532</v>
      </c>
      <c r="J10" s="81" t="s">
        <v>532</v>
      </c>
    </row>
    <row r="11" spans="1:10" x14ac:dyDescent="0.25">
      <c r="A11" s="19" t="s">
        <v>38</v>
      </c>
      <c r="B11" s="81">
        <v>748.06878140699996</v>
      </c>
      <c r="C11" s="86">
        <v>443.32449301868002</v>
      </c>
      <c r="D11" s="81">
        <v>69.775490099999999</v>
      </c>
      <c r="E11" s="81">
        <v>361.665295222</v>
      </c>
      <c r="F11" s="81">
        <v>510.41303382749999</v>
      </c>
      <c r="G11" s="81">
        <v>945.48619097999995</v>
      </c>
      <c r="H11" s="81">
        <v>329.28245496389997</v>
      </c>
      <c r="I11" s="81" t="s">
        <v>532</v>
      </c>
      <c r="J11" s="81" t="s">
        <v>532</v>
      </c>
    </row>
    <row r="12" spans="1:10" s="18" customFormat="1" x14ac:dyDescent="0.25">
      <c r="A12" s="21" t="s">
        <v>39</v>
      </c>
      <c r="B12" s="83">
        <v>1.0428999999999999</v>
      </c>
      <c r="C12" s="86">
        <v>1.0132999999999999</v>
      </c>
      <c r="D12" s="83">
        <v>1.0497000000000001</v>
      </c>
      <c r="E12" s="83">
        <v>0.92169999999999996</v>
      </c>
      <c r="F12" s="83">
        <v>1.0408999999999999</v>
      </c>
      <c r="G12" s="83">
        <v>1.0569</v>
      </c>
      <c r="H12" s="83">
        <v>0.99729999999999985</v>
      </c>
      <c r="I12" s="83" t="s">
        <v>532</v>
      </c>
      <c r="J12" s="83" t="s">
        <v>532</v>
      </c>
    </row>
    <row r="13" spans="1:10" s="18" customFormat="1" x14ac:dyDescent="0.25">
      <c r="A13" s="21" t="s">
        <v>40</v>
      </c>
      <c r="B13" s="83">
        <v>9.5306000000000002E-2</v>
      </c>
      <c r="C13" s="86">
        <v>0.16937320000000003</v>
      </c>
      <c r="D13" s="83">
        <v>0.40868199999999999</v>
      </c>
      <c r="E13" s="83">
        <v>9.3894000000000005E-2</v>
      </c>
      <c r="F13" s="83">
        <v>9.0690000000000007E-2</v>
      </c>
      <c r="G13" s="83">
        <v>0.13936400000000002</v>
      </c>
      <c r="H13" s="83">
        <v>0.114236</v>
      </c>
      <c r="I13" s="83" t="s">
        <v>532</v>
      </c>
      <c r="J13" s="83" t="s">
        <v>532</v>
      </c>
    </row>
    <row r="14" spans="1:10" s="18" customFormat="1" x14ac:dyDescent="0.25">
      <c r="A14" s="21" t="s">
        <v>41</v>
      </c>
      <c r="B14" s="84">
        <v>8.3732689413999992</v>
      </c>
      <c r="C14" s="86">
        <v>12.738372757760001</v>
      </c>
      <c r="D14" s="84">
        <v>7.5202927800000001</v>
      </c>
      <c r="E14" s="84">
        <v>6.3321753207000002</v>
      </c>
      <c r="F14" s="84">
        <v>11.9339109975</v>
      </c>
      <c r="G14" s="84">
        <v>32.47549197</v>
      </c>
      <c r="H14" s="84">
        <v>5.4299927205999996</v>
      </c>
      <c r="I14" s="84" t="s">
        <v>532</v>
      </c>
      <c r="J14" s="84" t="s">
        <v>532</v>
      </c>
    </row>
    <row r="15" spans="1:10" x14ac:dyDescent="0.25">
      <c r="A15" s="19" t="s">
        <v>43</v>
      </c>
      <c r="B15" s="82">
        <v>9.3360000000000005E-3</v>
      </c>
      <c r="C15" s="86">
        <v>5.5651000000000006E-2</v>
      </c>
      <c r="D15" s="82">
        <v>5.4837999999999998E-2</v>
      </c>
      <c r="E15" s="82">
        <v>1.839E-2</v>
      </c>
      <c r="F15" s="82">
        <v>7.1438000000000001E-2</v>
      </c>
      <c r="G15" s="82">
        <v>0.11177799999999999</v>
      </c>
      <c r="H15" s="82">
        <v>2.1810999999999997E-2</v>
      </c>
      <c r="I15" s="82" t="s">
        <v>532</v>
      </c>
      <c r="J15" s="82" t="s">
        <v>532</v>
      </c>
    </row>
    <row r="16" spans="1:10" s="18" customFormat="1" ht="25.8" customHeight="1" x14ac:dyDescent="0.25">
      <c r="A16" s="21" t="s">
        <v>44</v>
      </c>
      <c r="B16" s="84">
        <v>56.856318037400001</v>
      </c>
      <c r="C16" s="86">
        <v>36.019185995439997</v>
      </c>
      <c r="D16" s="84">
        <v>10.67363875</v>
      </c>
      <c r="E16" s="84">
        <v>28.489595897499999</v>
      </c>
      <c r="F16" s="84">
        <v>36.9867938911</v>
      </c>
      <c r="G16" s="84">
        <v>97.643555140000004</v>
      </c>
      <c r="H16" s="84">
        <v>6.3023462985999998</v>
      </c>
      <c r="I16" s="84" t="s">
        <v>532</v>
      </c>
      <c r="J16" s="84" t="s">
        <v>532</v>
      </c>
    </row>
    <row r="17" spans="1:10" x14ac:dyDescent="0.25">
      <c r="A17" s="19" t="s">
        <v>58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7" t="s">
        <v>475</v>
      </c>
      <c r="B1" s="122"/>
      <c r="C1" s="122"/>
      <c r="D1" s="122"/>
      <c r="E1" s="122"/>
      <c r="F1" s="122"/>
    </row>
    <row r="2" spans="1:6" x14ac:dyDescent="0.25">
      <c r="A2" s="91" t="s">
        <v>476</v>
      </c>
      <c r="B2" s="90" t="s">
        <v>477</v>
      </c>
      <c r="C2" s="90" t="s">
        <v>478</v>
      </c>
      <c r="D2" s="90" t="s">
        <v>479</v>
      </c>
      <c r="E2" s="90" t="s">
        <v>434</v>
      </c>
      <c r="F2" s="90" t="s">
        <v>480</v>
      </c>
    </row>
    <row r="3" spans="1:6" ht="48" customHeight="1" x14ac:dyDescent="0.25">
      <c r="A3" s="93" t="s">
        <v>481</v>
      </c>
      <c r="B3" s="92"/>
      <c r="C3" s="17"/>
      <c r="D3" s="17"/>
      <c r="E3" s="92"/>
      <c r="F3" s="17"/>
    </row>
    <row r="4" spans="1:6" ht="49.5" customHeight="1" x14ac:dyDescent="0.25">
      <c r="A4" s="93"/>
      <c r="B4" s="92"/>
      <c r="C4" s="17"/>
      <c r="D4" s="17"/>
      <c r="E4" s="92"/>
      <c r="F4" s="17"/>
    </row>
    <row r="5" spans="1:6" x14ac:dyDescent="0.25">
      <c r="A5" s="93"/>
      <c r="B5" s="92"/>
      <c r="C5" s="17"/>
      <c r="D5" s="17"/>
      <c r="E5" s="92"/>
      <c r="F5" s="17"/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18" spans="1:6" x14ac:dyDescent="0.25">
      <c r="A18" s="141" t="s">
        <v>482</v>
      </c>
      <c r="B18" s="141"/>
      <c r="C18" s="141"/>
      <c r="D18" s="141"/>
      <c r="E18" s="141"/>
      <c r="F18" s="141"/>
    </row>
    <row r="19" spans="1:6" x14ac:dyDescent="0.25">
      <c r="A19" s="101" t="s">
        <v>476</v>
      </c>
      <c r="B19" s="101" t="s">
        <v>477</v>
      </c>
      <c r="C19" s="101" t="s">
        <v>483</v>
      </c>
      <c r="D19" s="101" t="s">
        <v>484</v>
      </c>
      <c r="E19" s="101" t="s">
        <v>434</v>
      </c>
      <c r="F19" s="101" t="s">
        <v>480</v>
      </c>
    </row>
    <row r="20" spans="1:6" x14ac:dyDescent="0.25">
      <c r="A20" s="113">
        <v>43537</v>
      </c>
      <c r="B20" s="96" t="s">
        <v>485</v>
      </c>
      <c r="C20" s="114" t="s">
        <v>486</v>
      </c>
      <c r="D20" s="114"/>
      <c r="E20" s="96" t="s">
        <v>487</v>
      </c>
      <c r="F20" s="114" t="s">
        <v>488</v>
      </c>
    </row>
    <row r="21" spans="1:6" x14ac:dyDescent="0.25">
      <c r="A21" s="113">
        <v>43535</v>
      </c>
      <c r="B21" s="96" t="s">
        <v>489</v>
      </c>
      <c r="C21" s="114" t="s">
        <v>490</v>
      </c>
      <c r="D21" s="114"/>
      <c r="E21" s="96" t="s">
        <v>469</v>
      </c>
      <c r="F21" s="114" t="s">
        <v>491</v>
      </c>
    </row>
    <row r="22" spans="1:6" x14ac:dyDescent="0.25">
      <c r="A22" s="113">
        <v>43528</v>
      </c>
      <c r="B22" s="96" t="s">
        <v>492</v>
      </c>
      <c r="C22" s="114" t="s">
        <v>493</v>
      </c>
      <c r="D22" s="114"/>
      <c r="E22" s="96" t="s">
        <v>494</v>
      </c>
      <c r="F22" s="114" t="s">
        <v>495</v>
      </c>
    </row>
    <row r="23" spans="1:6" x14ac:dyDescent="0.25">
      <c r="A23" s="113">
        <v>43370</v>
      </c>
      <c r="B23" s="96" t="s">
        <v>496</v>
      </c>
      <c r="C23" s="114" t="s">
        <v>497</v>
      </c>
      <c r="D23" s="114"/>
      <c r="E23" s="96" t="s">
        <v>469</v>
      </c>
      <c r="F23" s="114" t="s">
        <v>498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8" t="s">
        <v>499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8" s="1" customFormat="1" ht="25.5" customHeight="1" x14ac:dyDescent="0.25">
      <c r="A2" s="3" t="s">
        <v>500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505</v>
      </c>
      <c r="G2" s="3" t="s">
        <v>506</v>
      </c>
      <c r="H2" s="3" t="s">
        <v>16</v>
      </c>
      <c r="I2" s="3" t="s">
        <v>507</v>
      </c>
      <c r="J2" s="3" t="s">
        <v>508</v>
      </c>
      <c r="K2" s="3" t="s">
        <v>509</v>
      </c>
      <c r="L2" s="3" t="s">
        <v>510</v>
      </c>
      <c r="M2" s="3" t="s">
        <v>19</v>
      </c>
      <c r="N2" s="3" t="s">
        <v>511</v>
      </c>
      <c r="O2" s="9"/>
      <c r="P2" s="10" t="str">
        <f ca="1">Q2</f>
        <v>2019-03-29</v>
      </c>
      <c r="Q2" s="1" t="str">
        <f ca="1">[1]!td(R2-1)</f>
        <v>2019-03-29</v>
      </c>
      <c r="R2" s="9">
        <f ca="1">TODAY()</f>
        <v>43556</v>
      </c>
    </row>
    <row r="3" spans="1:18" ht="15.75" customHeight="1" x14ac:dyDescent="0.25">
      <c r="A3" s="4" t="str">
        <f>[1]!b_info_name(L3)</f>
        <v>19鲁黄金MTN003</v>
      </c>
      <c r="B3" s="5" t="str">
        <f>[1]!b_issue_firstissue(L3)</f>
        <v>2019-04-02</v>
      </c>
      <c r="C3" s="4">
        <f>[1]!b_info_term(L3)</f>
        <v>3</v>
      </c>
      <c r="D3" s="6" t="str">
        <f>[1]!issuerrating(L3)</f>
        <v>AAA</v>
      </c>
      <c r="E3" s="6" t="str">
        <f>[1]!b_info_creditrating(L3)</f>
        <v>AAA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512</v>
      </c>
      <c r="I3" s="11"/>
      <c r="J3" s="12" t="s">
        <v>512</v>
      </c>
      <c r="K3" s="13"/>
      <c r="L3" s="75" t="str">
        <f>公式页!A2</f>
        <v>q19032905.IB</v>
      </c>
      <c r="M3" s="8" t="s">
        <v>512</v>
      </c>
      <c r="N3" s="4" t="str">
        <f>[1]!b_agency_leadunderwriter(L3)</f>
        <v>中国银行股份有限公司,国泰君安证券股份有限公司</v>
      </c>
      <c r="P3" s="2" t="str">
        <f t="shared" ref="P3:P29" ca="1" si="0">$P$2</f>
        <v>2019-03-29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3.6463000000000001</v>
      </c>
      <c r="K4" s="13">
        <f>K3</f>
        <v>0</v>
      </c>
      <c r="L4" s="14" t="s">
        <v>513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2019-03-29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2019-03-29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2019-03-29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2019-03-29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2019-03-29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2019-03-29</v>
      </c>
    </row>
    <row r="10" spans="1:18" x14ac:dyDescent="0.25">
      <c r="P10" s="2" t="str">
        <f t="shared" ca="1" si="0"/>
        <v>2019-03-29</v>
      </c>
    </row>
    <row r="11" spans="1:18" x14ac:dyDescent="0.25">
      <c r="P11" s="2" t="str">
        <f t="shared" ca="1" si="0"/>
        <v>2019-03-29</v>
      </c>
    </row>
    <row r="12" spans="1:18" x14ac:dyDescent="0.25">
      <c r="A12" s="148" t="s">
        <v>514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P12" s="2" t="str">
        <f t="shared" ca="1" si="0"/>
        <v>2019-03-29</v>
      </c>
    </row>
    <row r="13" spans="1:18" s="1" customFormat="1" ht="43.2" customHeight="1" x14ac:dyDescent="0.25">
      <c r="A13" s="3" t="s">
        <v>500</v>
      </c>
      <c r="B13" s="3" t="s">
        <v>501</v>
      </c>
      <c r="C13" s="3" t="s">
        <v>502</v>
      </c>
      <c r="D13" s="3" t="s">
        <v>503</v>
      </c>
      <c r="E13" s="3" t="s">
        <v>504</v>
      </c>
      <c r="F13" s="3" t="s">
        <v>505</v>
      </c>
      <c r="G13" s="3" t="s">
        <v>506</v>
      </c>
      <c r="H13" s="3" t="s">
        <v>16</v>
      </c>
      <c r="I13" s="3" t="s">
        <v>507</v>
      </c>
      <c r="J13" s="3" t="s">
        <v>508</v>
      </c>
      <c r="K13" s="3" t="s">
        <v>509</v>
      </c>
      <c r="L13" s="3" t="s">
        <v>510</v>
      </c>
      <c r="M13" s="3" t="s">
        <v>19</v>
      </c>
      <c r="N13" s="3" t="s">
        <v>511</v>
      </c>
      <c r="P13" s="2" t="str">
        <f t="shared" ca="1" si="0"/>
        <v>2019-03-29</v>
      </c>
    </row>
    <row r="14" spans="1:18" ht="15.75" customHeight="1" x14ac:dyDescent="0.25">
      <c r="A14" s="4" t="str">
        <f>[1]!b_info_name(L14)</f>
        <v>19鲁黄金MTN003</v>
      </c>
      <c r="B14" s="5" t="str">
        <f>[1]!b_issue_firstissue(L14)</f>
        <v>2019-04-02</v>
      </c>
      <c r="C14" s="4">
        <f>[1]!b_info_term(L14)</f>
        <v>3</v>
      </c>
      <c r="D14" s="6" t="str">
        <f>[1]!issuerrating(L14)</f>
        <v>AAA</v>
      </c>
      <c r="E14" s="6" t="str">
        <f>[1]!b_info_creditrating(L14)</f>
        <v>AAA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512</v>
      </c>
      <c r="I14" s="11"/>
      <c r="J14" s="12" t="s">
        <v>512</v>
      </c>
      <c r="K14" s="13">
        <f>K3</f>
        <v>0</v>
      </c>
      <c r="L14" s="76" t="str">
        <f>L3</f>
        <v>q19032905.IB</v>
      </c>
      <c r="M14" s="8" t="s">
        <v>512</v>
      </c>
      <c r="N14" s="4" t="str">
        <f>[1]!b_agency_leadunderwriter(L14)</f>
        <v>中国银行股份有限公司,国泰君安证券股份有限公司</v>
      </c>
      <c r="P14" s="2" t="str">
        <f t="shared" ca="1" si="0"/>
        <v>2019-03-29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515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2019-03-29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516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2019-03-29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517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2019-03-29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518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2019-03-29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519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2019-03-29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520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2019-03-29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521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2019-03-29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522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2019-03-29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523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2019-03-29</v>
      </c>
    </row>
    <row r="24" spans="1:16" x14ac:dyDescent="0.25">
      <c r="P24" s="2" t="str">
        <f t="shared" ca="1" si="0"/>
        <v>2019-03-29</v>
      </c>
    </row>
    <row r="25" spans="1:16" x14ac:dyDescent="0.25">
      <c r="P25" s="2" t="str">
        <f t="shared" ca="1" si="0"/>
        <v>2019-03-29</v>
      </c>
    </row>
    <row r="26" spans="1:16" x14ac:dyDescent="0.25">
      <c r="P26" s="2" t="str">
        <f t="shared" ca="1" si="0"/>
        <v>2019-03-29</v>
      </c>
    </row>
    <row r="27" spans="1:16" x14ac:dyDescent="0.25">
      <c r="P27" s="2" t="str">
        <f t="shared" ca="1" si="0"/>
        <v>2019-03-29</v>
      </c>
    </row>
    <row r="28" spans="1:16" x14ac:dyDescent="0.25">
      <c r="P28" s="2" t="str">
        <f t="shared" ca="1" si="0"/>
        <v>2019-03-29</v>
      </c>
    </row>
    <row r="29" spans="1:16" x14ac:dyDescent="0.25">
      <c r="P29" s="2" t="str">
        <f t="shared" ca="1" si="0"/>
        <v>2019-03-29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2019-04-01T07:40:28Z</dcterms:modified>
</cp:coreProperties>
</file>