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3新券信评\"/>
    </mc:Choice>
  </mc:AlternateContent>
  <xr:revisionPtr revIDLastSave="0" documentId="13_ncr:1_{1656C7CE-1014-476D-8914-F94EF652937F}" xr6:coauthVersionLast="41" xr6:coauthVersionMax="41" xr10:uidLastSave="{00000000-0000-0000-0000-000000000000}"/>
  <bookViews>
    <workbookView xWindow="5100" yWindow="732" windowWidth="12276" windowHeight="10908" firstSheet="1"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O23" i="6"/>
  <c r="F23" i="6"/>
  <c r="A23" i="6"/>
  <c r="C22" i="6"/>
  <c r="N21" i="6"/>
  <c r="F21" i="6"/>
  <c r="H20" i="6"/>
  <c r="C20" i="6"/>
  <c r="M19" i="6"/>
  <c r="E19" i="6"/>
  <c r="G18" i="6"/>
  <c r="B18" i="6"/>
  <c r="M17" i="6"/>
  <c r="D17" i="6"/>
  <c r="O16" i="6"/>
  <c r="G16" i="6"/>
  <c r="A16" i="6"/>
  <c r="D15" i="6"/>
  <c r="D14" i="6"/>
  <c r="E9" i="6"/>
  <c r="G8" i="6"/>
  <c r="B8" i="6"/>
  <c r="D7" i="6"/>
  <c r="N6" i="6"/>
  <c r="H6" i="6"/>
  <c r="C6" i="6"/>
  <c r="E5" i="6"/>
  <c r="G4" i="6"/>
  <c r="B4" i="6"/>
  <c r="G3" i="6"/>
  <c r="A3" i="6"/>
  <c r="M23" i="6"/>
  <c r="E23" i="6"/>
  <c r="G22" i="6"/>
  <c r="B22" i="6"/>
  <c r="M21" i="6"/>
  <c r="D21" i="6"/>
  <c r="O20" i="6"/>
  <c r="G20" i="6"/>
  <c r="A20" i="6"/>
  <c r="D19" i="6"/>
  <c r="N18" i="6"/>
  <c r="F18" i="6"/>
  <c r="A18" i="6"/>
  <c r="H17" i="6"/>
  <c r="C17" i="6"/>
  <c r="N16" i="6"/>
  <c r="E16" i="6"/>
  <c r="H15" i="6"/>
  <c r="B15" i="6"/>
  <c r="C14" i="6"/>
  <c r="D9" i="6"/>
  <c r="M8" i="6"/>
  <c r="F8" i="6"/>
  <c r="A8" i="6"/>
  <c r="H7" i="6"/>
  <c r="C7" i="6"/>
  <c r="M6" i="6"/>
  <c r="G6" i="6"/>
  <c r="A6" i="6"/>
  <c r="D5" i="6"/>
  <c r="M4" i="6"/>
  <c r="F4" i="6"/>
  <c r="A4" i="6"/>
  <c r="E3" i="6"/>
  <c r="F22" i="6"/>
  <c r="N20" i="6"/>
  <c r="B19" i="6"/>
  <c r="G17" i="6"/>
  <c r="O15" i="6"/>
  <c r="G14" i="6"/>
  <c r="H9" i="6"/>
  <c r="N7" i="6"/>
  <c r="H5" i="6"/>
  <c r="N3"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A22" i="6"/>
  <c r="E20" i="6"/>
  <c r="M18" i="6"/>
  <c r="B17" i="6"/>
  <c r="F15" i="6"/>
  <c r="A14" i="6"/>
  <c r="B9" i="6"/>
  <c r="E6" i="6"/>
  <c r="B5"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D23" i="6"/>
  <c r="H21" i="6"/>
  <c r="E18" i="6"/>
  <c r="A15" i="6"/>
  <c r="G7" i="6"/>
  <c r="D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N22" i="6"/>
  <c r="D16" i="6"/>
  <c r="E8" i="6"/>
  <c r="S135" i="1"/>
  <c r="S127" i="1"/>
  <c r="M118" i="1"/>
  <c r="M111" i="1"/>
  <c r="M103" i="1"/>
  <c r="J101" i="1"/>
  <c r="F100" i="1"/>
  <c r="D99" i="1"/>
  <c r="B98" i="1"/>
  <c r="R96" i="1"/>
  <c r="G96" i="1"/>
  <c r="E95" i="1"/>
  <c r="C94" i="1"/>
  <c r="G92" i="1"/>
  <c r="E91" i="1"/>
  <c r="C90" i="1"/>
  <c r="D89" i="1"/>
  <c r="D88" i="1"/>
  <c r="E87" i="1"/>
  <c r="F86" i="1"/>
  <c r="F85" i="1"/>
  <c r="G84" i="1"/>
  <c r="B84" i="1"/>
  <c r="B83" i="1"/>
  <c r="C82" i="1"/>
  <c r="D81" i="1"/>
  <c r="D80" i="1"/>
  <c r="E79" i="1"/>
  <c r="F78" i="1"/>
  <c r="F77" i="1"/>
  <c r="G76" i="1"/>
  <c r="B76" i="1"/>
  <c r="B75" i="1"/>
  <c r="C74" i="1"/>
  <c r="D73" i="1"/>
  <c r="D72" i="1"/>
  <c r="E71" i="1"/>
  <c r="F70" i="1"/>
  <c r="F69" i="1"/>
  <c r="G68" i="1"/>
  <c r="B68" i="1"/>
  <c r="B67" i="1"/>
  <c r="C66" i="1"/>
  <c r="D65" i="1"/>
  <c r="D64" i="1"/>
  <c r="E63" i="1"/>
  <c r="F62" i="1"/>
  <c r="F61" i="1"/>
  <c r="G60" i="1"/>
  <c r="B60" i="1"/>
  <c r="B59" i="1"/>
  <c r="C58" i="1"/>
  <c r="D57" i="1"/>
  <c r="D56" i="1"/>
  <c r="E55" i="1"/>
  <c r="F54" i="1"/>
  <c r="F53" i="1"/>
  <c r="G52" i="1"/>
  <c r="B52" i="1"/>
  <c r="B51" i="1"/>
  <c r="C50" i="1"/>
  <c r="D49" i="1"/>
  <c r="D48" i="1"/>
  <c r="E47" i="1"/>
  <c r="F46" i="1"/>
  <c r="F45" i="1"/>
  <c r="G44" i="1"/>
  <c r="B44" i="1"/>
  <c r="B43" i="1"/>
  <c r="C42" i="1"/>
  <c r="D41" i="1"/>
  <c r="D40" i="1"/>
  <c r="E39" i="1"/>
  <c r="F38" i="1"/>
  <c r="F37" i="1"/>
  <c r="G36" i="1"/>
  <c r="B36" i="1"/>
  <c r="B35" i="1"/>
  <c r="C34" i="1"/>
  <c r="D33" i="1"/>
  <c r="D32" i="1"/>
  <c r="E31" i="1"/>
  <c r="F30" i="1"/>
  <c r="Q29" i="1"/>
  <c r="L29" i="1"/>
  <c r="D29" i="1"/>
  <c r="O28" i="1"/>
  <c r="G28" i="1"/>
  <c r="B28" i="1"/>
  <c r="M27" i="1"/>
  <c r="E27" i="1"/>
  <c r="Q26" i="1"/>
  <c r="J26" i="1"/>
  <c r="C26" i="1"/>
  <c r="O25" i="1"/>
  <c r="F25" i="1"/>
  <c r="R24" i="1"/>
  <c r="M24" i="1"/>
  <c r="D24" i="1"/>
  <c r="P23" i="1"/>
  <c r="J23" i="1"/>
  <c r="B23" i="1"/>
  <c r="F22" i="1"/>
  <c r="Q21" i="1"/>
  <c r="L21" i="1"/>
  <c r="D21" i="1"/>
  <c r="O20" i="1"/>
  <c r="G20" i="1"/>
  <c r="B20" i="1"/>
  <c r="M19" i="1"/>
  <c r="E19" i="1"/>
  <c r="F18" i="1"/>
  <c r="R17" i="1"/>
  <c r="N17" i="1"/>
  <c r="G17" i="1"/>
  <c r="C17" i="1"/>
  <c r="F16" i="1"/>
  <c r="B16" i="1"/>
  <c r="O15" i="1"/>
  <c r="J15" i="1"/>
  <c r="D15" i="1"/>
  <c r="F14" i="1"/>
  <c r="B14" i="1"/>
  <c r="B10" i="1"/>
  <c r="B8" i="1"/>
  <c r="E5" i="1"/>
  <c r="G26" i="1"/>
  <c r="M25" i="1"/>
  <c r="Q24" i="1"/>
  <c r="O23" i="1"/>
  <c r="D22" i="1"/>
  <c r="J21" i="1"/>
  <c r="N20" i="1"/>
  <c r="L19" i="1"/>
  <c r="D18" i="1"/>
  <c r="F17" i="1"/>
  <c r="E16" i="1"/>
  <c r="G15" i="1"/>
  <c r="E14" i="1"/>
  <c r="F11" i="1"/>
  <c r="F9" i="1"/>
  <c r="B5" i="1"/>
  <c r="S139" i="1"/>
  <c r="M120" i="1"/>
  <c r="B102" i="1"/>
  <c r="O99" i="1"/>
  <c r="N96" i="1"/>
  <c r="G94" i="1"/>
  <c r="C92" i="1"/>
  <c r="F89" i="1"/>
  <c r="B87" i="1"/>
  <c r="D84" i="1"/>
  <c r="F82" i="1"/>
  <c r="B80" i="1"/>
  <c r="C78" i="1"/>
  <c r="D76" i="1"/>
  <c r="F74" i="1"/>
  <c r="B72" i="1"/>
  <c r="C70" i="1"/>
  <c r="E67" i="1"/>
  <c r="F65" i="1"/>
  <c r="B63" i="1"/>
  <c r="D61" i="1"/>
  <c r="E59" i="1"/>
  <c r="G56" i="1"/>
  <c r="B55" i="1"/>
  <c r="D52" i="1"/>
  <c r="F50" i="1"/>
  <c r="G48" i="1"/>
  <c r="C46" i="1"/>
  <c r="E43" i="1"/>
  <c r="F41" i="1"/>
  <c r="B40" i="1"/>
  <c r="D37" i="1"/>
  <c r="E35" i="1"/>
  <c r="F33" i="1"/>
  <c r="B31" i="1"/>
  <c r="O29" i="1"/>
  <c r="M28" i="1"/>
  <c r="J27" i="1"/>
  <c r="F26" i="1"/>
  <c r="L25" i="1"/>
  <c r="G24" i="1"/>
  <c r="M23" i="1"/>
  <c r="O21" i="1"/>
  <c r="M20" i="1"/>
  <c r="P19" i="1"/>
  <c r="C18" i="1"/>
  <c r="L17" i="1"/>
  <c r="D16" i="1"/>
  <c r="M15" i="1"/>
  <c r="D14" i="1"/>
  <c r="B9" i="1"/>
  <c r="O17" i="6"/>
  <c r="S131" i="1"/>
  <c r="F112" i="1"/>
  <c r="Q103" i="1"/>
  <c r="J99" i="1"/>
  <c r="D97" i="1"/>
  <c r="B96" i="1"/>
  <c r="D93" i="1"/>
  <c r="E89" i="1"/>
  <c r="F87" i="1"/>
  <c r="B85" i="1"/>
  <c r="D83" i="1"/>
  <c r="F80" i="1"/>
  <c r="G78" i="1"/>
  <c r="B77" i="1"/>
  <c r="D74" i="1"/>
  <c r="F72" i="1"/>
  <c r="G70" i="1"/>
  <c r="C68" i="1"/>
  <c r="D66" i="1"/>
  <c r="F64" i="1"/>
  <c r="B62" i="1"/>
  <c r="C60" i="1"/>
  <c r="E57" i="1"/>
  <c r="G54" i="1"/>
  <c r="B53" i="1"/>
  <c r="D50" i="1"/>
  <c r="C21" i="6"/>
  <c r="S141" i="1"/>
  <c r="O134" i="1"/>
  <c r="M121" i="1"/>
  <c r="M117" i="1"/>
  <c r="F102" i="1"/>
  <c r="D101" i="1"/>
  <c r="B100" i="1"/>
  <c r="Q98" i="1"/>
  <c r="O97" i="1"/>
  <c r="Q96" i="1"/>
  <c r="F96" i="1"/>
  <c r="D95" i="1"/>
  <c r="B94" i="1"/>
  <c r="F92" i="1"/>
  <c r="D91" i="1"/>
  <c r="B90" i="1"/>
  <c r="B89" i="1"/>
  <c r="C88" i="1"/>
  <c r="D87" i="1"/>
  <c r="D86" i="1"/>
  <c r="E85" i="1"/>
  <c r="F84" i="1"/>
  <c r="F83" i="1"/>
  <c r="G82" i="1"/>
  <c r="B82" i="1"/>
  <c r="B81" i="1"/>
  <c r="C80" i="1"/>
  <c r="D79" i="1"/>
  <c r="D78" i="1"/>
  <c r="E77" i="1"/>
  <c r="F76" i="1"/>
  <c r="F75" i="1"/>
  <c r="G74" i="1"/>
  <c r="B74" i="1"/>
  <c r="B73" i="1"/>
  <c r="C72" i="1"/>
  <c r="D71" i="1"/>
  <c r="D70" i="1"/>
  <c r="E69" i="1"/>
  <c r="F68" i="1"/>
  <c r="F67" i="1"/>
  <c r="G66" i="1"/>
  <c r="B66" i="1"/>
  <c r="B65" i="1"/>
  <c r="C64" i="1"/>
  <c r="D63" i="1"/>
  <c r="D62" i="1"/>
  <c r="E61" i="1"/>
  <c r="F60" i="1"/>
  <c r="F59" i="1"/>
  <c r="G58" i="1"/>
  <c r="B58" i="1"/>
  <c r="B57" i="1"/>
  <c r="C56" i="1"/>
  <c r="D55" i="1"/>
  <c r="D54" i="1"/>
  <c r="E53" i="1"/>
  <c r="F52" i="1"/>
  <c r="F51" i="1"/>
  <c r="G50" i="1"/>
  <c r="B50" i="1"/>
  <c r="B49" i="1"/>
  <c r="C48" i="1"/>
  <c r="D47" i="1"/>
  <c r="D46" i="1"/>
  <c r="E45" i="1"/>
  <c r="F44" i="1"/>
  <c r="F43" i="1"/>
  <c r="G42" i="1"/>
  <c r="B42" i="1"/>
  <c r="B41" i="1"/>
  <c r="C40" i="1"/>
  <c r="D39" i="1"/>
  <c r="D38" i="1"/>
  <c r="E37" i="1"/>
  <c r="F36" i="1"/>
  <c r="F35" i="1"/>
  <c r="G34" i="1"/>
  <c r="B34" i="1"/>
  <c r="B33" i="1"/>
  <c r="C32" i="1"/>
  <c r="D31" i="1"/>
  <c r="D30" i="1"/>
  <c r="P29" i="1"/>
  <c r="J29" i="1"/>
  <c r="B29" i="1"/>
  <c r="N28" i="1"/>
  <c r="F28" i="1"/>
  <c r="Q27" i="1"/>
  <c r="L27" i="1"/>
  <c r="D27" i="1"/>
  <c r="O26" i="1"/>
  <c r="B26" i="1"/>
  <c r="E25" i="1"/>
  <c r="J24" i="1"/>
  <c r="C24" i="1"/>
  <c r="F23" i="1"/>
  <c r="P21" i="1"/>
  <c r="B21" i="1"/>
  <c r="F20" i="1"/>
  <c r="Q19" i="1"/>
  <c r="D19" i="1"/>
  <c r="Q17" i="1"/>
  <c r="M17" i="1"/>
  <c r="B17" i="1"/>
  <c r="R15" i="1"/>
  <c r="N15" i="1"/>
  <c r="C15" i="1"/>
  <c r="F7" i="1"/>
  <c r="H19" i="6"/>
  <c r="B7" i="6"/>
  <c r="E4" i="6"/>
  <c r="M133" i="1"/>
  <c r="M129" i="1"/>
  <c r="M116" i="1"/>
  <c r="F110" i="1"/>
  <c r="Q100" i="1"/>
  <c r="M98" i="1"/>
  <c r="J97" i="1"/>
  <c r="C96" i="1"/>
  <c r="E93" i="1"/>
  <c r="G90" i="1"/>
  <c r="G88" i="1"/>
  <c r="B88" i="1"/>
  <c r="C86" i="1"/>
  <c r="D85" i="1"/>
  <c r="E83" i="1"/>
  <c r="F81" i="1"/>
  <c r="G80" i="1"/>
  <c r="B79" i="1"/>
  <c r="D77" i="1"/>
  <c r="E75" i="1"/>
  <c r="F73" i="1"/>
  <c r="G72" i="1"/>
  <c r="B71" i="1"/>
  <c r="D69" i="1"/>
  <c r="D68" i="1"/>
  <c r="F66" i="1"/>
  <c r="G64" i="1"/>
  <c r="B64" i="1"/>
  <c r="C62" i="1"/>
  <c r="D60" i="1"/>
  <c r="F58" i="1"/>
  <c r="F57" i="1"/>
  <c r="B56" i="1"/>
  <c r="C54" i="1"/>
  <c r="D53" i="1"/>
  <c r="E51" i="1"/>
  <c r="F49" i="1"/>
  <c r="B48" i="1"/>
  <c r="B47" i="1"/>
  <c r="D45" i="1"/>
  <c r="D44" i="1"/>
  <c r="F42" i="1"/>
  <c r="G40" i="1"/>
  <c r="B39" i="1"/>
  <c r="C38" i="1"/>
  <c r="D36" i="1"/>
  <c r="F34" i="1"/>
  <c r="G32" i="1"/>
  <c r="B32" i="1"/>
  <c r="C30" i="1"/>
  <c r="F29" i="1"/>
  <c r="R28" i="1"/>
  <c r="D28" i="1"/>
  <c r="P27" i="1"/>
  <c r="B27" i="1"/>
  <c r="N26" i="1"/>
  <c r="Q25" i="1"/>
  <c r="D25" i="1"/>
  <c r="O24" i="1"/>
  <c r="B24" i="1"/>
  <c r="E23" i="1"/>
  <c r="C22" i="1"/>
  <c r="F21" i="1"/>
  <c r="R20" i="1"/>
  <c r="D20" i="1"/>
  <c r="J19" i="1"/>
  <c r="B19" i="1"/>
  <c r="P17" i="1"/>
  <c r="E17" i="1"/>
  <c r="J16" i="1"/>
  <c r="Q15" i="1"/>
  <c r="F15" i="1"/>
  <c r="B15" i="1"/>
  <c r="B11" i="1"/>
  <c r="B7" i="1"/>
  <c r="E4" i="1"/>
  <c r="S137" i="1"/>
  <c r="O128" i="1"/>
  <c r="M119" i="1"/>
  <c r="M109" i="1"/>
  <c r="O101" i="1"/>
  <c r="M100" i="1"/>
  <c r="F98" i="1"/>
  <c r="M96" i="1"/>
  <c r="F94" i="1"/>
  <c r="B92" i="1"/>
  <c r="F90" i="1"/>
  <c r="F88" i="1"/>
  <c r="G86" i="1"/>
  <c r="B86" i="1"/>
  <c r="C84" i="1"/>
  <c r="D82" i="1"/>
  <c r="E81" i="1"/>
  <c r="F79" i="1"/>
  <c r="B78" i="1"/>
  <c r="C76" i="1"/>
  <c r="D75" i="1"/>
  <c r="E73" i="1"/>
  <c r="F71" i="1"/>
  <c r="B70" i="1"/>
  <c r="B69" i="1"/>
  <c r="D67" i="1"/>
  <c r="E65" i="1"/>
  <c r="F63" i="1"/>
  <c r="G62" i="1"/>
  <c r="B61" i="1"/>
  <c r="D59" i="1"/>
  <c r="D58" i="1"/>
  <c r="F56" i="1"/>
  <c r="F55" i="1"/>
  <c r="B54" i="1"/>
  <c r="C52" i="1"/>
  <c r="D51" i="1"/>
  <c r="E49" i="1"/>
  <c r="B46" i="1"/>
  <c r="D42" i="1"/>
  <c r="G38" i="1"/>
  <c r="D35" i="1"/>
  <c r="F31" i="1"/>
  <c r="E29" i="1"/>
  <c r="O27" i="1"/>
  <c r="D26" i="1"/>
  <c r="N24" i="1"/>
  <c r="D23" i="1"/>
  <c r="M21" i="1"/>
  <c r="C20" i="1"/>
  <c r="B18" i="1"/>
  <c r="G16" i="1"/>
  <c r="E15" i="1"/>
  <c r="F8" i="1"/>
  <c r="F48" i="1"/>
  <c r="B45" i="1"/>
  <c r="E41" i="1"/>
  <c r="B38" i="1"/>
  <c r="D34" i="1"/>
  <c r="G30" i="1"/>
  <c r="Q28" i="1"/>
  <c r="F27" i="1"/>
  <c r="P25" i="1"/>
  <c r="F24" i="1"/>
  <c r="E21" i="1"/>
  <c r="O19" i="1"/>
  <c r="O17" i="1"/>
  <c r="C16" i="1"/>
  <c r="G14" i="1"/>
  <c r="B6" i="1"/>
  <c r="F47" i="1"/>
  <c r="C44" i="1"/>
  <c r="B37" i="1"/>
  <c r="E33" i="1"/>
  <c r="B30" i="1"/>
  <c r="J28" i="1"/>
  <c r="R26" i="1"/>
  <c r="J25" i="1"/>
  <c r="G22" i="1"/>
  <c r="F19" i="1"/>
  <c r="P15" i="1"/>
  <c r="C14" i="1"/>
  <c r="D43" i="1"/>
  <c r="F32" i="1"/>
  <c r="M26" i="1"/>
  <c r="L23" i="1"/>
  <c r="D17" i="1"/>
  <c r="F10" i="1"/>
  <c r="F40" i="1"/>
  <c r="Q23" i="1"/>
  <c r="J17" i="1"/>
  <c r="B4" i="1"/>
  <c r="G46" i="1"/>
  <c r="C36" i="1"/>
  <c r="M29" i="1"/>
  <c r="B22" i="1"/>
  <c r="G18" i="1"/>
  <c r="Q20" i="1"/>
  <c r="F39" i="1"/>
  <c r="C28" i="1"/>
  <c r="B25" i="1"/>
  <c r="J20" i="1"/>
  <c r="L15" i="1"/>
  <c r="M22" i="1" l="1"/>
  <c r="B109" i="1"/>
  <c r="D118" i="1"/>
  <c r="H127" i="1"/>
  <c r="B112" i="1"/>
  <c r="B119" i="1"/>
  <c r="B123" i="1"/>
  <c r="Q22" i="1"/>
  <c r="D124" i="1"/>
  <c r="H131" i="1"/>
  <c r="H121" i="1"/>
  <c r="N22" i="1"/>
  <c r="H129" i="1"/>
  <c r="R22" i="1"/>
  <c r="B111" i="1"/>
  <c r="H117" i="1"/>
  <c r="H125"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1" i="6"/>
  <c r="P17" i="6"/>
  <c r="P11" i="6"/>
  <c r="P7" i="6"/>
  <c r="P3" i="6"/>
  <c r="P28" i="6"/>
  <c r="P23" i="6"/>
  <c r="P16" i="6"/>
  <c r="P14" i="6"/>
  <c r="P13" i="6"/>
  <c r="P6" i="6"/>
  <c r="P27" i="6"/>
  <c r="P20" i="6"/>
  <c r="P18" i="6"/>
  <c r="P12" i="6"/>
  <c r="P8" i="6"/>
  <c r="P4" i="6"/>
  <c r="P26" i="6"/>
  <c r="P22" i="6"/>
  <c r="P15" i="6"/>
  <c r="P10" i="6"/>
  <c r="P24" i="6"/>
  <c r="P19" i="6"/>
  <c r="P9" i="6"/>
  <c r="P5" i="6"/>
  <c r="J8" i="6"/>
  <c r="J21" i="6"/>
  <c r="J17" i="6"/>
  <c r="J5" i="6"/>
  <c r="J22" i="6"/>
  <c r="J6" i="6"/>
  <c r="J7" i="6"/>
  <c r="J20" i="6"/>
  <c r="J9" i="6"/>
  <c r="J18" i="6"/>
  <c r="J23" i="6"/>
  <c r="J16" i="6"/>
  <c r="J19" i="6"/>
  <c r="J15" i="6"/>
</calcChain>
</file>

<file path=xl/sharedStrings.xml><?xml version="1.0" encoding="utf-8"?>
<sst xmlns="http://schemas.openxmlformats.org/spreadsheetml/2006/main" count="690" uniqueCount="343">
  <si>
    <t>d19040204.IB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</si>
  <si>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</si>
  <si>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</si>
  <si>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</si>
  <si>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</si>
  <si>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</si>
  <si>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</si>
  <si>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</si>
  <si>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</si>
  <si>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</si>
  <si>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</si>
  <si>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</si>
  <si>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</si>
  <si>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</si>
  <si>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</si>
  <si>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</si>
  <si>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</si>
  <si>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</si>
  <si>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</si>
  <si>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</si>
  <si>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</si>
  <si>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</si>
  <si>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</si>
  <si>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1182029.IB</t>
  </si>
  <si>
    <t>主体级别</t>
  </si>
  <si>
    <t>AA+</t>
  </si>
  <si>
    <t>1282340.IB</t>
  </si>
  <si>
    <t>*选择性黏贴</t>
  </si>
  <si>
    <t>1080133.IB</t>
  </si>
  <si>
    <t>数据年度</t>
  </si>
  <si>
    <t>2017年</t>
  </si>
  <si>
    <t>1282383.IB</t>
  </si>
  <si>
    <t>总资产</t>
  </si>
  <si>
    <t>1382097.IB</t>
  </si>
  <si>
    <t>负债率</t>
  </si>
  <si>
    <t>1182039.IB</t>
  </si>
  <si>
    <t>流动比率</t>
  </si>
  <si>
    <t>122119.SH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</si>
  <si>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</si>
  <si>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</si>
  <si>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</si>
  <si>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</si>
  <si>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</si>
  <si>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</si>
  <si>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</si>
  <si>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</si>
  <si>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</si>
  <si>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</si>
  <si>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</si>
  <si>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</si>
  <si>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</si>
  <si>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</si>
  <si>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</si>
  <si>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</si>
  <si>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</si>
  <si>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</si>
  <si>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</si>
  <si>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</si>
  <si>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</si>
  <si>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</si>
  <si>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</si>
  <si>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</si>
  <si>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</si>
  <si>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</si>
  <si>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</si>
  <si>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</si>
  <si>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</si>
  <si>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</si>
  <si>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</si>
  <si>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</si>
  <si>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</si>
  <si>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</si>
  <si>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</si>
  <si>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</si>
  <si>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</si>
  <si>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</si>
  <si>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</si>
  <si>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</si>
  <si>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</si>
  <si>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</si>
  <si>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</si>
  <si>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</si>
  <si>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</si>
  <si>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</si>
  <si>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</si>
  <si>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</si>
  <si>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</si>
  <si>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</si>
  <si>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</si>
  <si>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</si>
  <si>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</si>
  <si>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</si>
  <si>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</si>
  <si>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</si>
  <si>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</si>
  <si>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</si>
  <si>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</si>
  <si>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</si>
  <si>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</si>
  <si>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</si>
  <si>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</si>
  <si>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</si>
  <si>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</si>
  <si>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</si>
  <si>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</si>
  <si>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</si>
  <si>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</si>
  <si>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</si>
  <si>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</si>
  <si>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</si>
  <si>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</si>
  <si>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</si>
  <si>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</si>
  <si>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</si>
  <si>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</si>
  <si>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</si>
  <si>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</si>
  <si>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</si>
  <si>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</si>
  <si>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</si>
  <si>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</si>
  <si>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011900112.IB</t>
  </si>
  <si>
    <t>20190115</t>
  </si>
  <si>
    <t>19新中泰集SCP001</t>
  </si>
  <si>
    <t>011802271.IB</t>
  </si>
  <si>
    <t>20181121</t>
  </si>
  <si>
    <t>18新中泰集SCP006</t>
  </si>
  <si>
    <t>011801887.IB</t>
  </si>
  <si>
    <t>20181009</t>
  </si>
  <si>
    <t>18新中泰集SCP005</t>
  </si>
  <si>
    <t>011801362.IB</t>
  </si>
  <si>
    <t>20180723</t>
  </si>
  <si>
    <t>18新中泰集SCP004</t>
  </si>
  <si>
    <t>112711.SZ</t>
  </si>
  <si>
    <t>20180517</t>
  </si>
  <si>
    <t>18新泰03</t>
  </si>
  <si>
    <t>011800889.IB</t>
  </si>
  <si>
    <t>20180502</t>
  </si>
  <si>
    <t>18新中泰集SCP003</t>
  </si>
  <si>
    <t>011800400.IB</t>
  </si>
  <si>
    <t>20180312</t>
  </si>
  <si>
    <t>18新中泰集SCP002</t>
  </si>
  <si>
    <t>112654.SZ</t>
  </si>
  <si>
    <t>20180309</t>
  </si>
  <si>
    <t>18新泰01</t>
  </si>
  <si>
    <t>101800157.IB</t>
  </si>
  <si>
    <t>20180305</t>
  </si>
  <si>
    <t>18新中泰集MTN001</t>
  </si>
  <si>
    <t>041800044.IB</t>
  </si>
  <si>
    <t>20180131</t>
  </si>
  <si>
    <t>18新中泰集CP001</t>
  </si>
  <si>
    <t>011800001.IB</t>
  </si>
  <si>
    <t>20180103</t>
  </si>
  <si>
    <t>18新中泰集SCP001</t>
  </si>
  <si>
    <t>041756020.IB</t>
  </si>
  <si>
    <t>20171114</t>
  </si>
  <si>
    <t>17新中泰集CP002</t>
  </si>
  <si>
    <t>101756036.IB</t>
  </si>
  <si>
    <t>20170925</t>
  </si>
  <si>
    <t>17新中泰集MTN003</t>
  </si>
  <si>
    <t>145637.SH</t>
  </si>
  <si>
    <t>20170714</t>
  </si>
  <si>
    <t>17新中泰</t>
  </si>
  <si>
    <t>101756022.IB</t>
  </si>
  <si>
    <t>20170706</t>
  </si>
  <si>
    <t>17新中泰集MTN002</t>
  </si>
  <si>
    <t>011760078.IB</t>
  </si>
  <si>
    <t>20170616</t>
  </si>
  <si>
    <t>17新中泰集SCP002</t>
  </si>
  <si>
    <t>011760057.IB</t>
  </si>
  <si>
    <t>20170517</t>
  </si>
  <si>
    <t>17新中泰集SCP001</t>
  </si>
  <si>
    <t>101756010.IB</t>
  </si>
  <si>
    <t>20170417</t>
  </si>
  <si>
    <t>17新中泰集MTN001</t>
  </si>
  <si>
    <t>041756001.IB</t>
  </si>
  <si>
    <t>20170216</t>
  </si>
  <si>
    <t>17新中泰集CP001</t>
  </si>
  <si>
    <t>145082.SH</t>
  </si>
  <si>
    <t>20161024</t>
  </si>
  <si>
    <t>16新泰03</t>
  </si>
  <si>
    <t>145036.SH</t>
  </si>
  <si>
    <t>16新泰02</t>
  </si>
  <si>
    <t>135840.SH</t>
  </si>
  <si>
    <t>20160930</t>
  </si>
  <si>
    <t>16新中泰</t>
  </si>
  <si>
    <t>011698515.IB</t>
  </si>
  <si>
    <t>20160926</t>
  </si>
  <si>
    <t>16新中泰集SCP005</t>
  </si>
  <si>
    <t>117033.SZ</t>
  </si>
  <si>
    <t>20160815</t>
  </si>
  <si>
    <t>16中泰EB</t>
  </si>
  <si>
    <t>041656022.IB</t>
  </si>
  <si>
    <t>20160725</t>
  </si>
  <si>
    <t>16新中泰集CP001</t>
  </si>
  <si>
    <t>011698112.IB</t>
  </si>
  <si>
    <t>20160715</t>
  </si>
  <si>
    <t>16新中泰SCP004</t>
  </si>
  <si>
    <t>011699552.IB</t>
  </si>
  <si>
    <t>20160405</t>
  </si>
  <si>
    <t>16新中泰集SCP003</t>
  </si>
  <si>
    <t>011699436.IB</t>
  </si>
  <si>
    <t>20160314</t>
  </si>
  <si>
    <t>16新中泰集SCP002</t>
  </si>
  <si>
    <t>011699237.IB</t>
  </si>
  <si>
    <t>20160219</t>
  </si>
  <si>
    <t>16新中泰集SCP001</t>
  </si>
  <si>
    <t>041556034.IB</t>
  </si>
  <si>
    <t>20150914</t>
  </si>
  <si>
    <t>15新中泰集CP002</t>
  </si>
  <si>
    <t>041556011.IB</t>
  </si>
  <si>
    <t>20150414</t>
  </si>
  <si>
    <t>15新中泰集CP001</t>
  </si>
  <si>
    <t>041456049.IB</t>
  </si>
  <si>
    <t>20141027</t>
  </si>
  <si>
    <t>14新中泰集CP002</t>
  </si>
  <si>
    <t>041456022.IB</t>
  </si>
  <si>
    <t>20140505</t>
  </si>
  <si>
    <t>14新中泰集CP001</t>
  </si>
  <si>
    <t>041356042.IB</t>
  </si>
  <si>
    <t>20131112</t>
  </si>
  <si>
    <t>13新中泰集CP001</t>
  </si>
  <si>
    <t>112710.SZ</t>
  </si>
  <si>
    <t>18新泰02</t>
  </si>
  <si>
    <t>112725.SZ</t>
  </si>
  <si>
    <t>18新泰04</t>
  </si>
  <si>
    <t>历史主体评级</t>
  </si>
  <si>
    <t>发布日期</t>
  </si>
  <si>
    <t>主体资信级别</t>
  </si>
  <si>
    <t>评级展望</t>
  </si>
  <si>
    <t>评级机构</t>
  </si>
  <si>
    <t>20190103</t>
  </si>
  <si>
    <t>稳定</t>
  </si>
  <si>
    <t>中诚信国际信用评级有限责任公司</t>
  </si>
  <si>
    <t>20180928</t>
  </si>
  <si>
    <t>20180726</t>
  </si>
  <si>
    <t>20180621</t>
  </si>
  <si>
    <t>中诚信证券评估有限公司</t>
  </si>
  <si>
    <t>20180606</t>
  </si>
  <si>
    <t>20180511</t>
  </si>
  <si>
    <t>20180314</t>
  </si>
  <si>
    <t>20180227</t>
  </si>
  <si>
    <t>20180125</t>
  </si>
  <si>
    <t>20170728</t>
  </si>
  <si>
    <t>20170713</t>
  </si>
  <si>
    <t>--</t>
  </si>
  <si>
    <t>20170620</t>
  </si>
  <si>
    <t>20170619</t>
  </si>
  <si>
    <t>20170609</t>
  </si>
  <si>
    <t>20170111</t>
  </si>
  <si>
    <t>20160817</t>
  </si>
  <si>
    <t>20160520</t>
  </si>
  <si>
    <t>20160429</t>
  </si>
  <si>
    <t>20160318</t>
  </si>
  <si>
    <t>20150707</t>
  </si>
  <si>
    <t>20150206</t>
  </si>
  <si>
    <t>AA</t>
  </si>
  <si>
    <t>正面</t>
  </si>
  <si>
    <t>20140806</t>
  </si>
  <si>
    <t>20140718</t>
  </si>
  <si>
    <t>20140218</t>
  </si>
  <si>
    <t>20130617</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</si>
  <si>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</si>
  <si>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</si>
  <si>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</si>
  <si>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</si>
  <si>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</si>
  <si>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</si>
  <si>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</si>
  <si>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</si>
  <si>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中国化工集团有限公司</t>
  </si>
  <si>
    <t>Baa2负面上调至Baa2稳定</t>
  </si>
  <si>
    <t>穆迪公司(MOODYS)</t>
  </si>
  <si>
    <t>北方华锦化学工业股份有限公司</t>
  </si>
  <si>
    <t>AA+稳定上调至AAA稳定</t>
  </si>
  <si>
    <t>公司实际控制人极强的综合实力及对公司的多方支持、具备的规模化优势及成本优势、较强的获现能力以及稳健的财务结构等有利因素对其未来业务发展和信用水平提供的支撑。</t>
  </si>
  <si>
    <t>内蒙古君正能源化工集团股份有限公司</t>
  </si>
  <si>
    <t>AA稳定上调至AA+稳定</t>
  </si>
  <si>
    <t>大公国际资信评估有限公司</t>
  </si>
  <si>
    <t>2017年以来，公司继续依托自有及周边地区丰富的资源，拥有较为完整的“煤-电-氯碱化工”和“煤-电-特色冶金”一体化的产业格局，凭借上游资源和完整产业链优势，提高了自身抗风险能力。PVC、液碱以及硅铁产品销售价格均同比有所上升，公司利润空间进一步扩大，盈利能力有较大幅度提升。同时公司资本实力进一步提升，投资收益来源较为稳定。随着股权投资的持续增加，公司有息债务规模持续增长，存在一定的短期偿债压力，但公司授信额度充足，上市公司股权融资渠道畅通，以及债券融资渠道广泛，偿债来源较多。</t>
  </si>
  <si>
    <t>合盛硅业股份有限公司</t>
  </si>
  <si>
    <t>2017年，公司凭借完善的产业链及突出的市场地位，实现了产品和产销量的稳步增长，同时主要产品价格比上年同期有较大幅度上升，公司业务规模保持增长，盈利能力和获现能力进一步提升。另外公司成功上市是的融资渠道更为畅通以及自身资本实力进一步增强。</t>
  </si>
  <si>
    <t>湖北兴发化工集团股份有限公司</t>
  </si>
  <si>
    <t>公司是国内最大的精细磷酸盐生产企业，拥有丰富的磷矿资源和水电资源，已形成“矿-电-磷”一体化产业链和“磷-硅-盐”循环产业链，市场竞争力较强，得益于主要产品市场景气度提升，公司业务盈利能力增强，非公开发行股票增强了公司的资本实力。</t>
  </si>
  <si>
    <t>深圳市新纶科技股份有限公司</t>
  </si>
  <si>
    <t>A+稳定上调至AA-正面</t>
  </si>
  <si>
    <t>鹏元资信评估有限公司</t>
  </si>
  <si>
    <t>近一年来同行业发债企业主体评级下调情况</t>
  </si>
  <si>
    <t>主体资信级别下调</t>
  </si>
  <si>
    <t>主体评级展望下调</t>
  </si>
  <si>
    <t>浙江大东南集团有限公司</t>
  </si>
  <si>
    <t>AA负面下调至BB负面</t>
  </si>
  <si>
    <t xml:space="preserve">公司申请破产重整反映其偿债能力已明显恶化， 同时其持有大东南股份的股票质押比例较高且司法冻结及轮候冻结比例很高， 部分股票跌破平仓线， 对大东南股份的控制权存在不确定性。此外，因对外担保、合同纠纷等存在多笔未决诉讼， 公司面临一定的或有风险。
</t>
  </si>
  <si>
    <t>东辰控股集团有限公司</t>
  </si>
  <si>
    <t>AA稳定下调至A+负面</t>
  </si>
  <si>
    <t>公司盈利能力大幅下降，债务逾期涉诉，对外担保导致的或有风险进一步上升，偿债能力下降。</t>
  </si>
  <si>
    <t>同益实业集团有限公司</t>
  </si>
  <si>
    <t>AA稳定下调至C</t>
  </si>
  <si>
    <t>16同益02回售兑付资金安排情况进行多次核实均未得到明确回复，亦未提供相应的还款证明材料。</t>
  </si>
  <si>
    <t>洪业化工集团股份有限公司</t>
  </si>
  <si>
    <t>BBB-下调至CC</t>
  </si>
  <si>
    <t>公司经营环境出现重大变化，经营业绩存在重大不确定性</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</si>
  <si>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</si>
  <si>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</si>
  <si>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</si>
  <si>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</si>
  <si>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</si>
  <si>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</si>
  <si>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</si>
  <si>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</si>
  <si>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</si>
  <si>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</si>
  <si>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</si>
  <si>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</si>
  <si>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</si>
  <si>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</si>
  <si>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</si>
  <si>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</si>
  <si>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</si>
  <si>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</si>
  <si>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</si>
  <si>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</si>
  <si>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</si>
  <si>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</si>
  <si>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</si>
  <si>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</si>
  <si>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</si>
  <si>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新疆中泰(集团)有限责任公司</t>
  </si>
  <si>
    <t>地方国有企业</t>
  </si>
  <si>
    <t>材料--材料Ⅱ--化工--基础化工</t>
  </si>
  <si>
    <t>新疆维吾尔自治区乌鲁木齐市经济技术开发区维泰南路1号1503室</t>
  </si>
  <si>
    <t>中央新疆工作座谈会的召开及新疆跨越式发展战略的实施为新疆迎来了大建设、大发展的重大历史时机，以国家战略为背景，以政策扶持为前提，新疆重点项目的建设获得了千载难逢的机遇，国家将对新疆实行差别化产业政策，适当放宽在疆具备资源优势、在本地区和周边地区有市场需求的产业准入限制。公司自成立以来一直受到自治区人民政府的关怀与大力支持，2003年公司被新疆人民政府列为重点支持的30家最具成长型工业企业，被乌鲁木齐市列为2004～2006年“小巨人企业”，并连续多年分别荣获自治区人民政府及乌鲁木齐市人民政府纳税先进企业称号。公司2012年主营业务销售收入已超过69亿元，公司目前是国内主要的氯碱生产企业之一，作为氯碱行业的龙头企业，截至2012年底，公司形成了150万吨/年聚氯乙烯树脂、110万吨/年烧碱的生产能力，国内氯碱行业产能排名第一。此外公司仍将继续扩大产能，预计到“十二五”将形成230万吨/年氯乙烯树脂、170万吨年烧碱的产能规模，规模优势将更加显著。</t>
  </si>
  <si>
    <t>新疆维吾尔自治区人民政府国有资产监督管理委员会</t>
  </si>
  <si>
    <t/>
  </si>
  <si>
    <t>A-1</t>
  </si>
  <si>
    <t>新疆中泰化学股份有限公司</t>
  </si>
  <si>
    <t>巨化集团有限公司</t>
  </si>
  <si>
    <t>新疆天业(集团)有限公司</t>
  </si>
  <si>
    <t>江苏省盐业集团有限责任公司</t>
  </si>
  <si>
    <t>唐山三友化工股份有限公司</t>
  </si>
  <si>
    <t>鸿达兴业集团有限公司</t>
  </si>
  <si>
    <t>公众企业</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</si>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</sst>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新疆中泰(集团)有限责任公司</v>
      </c>
      <c r="C4" s="120"/>
      <c r="D4" s="95" t="s">
        <v>3</v>
      </c>
      <c r="E4" s="119" t="str">
        <f>[1]!s_info_nature(A2)</f>
        <v>地方国有企业</v>
      </c>
      <c r="F4" s="120"/>
      <c r="G4" s="120"/>
      <c r="H4" s="43"/>
    </row>
    <row r="5" spans="1:20" s="39" customFormat="1" ht="14.25" customHeight="1" x14ac:dyDescent="0.25">
      <c r="A5" s="95" t="s">
        <v>4</v>
      </c>
      <c r="B5" s="119" t="str">
        <f>[1]!b_issuer_windindustry(A2,9)</f>
        <v>材料--材料Ⅱ--化工--基础化工</v>
      </c>
      <c r="C5" s="120"/>
      <c r="D5" s="95" t="s">
        <v>5</v>
      </c>
      <c r="E5" s="119" t="str">
        <f>[1]!b_issuer_regaddress(A2)</f>
        <v>新疆维吾尔自治区乌鲁木齐市经济技术开发区维泰南路1号1503室</v>
      </c>
      <c r="F5" s="120"/>
      <c r="G5" s="120"/>
    </row>
    <row r="6" spans="1:20" s="39" customFormat="1" ht="81" customHeight="1" x14ac:dyDescent="0.25">
      <c r="A6" s="95" t="s">
        <v>6</v>
      </c>
      <c r="B6" s="121" t="str">
        <f>[1]!s_info_briefing(A2)</f>
        <v>中央新疆工作座谈会的召开及新疆跨越式发展战略的实施为新疆迎来了大建设、大发展的重大历史时机，以国家战略为背景，以政策扶持为前提，新疆重点项目的建设获得了千载难逢的机遇，国家将对新疆实行差别化产业政策，适当放宽在疆具备资源优势、在本地区和周边地区有市场需求的产业准入限制。公司自成立以来一直受到自治区人民政府的关怀与大力支持，2003年公司被新疆人民政府列为重点支持的30家最具成长型工业企业，被乌鲁木齐市列为2004～2006年“小巨人企业”，并连续多年分别荣获自治区人民政府及乌鲁木齐市人民政府纳税先进企业称号。公司2012年主营业务销售收入已超过69亿元，公司目前是国内主要的氯碱生产企业之一，作为氯碱行业的龙头企业，截至2012年底，公司形成了150万吨/年聚氯乙烯树脂、110万吨/年烧碱的生产能力，国内氯碱行业产能排名第一。此外公司仍将继续扩大产能，预计到“十二五”将形成230万吨/年氯乙烯树脂、170万吨年烧碱的产能规模，规模优势将更加显著。</v>
      </c>
      <c r="C6" s="120"/>
      <c r="D6" s="120"/>
      <c r="E6" s="120"/>
      <c r="F6" s="120"/>
      <c r="G6" s="120"/>
    </row>
    <row r="7" spans="1:20" s="39" customFormat="1" x14ac:dyDescent="0.25">
      <c r="A7" s="97" t="s">
        <v>7</v>
      </c>
      <c r="B7" s="122" t="str">
        <f>[1]!b_issuer_shareholder(A2,"",1)</f>
        <v>新疆维吾尔自治区人民政府国有资产监督管理委员会</v>
      </c>
      <c r="C7" s="120"/>
      <c r="D7" s="120"/>
      <c r="E7" s="120"/>
      <c r="F7" s="99">
        <f>[1]!b_issuer_propofshareholder($A$2,"",1)%</f>
        <v>1</v>
      </c>
      <c r="G7" s="98"/>
      <c r="H7" s="44" t="s">
        <v>8</v>
      </c>
      <c r="M7" s="49">
        <v>42004</v>
      </c>
      <c r="N7" s="49">
        <v>42369</v>
      </c>
      <c r="O7" s="49">
        <v>41639</v>
      </c>
      <c r="P7" s="23" t="s">
        <v>9</v>
      </c>
      <c r="Q7" s="23" t="s">
        <v>10</v>
      </c>
      <c r="R7" s="23" t="s">
        <v>11</v>
      </c>
    </row>
    <row r="8" spans="1:20" s="39" customFormat="1" x14ac:dyDescent="0.25">
      <c r="A8" s="97"/>
      <c r="B8" s="122">
        <f>[1]!b_issuer_shareholder(A2,"",2)</f>
        <v>0</v>
      </c>
      <c r="C8" s="120"/>
      <c r="D8" s="120"/>
      <c r="E8" s="120"/>
      <c r="F8" s="99">
        <f>[1]!b_issuer_propofshareholder($A$2,"",2)%</f>
        <v>0</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d19040204.IB</v>
      </c>
      <c r="K14" s="52"/>
      <c r="L14" s="53" t="str">
        <f>T15</f>
        <v>1182029.IB</v>
      </c>
      <c r="M14" s="53" t="str">
        <f>T16</f>
        <v>1282340.IB</v>
      </c>
      <c r="N14" s="53" t="str">
        <f>T17</f>
        <v>1080133.IB</v>
      </c>
      <c r="O14" s="53" t="str">
        <f>T18</f>
        <v>1282383.IB</v>
      </c>
      <c r="P14" s="53" t="str">
        <f>T19</f>
        <v>1382097.IB</v>
      </c>
      <c r="Q14" s="53" t="str">
        <f>T20</f>
        <v>1182039.IB</v>
      </c>
      <c r="R14" s="15" t="str">
        <f>T21</f>
        <v>122119.SH</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新疆中泰(集团)有限责任公司</v>
      </c>
      <c r="K15" s="138"/>
      <c r="L15" s="20" t="str">
        <f>[1]!b_info_issuer(L14)</f>
        <v>新疆中泰化学股份有限公司</v>
      </c>
      <c r="M15" s="20" t="str">
        <f>[1]!b_info_issuer(M14)</f>
        <v>巨化集团有限公司</v>
      </c>
      <c r="N15" s="20" t="str">
        <f>[1]!b_info_issuer(N14)</f>
        <v>新疆天业(集团)有限公司</v>
      </c>
      <c r="O15" s="20" t="str">
        <f>[1]!b_info_issuer(O14)</f>
        <v>江苏省盐业集团有限责任公司</v>
      </c>
      <c r="P15" s="20" t="str">
        <f>[1]!b_info_issuer(P14)</f>
        <v>唐山三友化工股份有限公司</v>
      </c>
      <c r="Q15" s="20" t="str">
        <f>[1]!b_info_issuer(Q14)</f>
        <v>鸿达兴业集团有限公司</v>
      </c>
      <c r="R15" s="20" t="str">
        <f>[1]!b_info_issuer(R14)</f>
        <v>湖北兴发化工集团股份有限公司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v>
      </c>
      <c r="K16" s="124"/>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24"/>
      <c r="L17" s="22" t="str">
        <f>[1]!s_info_nature(L14)</f>
        <v>地方国有企业</v>
      </c>
      <c r="M17" s="22" t="str">
        <f>[1]!s_info_nature(M14)</f>
        <v>地方国有企业</v>
      </c>
      <c r="N17" s="22" t="str">
        <f>[1]!s_info_nature(N14)</f>
        <v>地方国有企业</v>
      </c>
      <c r="O17" s="22" t="str">
        <f>[1]!s_info_nature(O14)</f>
        <v>地方国有企业</v>
      </c>
      <c r="P17" s="22" t="str">
        <f>[1]!s_info_nature(P14)</f>
        <v>公众企业</v>
      </c>
      <c r="Q17" s="22" t="str">
        <f>[1]!s_info_nature(Q14)</f>
        <v>民营企业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4"/>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776.79506323460009</v>
      </c>
      <c r="K19" s="124"/>
      <c r="L19" s="24">
        <f>[1]!b_stm07_bs(L14,74,L13,1)/100000000</f>
        <v>556.27409851440007</v>
      </c>
      <c r="M19" s="24">
        <f>[1]!b_stm07_bs(M14,74,M13,1)/100000000</f>
        <v>353.24884721239999</v>
      </c>
      <c r="N19" s="24">
        <f>[1]!b_stm07_bs(N14,74,N13,1)/100000000</f>
        <v>369.97749248779996</v>
      </c>
      <c r="O19" s="24">
        <f>[1]!b_stm07_bs(O14,74,O13,1)/100000000</f>
        <v>108.93182298959999</v>
      </c>
      <c r="P19" s="24">
        <f>[1]!b_stm07_bs(P14,74,P13,1)/100000000</f>
        <v>240.89608940599999</v>
      </c>
      <c r="Q19" s="24">
        <f>[1]!b_stm07_bs(Q14,74,Q13,1)/100000000</f>
        <v>369.37698415120002</v>
      </c>
      <c r="R19" s="24">
        <f>[1]!b_stm07_bs(R14,74,R13,1)/100000000</f>
        <v>217.4324386113</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0.71980999999999995</v>
      </c>
      <c r="K20" s="124"/>
      <c r="L20" s="25">
        <f>[1]!s_fa_debttoassets(L14,L13)/100</f>
        <v>0.6557940000000001</v>
      </c>
      <c r="M20" s="25">
        <f>[1]!s_fa_debttoassets(M14,M13)/100</f>
        <v>0.63282400000000005</v>
      </c>
      <c r="N20" s="25">
        <f>[1]!s_fa_debttoassets(N14,N13)/100</f>
        <v>0.66885900000000009</v>
      </c>
      <c r="O20" s="25">
        <f>[1]!s_fa_debttoassets(O14,O13)/100</f>
        <v>0.46745700000000001</v>
      </c>
      <c r="P20" s="25">
        <f>[1]!s_fa_debttoassets(P14,P13)/100</f>
        <v>0.55859000000000003</v>
      </c>
      <c r="Q20" s="25">
        <f>[1]!s_fa_debttoassets(Q14,Q13)/100</f>
        <v>0.63805400000000001</v>
      </c>
      <c r="R20" s="25">
        <f>[1]!s_fa_debttoassets(R14,R13)/100</f>
        <v>0.67269499999999993</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0.79979999999999996</v>
      </c>
      <c r="K21" s="124"/>
      <c r="L21" s="24">
        <f>[1]!s_fa_current(L14,L13)</f>
        <v>0.76990000000000003</v>
      </c>
      <c r="M21" s="24">
        <f>[1]!s_fa_current(M14,M13)</f>
        <v>1.0072000000000001</v>
      </c>
      <c r="N21" s="24">
        <f>[1]!s_fa_current(N14,N13)</f>
        <v>0.85250000000000004</v>
      </c>
      <c r="O21" s="24">
        <f>[1]!s_fa_current(O14,O13)</f>
        <v>1.3464</v>
      </c>
      <c r="P21" s="24">
        <f>[1]!s_fa_current(P14,P13)</f>
        <v>0.76370000000000005</v>
      </c>
      <c r="Q21" s="24">
        <f>[1]!s_fa_current(Q14,Q13)</f>
        <v>1.7138</v>
      </c>
      <c r="R21" s="24">
        <f>[1]!s_fa_current(R14,R13)</f>
        <v>0.41349999999999998</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1.7219450452519207</v>
      </c>
      <c r="K22" s="124"/>
      <c r="L22" s="11">
        <f>(公式页!L96+公式页!L97+公式页!L98+公式页!L99+公式页!L100+公式页!L101)/公式页!L103</f>
        <v>1.1920427354976986</v>
      </c>
      <c r="M22" s="11">
        <f t="shared" ref="M22:R22" si="0">(M96+M97+M98+M99+M100+M101)/M103</f>
        <v>0.91766142284130525</v>
      </c>
      <c r="N22" s="11">
        <f t="shared" si="0"/>
        <v>1.4750746215174515</v>
      </c>
      <c r="O22" s="11">
        <f t="shared" si="0"/>
        <v>0.52565240541667435</v>
      </c>
      <c r="P22" s="11">
        <f t="shared" si="0"/>
        <v>0.74424130262462418</v>
      </c>
      <c r="Q22" s="11">
        <f t="shared" si="0"/>
        <v>1.3966857373275958</v>
      </c>
      <c r="R22" s="11">
        <f t="shared" si="0"/>
        <v>1.5240168924316013</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0.1099</v>
      </c>
      <c r="K23" s="124"/>
      <c r="L23" s="24">
        <f>[1]!s_fa_ebitdatodebt(L14,L13)</f>
        <v>0.14799999999999999</v>
      </c>
      <c r="M23" s="24">
        <f>[1]!s_fa_ebitdatodebt(M14,M13)</f>
        <v>9.5699999999999993E-2</v>
      </c>
      <c r="N23" s="24">
        <f>[1]!s_fa_ebitdatodebt(N14,N13)</f>
        <v>0.17480000000000001</v>
      </c>
      <c r="O23" s="24">
        <f>[1]!s_fa_ebitdatodebt(O14,O13)</f>
        <v>0.14749999999999999</v>
      </c>
      <c r="P23" s="24">
        <f>[1]!s_fa_ebitdatodebt(P14,P13)</f>
        <v>0.28989999999999999</v>
      </c>
      <c r="Q23" s="24">
        <f>[1]!s_fa_ebitdatodebt(Q14,Q13)</f>
        <v>0.1174</v>
      </c>
      <c r="R23" s="24">
        <f>[1]!s_fa_ebitdatodebt(R14,R13)</f>
        <v>0.14849999999999999</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512.12968848879996</v>
      </c>
      <c r="K24" s="124"/>
      <c r="L24" s="24">
        <f>[1]!b_stm07_is(L14,9,L13,1)/100000000</f>
        <v>410.59027041860003</v>
      </c>
      <c r="M24" s="24">
        <f>[1]!b_stm07_is(M14,9,M13,1)/100000000</f>
        <v>265.40717695709998</v>
      </c>
      <c r="N24" s="24">
        <f>[1]!b_stm07_is(N14,9,N13,1)/100000000</f>
        <v>144.3563732259</v>
      </c>
      <c r="O24" s="24">
        <f>[1]!b_stm07_is(O14,9,O13,1)/100000000</f>
        <v>50.986031468999997</v>
      </c>
      <c r="P24" s="24">
        <f>[1]!b_stm07_is(P14,9,P13,1)/100000000</f>
        <v>201.95731201799998</v>
      </c>
      <c r="Q24" s="24">
        <f>[1]!b_stm07_is(Q14,9,Q13,1)/100000000</f>
        <v>122.26944247709999</v>
      </c>
      <c r="R24" s="24">
        <f>[1]!b_stm07_is(R14,9,R13,1)/100000000</f>
        <v>157.57805890809999</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1.1106</v>
      </c>
      <c r="K25" s="124"/>
      <c r="L25" s="26">
        <f>[1]!s_fa_salescashintoor(L14,L13)%</f>
        <v>1.1059000000000001</v>
      </c>
      <c r="M25" s="26">
        <f>[1]!s_fa_salescashintoor(M14,M13)%</f>
        <v>1.1084000000000001</v>
      </c>
      <c r="N25" s="26">
        <f>[1]!s_fa_salescashintoor(N14,N13)%</f>
        <v>1.1277999999999999</v>
      </c>
      <c r="O25" s="26">
        <f>[1]!s_fa_salescashintoor(O14,O13)%</f>
        <v>1.1413</v>
      </c>
      <c r="P25" s="26">
        <f>[1]!s_fa_salescashintoor(P14,P13)%</f>
        <v>0.54730000000000001</v>
      </c>
      <c r="Q25" s="26">
        <f>[1]!s_fa_salescashintoor(Q14,Q13)%</f>
        <v>0.77569999999999995</v>
      </c>
      <c r="R25" s="26">
        <f>[1]!s_fa_salescashintoor(R14,R13)%</f>
        <v>0.72450000000000003</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0.15845000000000001</v>
      </c>
      <c r="K26" s="124"/>
      <c r="L26" s="26">
        <f>[1]!s_fa_grossprofitmargin(L14,L13)%</f>
        <v>0.17846800000000002</v>
      </c>
      <c r="M26" s="26">
        <f>[1]!s_fa_grossprofitmargin(M14,M13)%</f>
        <v>0.15928200000000001</v>
      </c>
      <c r="N26" s="26">
        <f>[1]!s_fa_grossprofitmargin(N14,N13)%</f>
        <v>0.43201300000000004</v>
      </c>
      <c r="O26" s="26">
        <f>[1]!s_fa_grossprofitmargin(O14,O13)%</f>
        <v>0.35957600000000001</v>
      </c>
      <c r="P26" s="26">
        <f>[1]!s_fa_grossprofitmargin(P14,P13)%</f>
        <v>0.27337099999999998</v>
      </c>
      <c r="Q26" s="26">
        <f>[1]!s_fa_grossprofitmargin(Q14,Q13)%</f>
        <v>0.26735500000000001</v>
      </c>
      <c r="R26" s="26">
        <f>[1]!s_fa_grossprofitmargin(R14,R13)%</f>
        <v>0.16775600000000002</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22.409247860800001</v>
      </c>
      <c r="K27" s="124"/>
      <c r="L27" s="27">
        <f>[1]!b_stm07_is(L14,60,L13,1)/100000000</f>
        <v>24.5301814036</v>
      </c>
      <c r="M27" s="27">
        <f>[1]!b_stm07_is(M14,60,M13,1)/100000000</f>
        <v>4.0754833626</v>
      </c>
      <c r="N27" s="27">
        <f>[1]!b_stm07_is(N14,60,N13,1)/100000000</f>
        <v>12.3734014732</v>
      </c>
      <c r="O27" s="27">
        <f>[1]!b_stm07_is(O14,60,O13,1)/100000000</f>
        <v>1.5814017068999999</v>
      </c>
      <c r="P27" s="27">
        <f>[1]!b_stm07_is(P14,60,P13,1)/100000000</f>
        <v>20.140042931900002</v>
      </c>
      <c r="Q27" s="27">
        <f>[1]!b_stm07_is(Q14,60,Q13,1)/100000000</f>
        <v>12.260448909900001</v>
      </c>
      <c r="R27" s="27">
        <f>[1]!b_stm07_is(R14,60,R13,1)/100000000</f>
        <v>6.0193461121</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9.1039999999999996E-2</v>
      </c>
      <c r="K28" s="124"/>
      <c r="L28" s="25">
        <f>[1]!s_fa_roe(L14,L13)%</f>
        <v>0.13861399999999999</v>
      </c>
      <c r="M28" s="25">
        <f>[1]!s_fa_roe(M14,M13)%</f>
        <v>2.1425E-2</v>
      </c>
      <c r="N28" s="25">
        <f>[1]!s_fa_roe(N14,N13)%</f>
        <v>6.0816000000000002E-2</v>
      </c>
      <c r="O28" s="25">
        <f>[1]!s_fa_roe(O14,O13)%</f>
        <v>1.6279999999999999E-2</v>
      </c>
      <c r="P28" s="25">
        <f>[1]!s_fa_roe(P14,P13)%</f>
        <v>0.222636</v>
      </c>
      <c r="Q28" s="25">
        <f>[1]!s_fa_roe(Q14,Q13)%</f>
        <v>7.2108000000000005E-2</v>
      </c>
      <c r="R28" s="25">
        <f>[1]!s_fa_roe(R14,R13)%</f>
        <v>5.3579999999999996E-2</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-8.0904815131000003</v>
      </c>
      <c r="K29" s="124"/>
      <c r="L29" s="27">
        <f>[1]!b_stm07_cs(L14,39,L13,1)/100000000</f>
        <v>37.5335983003</v>
      </c>
      <c r="M29" s="27">
        <f>[1]!b_stm07_cs(M14,39,M13,1)/100000000</f>
        <v>7.013248109400001</v>
      </c>
      <c r="N29" s="27">
        <f>[1]!b_stm07_cs(N14,39,N13,1)/100000000</f>
        <v>14.5972542873</v>
      </c>
      <c r="O29" s="27">
        <f>[1]!b_stm07_cs(O14,39,O13,1)/100000000</f>
        <v>7.2075981048999997</v>
      </c>
      <c r="P29" s="27">
        <f>[1]!b_stm07_cs(P14,39,P13,1)/100000000</f>
        <v>14.739382467900001</v>
      </c>
      <c r="Q29" s="27">
        <f>[1]!b_stm07_cs(Q14,39,Q13,1)/100000000</f>
        <v>5.2039398261000001</v>
      </c>
      <c r="R29" s="27">
        <f>[1]!b_stm07_cs(R14,39,R13,1)/100000000</f>
        <v>19.027928541600001</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15969114937.360001</v>
      </c>
      <c r="K96" s="62"/>
      <c r="L96" s="62">
        <f>[1]!b_stm07_bs(L14,75,L13,1)</f>
        <v>10060522877.6</v>
      </c>
      <c r="M96" s="62">
        <f>[1]!b_stm07_bs(M14,75,M13,1)</f>
        <v>5643963272.6499996</v>
      </c>
      <c r="N96" s="62">
        <f>[1]!b_stm07_bs(N14,75,N13,1)</f>
        <v>3590000000</v>
      </c>
      <c r="O96" s="62">
        <f>[1]!b_stm07_bs(O14,75,O13,1)</f>
        <v>1832532962.5</v>
      </c>
      <c r="P96" s="62">
        <f>[1]!b_stm07_bs(P14,75,P13,1)</f>
        <v>3847377034.6399999</v>
      </c>
      <c r="Q96" s="62">
        <f>[1]!b_stm07_bs(Q14,75,Q13,1)</f>
        <v>3482729040</v>
      </c>
      <c r="R96" s="62">
        <f>[1]!b_stm07_bs(R14,75,R13,1)</f>
        <v>5815996675.7799997</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389592373.64999998</v>
      </c>
      <c r="K97" s="62"/>
      <c r="L97" s="62">
        <f>[1]!b_stm07_bs(L14,82,L13,1)</f>
        <v>203651524.56</v>
      </c>
      <c r="M97" s="62">
        <f>[1]!b_stm07_bs(M14,82,M13,1)</f>
        <v>128324502.98999999</v>
      </c>
      <c r="N97" s="62">
        <f>[1]!b_stm07_bs(N14,82,N13,1)</f>
        <v>87035000</v>
      </c>
      <c r="O97" s="62">
        <f>[1]!b_stm07_bs(O14,82,O13,1)</f>
        <v>19048398.5</v>
      </c>
      <c r="P97" s="62">
        <f>[1]!b_stm07_bs(P14,82,P13,1)</f>
        <v>9116467.7799999993</v>
      </c>
      <c r="Q97" s="62">
        <f>[1]!b_stm07_bs(Q14,82,Q13,1)</f>
        <v>279704166.24000001</v>
      </c>
      <c r="R97" s="62">
        <f>[1]!b_stm07_bs(R14,82,R13,1)</f>
        <v>53033654.729999997</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3968356463.23</v>
      </c>
      <c r="K98" s="62"/>
      <c r="L98" s="62">
        <f>[1]!b_stm07_bs(L14,88,L13,1)</f>
        <v>3785347771.3899999</v>
      </c>
      <c r="M98" s="62">
        <f>[1]!b_stm07_bs(M14,88,M13,1)</f>
        <v>711431665.45000005</v>
      </c>
      <c r="N98" s="62">
        <f>[1]!b_stm07_bs(N14,88,N13,1)</f>
        <v>3200000000</v>
      </c>
      <c r="O98" s="62">
        <f>[1]!b_stm07_bs(O14,88,O13,1)</f>
        <v>171880257.80000001</v>
      </c>
      <c r="P98" s="62">
        <f>[1]!b_stm07_bs(P14,88,P13,1)</f>
        <v>583150000</v>
      </c>
      <c r="Q98" s="62">
        <f>[1]!b_stm07_bs(Q14,88,Q13,1)</f>
        <v>911491674.86000001</v>
      </c>
      <c r="R98" s="62">
        <f>[1]!b_stm07_bs(R14,88,R13,1)</f>
        <v>1363690196.6600001</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10845328097.59</v>
      </c>
      <c r="K100" s="62"/>
      <c r="L100" s="62">
        <f>[1]!b_stm07_bs(L14,94,L13,1)</f>
        <v>5977844187.71</v>
      </c>
      <c r="M100" s="62">
        <f>[1]!b_stm07_bs(M14,94,M13,1)</f>
        <v>274875454.56</v>
      </c>
      <c r="N100" s="62">
        <f>[1]!b_stm07_bs(N14,94,N13,1)</f>
        <v>9194783440.1599998</v>
      </c>
      <c r="O100" s="62">
        <f>[1]!b_stm07_bs(O14,94,O13,1)</f>
        <v>325895949.89999998</v>
      </c>
      <c r="P100" s="62">
        <f>[1]!b_stm07_bs(P14,94,P13,1)</f>
        <v>1480600000</v>
      </c>
      <c r="Q100" s="62">
        <f>[1]!b_stm07_bs(Q14,94,Q13,1)</f>
        <v>6978987999.9399996</v>
      </c>
      <c r="R100" s="62">
        <f>[1]!b_stm07_bs(R14,94,R13,1)</f>
        <v>3218982337.0799999</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6305757222.3100004</v>
      </c>
      <c r="K101" s="62"/>
      <c r="L101" s="62">
        <f>[1]!b_stm07_bs(L14,95,L13,1)</f>
        <v>2797034138.3800001</v>
      </c>
      <c r="M101" s="62">
        <f>[1]!b_stm07_bs(M14,95,M13,1)</f>
        <v>5143902602.1199999</v>
      </c>
      <c r="N101" s="62">
        <f>[1]!b_stm07_bs(N14,95,N13,1)</f>
        <v>2000000000</v>
      </c>
      <c r="O101" s="62">
        <f>[1]!b_stm07_bs(O14,95,O13,1)</f>
        <v>700000000</v>
      </c>
      <c r="P101" s="62">
        <f>[1]!b_stm07_bs(P14,95,P13,1)</f>
        <v>1993559337.5599999</v>
      </c>
      <c r="Q101" s="62">
        <f>[1]!b_stm07_bs(Q14,95,Q13,1)</f>
        <v>7020000000</v>
      </c>
      <c r="R101" s="62">
        <f>[1]!b_stm07_bs(R14,95,R13,1)</f>
        <v>394221455.36000001</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21765008818.07</v>
      </c>
      <c r="K103" s="62"/>
      <c r="L103" s="62">
        <f>[1]!b_stm07_bs(L14,141,L13,1)</f>
        <v>19147300528.709999</v>
      </c>
      <c r="M103" s="62">
        <f>[1]!b_stm07_bs(M14,141,M13,1)</f>
        <v>12970467322.16</v>
      </c>
      <c r="N103" s="62">
        <f>[1]!b_stm07_bs(N14,141,N13,1)</f>
        <v>12251460486.5</v>
      </c>
      <c r="O103" s="62">
        <f>[1]!b_stm07_bs(O14,141,O13,1)</f>
        <v>5801091248.2799997</v>
      </c>
      <c r="P103" s="62">
        <f>[1]!b_stm07_bs(P14,141,P13,1)</f>
        <v>10633383033.26</v>
      </c>
      <c r="Q103" s="62">
        <f>[1]!b_stm07_bs(Q14,141,Q13,1)</f>
        <v>13369444809.23</v>
      </c>
      <c r="R103" s="62">
        <f>[1]!b_stm07_bs(R14,141,R13,1)</f>
        <v>7116669358.1099997</v>
      </c>
    </row>
    <row r="106" spans="1:19" ht="14.25" customHeight="1" x14ac:dyDescent="0.25">
      <c r="A106" s="123" t="s">
        <v>54</v>
      </c>
      <c r="B106" s="118"/>
      <c r="C106" s="118"/>
      <c r="D106" s="124"/>
      <c r="E106" s="124"/>
      <c r="F106" s="124"/>
      <c r="G106" s="124"/>
      <c r="H106" s="124"/>
      <c r="I106" s="124"/>
      <c r="J106" s="124"/>
      <c r="L106" s="39"/>
      <c r="M106" s="39"/>
    </row>
    <row r="107" spans="1:19" x14ac:dyDescent="0.25">
      <c r="A107" s="125" t="s">
        <v>55</v>
      </c>
      <c r="B107" s="118"/>
      <c r="C107" s="118"/>
      <c r="D107" s="124"/>
      <c r="E107" s="124"/>
      <c r="F107" s="124"/>
      <c r="G107" s="126">
        <v>2017</v>
      </c>
      <c r="H107" s="124"/>
      <c r="I107" s="124"/>
      <c r="J107" s="124"/>
      <c r="K107" s="74" t="str">
        <f>A2</f>
        <v>d19040204.IB</v>
      </c>
      <c r="L107" s="63">
        <f>B2</f>
        <v>43100</v>
      </c>
      <c r="M107" s="39"/>
    </row>
    <row r="108" spans="1:19" ht="12.75" customHeight="1" x14ac:dyDescent="0.25">
      <c r="A108" s="127" t="s">
        <v>56</v>
      </c>
      <c r="B108" s="118"/>
      <c r="C108" s="127" t="s">
        <v>57</v>
      </c>
      <c r="D108" s="124"/>
      <c r="E108" s="127" t="s">
        <v>58</v>
      </c>
      <c r="F108" s="124"/>
      <c r="G108" s="127" t="s">
        <v>59</v>
      </c>
      <c r="H108" s="124"/>
      <c r="I108" s="127" t="s">
        <v>60</v>
      </c>
      <c r="J108" s="124"/>
      <c r="L108" s="39"/>
      <c r="M108" s="39"/>
    </row>
    <row r="109" spans="1:19" ht="16.5" customHeight="1" x14ac:dyDescent="0.25">
      <c r="A109" s="19" t="s">
        <v>61</v>
      </c>
      <c r="B109" s="29">
        <f>M109/100</f>
        <v>0.71980999999999995</v>
      </c>
      <c r="C109" s="19" t="s">
        <v>36</v>
      </c>
      <c r="D109" s="30">
        <f>[1]!s_fa_current(A2,B2)</f>
        <v>0.79979999999999996</v>
      </c>
      <c r="E109" s="19" t="s">
        <v>41</v>
      </c>
      <c r="F109" s="33">
        <f>[1]!s_fa_salescashintoor(A2,B2)/100</f>
        <v>1.1106</v>
      </c>
      <c r="G109" s="19" t="s">
        <v>42</v>
      </c>
      <c r="H109" s="29">
        <f>S109/100</f>
        <v>0.15845000000000001</v>
      </c>
      <c r="I109" s="19"/>
      <c r="J109" s="38"/>
      <c r="K109" s="50"/>
      <c r="L109" s="64" t="s">
        <v>61</v>
      </c>
      <c r="M109" s="65">
        <f>[1]!s_fa_debttoassets(A2,B2)</f>
        <v>71.980999999999995</v>
      </c>
      <c r="N109" s="19" t="s">
        <v>36</v>
      </c>
      <c r="O109" s="66"/>
      <c r="P109" s="19" t="s">
        <v>41</v>
      </c>
      <c r="Q109" s="66"/>
      <c r="R109" s="19" t="s">
        <v>42</v>
      </c>
      <c r="S109" s="69">
        <f>[1]!s_fa_grossprofitmargin(A2,B2)</f>
        <v>15.845000000000001</v>
      </c>
    </row>
    <row r="110" spans="1:19" ht="15.75" customHeight="1" x14ac:dyDescent="0.25">
      <c r="A110" s="19" t="s">
        <v>62</v>
      </c>
      <c r="B110" s="29">
        <f>M110/100</f>
        <v>0.37637300000000001</v>
      </c>
      <c r="C110" s="19" t="s">
        <v>63</v>
      </c>
      <c r="D110" s="33">
        <f>[1]!s_fa_quick(A2,B2)</f>
        <v>0.60950000000000004</v>
      </c>
      <c r="E110" s="19" t="s">
        <v>64</v>
      </c>
      <c r="F110" s="30">
        <f>[1]!s_fa_arturn(A2,B2)</f>
        <v>34.094000000000001</v>
      </c>
      <c r="G110" s="19" t="s">
        <v>65</v>
      </c>
      <c r="H110" s="29">
        <f>S110/100</f>
        <v>5.3579999999999996E-2</v>
      </c>
      <c r="I110" s="19"/>
      <c r="J110" s="38"/>
      <c r="L110" s="19" t="s">
        <v>62</v>
      </c>
      <c r="M110" s="65">
        <f>[1]!s_fa_catoassets(A2,B2)</f>
        <v>37.637300000000003</v>
      </c>
      <c r="N110" s="19" t="s">
        <v>63</v>
      </c>
      <c r="O110" s="66"/>
      <c r="P110" s="19" t="s">
        <v>64</v>
      </c>
      <c r="Q110" s="33"/>
      <c r="R110" s="19" t="s">
        <v>65</v>
      </c>
      <c r="S110" s="69">
        <f>[1]!s_fa_optogr(A2,B2)</f>
        <v>5.3579999999999997</v>
      </c>
    </row>
    <row r="111" spans="1:19" ht="15" customHeight="1" x14ac:dyDescent="0.25">
      <c r="A111" s="19" t="s">
        <v>66</v>
      </c>
      <c r="B111" s="29">
        <f>M111/100</f>
        <v>0.65377600000000002</v>
      </c>
      <c r="C111" s="19" t="s">
        <v>39</v>
      </c>
      <c r="D111" s="33">
        <f>[1]!s_fa_ebitdatodebt(A2,B2)</f>
        <v>0.1099</v>
      </c>
      <c r="E111" s="19" t="s">
        <v>67</v>
      </c>
      <c r="F111" s="30">
        <f>[1]!s_fa_invturn(A2,B2)</f>
        <v>8.5176999999999996</v>
      </c>
      <c r="G111" s="19" t="s">
        <v>45</v>
      </c>
      <c r="H111" s="29">
        <f>S111/100</f>
        <v>9.1039999999999996E-2</v>
      </c>
      <c r="I111" s="19"/>
      <c r="J111" s="38"/>
      <c r="L111" s="19" t="s">
        <v>66</v>
      </c>
      <c r="M111" s="65">
        <f>[1]!s_fa_currentdebttodebt(A2,B2)</f>
        <v>65.377600000000001</v>
      </c>
      <c r="N111" s="19" t="s">
        <v>39</v>
      </c>
      <c r="O111" s="66"/>
      <c r="P111" s="19" t="s">
        <v>67</v>
      </c>
      <c r="Q111" s="66"/>
      <c r="R111" s="19" t="s">
        <v>45</v>
      </c>
      <c r="S111" s="69">
        <f>[1]!s_fa_roe(A2,B2)</f>
        <v>9.1039999999999992</v>
      </c>
    </row>
    <row r="112" spans="1:19" ht="14.25" customHeight="1" x14ac:dyDescent="0.25">
      <c r="A112" s="19" t="s">
        <v>38</v>
      </c>
      <c r="B112" s="31">
        <f>(M116+M117+M118+M119+M120+M121)/M123</f>
        <v>1.7219450452519207</v>
      </c>
      <c r="C112" s="19" t="s">
        <v>68</v>
      </c>
      <c r="D112" s="33">
        <f>[1]!s_fa_ebittointerest(A2,B2)</f>
        <v>2.9196</v>
      </c>
      <c r="E112" s="19" t="s">
        <v>69</v>
      </c>
      <c r="F112" s="30">
        <f>[1]!s_fa_caturn(A2,B2)</f>
        <v>2.1800999999999999</v>
      </c>
      <c r="G112" s="19" t="s">
        <v>70</v>
      </c>
      <c r="H112" s="29">
        <f>S112/100</f>
        <v>6.3021000000000008E-2</v>
      </c>
      <c r="I112" s="19"/>
      <c r="J112" s="38"/>
      <c r="L112" s="19" t="s">
        <v>38</v>
      </c>
      <c r="M112" s="67"/>
      <c r="N112" s="19" t="s">
        <v>68</v>
      </c>
      <c r="O112" s="66"/>
      <c r="P112" s="19" t="s">
        <v>69</v>
      </c>
      <c r="Q112" s="66"/>
      <c r="R112" s="19" t="s">
        <v>70</v>
      </c>
      <c r="S112" s="69">
        <f>[1]!s_fa_roa2(A2,B2)</f>
        <v>6.3021000000000003</v>
      </c>
    </row>
    <row r="113" spans="1:21" x14ac:dyDescent="0.25">
      <c r="A113" s="57"/>
      <c r="B113" s="58"/>
      <c r="C113" s="57"/>
      <c r="D113" s="59"/>
      <c r="E113" s="57" t="s">
        <v>71</v>
      </c>
      <c r="F113" s="60">
        <f>[1]!s_fa_dupont_faturnover(A2,B2)</f>
        <v>0.77969999999999995</v>
      </c>
      <c r="G113" s="57"/>
      <c r="H113" s="58"/>
      <c r="I113" s="57"/>
      <c r="J113" s="58"/>
      <c r="L113" s="57"/>
      <c r="M113" s="68"/>
      <c r="N113" s="57"/>
      <c r="O113" s="59"/>
      <c r="P113" s="57" t="s">
        <v>71</v>
      </c>
      <c r="Q113" s="70"/>
      <c r="R113" s="57"/>
      <c r="S113" s="58"/>
    </row>
    <row r="114" spans="1:21" ht="13.5" customHeight="1" x14ac:dyDescent="0.25">
      <c r="A114" s="123" t="s">
        <v>72</v>
      </c>
      <c r="B114" s="118"/>
      <c r="C114" s="118"/>
      <c r="D114" s="124"/>
      <c r="E114" s="124"/>
      <c r="F114" s="124"/>
      <c r="G114" s="124"/>
      <c r="H114" s="124"/>
      <c r="I114" s="124"/>
      <c r="J114" s="124"/>
      <c r="L114" s="39"/>
      <c r="M114" s="39"/>
    </row>
    <row r="115" spans="1:21" ht="13.5" customHeight="1" x14ac:dyDescent="0.25">
      <c r="A115" s="125" t="s">
        <v>73</v>
      </c>
      <c r="B115" s="118"/>
      <c r="C115" s="118"/>
      <c r="D115" s="124"/>
      <c r="E115" s="124"/>
      <c r="F115" s="124"/>
      <c r="G115" s="128">
        <v>2017</v>
      </c>
      <c r="H115" s="124"/>
      <c r="I115" s="124"/>
      <c r="J115" s="124"/>
      <c r="L115" s="39"/>
      <c r="M115" s="39"/>
    </row>
    <row r="116" spans="1:21" x14ac:dyDescent="0.25">
      <c r="A116" s="129" t="s">
        <v>74</v>
      </c>
      <c r="B116" s="118"/>
      <c r="C116" s="129" t="s">
        <v>75</v>
      </c>
      <c r="D116" s="124"/>
      <c r="E116" s="130" t="s">
        <v>76</v>
      </c>
      <c r="F116" s="124"/>
      <c r="G116" s="124"/>
      <c r="H116" s="124"/>
      <c r="I116" s="124"/>
      <c r="J116" s="124"/>
      <c r="L116" s="39" t="s">
        <v>47</v>
      </c>
      <c r="M116" s="62">
        <f>[1]!b_stm07_bs(K107,75,L107,1)</f>
        <v>15969114937.360001</v>
      </c>
    </row>
    <row r="117" spans="1:21" ht="14.25" customHeight="1" x14ac:dyDescent="0.25">
      <c r="A117" s="19" t="s">
        <v>77</v>
      </c>
      <c r="B117" s="33">
        <f t="shared" ref="B117:B131" si="1">M127/100000000</f>
        <v>57.390263858599994</v>
      </c>
      <c r="C117" s="19" t="s">
        <v>78</v>
      </c>
      <c r="D117" s="31">
        <f t="shared" ref="D117:D125" si="2">O127/100000000</f>
        <v>512.12968848879996</v>
      </c>
      <c r="E117" s="131" t="s">
        <v>79</v>
      </c>
      <c r="F117" s="124"/>
      <c r="G117" s="124"/>
      <c r="H117" s="132">
        <f t="shared" ref="H117:H131" si="3">S127/100000000</f>
        <v>568.75439329260007</v>
      </c>
      <c r="I117" s="124"/>
      <c r="J117" s="124"/>
      <c r="L117" s="39" t="s">
        <v>48</v>
      </c>
      <c r="M117" s="62">
        <f>[1]!b_stm07_bs(K107,82,L107,1)</f>
        <v>389592373.64999998</v>
      </c>
    </row>
    <row r="118" spans="1:21" ht="14.25" customHeight="1" x14ac:dyDescent="0.25">
      <c r="A118" s="19" t="s">
        <v>80</v>
      </c>
      <c r="B118" s="33">
        <f t="shared" si="1"/>
        <v>16.5964928199</v>
      </c>
      <c r="C118" s="19" t="s">
        <v>81</v>
      </c>
      <c r="D118" s="31">
        <f t="shared" si="2"/>
        <v>488.04118797860002</v>
      </c>
      <c r="E118" s="131" t="s">
        <v>82</v>
      </c>
      <c r="F118" s="124"/>
      <c r="G118" s="124"/>
      <c r="H118" s="132">
        <f t="shared" si="3"/>
        <v>13.900871923099999</v>
      </c>
      <c r="I118" s="124"/>
      <c r="J118" s="124"/>
      <c r="L118" s="39" t="s">
        <v>49</v>
      </c>
      <c r="M118" s="62">
        <f>[1]!b_stm07_bs(K107,88,L107,1)</f>
        <v>3968356463.23</v>
      </c>
    </row>
    <row r="119" spans="1:21" ht="14.25" customHeight="1" x14ac:dyDescent="0.25">
      <c r="A119" s="19" t="s">
        <v>83</v>
      </c>
      <c r="B119" s="33">
        <f t="shared" si="1"/>
        <v>17.949485321199997</v>
      </c>
      <c r="C119" s="19" t="s">
        <v>84</v>
      </c>
      <c r="D119" s="31">
        <f t="shared" si="2"/>
        <v>430.98269812780001</v>
      </c>
      <c r="E119" s="131" t="s">
        <v>85</v>
      </c>
      <c r="F119" s="124"/>
      <c r="G119" s="124"/>
      <c r="H119" s="133">
        <f t="shared" si="3"/>
        <v>583.16455043960002</v>
      </c>
      <c r="I119" s="124"/>
      <c r="J119" s="124"/>
      <c r="L119" s="39" t="s">
        <v>50</v>
      </c>
      <c r="M119" s="62">
        <f>[1]!b_stm07_bs(K107,147,L107,1)</f>
        <v>0</v>
      </c>
    </row>
    <row r="120" spans="1:21" ht="14.25" customHeight="1" x14ac:dyDescent="0.25">
      <c r="A120" s="19" t="s">
        <v>86</v>
      </c>
      <c r="B120" s="33">
        <f t="shared" si="1"/>
        <v>341.36550630300002</v>
      </c>
      <c r="C120" s="19" t="s">
        <v>87</v>
      </c>
      <c r="D120" s="31">
        <f t="shared" si="2"/>
        <v>26.2643870725</v>
      </c>
      <c r="E120" s="131" t="s">
        <v>88</v>
      </c>
      <c r="F120" s="124"/>
      <c r="G120" s="124"/>
      <c r="H120" s="132">
        <f t="shared" si="3"/>
        <v>517.72285441489998</v>
      </c>
      <c r="I120" s="124"/>
      <c r="J120" s="124"/>
      <c r="L120" s="39" t="s">
        <v>51</v>
      </c>
      <c r="M120" s="62">
        <f>[1]!b_stm07_bs(K107,94,L107,1)</f>
        <v>10845328097.59</v>
      </c>
    </row>
    <row r="121" spans="1:21" ht="14.25" customHeight="1" x14ac:dyDescent="0.25">
      <c r="A121" s="19" t="s">
        <v>89</v>
      </c>
      <c r="B121" s="33">
        <f t="shared" si="1"/>
        <v>35.840247340399998</v>
      </c>
      <c r="C121" s="19" t="s">
        <v>90</v>
      </c>
      <c r="D121" s="31">
        <f t="shared" si="2"/>
        <v>11.9245975544</v>
      </c>
      <c r="E121" s="131" t="s">
        <v>91</v>
      </c>
      <c r="F121" s="124"/>
      <c r="G121" s="124"/>
      <c r="H121" s="132">
        <f t="shared" si="3"/>
        <v>24.489013257899998</v>
      </c>
      <c r="I121" s="124"/>
      <c r="J121" s="124"/>
      <c r="L121" s="39" t="s">
        <v>52</v>
      </c>
      <c r="M121" s="62">
        <f>[1]!b_stm07_bs(K107,95,L107,1)</f>
        <v>6305757222.3100004</v>
      </c>
    </row>
    <row r="122" spans="1:21" ht="14.25" customHeight="1" x14ac:dyDescent="0.25">
      <c r="A122" s="19" t="s">
        <v>92</v>
      </c>
      <c r="B122" s="33">
        <f t="shared" si="1"/>
        <v>18.771459524000001</v>
      </c>
      <c r="C122" s="19" t="s">
        <v>93</v>
      </c>
      <c r="D122" s="31">
        <f t="shared" si="2"/>
        <v>15.2729381965</v>
      </c>
      <c r="E122" s="131" t="s">
        <v>94</v>
      </c>
      <c r="F122" s="124"/>
      <c r="G122" s="124"/>
      <c r="H122" s="133">
        <f t="shared" si="3"/>
        <v>591.25503195269994</v>
      </c>
      <c r="I122" s="124"/>
      <c r="J122" s="124"/>
      <c r="L122" s="39"/>
      <c r="M122" s="39"/>
    </row>
    <row r="123" spans="1:21" ht="14.25" customHeight="1" x14ac:dyDescent="0.25">
      <c r="A123" s="19" t="s">
        <v>95</v>
      </c>
      <c r="B123" s="61">
        <f t="shared" si="1"/>
        <v>776.79506323460009</v>
      </c>
      <c r="C123" s="19" t="s">
        <v>96</v>
      </c>
      <c r="D123" s="31">
        <f t="shared" si="2"/>
        <v>27.440078643400003</v>
      </c>
      <c r="E123" s="131" t="s">
        <v>97</v>
      </c>
      <c r="F123" s="124"/>
      <c r="G123" s="124"/>
      <c r="H123" s="133">
        <f t="shared" si="3"/>
        <v>-8.0904815131000003</v>
      </c>
      <c r="I123" s="124"/>
      <c r="J123" s="124"/>
      <c r="L123" s="39" t="s">
        <v>53</v>
      </c>
      <c r="M123" s="62">
        <f>[1]!b_stm07_bs(K107,141,L107,1)</f>
        <v>21765008818.07</v>
      </c>
    </row>
    <row r="124" spans="1:21" ht="14.25" customHeight="1" x14ac:dyDescent="0.25">
      <c r="A124" s="19" t="s">
        <v>98</v>
      </c>
      <c r="B124" s="33">
        <f t="shared" si="1"/>
        <v>159.69114937360001</v>
      </c>
      <c r="C124" s="19" t="s">
        <v>99</v>
      </c>
      <c r="D124" s="31">
        <f t="shared" si="2"/>
        <v>27.217485874499999</v>
      </c>
      <c r="E124" s="131" t="s">
        <v>100</v>
      </c>
      <c r="F124" s="124"/>
      <c r="G124" s="124"/>
      <c r="H124" s="133">
        <f t="shared" si="3"/>
        <v>-80.4065826211</v>
      </c>
      <c r="I124" s="124"/>
      <c r="J124" s="124"/>
      <c r="L124" s="39"/>
      <c r="M124" s="39"/>
    </row>
    <row r="125" spans="1:21" ht="27" customHeight="1" x14ac:dyDescent="0.25">
      <c r="A125" s="19" t="s">
        <v>101</v>
      </c>
      <c r="B125" s="33">
        <f t="shared" si="1"/>
        <v>39.683564632299998</v>
      </c>
      <c r="C125" s="19" t="s">
        <v>43</v>
      </c>
      <c r="D125" s="31">
        <f t="shared" si="2"/>
        <v>22.409247860800001</v>
      </c>
      <c r="E125" s="131" t="s">
        <v>102</v>
      </c>
      <c r="F125" s="124"/>
      <c r="G125" s="124"/>
      <c r="H125" s="132">
        <f t="shared" si="3"/>
        <v>8.6485798283000008</v>
      </c>
      <c r="I125" s="124"/>
      <c r="J125" s="124"/>
      <c r="L125" s="39"/>
      <c r="M125" s="39"/>
    </row>
    <row r="126" spans="1:21" ht="16.5" customHeight="1" x14ac:dyDescent="0.25">
      <c r="A126" s="19" t="s">
        <v>103</v>
      </c>
      <c r="B126" s="33">
        <f t="shared" si="1"/>
        <v>0</v>
      </c>
      <c r="C126" s="19"/>
      <c r="D126" s="34"/>
      <c r="E126" s="131" t="s">
        <v>104</v>
      </c>
      <c r="F126" s="124"/>
      <c r="G126" s="124"/>
      <c r="H126" s="132">
        <f t="shared" si="3"/>
        <v>229.59989372569999</v>
      </c>
      <c r="I126" s="124"/>
      <c r="J126" s="124"/>
      <c r="L126" s="134" t="s">
        <v>74</v>
      </c>
      <c r="M126" s="124"/>
      <c r="N126" s="134" t="s">
        <v>75</v>
      </c>
      <c r="O126" s="124"/>
      <c r="P126" s="125" t="s">
        <v>76</v>
      </c>
      <c r="Q126" s="124"/>
      <c r="R126" s="124"/>
      <c r="S126" s="135"/>
      <c r="T126" s="135"/>
      <c r="U126" s="135"/>
    </row>
    <row r="127" spans="1:21" ht="14.25" customHeight="1" x14ac:dyDescent="0.25">
      <c r="A127" s="19" t="s">
        <v>105</v>
      </c>
      <c r="B127" s="33">
        <f t="shared" si="1"/>
        <v>108.4532809759</v>
      </c>
      <c r="C127" s="19"/>
      <c r="D127" s="34"/>
      <c r="E127" s="131" t="s">
        <v>106</v>
      </c>
      <c r="F127" s="124"/>
      <c r="G127" s="124"/>
      <c r="H127" s="132">
        <f t="shared" si="3"/>
        <v>78.539199465699994</v>
      </c>
      <c r="I127" s="124"/>
      <c r="J127" s="124"/>
      <c r="L127" s="19" t="s">
        <v>77</v>
      </c>
      <c r="M127" s="69">
        <f>[1]!b_stm07_bs(K107,9,L107,1)</f>
        <v>5739026385.8599997</v>
      </c>
      <c r="N127" s="19" t="s">
        <v>78</v>
      </c>
      <c r="O127" s="69">
        <f>[1]!b_stm07_is(K107,83,L107,1)</f>
        <v>51212968848.879997</v>
      </c>
      <c r="P127" s="131" t="s">
        <v>79</v>
      </c>
      <c r="Q127" s="124"/>
      <c r="R127" s="124"/>
      <c r="S127" s="136">
        <f>[1]!b_stm07_cs(K107,9,L107,1)</f>
        <v>56875439329.260002</v>
      </c>
      <c r="T127" s="135"/>
      <c r="U127" s="135"/>
    </row>
    <row r="128" spans="1:21" ht="14.25" customHeight="1" x14ac:dyDescent="0.25">
      <c r="A128" s="19" t="s">
        <v>107</v>
      </c>
      <c r="B128" s="33">
        <f t="shared" si="1"/>
        <v>63.057572223100003</v>
      </c>
      <c r="C128" s="19"/>
      <c r="D128" s="34"/>
      <c r="E128" s="131" t="s">
        <v>108</v>
      </c>
      <c r="F128" s="124"/>
      <c r="G128" s="124"/>
      <c r="H128" s="133">
        <f t="shared" si="3"/>
        <v>319.7417304315</v>
      </c>
      <c r="I128" s="124"/>
      <c r="J128" s="124"/>
      <c r="L128" s="19" t="s">
        <v>80</v>
      </c>
      <c r="M128" s="69">
        <f>[1]!b_stm07_bs(K107,12,L107,1)</f>
        <v>1659649281.99</v>
      </c>
      <c r="N128" s="19" t="s">
        <v>81</v>
      </c>
      <c r="O128" s="69">
        <f>[1]!b_stm07_is(K107,84,L107,1)</f>
        <v>48804118797.860001</v>
      </c>
      <c r="P128" s="131" t="s">
        <v>82</v>
      </c>
      <c r="Q128" s="124"/>
      <c r="R128" s="124"/>
      <c r="S128" s="136">
        <f>[1]!b_stm07_cs(K107,11,L107,1)</f>
        <v>1390087192.3099999</v>
      </c>
      <c r="T128" s="135"/>
      <c r="U128" s="135"/>
    </row>
    <row r="129" spans="1:21" ht="14.25" customHeight="1" x14ac:dyDescent="0.25">
      <c r="A129" s="19" t="s">
        <v>109</v>
      </c>
      <c r="B129" s="61">
        <f t="shared" si="1"/>
        <v>559.1449750539</v>
      </c>
      <c r="C129" s="35"/>
      <c r="D129" s="32"/>
      <c r="E129" s="131" t="s">
        <v>110</v>
      </c>
      <c r="F129" s="124"/>
      <c r="G129" s="124"/>
      <c r="H129" s="132">
        <f t="shared" si="3"/>
        <v>194.4915132813</v>
      </c>
      <c r="I129" s="124"/>
      <c r="J129" s="124"/>
      <c r="L129" s="19" t="s">
        <v>83</v>
      </c>
      <c r="M129" s="69">
        <f>[1]!b_stm07_bs(K107,13,L107,1)</f>
        <v>1794948532.1199999</v>
      </c>
      <c r="N129" s="19" t="s">
        <v>84</v>
      </c>
      <c r="O129" s="69">
        <f>[1]!b_stm07_is(K107,10,L107,1)</f>
        <v>43098269812.779999</v>
      </c>
      <c r="P129" s="131" t="s">
        <v>85</v>
      </c>
      <c r="Q129" s="124"/>
      <c r="R129" s="124"/>
      <c r="S129" s="137">
        <f>[1]!b_stm07_cs(K107,25,L107,1)</f>
        <v>58316455043.959999</v>
      </c>
      <c r="T129" s="135"/>
      <c r="U129" s="135"/>
    </row>
    <row r="130" spans="1:21" ht="14.25" customHeight="1" x14ac:dyDescent="0.25">
      <c r="A130" s="19" t="s">
        <v>111</v>
      </c>
      <c r="B130" s="61">
        <f t="shared" si="1"/>
        <v>217.65008818070001</v>
      </c>
      <c r="C130" s="35"/>
      <c r="D130" s="32"/>
      <c r="E130" s="131" t="s">
        <v>112</v>
      </c>
      <c r="F130" s="124"/>
      <c r="G130" s="124"/>
      <c r="H130" s="132">
        <f t="shared" si="3"/>
        <v>217.40950836659999</v>
      </c>
      <c r="I130" s="124"/>
      <c r="J130" s="124"/>
      <c r="L130" s="19" t="s">
        <v>86</v>
      </c>
      <c r="M130" s="69">
        <f>[1]!b_stm07_bs(K107,31,L107,1)</f>
        <v>34136550630.299999</v>
      </c>
      <c r="N130" s="19" t="s">
        <v>87</v>
      </c>
      <c r="O130" s="69">
        <f>[1]!b_stm07_is(K107,12,L107,1)</f>
        <v>2626438707.25</v>
      </c>
      <c r="P130" s="131" t="s">
        <v>88</v>
      </c>
      <c r="Q130" s="124"/>
      <c r="R130" s="124"/>
      <c r="S130" s="136">
        <f>[1]!b_stm07_cs(K107,26,L107,1)</f>
        <v>51772285441.489998</v>
      </c>
      <c r="T130" s="135"/>
      <c r="U130" s="135"/>
    </row>
    <row r="131" spans="1:21" ht="14.25" customHeight="1" x14ac:dyDescent="0.25">
      <c r="A131" s="36" t="s">
        <v>113</v>
      </c>
      <c r="B131" s="61">
        <f t="shared" si="1"/>
        <v>776.79506323460009</v>
      </c>
      <c r="C131" s="35"/>
      <c r="D131" s="32"/>
      <c r="E131" s="131" t="s">
        <v>114</v>
      </c>
      <c r="F131" s="124"/>
      <c r="G131" s="124"/>
      <c r="H131" s="133">
        <f t="shared" si="3"/>
        <v>102.33222206489999</v>
      </c>
      <c r="I131" s="124"/>
      <c r="J131" s="124"/>
      <c r="L131" s="19" t="s">
        <v>89</v>
      </c>
      <c r="M131" s="69">
        <f>[1]!b_stm07_bs(K107,33,L107,1)</f>
        <v>3584024734.04</v>
      </c>
      <c r="N131" s="19" t="s">
        <v>90</v>
      </c>
      <c r="O131" s="69">
        <f>[1]!b_stm07_is(K107,13,L107,1)</f>
        <v>1192459755.4400001</v>
      </c>
      <c r="P131" s="131" t="s">
        <v>91</v>
      </c>
      <c r="Q131" s="124"/>
      <c r="R131" s="124"/>
      <c r="S131" s="136">
        <f>[1]!b_stm07_cs(K107,29,L107,1)</f>
        <v>2448901325.79</v>
      </c>
      <c r="T131" s="135"/>
      <c r="U131" s="135"/>
    </row>
    <row r="132" spans="1:21" x14ac:dyDescent="0.25">
      <c r="L132" s="19" t="s">
        <v>92</v>
      </c>
      <c r="M132" s="69">
        <f>[1]!b_stm07_bs(K107,37,L107,1)</f>
        <v>1877145952.4000001</v>
      </c>
      <c r="N132" s="19" t="s">
        <v>93</v>
      </c>
      <c r="O132" s="69">
        <f>[1]!b_stm07_is(K107,14,L107,1)</f>
        <v>1527293819.6500001</v>
      </c>
      <c r="P132" s="131" t="s">
        <v>94</v>
      </c>
      <c r="Q132" s="124"/>
      <c r="R132" s="124"/>
      <c r="S132" s="137">
        <f>[1]!b_stm07_cs(K107,37,L107,1)</f>
        <v>59125503195.269997</v>
      </c>
      <c r="T132" s="135"/>
      <c r="U132" s="135"/>
    </row>
    <row r="133" spans="1:21" x14ac:dyDescent="0.25">
      <c r="L133" s="19" t="s">
        <v>95</v>
      </c>
      <c r="M133" s="71">
        <f>[1]!b_stm07_bs(K107,74,L107,1)</f>
        <v>77679506323.460007</v>
      </c>
      <c r="N133" s="19" t="s">
        <v>96</v>
      </c>
      <c r="O133" s="69">
        <f>[1]!b_stm07_is(K107,48,L107,1)</f>
        <v>2744007864.3400002</v>
      </c>
      <c r="P133" s="131" t="s">
        <v>97</v>
      </c>
      <c r="Q133" s="124"/>
      <c r="R133" s="124"/>
      <c r="S133" s="137">
        <f>[1]!b_stm07_cs(K107,39,L107,1)</f>
        <v>-809048151.30999994</v>
      </c>
      <c r="T133" s="135"/>
      <c r="U133" s="135"/>
    </row>
    <row r="134" spans="1:21" x14ac:dyDescent="0.25">
      <c r="L134" s="19" t="s">
        <v>98</v>
      </c>
      <c r="M134" s="69">
        <f>[1]!b_stm07_bs(K107,75,L107,1)</f>
        <v>15969114937.360001</v>
      </c>
      <c r="N134" s="19" t="s">
        <v>99</v>
      </c>
      <c r="O134" s="69">
        <f>[1]!b_stm07_is(K107,55,L107,1)</f>
        <v>2721748587.4499998</v>
      </c>
      <c r="P134" s="131" t="s">
        <v>100</v>
      </c>
      <c r="Q134" s="124"/>
      <c r="R134" s="124"/>
      <c r="S134" s="137">
        <f>[1]!b_stm07_cs(K107,59,L107,1)</f>
        <v>-8040658262.1099997</v>
      </c>
      <c r="T134" s="135"/>
      <c r="U134" s="135"/>
    </row>
    <row r="135" spans="1:21" ht="32.4" customHeight="1" x14ac:dyDescent="0.25">
      <c r="L135" s="19" t="s">
        <v>101</v>
      </c>
      <c r="M135" s="69">
        <f>[1]!b_stm07_bs(K107,88,L107,1)</f>
        <v>3968356463.23</v>
      </c>
      <c r="N135" s="19" t="s">
        <v>43</v>
      </c>
      <c r="O135" s="69">
        <f>[1]!b_stm07_is(K107,60,L107,1)</f>
        <v>2240924786.0799999</v>
      </c>
      <c r="P135" s="131" t="s">
        <v>102</v>
      </c>
      <c r="Q135" s="124"/>
      <c r="R135" s="124"/>
      <c r="S135" s="136">
        <f>[1]!b_stm07_cs(K107,60,L107,1)</f>
        <v>864857982.83000004</v>
      </c>
      <c r="T135" s="135"/>
      <c r="U135" s="135"/>
    </row>
    <row r="136" spans="1:21" ht="21.6" customHeight="1" x14ac:dyDescent="0.25">
      <c r="L136" s="19" t="s">
        <v>103</v>
      </c>
      <c r="M136" s="69">
        <f>[1]!b_stm07_bs(K107,147,L107,1)</f>
        <v>0</v>
      </c>
      <c r="N136" s="19"/>
      <c r="O136" s="34"/>
      <c r="P136" s="131" t="s">
        <v>104</v>
      </c>
      <c r="Q136" s="124"/>
      <c r="R136" s="124"/>
      <c r="S136" s="136">
        <f>[1]!b_stm07_cs(K107,61,L107,1)</f>
        <v>22959989372.57</v>
      </c>
      <c r="T136" s="135"/>
      <c r="U136" s="135"/>
    </row>
    <row r="137" spans="1:21" x14ac:dyDescent="0.25">
      <c r="L137" s="19" t="s">
        <v>105</v>
      </c>
      <c r="M137" s="69">
        <f>[1]!b_stm07_bs(K107,94,L107,1)</f>
        <v>10845328097.59</v>
      </c>
      <c r="N137" s="19"/>
      <c r="O137" s="34"/>
      <c r="P137" s="131" t="s">
        <v>106</v>
      </c>
      <c r="Q137" s="124"/>
      <c r="R137" s="124"/>
      <c r="S137" s="136">
        <f>[1]!b_stm07_cs(K107,63,L107,1)</f>
        <v>7853919946.5699997</v>
      </c>
      <c r="T137" s="135"/>
      <c r="U137" s="135"/>
    </row>
    <row r="138" spans="1:21" x14ac:dyDescent="0.25">
      <c r="L138" s="19" t="s">
        <v>107</v>
      </c>
      <c r="M138" s="69">
        <f>[1]!b_stm07_bs(K107,95,L107,1)</f>
        <v>6305757222.3100004</v>
      </c>
      <c r="N138" s="19"/>
      <c r="O138" s="34"/>
      <c r="P138" s="131" t="s">
        <v>108</v>
      </c>
      <c r="Q138" s="124"/>
      <c r="R138" s="124"/>
      <c r="S138" s="137">
        <f>[1]!b_stm07_cs(K107,68,L107,1)</f>
        <v>31974173043.150002</v>
      </c>
      <c r="T138" s="135"/>
      <c r="U138" s="135"/>
    </row>
    <row r="139" spans="1:21" x14ac:dyDescent="0.25">
      <c r="L139" s="19" t="s">
        <v>109</v>
      </c>
      <c r="M139" s="71">
        <f>[1]!b_stm07_bs(K107,128,L107,1)</f>
        <v>55914497505.389999</v>
      </c>
      <c r="N139" s="35"/>
      <c r="O139" s="32"/>
      <c r="P139" s="131" t="s">
        <v>110</v>
      </c>
      <c r="Q139" s="124"/>
      <c r="R139" s="124"/>
      <c r="S139" s="136">
        <f>[1]!b_stm07_cs(K107,69,L107,1)</f>
        <v>19449151328.130001</v>
      </c>
      <c r="T139" s="135"/>
      <c r="U139" s="135"/>
    </row>
    <row r="140" spans="1:21" ht="21.6" customHeight="1" x14ac:dyDescent="0.25">
      <c r="L140" s="19" t="s">
        <v>111</v>
      </c>
      <c r="M140" s="71">
        <f>[1]!b_stm07_bs(K107,141,L107,1)</f>
        <v>21765008818.07</v>
      </c>
      <c r="N140" s="35"/>
      <c r="O140" s="32"/>
      <c r="P140" s="131" t="s">
        <v>112</v>
      </c>
      <c r="Q140" s="124"/>
      <c r="R140" s="124"/>
      <c r="S140" s="136">
        <f>[1]!b_stm07_cs(K107,75,L107,1)</f>
        <v>21740950836.66</v>
      </c>
      <c r="T140" s="135"/>
      <c r="U140" s="135"/>
    </row>
    <row r="141" spans="1:21" ht="21.6" customHeight="1" x14ac:dyDescent="0.25">
      <c r="L141" s="36" t="s">
        <v>113</v>
      </c>
      <c r="M141" s="71">
        <f>[1]!b_stm07_bs(K107,145,L107,1)</f>
        <v>77679506323.460007</v>
      </c>
      <c r="N141" s="35"/>
      <c r="O141" s="32"/>
      <c r="P141" s="131" t="s">
        <v>114</v>
      </c>
      <c r="Q141" s="124"/>
      <c r="R141" s="124"/>
      <c r="S141" s="137">
        <f>[1]!b_stm07_cs(K107,77,L107,1)</f>
        <v>10233222206.49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327</v>
      </c>
      <c r="C2" s="120"/>
      <c r="D2" s="95" t="s">
        <v>3</v>
      </c>
      <c r="E2" s="119" t="s">
        <v>328</v>
      </c>
      <c r="F2" s="120"/>
      <c r="G2" s="120"/>
    </row>
    <row r="3" spans="1:12" ht="14.25" customHeight="1" x14ac:dyDescent="0.25">
      <c r="A3" s="95" t="s">
        <v>4</v>
      </c>
      <c r="B3" s="119" t="s">
        <v>329</v>
      </c>
      <c r="C3" s="120"/>
      <c r="D3" s="95" t="s">
        <v>5</v>
      </c>
      <c r="E3" s="119" t="s">
        <v>330</v>
      </c>
      <c r="F3" s="120"/>
      <c r="G3" s="120"/>
    </row>
    <row r="4" spans="1:12" ht="113.25" customHeight="1" x14ac:dyDescent="0.25">
      <c r="A4" s="95" t="s">
        <v>6</v>
      </c>
      <c r="B4" s="121" t="s">
        <v>331</v>
      </c>
      <c r="C4" s="120"/>
      <c r="D4" s="120"/>
      <c r="E4" s="120"/>
      <c r="F4" s="120"/>
      <c r="G4" s="120"/>
    </row>
    <row r="5" spans="1:12" ht="14.4" x14ac:dyDescent="0.25">
      <c r="A5" s="100" t="s">
        <v>115</v>
      </c>
      <c r="B5" s="140" t="s">
        <v>332</v>
      </c>
      <c r="C5" s="120"/>
      <c r="D5" s="120"/>
      <c r="E5" s="120"/>
      <c r="F5" s="141">
        <v>1</v>
      </c>
      <c r="G5" s="120"/>
    </row>
    <row r="6" spans="1:12" ht="11.25" customHeight="1" x14ac:dyDescent="0.25">
      <c r="A6" s="100" t="s">
        <v>116</v>
      </c>
      <c r="B6" s="140" t="s">
        <v>333</v>
      </c>
      <c r="C6" s="120"/>
      <c r="D6" s="120"/>
      <c r="E6" s="120"/>
      <c r="F6" s="141" t="s">
        <v>333</v>
      </c>
      <c r="G6" s="120"/>
    </row>
    <row r="7" spans="1:12" ht="11.25" customHeight="1" x14ac:dyDescent="0.25">
      <c r="A7" s="100" t="s">
        <v>117</v>
      </c>
      <c r="B7" s="140" t="s">
        <v>333</v>
      </c>
      <c r="C7" s="120"/>
      <c r="D7" s="120"/>
      <c r="E7" s="120"/>
      <c r="F7" s="141" t="s">
        <v>333</v>
      </c>
      <c r="G7" s="120"/>
    </row>
    <row r="8" spans="1:12" ht="11.25" customHeight="1" x14ac:dyDescent="0.25">
      <c r="A8" s="100" t="s">
        <v>118</v>
      </c>
      <c r="B8" s="140" t="s">
        <v>333</v>
      </c>
      <c r="C8" s="120"/>
      <c r="D8" s="120"/>
      <c r="E8" s="120"/>
      <c r="F8" s="141" t="s">
        <v>333</v>
      </c>
      <c r="G8" s="120"/>
    </row>
    <row r="9" spans="1:12" ht="11.25" customHeight="1" x14ac:dyDescent="0.25">
      <c r="A9" s="100" t="s">
        <v>119</v>
      </c>
      <c r="B9" s="140" t="s">
        <v>333</v>
      </c>
      <c r="C9" s="120"/>
      <c r="D9" s="120"/>
      <c r="E9" s="120"/>
      <c r="F9" s="141" t="s">
        <v>333</v>
      </c>
      <c r="G9" s="120"/>
    </row>
    <row r="11" spans="1:12" ht="14.4" customHeight="1" x14ac:dyDescent="0.25">
      <c r="A11" s="142" t="s">
        <v>120</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4.43</v>
      </c>
      <c r="E13" s="40">
        <v>0.53424657534246578</v>
      </c>
      <c r="F13" s="47">
        <v>0</v>
      </c>
      <c r="G13" s="40">
        <v>10</v>
      </c>
    </row>
    <row r="14" spans="1:12" ht="14.4" customHeight="1" x14ac:dyDescent="0.25">
      <c r="A14" t="s">
        <v>124</v>
      </c>
      <c r="B14" t="s">
        <v>125</v>
      </c>
      <c r="C14" t="s">
        <v>126</v>
      </c>
      <c r="D14" s="40">
        <v>4.87</v>
      </c>
      <c r="E14" s="41">
        <v>0.38356164383561642</v>
      </c>
      <c r="F14">
        <v>0</v>
      </c>
      <c r="G14" s="40">
        <v>10</v>
      </c>
    </row>
    <row r="15" spans="1:12" ht="14.4" customHeight="1" x14ac:dyDescent="0.25">
      <c r="A15" t="s">
        <v>127</v>
      </c>
      <c r="B15" t="s">
        <v>128</v>
      </c>
      <c r="C15" t="s">
        <v>129</v>
      </c>
      <c r="D15" s="40">
        <v>4.9000000000000004</v>
      </c>
      <c r="E15" s="41">
        <v>0.18356164383561643</v>
      </c>
      <c r="F15">
        <v>0</v>
      </c>
      <c r="G15" s="40">
        <v>5</v>
      </c>
    </row>
    <row r="16" spans="1:12" ht="14.4" customHeight="1" x14ac:dyDescent="0.25">
      <c r="A16" t="s">
        <v>130</v>
      </c>
      <c r="B16" t="s">
        <v>131</v>
      </c>
      <c r="C16" t="s">
        <v>132</v>
      </c>
      <c r="D16" s="40">
        <v>5.3</v>
      </c>
      <c r="E16" s="41">
        <v>5.2054794520547946E-2</v>
      </c>
      <c r="F16">
        <v>0</v>
      </c>
      <c r="G16" s="40">
        <v>5</v>
      </c>
    </row>
    <row r="17" spans="1:7" ht="14.4" customHeight="1" x14ac:dyDescent="0.25">
      <c r="A17" t="s">
        <v>133</v>
      </c>
      <c r="B17" t="s">
        <v>134</v>
      </c>
      <c r="C17" t="s">
        <v>135</v>
      </c>
      <c r="D17" s="40">
        <v>7</v>
      </c>
      <c r="E17" s="41">
        <v>4.1260273972602741</v>
      </c>
      <c r="F17" t="s">
        <v>25</v>
      </c>
      <c r="G17" s="40">
        <v>2.2999999999999998</v>
      </c>
    </row>
    <row r="18" spans="1:7" ht="14.4" customHeight="1" x14ac:dyDescent="0.25">
      <c r="A18" t="s">
        <v>136</v>
      </c>
      <c r="B18" t="s">
        <v>137</v>
      </c>
      <c r="C18" t="s">
        <v>138</v>
      </c>
      <c r="D18" s="40">
        <v>5.27</v>
      </c>
      <c r="E18" s="41">
        <v>0</v>
      </c>
      <c r="F18">
        <v>0</v>
      </c>
      <c r="G18" s="40">
        <v>5</v>
      </c>
    </row>
    <row r="19" spans="1:7" ht="14.4" customHeight="1" x14ac:dyDescent="0.25">
      <c r="A19" t="s">
        <v>139</v>
      </c>
      <c r="B19" t="s">
        <v>140</v>
      </c>
      <c r="C19" t="s">
        <v>141</v>
      </c>
      <c r="D19" s="40">
        <v>5.54</v>
      </c>
      <c r="E19" s="41">
        <v>0</v>
      </c>
      <c r="F19">
        <v>0</v>
      </c>
      <c r="G19" s="40">
        <v>3</v>
      </c>
    </row>
    <row r="20" spans="1:7" ht="14.4" customHeight="1" x14ac:dyDescent="0.25">
      <c r="A20" t="s">
        <v>142</v>
      </c>
      <c r="B20" t="s">
        <v>143</v>
      </c>
      <c r="C20" t="s">
        <v>144</v>
      </c>
      <c r="D20" s="40">
        <v>6.69</v>
      </c>
      <c r="E20" s="41">
        <v>3.942622950819672</v>
      </c>
      <c r="F20" t="s">
        <v>25</v>
      </c>
      <c r="G20" s="40">
        <v>5</v>
      </c>
    </row>
    <row r="21" spans="1:7" ht="14.4" customHeight="1" x14ac:dyDescent="0.25">
      <c r="A21" t="s">
        <v>145</v>
      </c>
      <c r="B21" t="s">
        <v>146</v>
      </c>
      <c r="C21" t="s">
        <v>147</v>
      </c>
      <c r="D21" s="40">
        <v>6.37</v>
      </c>
      <c r="E21" s="41">
        <v>1.9289617486338799</v>
      </c>
      <c r="F21" t="s">
        <v>25</v>
      </c>
      <c r="G21" s="40">
        <v>5</v>
      </c>
    </row>
    <row r="22" spans="1:7" ht="14.4" customHeight="1" x14ac:dyDescent="0.25">
      <c r="A22" t="s">
        <v>148</v>
      </c>
      <c r="B22" t="s">
        <v>149</v>
      </c>
      <c r="C22" t="s">
        <v>150</v>
      </c>
      <c r="D22" s="40">
        <v>5.75</v>
      </c>
      <c r="E22" s="41">
        <v>0</v>
      </c>
      <c r="F22" t="s">
        <v>334</v>
      </c>
      <c r="G22" s="40">
        <v>10</v>
      </c>
    </row>
    <row r="23" spans="1:7" ht="14.4" customHeight="1" x14ac:dyDescent="0.25">
      <c r="A23" t="s">
        <v>151</v>
      </c>
      <c r="B23" t="s">
        <v>152</v>
      </c>
      <c r="C23" t="s">
        <v>153</v>
      </c>
      <c r="D23" s="40">
        <v>5.78</v>
      </c>
      <c r="E23" s="41">
        <v>0</v>
      </c>
      <c r="F23">
        <v>0</v>
      </c>
      <c r="G23" s="40">
        <v>5</v>
      </c>
    </row>
    <row r="24" spans="1:7" ht="14.4" customHeight="1" x14ac:dyDescent="0.25">
      <c r="A24" t="s">
        <v>154</v>
      </c>
      <c r="B24" t="s">
        <v>155</v>
      </c>
      <c r="C24" t="s">
        <v>156</v>
      </c>
      <c r="D24" s="40">
        <v>5.49</v>
      </c>
      <c r="E24" s="41">
        <v>0</v>
      </c>
      <c r="F24" t="s">
        <v>334</v>
      </c>
      <c r="G24" s="40">
        <v>5</v>
      </c>
    </row>
    <row r="25" spans="1:7" ht="14.4" customHeight="1" x14ac:dyDescent="0.25">
      <c r="A25" t="s">
        <v>157</v>
      </c>
      <c r="B25" t="s">
        <v>158</v>
      </c>
      <c r="C25" t="s">
        <v>159</v>
      </c>
      <c r="D25" s="40">
        <v>6.3</v>
      </c>
      <c r="E25" s="41">
        <v>1.4876712328767123</v>
      </c>
      <c r="F25" t="s">
        <v>25</v>
      </c>
      <c r="G25" s="40">
        <v>5</v>
      </c>
    </row>
    <row r="26" spans="1:7" ht="14.4" customHeight="1" x14ac:dyDescent="0.25">
      <c r="A26" t="s">
        <v>160</v>
      </c>
      <c r="B26" t="s">
        <v>161</v>
      </c>
      <c r="C26" t="s">
        <v>162</v>
      </c>
      <c r="D26" s="40">
        <v>6.5</v>
      </c>
      <c r="E26" s="41">
        <v>3.2904109589041095</v>
      </c>
      <c r="F26" t="s">
        <v>25</v>
      </c>
      <c r="G26" s="40">
        <v>12</v>
      </c>
    </row>
    <row r="27" spans="1:7" ht="14.4" customHeight="1" x14ac:dyDescent="0.25">
      <c r="A27" t="s">
        <v>163</v>
      </c>
      <c r="B27" t="s">
        <v>164</v>
      </c>
      <c r="C27" t="s">
        <v>165</v>
      </c>
      <c r="D27" s="40">
        <v>5.31</v>
      </c>
      <c r="E27" s="41">
        <v>1.2712328767123289</v>
      </c>
      <c r="F27" t="s">
        <v>25</v>
      </c>
      <c r="G27" s="40">
        <v>5</v>
      </c>
    </row>
    <row r="28" spans="1:7" ht="14.4" customHeight="1" x14ac:dyDescent="0.25">
      <c r="A28" t="s">
        <v>166</v>
      </c>
      <c r="B28" t="s">
        <v>167</v>
      </c>
      <c r="C28" t="s">
        <v>168</v>
      </c>
      <c r="D28" s="40">
        <v>5.31</v>
      </c>
      <c r="E28" s="41">
        <v>0</v>
      </c>
      <c r="F28">
        <v>0</v>
      </c>
      <c r="G28" s="40">
        <v>8</v>
      </c>
    </row>
    <row r="29" spans="1:7" ht="14.4" customHeight="1" x14ac:dyDescent="0.25">
      <c r="A29" t="s">
        <v>169</v>
      </c>
      <c r="B29" t="s">
        <v>170</v>
      </c>
      <c r="C29" t="s">
        <v>171</v>
      </c>
      <c r="D29" s="40">
        <v>5.35</v>
      </c>
      <c r="E29" s="41">
        <v>0</v>
      </c>
      <c r="F29">
        <v>0</v>
      </c>
      <c r="G29" s="40">
        <v>5</v>
      </c>
    </row>
    <row r="30" spans="1:7" ht="14.4" customHeight="1" x14ac:dyDescent="0.25">
      <c r="A30" t="s">
        <v>172</v>
      </c>
      <c r="B30" t="s">
        <v>173</v>
      </c>
      <c r="C30" t="s">
        <v>174</v>
      </c>
      <c r="D30" s="40">
        <v>5.9</v>
      </c>
      <c r="E30" s="41">
        <v>1.0465753424657533</v>
      </c>
      <c r="F30" t="s">
        <v>25</v>
      </c>
      <c r="G30" s="40">
        <v>5</v>
      </c>
    </row>
    <row r="31" spans="1:7" ht="14.4" customHeight="1" x14ac:dyDescent="0.25">
      <c r="A31" t="s">
        <v>175</v>
      </c>
      <c r="B31" t="s">
        <v>176</v>
      </c>
      <c r="C31" t="s">
        <v>177</v>
      </c>
      <c r="D31" s="40">
        <v>4.6500000000000004</v>
      </c>
      <c r="E31" s="41">
        <v>0</v>
      </c>
      <c r="F31" t="s">
        <v>334</v>
      </c>
      <c r="G31" s="40">
        <v>10</v>
      </c>
    </row>
    <row r="32" spans="1:7" ht="14.4" customHeight="1" x14ac:dyDescent="0.25">
      <c r="A32" t="s">
        <v>178</v>
      </c>
      <c r="B32" t="s">
        <v>179</v>
      </c>
      <c r="C32" t="s">
        <v>180</v>
      </c>
      <c r="D32" s="40">
        <v>5</v>
      </c>
      <c r="E32" s="41">
        <v>2.5616438356164384</v>
      </c>
      <c r="F32" t="s">
        <v>25</v>
      </c>
      <c r="G32" s="40">
        <v>0.2</v>
      </c>
    </row>
    <row r="33" spans="1:7" ht="14.4" customHeight="1" x14ac:dyDescent="0.25">
      <c r="A33" t="s">
        <v>181</v>
      </c>
      <c r="B33" t="s">
        <v>179</v>
      </c>
      <c r="C33" t="s">
        <v>182</v>
      </c>
      <c r="D33" s="40">
        <v>5.6</v>
      </c>
      <c r="E33" s="41">
        <v>2.5616438356164384</v>
      </c>
      <c r="F33" t="s">
        <v>25</v>
      </c>
      <c r="G33" s="40">
        <v>6.8</v>
      </c>
    </row>
    <row r="34" spans="1:7" ht="14.4" customHeight="1" x14ac:dyDescent="0.25">
      <c r="A34" t="s">
        <v>183</v>
      </c>
      <c r="B34" t="s">
        <v>184</v>
      </c>
      <c r="C34" t="s">
        <v>185</v>
      </c>
      <c r="D34" s="40">
        <v>5.6</v>
      </c>
      <c r="E34" s="41">
        <v>2.495890410958904</v>
      </c>
      <c r="F34" t="s">
        <v>25</v>
      </c>
      <c r="G34" s="40">
        <v>5</v>
      </c>
    </row>
    <row r="35" spans="1:7" ht="14.4" customHeight="1" x14ac:dyDescent="0.25">
      <c r="A35" t="s">
        <v>186</v>
      </c>
      <c r="B35" t="s">
        <v>187</v>
      </c>
      <c r="C35" t="s">
        <v>188</v>
      </c>
      <c r="D35" s="40">
        <v>3.8</v>
      </c>
      <c r="E35" s="41">
        <v>0</v>
      </c>
      <c r="F35">
        <v>0</v>
      </c>
      <c r="G35" s="40">
        <v>5</v>
      </c>
    </row>
    <row r="36" spans="1:7" ht="14.4" customHeight="1" x14ac:dyDescent="0.25">
      <c r="A36" t="s">
        <v>189</v>
      </c>
      <c r="B36" t="s">
        <v>190</v>
      </c>
      <c r="C36" t="s">
        <v>191</v>
      </c>
      <c r="D36" s="40">
        <v>2.4500000000000002</v>
      </c>
      <c r="E36" s="41">
        <v>0.37260273972602742</v>
      </c>
      <c r="F36">
        <v>0</v>
      </c>
      <c r="G36" s="40">
        <v>6</v>
      </c>
    </row>
    <row r="37" spans="1:7" ht="14.4" customHeight="1" x14ac:dyDescent="0.25">
      <c r="A37" t="s">
        <v>192</v>
      </c>
      <c r="B37" t="s">
        <v>193</v>
      </c>
      <c r="C37" t="s">
        <v>194</v>
      </c>
      <c r="D37" s="40">
        <v>4.22</v>
      </c>
      <c r="E37" s="41">
        <v>0</v>
      </c>
      <c r="F37" t="s">
        <v>334</v>
      </c>
      <c r="G37" s="40">
        <v>5</v>
      </c>
    </row>
    <row r="38" spans="1:7" ht="14.4" customHeight="1" x14ac:dyDescent="0.25">
      <c r="A38" t="s">
        <v>195</v>
      </c>
      <c r="B38" t="s">
        <v>196</v>
      </c>
      <c r="C38" t="s">
        <v>197</v>
      </c>
      <c r="D38" s="40">
        <v>4.3499999999999996</v>
      </c>
      <c r="E38" s="41">
        <v>0</v>
      </c>
      <c r="F38">
        <v>0</v>
      </c>
      <c r="G38" s="40">
        <v>5</v>
      </c>
    </row>
    <row r="39" spans="1:7" ht="14.4" customHeight="1" x14ac:dyDescent="0.25">
      <c r="A39" t="s">
        <v>198</v>
      </c>
      <c r="B39" t="s">
        <v>199</v>
      </c>
      <c r="C39" t="s">
        <v>200</v>
      </c>
      <c r="D39" s="40">
        <v>3.6</v>
      </c>
      <c r="E39" s="41">
        <v>0</v>
      </c>
      <c r="F39">
        <v>0</v>
      </c>
      <c r="G39" s="40">
        <v>5</v>
      </c>
    </row>
    <row r="40" spans="1:7" ht="14.4" customHeight="1" x14ac:dyDescent="0.25">
      <c r="A40" t="s">
        <v>201</v>
      </c>
      <c r="B40" t="s">
        <v>202</v>
      </c>
      <c r="C40" t="s">
        <v>203</v>
      </c>
      <c r="D40" s="40">
        <v>3.58</v>
      </c>
      <c r="E40" s="41">
        <v>0</v>
      </c>
      <c r="F40">
        <v>0</v>
      </c>
      <c r="G40" s="40">
        <v>5</v>
      </c>
    </row>
    <row r="41" spans="1:7" ht="14.4" customHeight="1" x14ac:dyDescent="0.25">
      <c r="A41" t="s">
        <v>204</v>
      </c>
      <c r="B41" t="s">
        <v>205</v>
      </c>
      <c r="C41" t="s">
        <v>206</v>
      </c>
      <c r="D41" s="40">
        <v>3.48</v>
      </c>
      <c r="E41" s="41">
        <v>0</v>
      </c>
      <c r="F41">
        <v>0</v>
      </c>
      <c r="G41" s="40">
        <v>5</v>
      </c>
    </row>
    <row r="42" spans="1:7" ht="14.4" customHeight="1" x14ac:dyDescent="0.25">
      <c r="A42" t="s">
        <v>207</v>
      </c>
      <c r="B42" t="s">
        <v>208</v>
      </c>
      <c r="C42" t="s">
        <v>209</v>
      </c>
      <c r="D42" s="40">
        <v>3.8</v>
      </c>
      <c r="E42" s="41">
        <v>0</v>
      </c>
      <c r="F42" t="s">
        <v>334</v>
      </c>
      <c r="G42" s="40">
        <v>5</v>
      </c>
    </row>
    <row r="43" spans="1:7" ht="14.4" customHeight="1" x14ac:dyDescent="0.25">
      <c r="A43" t="s">
        <v>210</v>
      </c>
      <c r="B43" t="s">
        <v>211</v>
      </c>
      <c r="C43" t="s">
        <v>212</v>
      </c>
      <c r="D43" s="40">
        <v>5.13</v>
      </c>
      <c r="E43" s="41">
        <v>0</v>
      </c>
      <c r="F43" t="s">
        <v>334</v>
      </c>
      <c r="G43" s="40">
        <v>10</v>
      </c>
    </row>
    <row r="44" spans="1:7" ht="14.4" customHeight="1" x14ac:dyDescent="0.25">
      <c r="A44" t="s">
        <v>213</v>
      </c>
      <c r="B44" t="s">
        <v>214</v>
      </c>
      <c r="C44" t="s">
        <v>215</v>
      </c>
      <c r="D44" s="40">
        <v>5.2</v>
      </c>
      <c r="E44" s="41">
        <v>0</v>
      </c>
      <c r="F44" t="s">
        <v>334</v>
      </c>
      <c r="G44" s="40">
        <v>5</v>
      </c>
    </row>
    <row r="45" spans="1:7" ht="14.4" customHeight="1" x14ac:dyDescent="0.25">
      <c r="A45" t="s">
        <v>216</v>
      </c>
      <c r="B45" t="s">
        <v>217</v>
      </c>
      <c r="C45" t="s">
        <v>218</v>
      </c>
      <c r="D45" s="40">
        <v>6.1</v>
      </c>
      <c r="E45" s="41">
        <v>0</v>
      </c>
      <c r="F45" t="s">
        <v>334</v>
      </c>
      <c r="G45" s="40">
        <v>10</v>
      </c>
    </row>
    <row r="46" spans="1:7" ht="14.4" customHeight="1" x14ac:dyDescent="0.25">
      <c r="A46" t="s">
        <v>219</v>
      </c>
      <c r="B46" t="s">
        <v>220</v>
      </c>
      <c r="C46" t="s">
        <v>221</v>
      </c>
      <c r="D46" s="40">
        <v>6.5</v>
      </c>
      <c r="E46" s="41">
        <v>0</v>
      </c>
      <c r="F46" t="s">
        <v>334</v>
      </c>
      <c r="G46" s="40">
        <v>5</v>
      </c>
    </row>
    <row r="47" spans="1:7" ht="14.4" customHeight="1" x14ac:dyDescent="0.25">
      <c r="A47" t="s">
        <v>222</v>
      </c>
      <c r="C47" t="s">
        <v>223</v>
      </c>
      <c r="D47" s="40"/>
      <c r="E47" s="41">
        <v>0</v>
      </c>
      <c r="F47" t="s">
        <v>25</v>
      </c>
      <c r="G47" s="40">
        <v>0</v>
      </c>
    </row>
    <row r="48" spans="1:7" ht="14.4" customHeight="1" x14ac:dyDescent="0.25">
      <c r="A48" t="s">
        <v>224</v>
      </c>
      <c r="C48" t="s">
        <v>225</v>
      </c>
      <c r="D48" s="40"/>
      <c r="E48" s="41">
        <v>0</v>
      </c>
      <c r="F48" t="s">
        <v>25</v>
      </c>
      <c r="G48" s="40">
        <v>0</v>
      </c>
    </row>
    <row r="49" spans="1:7" ht="14.4" customHeight="1" x14ac:dyDescent="0.25">
      <c r="D49" s="40"/>
      <c r="E49" s="41"/>
      <c r="G49" s="40"/>
    </row>
    <row r="50" spans="1:7" ht="14.4" customHeight="1" x14ac:dyDescent="0.25">
      <c r="D50" s="40"/>
      <c r="E50" s="41"/>
      <c r="G50" s="40"/>
    </row>
    <row r="51" spans="1:7" ht="14.4" customHeight="1" x14ac:dyDescent="0.25">
      <c r="D51" s="40"/>
      <c r="E51" s="41"/>
      <c r="G51" s="40"/>
    </row>
    <row r="52" spans="1:7" ht="14.4" customHeight="1" x14ac:dyDescent="0.25">
      <c r="D52" s="40"/>
      <c r="E52" s="41"/>
      <c r="G52" s="40"/>
    </row>
    <row r="53" spans="1:7" ht="14.4" customHeight="1" x14ac:dyDescent="0.25">
      <c r="D53" s="40"/>
      <c r="E53" s="41"/>
      <c r="G53" s="40"/>
    </row>
    <row r="54" spans="1:7" ht="14.4" customHeight="1" x14ac:dyDescent="0.25">
      <c r="A54" s="143" t="s">
        <v>226</v>
      </c>
      <c r="B54" s="143"/>
      <c r="C54" s="143"/>
      <c r="D54" s="143"/>
      <c r="E54" s="41"/>
      <c r="G54" s="40"/>
    </row>
    <row r="55" spans="1:7" ht="14.4" customHeight="1" x14ac:dyDescent="0.25">
      <c r="A55" s="101" t="s">
        <v>227</v>
      </c>
      <c r="B55" s="101" t="s">
        <v>228</v>
      </c>
      <c r="C55" s="101" t="s">
        <v>229</v>
      </c>
      <c r="D55" s="102" t="s">
        <v>230</v>
      </c>
      <c r="E55" s="41"/>
      <c r="G55" s="40"/>
    </row>
    <row r="56" spans="1:7" ht="14.4" customHeight="1" x14ac:dyDescent="0.25">
      <c r="A56" t="s">
        <v>231</v>
      </c>
      <c r="B56" t="s">
        <v>25</v>
      </c>
      <c r="C56" t="s">
        <v>232</v>
      </c>
      <c r="D56" s="40" t="s">
        <v>233</v>
      </c>
      <c r="E56" s="41"/>
      <c r="G56" s="40"/>
    </row>
    <row r="57" spans="1:7" ht="14.4" customHeight="1" x14ac:dyDescent="0.25">
      <c r="A57" t="s">
        <v>234</v>
      </c>
      <c r="B57" t="s">
        <v>25</v>
      </c>
      <c r="C57" t="s">
        <v>232</v>
      </c>
      <c r="D57" s="40" t="s">
        <v>233</v>
      </c>
      <c r="E57" s="41"/>
      <c r="G57" s="40"/>
    </row>
    <row r="58" spans="1:7" ht="14.4" customHeight="1" x14ac:dyDescent="0.25">
      <c r="A58" t="s">
        <v>235</v>
      </c>
      <c r="B58" t="s">
        <v>25</v>
      </c>
      <c r="C58" t="s">
        <v>232</v>
      </c>
      <c r="D58" s="40" t="s">
        <v>233</v>
      </c>
      <c r="E58" s="41"/>
      <c r="G58" s="40"/>
    </row>
    <row r="59" spans="1:7" ht="14.4" customHeight="1" x14ac:dyDescent="0.25">
      <c r="A59" t="s">
        <v>236</v>
      </c>
      <c r="B59" t="s">
        <v>25</v>
      </c>
      <c r="C59" t="s">
        <v>232</v>
      </c>
      <c r="D59" s="40" t="s">
        <v>237</v>
      </c>
      <c r="E59" s="41"/>
      <c r="G59" s="40"/>
    </row>
    <row r="60" spans="1:7" ht="14.4" customHeight="1" x14ac:dyDescent="0.25">
      <c r="A60" t="s">
        <v>238</v>
      </c>
      <c r="B60" t="s">
        <v>25</v>
      </c>
      <c r="C60" t="s">
        <v>232</v>
      </c>
      <c r="D60" s="40" t="s">
        <v>237</v>
      </c>
      <c r="E60" s="41"/>
      <c r="G60" s="40"/>
    </row>
    <row r="61" spans="1:7" ht="14.4" customHeight="1" x14ac:dyDescent="0.25">
      <c r="A61" t="s">
        <v>239</v>
      </c>
      <c r="B61" t="s">
        <v>25</v>
      </c>
      <c r="C61" t="s">
        <v>232</v>
      </c>
      <c r="D61" s="40" t="s">
        <v>237</v>
      </c>
      <c r="E61" s="41"/>
      <c r="G61" s="40"/>
    </row>
    <row r="62" spans="1:7" ht="14.4" customHeight="1" x14ac:dyDescent="0.25">
      <c r="A62" t="s">
        <v>240</v>
      </c>
      <c r="B62" t="s">
        <v>25</v>
      </c>
      <c r="C62" t="s">
        <v>232</v>
      </c>
      <c r="D62" s="40" t="s">
        <v>233</v>
      </c>
      <c r="E62" s="41"/>
      <c r="G62" s="40"/>
    </row>
    <row r="63" spans="1:7" ht="14.4" customHeight="1" x14ac:dyDescent="0.25">
      <c r="A63" t="s">
        <v>241</v>
      </c>
      <c r="B63" t="s">
        <v>25</v>
      </c>
      <c r="C63" t="s">
        <v>232</v>
      </c>
      <c r="D63" s="40" t="s">
        <v>237</v>
      </c>
      <c r="E63" s="41"/>
      <c r="G63" s="40"/>
    </row>
    <row r="64" spans="1:7" ht="14.4" customHeight="1" x14ac:dyDescent="0.25">
      <c r="A64" t="s">
        <v>241</v>
      </c>
      <c r="B64" t="s">
        <v>25</v>
      </c>
      <c r="C64" t="s">
        <v>232</v>
      </c>
      <c r="D64" s="40" t="s">
        <v>233</v>
      </c>
      <c r="E64" s="41"/>
      <c r="G64" s="40"/>
    </row>
    <row r="65" spans="1:7" ht="14.4" customHeight="1" x14ac:dyDescent="0.25">
      <c r="A65" t="s">
        <v>242</v>
      </c>
      <c r="B65" t="s">
        <v>25</v>
      </c>
      <c r="C65" t="s">
        <v>232</v>
      </c>
      <c r="D65" s="40" t="s">
        <v>233</v>
      </c>
      <c r="E65" s="41"/>
      <c r="G65" s="40"/>
    </row>
    <row r="66" spans="1:7" ht="14.4" customHeight="1" x14ac:dyDescent="0.25">
      <c r="A66" t="s">
        <v>243</v>
      </c>
      <c r="B66" t="s">
        <v>25</v>
      </c>
      <c r="C66" t="s">
        <v>232</v>
      </c>
      <c r="D66" s="40" t="s">
        <v>233</v>
      </c>
      <c r="E66" s="41"/>
      <c r="G66" s="40"/>
    </row>
    <row r="67" spans="1:7" ht="14.4" customHeight="1" x14ac:dyDescent="0.25">
      <c r="A67" t="s">
        <v>244</v>
      </c>
      <c r="B67" t="s">
        <v>25</v>
      </c>
      <c r="C67" t="s">
        <v>245</v>
      </c>
      <c r="D67" s="40" t="s">
        <v>237</v>
      </c>
      <c r="E67" s="41"/>
      <c r="G67" s="40"/>
    </row>
    <row r="68" spans="1:7" ht="14.4" customHeight="1" x14ac:dyDescent="0.25">
      <c r="A68" t="s">
        <v>246</v>
      </c>
      <c r="B68" t="s">
        <v>25</v>
      </c>
      <c r="C68" t="s">
        <v>232</v>
      </c>
      <c r="D68" s="40" t="s">
        <v>233</v>
      </c>
      <c r="E68" s="41"/>
      <c r="G68" s="40"/>
    </row>
    <row r="69" spans="1:7" ht="14.4" customHeight="1" x14ac:dyDescent="0.25">
      <c r="A69" t="s">
        <v>247</v>
      </c>
      <c r="B69" t="s">
        <v>25</v>
      </c>
      <c r="C69" t="s">
        <v>232</v>
      </c>
      <c r="D69" s="40" t="s">
        <v>237</v>
      </c>
      <c r="E69" s="41"/>
      <c r="G69" s="40"/>
    </row>
    <row r="70" spans="1:7" ht="14.4" customHeight="1" x14ac:dyDescent="0.25">
      <c r="A70" t="s">
        <v>248</v>
      </c>
      <c r="B70" t="s">
        <v>25</v>
      </c>
      <c r="C70" t="s">
        <v>232</v>
      </c>
      <c r="D70" s="40" t="s">
        <v>233</v>
      </c>
      <c r="E70" s="41"/>
      <c r="G70" s="40"/>
    </row>
    <row r="71" spans="1:7" ht="14.4" customHeight="1" x14ac:dyDescent="0.25">
      <c r="A71" t="s">
        <v>249</v>
      </c>
      <c r="B71" t="s">
        <v>25</v>
      </c>
      <c r="C71" t="s">
        <v>232</v>
      </c>
      <c r="D71" s="40" t="s">
        <v>233</v>
      </c>
      <c r="E71" s="41"/>
      <c r="G71" s="40"/>
    </row>
    <row r="72" spans="1:7" ht="14.4" customHeight="1" x14ac:dyDescent="0.25">
      <c r="A72" t="s">
        <v>250</v>
      </c>
      <c r="B72" t="s">
        <v>25</v>
      </c>
      <c r="C72" t="s">
        <v>232</v>
      </c>
      <c r="D72" s="40" t="s">
        <v>233</v>
      </c>
      <c r="E72" s="41"/>
      <c r="G72" s="40"/>
    </row>
    <row r="73" spans="1:7" ht="14.4" customHeight="1" x14ac:dyDescent="0.25">
      <c r="A73" t="s">
        <v>251</v>
      </c>
      <c r="B73" t="s">
        <v>25</v>
      </c>
      <c r="C73" t="s">
        <v>232</v>
      </c>
      <c r="D73" s="40" t="s">
        <v>233</v>
      </c>
      <c r="E73" s="41"/>
      <c r="G73" s="40"/>
    </row>
    <row r="74" spans="1:7" ht="14.4" customHeight="1" x14ac:dyDescent="0.25">
      <c r="A74" t="s">
        <v>252</v>
      </c>
      <c r="B74" t="s">
        <v>25</v>
      </c>
      <c r="C74" t="s">
        <v>232</v>
      </c>
      <c r="D74" s="40" t="s">
        <v>237</v>
      </c>
      <c r="E74" s="41"/>
      <c r="G74" s="40"/>
    </row>
    <row r="75" spans="1:7" ht="14.4" customHeight="1" x14ac:dyDescent="0.25">
      <c r="A75" t="s">
        <v>253</v>
      </c>
      <c r="B75" t="s">
        <v>25</v>
      </c>
      <c r="C75" t="s">
        <v>232</v>
      </c>
      <c r="D75" s="40" t="s">
        <v>233</v>
      </c>
      <c r="E75" s="41"/>
      <c r="G75" s="40"/>
    </row>
    <row r="76" spans="1:7" ht="14.4" customHeight="1" x14ac:dyDescent="0.25">
      <c r="A76" t="s">
        <v>254</v>
      </c>
      <c r="B76" t="s">
        <v>25</v>
      </c>
      <c r="C76" t="s">
        <v>232</v>
      </c>
      <c r="D76" s="40" t="s">
        <v>233</v>
      </c>
      <c r="E76" s="41"/>
      <c r="G76" s="40"/>
    </row>
    <row r="77" spans="1:7" ht="14.4" customHeight="1" x14ac:dyDescent="0.25">
      <c r="A77" t="s">
        <v>255</v>
      </c>
      <c r="B77" t="s">
        <v>256</v>
      </c>
      <c r="C77" t="s">
        <v>257</v>
      </c>
      <c r="D77" s="40" t="s">
        <v>233</v>
      </c>
      <c r="E77" s="41"/>
      <c r="G77" s="40"/>
    </row>
    <row r="78" spans="1:7" ht="14.4" customHeight="1" x14ac:dyDescent="0.25">
      <c r="A78" t="s">
        <v>258</v>
      </c>
      <c r="B78" t="s">
        <v>256</v>
      </c>
      <c r="C78" t="s">
        <v>232</v>
      </c>
      <c r="D78" s="40" t="s">
        <v>233</v>
      </c>
      <c r="E78" s="41"/>
      <c r="G78" s="40"/>
    </row>
    <row r="79" spans="1:7" ht="14.4" customHeight="1" x14ac:dyDescent="0.25">
      <c r="A79" t="s">
        <v>259</v>
      </c>
      <c r="B79" t="s">
        <v>256</v>
      </c>
      <c r="C79" t="s">
        <v>232</v>
      </c>
      <c r="D79" s="40" t="s">
        <v>233</v>
      </c>
      <c r="E79" s="41"/>
      <c r="G79" s="40"/>
    </row>
    <row r="80" spans="1:7" ht="14.4" customHeight="1" x14ac:dyDescent="0.25">
      <c r="A80" t="s">
        <v>260</v>
      </c>
      <c r="B80" t="s">
        <v>256</v>
      </c>
      <c r="C80" t="s">
        <v>232</v>
      </c>
      <c r="D80" s="40" t="s">
        <v>233</v>
      </c>
      <c r="E80" s="41"/>
      <c r="G80" s="40"/>
    </row>
    <row r="81" spans="1:7" ht="14.4" customHeight="1" x14ac:dyDescent="0.25">
      <c r="A81" t="s">
        <v>261</v>
      </c>
      <c r="B81" t="s">
        <v>256</v>
      </c>
      <c r="C81" t="s">
        <v>232</v>
      </c>
      <c r="D81" s="40" t="s">
        <v>233</v>
      </c>
      <c r="E81" s="41"/>
      <c r="G81" s="40"/>
    </row>
    <row r="82" spans="1:7" ht="14.4" customHeight="1" x14ac:dyDescent="0.25">
      <c r="D82" s="40"/>
      <c r="E82" s="41"/>
      <c r="G82" s="40"/>
    </row>
    <row r="83" spans="1:7" ht="14.4" customHeight="1" x14ac:dyDescent="0.25">
      <c r="D83" s="40"/>
      <c r="E83" s="41"/>
      <c r="G83" s="40"/>
    </row>
    <row r="84" spans="1:7" ht="14.4" customHeight="1" x14ac:dyDescent="0.25">
      <c r="D84" s="40"/>
      <c r="E84" s="41"/>
      <c r="G84" s="40"/>
    </row>
    <row r="85" spans="1:7" ht="14.4" customHeight="1" x14ac:dyDescent="0.25">
      <c r="D85" s="40"/>
      <c r="E85" s="41"/>
      <c r="G85" s="40"/>
    </row>
    <row r="86" spans="1:7" ht="14.4" customHeight="1" x14ac:dyDescent="0.25">
      <c r="D86" s="40"/>
      <c r="E86" s="41"/>
      <c r="G86" s="40"/>
    </row>
    <row r="87" spans="1:7" ht="14.4" customHeight="1" x14ac:dyDescent="0.25">
      <c r="D87" s="40"/>
      <c r="E87" s="41"/>
      <c r="G87" s="40"/>
    </row>
    <row r="88" spans="1:7" ht="14.4" customHeight="1" x14ac:dyDescent="0.25">
      <c r="D88" s="40"/>
      <c r="E88" s="41"/>
      <c r="G88" s="40"/>
    </row>
    <row r="89" spans="1:7" ht="14.4" customHeight="1" x14ac:dyDescent="0.25">
      <c r="D89" s="40"/>
      <c r="E89" s="41"/>
      <c r="G89" s="40"/>
    </row>
    <row r="90" spans="1:7" ht="14.4" customHeight="1" x14ac:dyDescent="0.25">
      <c r="D90" s="40"/>
      <c r="E90" s="41"/>
      <c r="G90" s="40"/>
    </row>
    <row r="91" spans="1:7" ht="14.4" customHeight="1" x14ac:dyDescent="0.25">
      <c r="D91" s="40"/>
      <c r="E91" s="41"/>
      <c r="G91" s="40"/>
    </row>
    <row r="92" spans="1:7" ht="14.4" customHeight="1" x14ac:dyDescent="0.25">
      <c r="D92" s="40"/>
      <c r="E92" s="41"/>
      <c r="G92" s="40"/>
    </row>
    <row r="93" spans="1:7" ht="14.4" customHeight="1" x14ac:dyDescent="0.25">
      <c r="D93" s="40"/>
      <c r="E93" s="41"/>
      <c r="G93" s="40"/>
    </row>
    <row r="94" spans="1:7" ht="14.4" customHeight="1" x14ac:dyDescent="0.25">
      <c r="D94" s="40"/>
      <c r="E94" s="41"/>
      <c r="G94" s="40"/>
    </row>
    <row r="95" spans="1:7" ht="14.4" customHeight="1" x14ac:dyDescent="0.25">
      <c r="D95" s="40"/>
      <c r="E95" s="41"/>
      <c r="G95" s="40"/>
    </row>
    <row r="96" spans="1: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54:D5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95" t="s">
        <v>61</v>
      </c>
      <c r="B4" s="103">
        <v>0.71980999999999995</v>
      </c>
      <c r="C4" s="95" t="s">
        <v>36</v>
      </c>
      <c r="D4" s="104">
        <v>0.79979999999999996</v>
      </c>
      <c r="E4" s="95" t="s">
        <v>41</v>
      </c>
      <c r="F4" s="103">
        <v>1.1106</v>
      </c>
      <c r="G4" s="95" t="s">
        <v>42</v>
      </c>
      <c r="H4" s="103">
        <v>0.15845000000000001</v>
      </c>
      <c r="I4" s="95"/>
      <c r="J4" s="105"/>
    </row>
    <row r="5" spans="1:10" ht="15.75" customHeight="1" x14ac:dyDescent="0.25">
      <c r="A5" s="95" t="s">
        <v>62</v>
      </c>
      <c r="B5" s="103">
        <v>0.37637300000000001</v>
      </c>
      <c r="C5" s="95" t="s">
        <v>63</v>
      </c>
      <c r="D5" s="104">
        <v>0.60950000000000004</v>
      </c>
      <c r="E5" s="95" t="s">
        <v>64</v>
      </c>
      <c r="F5" s="104">
        <v>34.094000000000001</v>
      </c>
      <c r="G5" s="95" t="s">
        <v>65</v>
      </c>
      <c r="H5" s="103">
        <v>5.3579999999999996E-2</v>
      </c>
      <c r="I5" s="95"/>
      <c r="J5" s="105"/>
    </row>
    <row r="6" spans="1:10" ht="15" customHeight="1" x14ac:dyDescent="0.25">
      <c r="A6" s="95" t="s">
        <v>66</v>
      </c>
      <c r="B6" s="103">
        <v>0.65377600000000002</v>
      </c>
      <c r="C6" s="95" t="s">
        <v>39</v>
      </c>
      <c r="D6" s="106">
        <v>0.1099</v>
      </c>
      <c r="E6" s="95" t="s">
        <v>67</v>
      </c>
      <c r="F6" s="104">
        <v>8.5176999999999996</v>
      </c>
      <c r="G6" s="95" t="s">
        <v>45</v>
      </c>
      <c r="H6" s="103">
        <v>9.1039999999999996E-2</v>
      </c>
      <c r="I6" s="95"/>
      <c r="J6" s="105"/>
    </row>
    <row r="7" spans="1:10" ht="14.25" customHeight="1" x14ac:dyDescent="0.25">
      <c r="A7" s="95" t="s">
        <v>38</v>
      </c>
      <c r="B7" s="106">
        <v>1.7219450452519207</v>
      </c>
      <c r="C7" s="95" t="s">
        <v>68</v>
      </c>
      <c r="D7" s="106">
        <v>2.9196</v>
      </c>
      <c r="E7" s="95" t="s">
        <v>69</v>
      </c>
      <c r="F7" s="104">
        <v>2.1800999999999999</v>
      </c>
      <c r="G7" s="95" t="s">
        <v>70</v>
      </c>
      <c r="H7" s="103">
        <v>6.3021000000000008E-2</v>
      </c>
      <c r="I7" s="95"/>
      <c r="J7" s="105"/>
    </row>
    <row r="8" spans="1:10" x14ac:dyDescent="0.25">
      <c r="A8" s="95"/>
      <c r="B8" s="107"/>
      <c r="C8" s="95"/>
      <c r="D8" s="108"/>
      <c r="E8" s="95" t="s">
        <v>71</v>
      </c>
      <c r="F8" s="104">
        <v>0.77969999999999995</v>
      </c>
      <c r="G8" s="95"/>
      <c r="H8" s="107"/>
      <c r="I8" s="95"/>
      <c r="J8" s="107"/>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95" t="s">
        <v>77</v>
      </c>
      <c r="B12" s="109">
        <v>57.390263858599994</v>
      </c>
      <c r="C12" s="95" t="s">
        <v>78</v>
      </c>
      <c r="D12" s="106">
        <v>512.12968848879996</v>
      </c>
      <c r="E12" s="147" t="s">
        <v>79</v>
      </c>
      <c r="F12" s="120"/>
      <c r="G12" s="120"/>
      <c r="H12" s="148">
        <v>568.75439329260007</v>
      </c>
      <c r="I12" s="120"/>
      <c r="J12" s="120"/>
    </row>
    <row r="13" spans="1:10" ht="14.25" customHeight="1" x14ac:dyDescent="0.25">
      <c r="A13" s="95" t="s">
        <v>80</v>
      </c>
      <c r="B13" s="109">
        <v>16.5964928199</v>
      </c>
      <c r="C13" s="95" t="s">
        <v>81</v>
      </c>
      <c r="D13" s="106">
        <v>488.04118797860002</v>
      </c>
      <c r="E13" s="147" t="s">
        <v>82</v>
      </c>
      <c r="F13" s="120"/>
      <c r="G13" s="120"/>
      <c r="H13" s="148">
        <v>13.900871923099999</v>
      </c>
      <c r="I13" s="120"/>
      <c r="J13" s="120"/>
    </row>
    <row r="14" spans="1:10" ht="14.25" customHeight="1" x14ac:dyDescent="0.25">
      <c r="A14" s="95" t="s">
        <v>83</v>
      </c>
      <c r="B14" s="109">
        <v>17.949485321199997</v>
      </c>
      <c r="C14" s="95" t="s">
        <v>84</v>
      </c>
      <c r="D14" s="106">
        <v>430.98269812780001</v>
      </c>
      <c r="E14" s="147" t="s">
        <v>85</v>
      </c>
      <c r="F14" s="120"/>
      <c r="G14" s="120"/>
      <c r="H14" s="148">
        <v>583.16455043960002</v>
      </c>
      <c r="I14" s="120"/>
      <c r="J14" s="120"/>
    </row>
    <row r="15" spans="1:10" ht="14.25" customHeight="1" x14ac:dyDescent="0.25">
      <c r="A15" s="95" t="s">
        <v>86</v>
      </c>
      <c r="B15" s="109">
        <v>341.36550630300002</v>
      </c>
      <c r="C15" s="95" t="s">
        <v>87</v>
      </c>
      <c r="D15" s="106">
        <v>26.2643870725</v>
      </c>
      <c r="E15" s="147" t="s">
        <v>88</v>
      </c>
      <c r="F15" s="120"/>
      <c r="G15" s="120"/>
      <c r="H15" s="148">
        <v>517.72285441489998</v>
      </c>
      <c r="I15" s="120"/>
      <c r="J15" s="120"/>
    </row>
    <row r="16" spans="1:10" ht="14.25" customHeight="1" x14ac:dyDescent="0.25">
      <c r="A16" s="95" t="s">
        <v>89</v>
      </c>
      <c r="B16" s="109">
        <v>35.840247340399998</v>
      </c>
      <c r="C16" s="95" t="s">
        <v>90</v>
      </c>
      <c r="D16" s="106">
        <v>11.9245975544</v>
      </c>
      <c r="E16" s="147" t="s">
        <v>91</v>
      </c>
      <c r="F16" s="120"/>
      <c r="G16" s="120"/>
      <c r="H16" s="148">
        <v>24.489013257899998</v>
      </c>
      <c r="I16" s="120"/>
      <c r="J16" s="120"/>
    </row>
    <row r="17" spans="1:10" ht="14.25" customHeight="1" x14ac:dyDescent="0.25">
      <c r="A17" s="95" t="s">
        <v>92</v>
      </c>
      <c r="B17" s="109">
        <v>18.771459524000001</v>
      </c>
      <c r="C17" s="95" t="s">
        <v>93</v>
      </c>
      <c r="D17" s="106">
        <v>15.2729381965</v>
      </c>
      <c r="E17" s="147" t="s">
        <v>94</v>
      </c>
      <c r="F17" s="120"/>
      <c r="G17" s="120"/>
      <c r="H17" s="148">
        <v>591.25503195269994</v>
      </c>
      <c r="I17" s="120"/>
      <c r="J17" s="120"/>
    </row>
    <row r="18" spans="1:10" ht="14.25" customHeight="1" x14ac:dyDescent="0.25">
      <c r="A18" s="95" t="s">
        <v>95</v>
      </c>
      <c r="B18" s="109">
        <v>776.79506323460009</v>
      </c>
      <c r="C18" s="95" t="s">
        <v>96</v>
      </c>
      <c r="D18" s="106">
        <v>27.440078643400003</v>
      </c>
      <c r="E18" s="147" t="s">
        <v>97</v>
      </c>
      <c r="F18" s="120"/>
      <c r="G18" s="120"/>
      <c r="H18" s="148">
        <v>-8.0904815131000003</v>
      </c>
      <c r="I18" s="120"/>
      <c r="J18" s="120"/>
    </row>
    <row r="19" spans="1:10" ht="14.25" customHeight="1" x14ac:dyDescent="0.25">
      <c r="A19" s="95" t="s">
        <v>98</v>
      </c>
      <c r="B19" s="109">
        <v>159.69114937360001</v>
      </c>
      <c r="C19" s="95" t="s">
        <v>99</v>
      </c>
      <c r="D19" s="106">
        <v>27.217485874499999</v>
      </c>
      <c r="E19" s="147" t="s">
        <v>100</v>
      </c>
      <c r="F19" s="120"/>
      <c r="G19" s="120"/>
      <c r="H19" s="148">
        <v>-80.4065826211</v>
      </c>
      <c r="I19" s="120"/>
      <c r="J19" s="120"/>
    </row>
    <row r="20" spans="1:10" ht="27" customHeight="1" x14ac:dyDescent="0.25">
      <c r="A20" s="95" t="s">
        <v>101</v>
      </c>
      <c r="B20" s="109">
        <v>39.683564632299998</v>
      </c>
      <c r="C20" s="95" t="s">
        <v>43</v>
      </c>
      <c r="D20" s="106">
        <v>22.409247860800001</v>
      </c>
      <c r="E20" s="147" t="s">
        <v>102</v>
      </c>
      <c r="F20" s="120"/>
      <c r="G20" s="120"/>
      <c r="H20" s="148">
        <v>8.6485798283000008</v>
      </c>
      <c r="I20" s="120"/>
      <c r="J20" s="120"/>
    </row>
    <row r="21" spans="1:10" ht="16.5" customHeight="1" x14ac:dyDescent="0.25">
      <c r="A21" s="95" t="s">
        <v>103</v>
      </c>
      <c r="B21" s="109">
        <v>0</v>
      </c>
      <c r="C21" s="95"/>
      <c r="D21" s="110"/>
      <c r="E21" s="147" t="s">
        <v>104</v>
      </c>
      <c r="F21" s="120"/>
      <c r="G21" s="120"/>
      <c r="H21" s="148">
        <v>229.59989372569999</v>
      </c>
      <c r="I21" s="120"/>
      <c r="J21" s="120"/>
    </row>
    <row r="22" spans="1:10" ht="14.25" customHeight="1" x14ac:dyDescent="0.25">
      <c r="A22" s="95" t="s">
        <v>105</v>
      </c>
      <c r="B22" s="109">
        <v>108.4532809759</v>
      </c>
      <c r="C22" s="95"/>
      <c r="D22" s="110"/>
      <c r="E22" s="147" t="s">
        <v>106</v>
      </c>
      <c r="F22" s="120"/>
      <c r="G22" s="120"/>
      <c r="H22" s="148">
        <v>78.539199465699994</v>
      </c>
      <c r="I22" s="120"/>
      <c r="J22" s="120"/>
    </row>
    <row r="23" spans="1:10" ht="14.25" customHeight="1" x14ac:dyDescent="0.25">
      <c r="A23" s="95" t="s">
        <v>107</v>
      </c>
      <c r="B23" s="109">
        <v>63.057572223100003</v>
      </c>
      <c r="C23" s="95"/>
      <c r="D23" s="110"/>
      <c r="E23" s="147" t="s">
        <v>108</v>
      </c>
      <c r="F23" s="120"/>
      <c r="G23" s="120"/>
      <c r="H23" s="148">
        <v>319.7417304315</v>
      </c>
      <c r="I23" s="120"/>
      <c r="J23" s="120"/>
    </row>
    <row r="24" spans="1:10" ht="14.25" customHeight="1" x14ac:dyDescent="0.25">
      <c r="A24" s="95" t="s">
        <v>109</v>
      </c>
      <c r="B24" s="109">
        <v>559.1449750539</v>
      </c>
      <c r="C24" s="111"/>
      <c r="D24" s="108"/>
      <c r="E24" s="147" t="s">
        <v>110</v>
      </c>
      <c r="F24" s="120"/>
      <c r="G24" s="120"/>
      <c r="H24" s="148">
        <v>194.4915132813</v>
      </c>
      <c r="I24" s="120"/>
      <c r="J24" s="120"/>
    </row>
    <row r="25" spans="1:10" ht="14.25" customHeight="1" x14ac:dyDescent="0.25">
      <c r="A25" s="95" t="s">
        <v>111</v>
      </c>
      <c r="B25" s="109">
        <v>217.65008818070001</v>
      </c>
      <c r="C25" s="111"/>
      <c r="D25" s="108"/>
      <c r="E25" s="147" t="s">
        <v>112</v>
      </c>
      <c r="F25" s="120"/>
      <c r="G25" s="120"/>
      <c r="H25" s="148">
        <v>217.40950836659999</v>
      </c>
      <c r="I25" s="120"/>
      <c r="J25" s="120"/>
    </row>
    <row r="26" spans="1:10" ht="14.25" customHeight="1" x14ac:dyDescent="0.25">
      <c r="A26" s="112" t="s">
        <v>113</v>
      </c>
      <c r="B26" s="109">
        <v>776.79506323460009</v>
      </c>
      <c r="C26" s="111"/>
      <c r="D26" s="108"/>
      <c r="E26" s="147" t="s">
        <v>114</v>
      </c>
      <c r="F26" s="120"/>
      <c r="G26" s="120"/>
      <c r="H26" s="148">
        <v>102.33222206489999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262</v>
      </c>
      <c r="B1" s="124"/>
      <c r="C1" s="124"/>
      <c r="D1" s="124"/>
      <c r="E1" s="124"/>
      <c r="F1" s="124"/>
      <c r="G1" s="124"/>
      <c r="H1" s="124"/>
      <c r="I1" s="124"/>
    </row>
    <row r="2" spans="1:10" ht="46.5" customHeight="1" x14ac:dyDescent="0.25">
      <c r="A2" s="19" t="s">
        <v>22</v>
      </c>
      <c r="B2" s="77" t="s">
        <v>327</v>
      </c>
      <c r="C2" s="77" t="s">
        <v>263</v>
      </c>
      <c r="D2" s="77" t="s">
        <v>335</v>
      </c>
      <c r="E2" s="77" t="s">
        <v>336</v>
      </c>
      <c r="F2" s="77" t="s">
        <v>337</v>
      </c>
      <c r="G2" s="77" t="s">
        <v>338</v>
      </c>
      <c r="H2" s="77" t="s">
        <v>339</v>
      </c>
      <c r="I2" s="77" t="s">
        <v>340</v>
      </c>
      <c r="J2" s="77" t="s">
        <v>282</v>
      </c>
    </row>
    <row r="3" spans="1:10" x14ac:dyDescent="0.25">
      <c r="A3" s="19" t="s">
        <v>24</v>
      </c>
      <c r="B3" s="78" t="s">
        <v>25</v>
      </c>
      <c r="C3" s="86" t="s">
        <v>245</v>
      </c>
      <c r="D3" s="78" t="s">
        <v>25</v>
      </c>
      <c r="E3" s="78" t="s">
        <v>25</v>
      </c>
      <c r="F3" s="78" t="s">
        <v>25</v>
      </c>
      <c r="G3" s="78" t="s">
        <v>25</v>
      </c>
      <c r="H3" s="78" t="s">
        <v>25</v>
      </c>
      <c r="I3" s="78" t="s">
        <v>25</v>
      </c>
      <c r="J3" s="78" t="s">
        <v>25</v>
      </c>
    </row>
    <row r="4" spans="1:10" s="18" customFormat="1" ht="21.6" x14ac:dyDescent="0.25">
      <c r="A4" s="21" t="s">
        <v>3</v>
      </c>
      <c r="B4" s="79" t="s">
        <v>328</v>
      </c>
      <c r="C4" s="86" t="s">
        <v>245</v>
      </c>
      <c r="D4" s="79" t="s">
        <v>328</v>
      </c>
      <c r="E4" s="79" t="s">
        <v>328</v>
      </c>
      <c r="F4" s="79" t="s">
        <v>328</v>
      </c>
      <c r="G4" s="79" t="s">
        <v>328</v>
      </c>
      <c r="H4" s="79" t="s">
        <v>341</v>
      </c>
      <c r="I4" s="79" t="s">
        <v>342</v>
      </c>
      <c r="J4" s="79" t="s">
        <v>328</v>
      </c>
    </row>
    <row r="5" spans="1:10" s="18" customFormat="1" x14ac:dyDescent="0.25">
      <c r="A5" s="21" t="s">
        <v>29</v>
      </c>
      <c r="B5" s="80" t="s">
        <v>30</v>
      </c>
      <c r="C5" s="86" t="s">
        <v>245</v>
      </c>
      <c r="D5" s="80" t="s">
        <v>30</v>
      </c>
      <c r="E5" s="80" t="s">
        <v>30</v>
      </c>
      <c r="F5" s="80" t="s">
        <v>30</v>
      </c>
      <c r="G5" s="80" t="s">
        <v>30</v>
      </c>
      <c r="H5" s="80" t="s">
        <v>30</v>
      </c>
      <c r="I5" s="80" t="s">
        <v>30</v>
      </c>
      <c r="J5" s="80" t="s">
        <v>30</v>
      </c>
    </row>
    <row r="6" spans="1:10" x14ac:dyDescent="0.25">
      <c r="A6" s="19" t="s">
        <v>32</v>
      </c>
      <c r="B6" s="81">
        <v>776.79506323460009</v>
      </c>
      <c r="C6" s="86">
        <v>316.59111048181433</v>
      </c>
      <c r="D6" s="81">
        <v>556.27409851440007</v>
      </c>
      <c r="E6" s="81">
        <v>353.24884721239999</v>
      </c>
      <c r="F6" s="81">
        <v>369.97749248779996</v>
      </c>
      <c r="G6" s="81">
        <v>108.93182298959999</v>
      </c>
      <c r="H6" s="81">
        <v>240.89608940599999</v>
      </c>
      <c r="I6" s="81">
        <v>369.37698415120002</v>
      </c>
      <c r="J6" s="81">
        <v>217.4324386113</v>
      </c>
    </row>
    <row r="7" spans="1:10" x14ac:dyDescent="0.25">
      <c r="A7" s="19" t="s">
        <v>34</v>
      </c>
      <c r="B7" s="82">
        <v>0.71980999999999995</v>
      </c>
      <c r="C7" s="86">
        <v>0.61346757142857145</v>
      </c>
      <c r="D7" s="82">
        <v>0.6557940000000001</v>
      </c>
      <c r="E7" s="82">
        <v>0.63282400000000005</v>
      </c>
      <c r="F7" s="82">
        <v>0.66885900000000009</v>
      </c>
      <c r="G7" s="82">
        <v>0.46745700000000001</v>
      </c>
      <c r="H7" s="82">
        <v>0.55859000000000003</v>
      </c>
      <c r="I7" s="82">
        <v>0.63805400000000001</v>
      </c>
      <c r="J7" s="82">
        <v>0.67269499999999993</v>
      </c>
    </row>
    <row r="8" spans="1:10" x14ac:dyDescent="0.25">
      <c r="A8" s="19" t="s">
        <v>36</v>
      </c>
      <c r="B8" s="81">
        <v>0.79979999999999996</v>
      </c>
      <c r="C8" s="86">
        <v>0.98099999999999998</v>
      </c>
      <c r="D8" s="81">
        <v>0.76990000000000003</v>
      </c>
      <c r="E8" s="81">
        <v>1.0072000000000001</v>
      </c>
      <c r="F8" s="81">
        <v>0.85250000000000004</v>
      </c>
      <c r="G8" s="81">
        <v>1.3464</v>
      </c>
      <c r="H8" s="81">
        <v>0.76370000000000005</v>
      </c>
      <c r="I8" s="81">
        <v>1.7138</v>
      </c>
      <c r="J8" s="81">
        <v>0.41349999999999998</v>
      </c>
    </row>
    <row r="9" spans="1:10" x14ac:dyDescent="0.25">
      <c r="A9" s="19" t="s">
        <v>38</v>
      </c>
      <c r="B9" s="78">
        <v>1.7219450452519207</v>
      </c>
      <c r="C9" s="86">
        <v>1.110767873950993</v>
      </c>
      <c r="D9" s="78">
        <v>1.1920427354976986</v>
      </c>
      <c r="E9" s="78">
        <v>0.91766142284130525</v>
      </c>
      <c r="F9" s="78">
        <v>1.4750746215174515</v>
      </c>
      <c r="G9" s="78">
        <v>0.52565240541667435</v>
      </c>
      <c r="H9" s="78">
        <v>0.74424130262462418</v>
      </c>
      <c r="I9" s="78">
        <v>1.3966857373275958</v>
      </c>
      <c r="J9" s="78">
        <v>1.5240168924316013</v>
      </c>
    </row>
    <row r="10" spans="1:10" ht="21.6" customHeight="1" x14ac:dyDescent="0.25">
      <c r="A10" s="19" t="s">
        <v>39</v>
      </c>
      <c r="B10" s="81">
        <v>0.1099</v>
      </c>
      <c r="C10" s="86">
        <v>0.16025714285714285</v>
      </c>
      <c r="D10" s="81">
        <v>0.14799999999999999</v>
      </c>
      <c r="E10" s="81">
        <v>9.5699999999999993E-2</v>
      </c>
      <c r="F10" s="81">
        <v>0.17480000000000001</v>
      </c>
      <c r="G10" s="81">
        <v>0.14749999999999999</v>
      </c>
      <c r="H10" s="81">
        <v>0.28989999999999999</v>
      </c>
      <c r="I10" s="81">
        <v>0.1174</v>
      </c>
      <c r="J10" s="81">
        <v>0.14849999999999999</v>
      </c>
    </row>
    <row r="11" spans="1:10" x14ac:dyDescent="0.25">
      <c r="A11" s="19" t="s">
        <v>40</v>
      </c>
      <c r="B11" s="81">
        <v>512.12968848879996</v>
      </c>
      <c r="C11" s="86">
        <v>193.30638078197143</v>
      </c>
      <c r="D11" s="81">
        <v>410.59027041860003</v>
      </c>
      <c r="E11" s="81">
        <v>265.40717695709998</v>
      </c>
      <c r="F11" s="81">
        <v>144.3563732259</v>
      </c>
      <c r="G11" s="81">
        <v>50.986031468999997</v>
      </c>
      <c r="H11" s="81">
        <v>201.95731201799998</v>
      </c>
      <c r="I11" s="81">
        <v>122.26944247709999</v>
      </c>
      <c r="J11" s="81">
        <v>157.57805890809999</v>
      </c>
    </row>
    <row r="12" spans="1:10" s="18" customFormat="1" x14ac:dyDescent="0.25">
      <c r="A12" s="21" t="s">
        <v>41</v>
      </c>
      <c r="B12" s="83">
        <v>1.1106</v>
      </c>
      <c r="C12" s="86">
        <v>0.93298571428571431</v>
      </c>
      <c r="D12" s="83">
        <v>1.1059000000000001</v>
      </c>
      <c r="E12" s="83">
        <v>1.1084000000000001</v>
      </c>
      <c r="F12" s="83">
        <v>1.1277999999999999</v>
      </c>
      <c r="G12" s="83">
        <v>1.1413</v>
      </c>
      <c r="H12" s="83">
        <v>0.54730000000000001</v>
      </c>
      <c r="I12" s="83">
        <v>0.77569999999999995</v>
      </c>
      <c r="J12" s="83">
        <v>0.72450000000000003</v>
      </c>
    </row>
    <row r="13" spans="1:10" s="18" customFormat="1" x14ac:dyDescent="0.25">
      <c r="A13" s="21" t="s">
        <v>42</v>
      </c>
      <c r="B13" s="83">
        <v>0.15845000000000001</v>
      </c>
      <c r="C13" s="86">
        <v>0.26254585714285711</v>
      </c>
      <c r="D13" s="83">
        <v>0.17846800000000002</v>
      </c>
      <c r="E13" s="83">
        <v>0.15928200000000001</v>
      </c>
      <c r="F13" s="83">
        <v>0.43201300000000004</v>
      </c>
      <c r="G13" s="83">
        <v>0.35957600000000001</v>
      </c>
      <c r="H13" s="83">
        <v>0.27337099999999998</v>
      </c>
      <c r="I13" s="83">
        <v>0.26735500000000001</v>
      </c>
      <c r="J13" s="83">
        <v>0.16775600000000002</v>
      </c>
    </row>
    <row r="14" spans="1:10" s="18" customFormat="1" x14ac:dyDescent="0.25">
      <c r="A14" s="21" t="s">
        <v>43</v>
      </c>
      <c r="B14" s="84">
        <v>22.409247860800001</v>
      </c>
      <c r="C14" s="86">
        <v>11.568615128600001</v>
      </c>
      <c r="D14" s="84">
        <v>24.5301814036</v>
      </c>
      <c r="E14" s="84">
        <v>4.0754833626</v>
      </c>
      <c r="F14" s="84">
        <v>12.3734014732</v>
      </c>
      <c r="G14" s="84">
        <v>1.5814017068999999</v>
      </c>
      <c r="H14" s="84">
        <v>20.140042931900002</v>
      </c>
      <c r="I14" s="84">
        <v>12.260448909900001</v>
      </c>
      <c r="J14" s="84">
        <v>6.0193461121</v>
      </c>
    </row>
    <row r="15" spans="1:10" x14ac:dyDescent="0.25">
      <c r="A15" s="19" t="s">
        <v>45</v>
      </c>
      <c r="B15" s="82">
        <v>9.1039999999999996E-2</v>
      </c>
      <c r="C15" s="86">
        <v>8.3636999999999989E-2</v>
      </c>
      <c r="D15" s="82">
        <v>0.13861399999999999</v>
      </c>
      <c r="E15" s="82">
        <v>2.1425E-2</v>
      </c>
      <c r="F15" s="82">
        <v>6.0816000000000002E-2</v>
      </c>
      <c r="G15" s="82">
        <v>1.6279999999999999E-2</v>
      </c>
      <c r="H15" s="82">
        <v>0.222636</v>
      </c>
      <c r="I15" s="82">
        <v>7.2108000000000005E-2</v>
      </c>
      <c r="J15" s="82">
        <v>5.3579999999999996E-2</v>
      </c>
    </row>
    <row r="16" spans="1:10" s="18" customFormat="1" ht="25.8" customHeight="1" x14ac:dyDescent="0.25">
      <c r="A16" s="21" t="s">
        <v>46</v>
      </c>
      <c r="B16" s="84">
        <v>-8.0904815131000003</v>
      </c>
      <c r="C16" s="86">
        <v>15.046135662500001</v>
      </c>
      <c r="D16" s="84">
        <v>37.5335983003</v>
      </c>
      <c r="E16" s="84">
        <v>7.013248109400001</v>
      </c>
      <c r="F16" s="84">
        <v>14.5972542873</v>
      </c>
      <c r="G16" s="84">
        <v>7.2075981048999997</v>
      </c>
      <c r="H16" s="84">
        <v>14.739382467900001</v>
      </c>
      <c r="I16" s="84">
        <v>5.2039398261000001</v>
      </c>
      <c r="J16" s="84">
        <v>19.027928541600001</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264</v>
      </c>
      <c r="B1" s="124"/>
      <c r="C1" s="124"/>
      <c r="D1" s="124"/>
      <c r="E1" s="124"/>
      <c r="F1" s="124"/>
    </row>
    <row r="2" spans="1:6" x14ac:dyDescent="0.25">
      <c r="A2" s="91" t="s">
        <v>265</v>
      </c>
      <c r="B2" s="90" t="s">
        <v>266</v>
      </c>
      <c r="C2" s="90" t="s">
        <v>267</v>
      </c>
      <c r="D2" s="90" t="s">
        <v>268</v>
      </c>
      <c r="E2" s="90" t="s">
        <v>230</v>
      </c>
      <c r="F2" s="90" t="s">
        <v>269</v>
      </c>
    </row>
    <row r="3" spans="1:6" ht="48" customHeight="1" x14ac:dyDescent="0.25">
      <c r="A3" s="113">
        <v>43388</v>
      </c>
      <c r="B3" s="92" t="s">
        <v>270</v>
      </c>
      <c r="C3" s="114"/>
      <c r="D3" s="114" t="s">
        <v>271</v>
      </c>
      <c r="E3" s="92" t="s">
        <v>272</v>
      </c>
      <c r="F3" s="114"/>
    </row>
    <row r="4" spans="1:6" ht="49.5" customHeight="1" x14ac:dyDescent="0.25">
      <c r="A4" s="113">
        <v>43388</v>
      </c>
      <c r="B4" s="92" t="s">
        <v>273</v>
      </c>
      <c r="C4" s="114" t="s">
        <v>274</v>
      </c>
      <c r="D4" s="114"/>
      <c r="E4" s="92" t="s">
        <v>237</v>
      </c>
      <c r="F4" s="114" t="s">
        <v>275</v>
      </c>
    </row>
    <row r="5" spans="1:6" ht="91.2" x14ac:dyDescent="0.25">
      <c r="A5" s="113">
        <v>43301</v>
      </c>
      <c r="B5" s="92" t="s">
        <v>276</v>
      </c>
      <c r="C5" s="114" t="s">
        <v>277</v>
      </c>
      <c r="D5" s="114"/>
      <c r="E5" s="92" t="s">
        <v>278</v>
      </c>
      <c r="F5" s="114" t="s">
        <v>279</v>
      </c>
    </row>
    <row r="6" spans="1:6" ht="45.6" x14ac:dyDescent="0.25">
      <c r="A6" s="113">
        <v>43258</v>
      </c>
      <c r="B6" s="92" t="s">
        <v>280</v>
      </c>
      <c r="C6" s="114" t="s">
        <v>277</v>
      </c>
      <c r="D6" s="114"/>
      <c r="E6" s="92" t="s">
        <v>237</v>
      </c>
      <c r="F6" s="114" t="s">
        <v>281</v>
      </c>
    </row>
    <row r="7" spans="1:6" ht="45.6" x14ac:dyDescent="0.25">
      <c r="A7" s="113">
        <v>43250</v>
      </c>
      <c r="B7" s="92" t="s">
        <v>282</v>
      </c>
      <c r="C7" s="114" t="s">
        <v>277</v>
      </c>
      <c r="D7" s="114"/>
      <c r="E7" s="92" t="s">
        <v>278</v>
      </c>
      <c r="F7" s="114" t="s">
        <v>283</v>
      </c>
    </row>
    <row r="8" spans="1:6" x14ac:dyDescent="0.25">
      <c r="A8" s="113">
        <v>43209</v>
      </c>
      <c r="B8" s="92" t="s">
        <v>284</v>
      </c>
      <c r="C8" s="114" t="s">
        <v>285</v>
      </c>
      <c r="D8" s="114"/>
      <c r="E8" s="92" t="s">
        <v>286</v>
      </c>
      <c r="F8" s="114"/>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4" spans="1:6" x14ac:dyDescent="0.25">
      <c r="A24" s="143" t="s">
        <v>287</v>
      </c>
      <c r="B24" s="143"/>
      <c r="C24" s="143"/>
      <c r="D24" s="143"/>
      <c r="E24" s="143"/>
      <c r="F24" s="143"/>
    </row>
    <row r="25" spans="1:6" x14ac:dyDescent="0.25">
      <c r="A25" s="101" t="s">
        <v>265</v>
      </c>
      <c r="B25" s="101" t="s">
        <v>266</v>
      </c>
      <c r="C25" s="101" t="s">
        <v>288</v>
      </c>
      <c r="D25" s="101" t="s">
        <v>289</v>
      </c>
      <c r="E25" s="101" t="s">
        <v>230</v>
      </c>
      <c r="F25" s="101" t="s">
        <v>269</v>
      </c>
    </row>
    <row r="26" spans="1:6" x14ac:dyDescent="0.25">
      <c r="A26" s="115">
        <v>43459</v>
      </c>
      <c r="B26" s="96" t="s">
        <v>290</v>
      </c>
      <c r="C26" s="116" t="s">
        <v>291</v>
      </c>
      <c r="D26" s="116"/>
      <c r="E26" s="96" t="s">
        <v>278</v>
      </c>
      <c r="F26" s="116" t="s">
        <v>292</v>
      </c>
    </row>
    <row r="27" spans="1:6" x14ac:dyDescent="0.25">
      <c r="A27" s="115">
        <v>43447</v>
      </c>
      <c r="B27" s="96" t="s">
        <v>293</v>
      </c>
      <c r="C27" s="116" t="s">
        <v>294</v>
      </c>
      <c r="D27" s="116"/>
      <c r="E27" s="96" t="s">
        <v>278</v>
      </c>
      <c r="F27" s="116" t="s">
        <v>295</v>
      </c>
    </row>
    <row r="28" spans="1:6" x14ac:dyDescent="0.25">
      <c r="A28" s="115">
        <v>43397</v>
      </c>
      <c r="B28" s="96" t="s">
        <v>296</v>
      </c>
      <c r="C28" s="116" t="s">
        <v>297</v>
      </c>
      <c r="D28" s="116"/>
      <c r="E28" s="96" t="s">
        <v>278</v>
      </c>
      <c r="F28" s="116" t="s">
        <v>298</v>
      </c>
    </row>
    <row r="29" spans="1:6" x14ac:dyDescent="0.25">
      <c r="A29" s="115">
        <v>43332</v>
      </c>
      <c r="B29" s="96" t="s">
        <v>299</v>
      </c>
      <c r="C29" s="116" t="s">
        <v>300</v>
      </c>
      <c r="D29" s="116"/>
      <c r="E29" s="96" t="s">
        <v>237</v>
      </c>
      <c r="F29" s="116" t="s">
        <v>301</v>
      </c>
    </row>
  </sheetData>
  <mergeCells count="2">
    <mergeCell ref="A1:F1"/>
    <mergeCell ref="A24:F24"/>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302</v>
      </c>
      <c r="B1" s="124"/>
      <c r="C1" s="124"/>
      <c r="D1" s="124"/>
      <c r="E1" s="124"/>
      <c r="F1" s="124"/>
      <c r="G1" s="124"/>
      <c r="H1" s="124"/>
      <c r="I1" s="124"/>
      <c r="J1" s="124"/>
      <c r="K1" s="124"/>
      <c r="L1" s="124"/>
      <c r="M1" s="124"/>
      <c r="N1" s="124"/>
    </row>
    <row r="2" spans="1:18" s="1" customFormat="1" ht="25.5" customHeight="1" x14ac:dyDescent="0.25">
      <c r="A2" s="3" t="s">
        <v>303</v>
      </c>
      <c r="B2" s="3" t="s">
        <v>304</v>
      </c>
      <c r="C2" s="3" t="s">
        <v>305</v>
      </c>
      <c r="D2" s="3" t="s">
        <v>306</v>
      </c>
      <c r="E2" s="3" t="s">
        <v>307</v>
      </c>
      <c r="F2" s="3" t="s">
        <v>308</v>
      </c>
      <c r="G2" s="3" t="s">
        <v>309</v>
      </c>
      <c r="H2" s="3" t="s">
        <v>16</v>
      </c>
      <c r="I2" s="3" t="s">
        <v>310</v>
      </c>
      <c r="J2" s="3" t="s">
        <v>311</v>
      </c>
      <c r="K2" s="3" t="s">
        <v>312</v>
      </c>
      <c r="L2" s="3" t="s">
        <v>313</v>
      </c>
      <c r="M2" s="3" t="s">
        <v>19</v>
      </c>
      <c r="N2" s="3" t="s">
        <v>314</v>
      </c>
      <c r="O2" s="9"/>
      <c r="P2" s="10" t="str">
        <f ca="1">Q2</f>
        <v>2019-04-01</v>
      </c>
      <c r="Q2" s="1" t="str">
        <f ca="1">[1]!td(R2-1)</f>
        <v>2019-04-01</v>
      </c>
      <c r="R2" s="9">
        <f ca="1">TODAY()</f>
        <v>43557</v>
      </c>
    </row>
    <row r="3" spans="1:18" ht="15.75" customHeight="1" x14ac:dyDescent="0.25">
      <c r="A3" s="4" t="str">
        <f>[1]!b_info_name(L3)</f>
        <v>19新中泰集SCP002</v>
      </c>
      <c r="B3" s="5" t="str">
        <f>[1]!b_issue_firstissue(L3)</f>
        <v>2019-04-03</v>
      </c>
      <c r="C3" s="4">
        <f>[1]!b_info_term(L3)</f>
        <v>0.57530000000000003</v>
      </c>
      <c r="D3" s="6" t="str">
        <f>[1]!issuerrating(L3)</f>
        <v>AA+</v>
      </c>
      <c r="E3" s="6" t="str">
        <f>[1]!b_info_creditrating(L3)</f>
        <v>-</v>
      </c>
      <c r="F3" s="4" t="str">
        <f>[1]!b_rate_creditratingagency(L3)</f>
        <v>中诚信国际信用评级有限责任公司</v>
      </c>
      <c r="G3" s="7">
        <f>[1]!b_agency_guarantor(L3)</f>
        <v>0</v>
      </c>
      <c r="H3" s="8" t="s">
        <v>315</v>
      </c>
      <c r="I3" s="11"/>
      <c r="J3" s="12" t="s">
        <v>315</v>
      </c>
      <c r="K3" s="13"/>
      <c r="L3" s="75" t="str">
        <f>公式页!A2</f>
        <v>d19040204.IB</v>
      </c>
      <c r="M3" s="8" t="s">
        <v>315</v>
      </c>
      <c r="N3" s="4" t="str">
        <f>[1]!b_agency_leadunderwriter(L3)</f>
        <v>兴业银行股份有限公司</v>
      </c>
      <c r="P3" s="2" t="str">
        <f t="shared" ref="P3:P29" ca="1" si="0">$P$2</f>
        <v>2019-04-01</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3.6671999999999998</v>
      </c>
      <c r="K4" s="13">
        <f>K3</f>
        <v>0</v>
      </c>
      <c r="L4" s="14" t="s">
        <v>316</v>
      </c>
      <c r="M4" s="8">
        <f>[1]!b_info_issueamount(L4)/100000000</f>
        <v>5</v>
      </c>
      <c r="N4" s="4" t="str">
        <f>[1]!b_agency_leadunderwriter(L4)</f>
        <v>上海浦东发展银行股份有限公司,中国国际金融股份有限公司</v>
      </c>
      <c r="P4" s="2" t="str">
        <f t="shared" ca="1" si="0"/>
        <v>2019-04-01</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2019-04-01</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2019-04-01</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2019-04-01</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2019-04-01</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2019-04-01</v>
      </c>
    </row>
    <row r="10" spans="1:18" x14ac:dyDescent="0.25">
      <c r="P10" s="2" t="str">
        <f t="shared" ca="1" si="0"/>
        <v>2019-04-01</v>
      </c>
    </row>
    <row r="11" spans="1:18" x14ac:dyDescent="0.25">
      <c r="P11" s="2" t="str">
        <f t="shared" ca="1" si="0"/>
        <v>2019-04-01</v>
      </c>
    </row>
    <row r="12" spans="1:18" x14ac:dyDescent="0.25">
      <c r="A12" s="150" t="s">
        <v>317</v>
      </c>
      <c r="B12" s="124"/>
      <c r="C12" s="124"/>
      <c r="D12" s="124"/>
      <c r="E12" s="124"/>
      <c r="F12" s="124"/>
      <c r="G12" s="124"/>
      <c r="H12" s="124"/>
      <c r="I12" s="124"/>
      <c r="J12" s="124"/>
      <c r="K12" s="124"/>
      <c r="L12" s="124"/>
      <c r="M12" s="124"/>
      <c r="N12" s="124"/>
      <c r="P12" s="2" t="str">
        <f t="shared" ca="1" si="0"/>
        <v>2019-04-01</v>
      </c>
    </row>
    <row r="13" spans="1:18" s="1" customFormat="1" ht="43.2" customHeight="1" x14ac:dyDescent="0.25">
      <c r="A13" s="3" t="s">
        <v>303</v>
      </c>
      <c r="B13" s="3" t="s">
        <v>304</v>
      </c>
      <c r="C13" s="3" t="s">
        <v>305</v>
      </c>
      <c r="D13" s="3" t="s">
        <v>306</v>
      </c>
      <c r="E13" s="3" t="s">
        <v>307</v>
      </c>
      <c r="F13" s="3" t="s">
        <v>308</v>
      </c>
      <c r="G13" s="3" t="s">
        <v>309</v>
      </c>
      <c r="H13" s="3" t="s">
        <v>16</v>
      </c>
      <c r="I13" s="3" t="s">
        <v>310</v>
      </c>
      <c r="J13" s="3" t="s">
        <v>311</v>
      </c>
      <c r="K13" s="3" t="s">
        <v>312</v>
      </c>
      <c r="L13" s="3" t="s">
        <v>313</v>
      </c>
      <c r="M13" s="3" t="s">
        <v>19</v>
      </c>
      <c r="N13" s="3" t="s">
        <v>314</v>
      </c>
      <c r="P13" s="2" t="str">
        <f t="shared" ca="1" si="0"/>
        <v>2019-04-01</v>
      </c>
    </row>
    <row r="14" spans="1:18" ht="15.75" customHeight="1" x14ac:dyDescent="0.25">
      <c r="A14" s="4" t="str">
        <f>[1]!b_info_name(L14)</f>
        <v>19新中泰集SCP002</v>
      </c>
      <c r="B14" s="5" t="str">
        <f>[1]!b_issue_firstissue(L14)</f>
        <v>2019-04-03</v>
      </c>
      <c r="C14" s="4">
        <f>[1]!b_info_term(L14)</f>
        <v>0.57530000000000003</v>
      </c>
      <c r="D14" s="6" t="str">
        <f>[1]!issuerrating(L14)</f>
        <v>AA+</v>
      </c>
      <c r="E14" s="6" t="str">
        <f>[1]!b_info_creditrating(L14)</f>
        <v>-</v>
      </c>
      <c r="F14" s="4" t="str">
        <f>[1]!b_rate_creditratingagency(L14)</f>
        <v>中诚信国际信用评级有限责任公司</v>
      </c>
      <c r="G14" s="7">
        <f>[1]!b_agency_guarantor(L14)</f>
        <v>0</v>
      </c>
      <c r="H14" s="8" t="s">
        <v>315</v>
      </c>
      <c r="I14" s="11"/>
      <c r="J14" s="12" t="s">
        <v>315</v>
      </c>
      <c r="K14" s="13">
        <f>K3</f>
        <v>0</v>
      </c>
      <c r="L14" s="76" t="str">
        <f>L3</f>
        <v>d19040204.IB</v>
      </c>
      <c r="M14" s="8" t="s">
        <v>315</v>
      </c>
      <c r="N14" s="4" t="str">
        <f>[1]!b_agency_leadunderwriter(L14)</f>
        <v>兴业银行股份有限公司</v>
      </c>
      <c r="P14" s="2" t="str">
        <f t="shared" ca="1" si="0"/>
        <v>2019-04-01</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318</v>
      </c>
      <c r="M15" s="8">
        <f>[1]!b_info_issueamount(L15)/100000000</f>
        <v>5</v>
      </c>
      <c r="N15" s="4" t="str">
        <f>[1]!b_agency_leadunderwriter(L15)</f>
        <v>招商银行股份有限公司</v>
      </c>
      <c r="O15" t="str">
        <f>[1]!b_issuer_windindustry(L15,4)</f>
        <v>西药</v>
      </c>
      <c r="P15" s="2" t="str">
        <f t="shared" ca="1" si="0"/>
        <v>2019-04-01</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319</v>
      </c>
      <c r="M16" s="8">
        <f>[1]!b_info_issueamount(L16)/100000000</f>
        <v>6</v>
      </c>
      <c r="N16" s="4" t="str">
        <f>[1]!b_agency_leadunderwriter(L16)</f>
        <v>北京银行股份有限公司</v>
      </c>
      <c r="O16" t="str">
        <f>[1]!b_issuer_windindustry(L16,4)</f>
        <v>化肥与农用化工</v>
      </c>
      <c r="P16" s="2" t="str">
        <f t="shared" ca="1" si="0"/>
        <v>2019-04-01</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320</v>
      </c>
      <c r="M17" s="8">
        <f>[1]!b_info_issueamount(L17)/100000000</f>
        <v>3.5</v>
      </c>
      <c r="N17" s="4" t="str">
        <f>[1]!b_agency_leadunderwriter(L17)</f>
        <v>华夏银行股份有限公司</v>
      </c>
      <c r="O17" t="str">
        <f>[1]!b_issuer_windindustry(L17,4)</f>
        <v>食品加工与肉类</v>
      </c>
      <c r="P17" s="2" t="str">
        <f t="shared" ca="1" si="0"/>
        <v>2019-04-01</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321</v>
      </c>
      <c r="M18" s="8">
        <f>[1]!b_info_issueamount(L18)/100000000</f>
        <v>3</v>
      </c>
      <c r="N18" s="4" t="str">
        <f>[1]!b_agency_leadunderwriter(L18)</f>
        <v>兴业银行股份有限公司</v>
      </c>
      <c r="O18" t="str">
        <f>[1]!b_issuer_windindustry(L18,4)</f>
        <v>工业机械</v>
      </c>
      <c r="P18" s="2" t="str">
        <f t="shared" ca="1" si="0"/>
        <v>2019-04-01</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322</v>
      </c>
      <c r="M19" s="8">
        <f>[1]!b_info_issueamount(L19)/100000000</f>
        <v>3</v>
      </c>
      <c r="N19" s="4" t="str">
        <f>[1]!b_agency_leadunderwriter(L19)</f>
        <v>中国银行股份有限公司</v>
      </c>
      <c r="O19" t="str">
        <f>[1]!b_issuer_windindustry(L19,4)</f>
        <v>半导体产品</v>
      </c>
      <c r="P19" s="2" t="str">
        <f t="shared" ca="1" si="0"/>
        <v>2019-04-01</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323</v>
      </c>
      <c r="M20" s="8">
        <f>[1]!b_info_issueamount(L20)/100000000</f>
        <v>5</v>
      </c>
      <c r="N20" s="4" t="str">
        <f>[1]!b_agency_leadunderwriter(L20)</f>
        <v>中国银行股份有限公司</v>
      </c>
      <c r="O20" t="str">
        <f>[1]!b_issuer_windindustry(L20,4)</f>
        <v>医疗保健用品</v>
      </c>
      <c r="P20" s="2" t="str">
        <f t="shared" ca="1" si="0"/>
        <v>2019-04-01</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324</v>
      </c>
      <c r="M21" s="8">
        <f>[1]!b_info_issueamount(L21)/100000000</f>
        <v>2</v>
      </c>
      <c r="N21" s="4" t="str">
        <f>[1]!b_agency_leadunderwriter(L21)</f>
        <v>中国银行股份有限公司</v>
      </c>
      <c r="O21" t="str">
        <f>[1]!b_issuer_windindustry(L21,4)</f>
        <v>食品加工与肉类</v>
      </c>
      <c r="P21" s="2" t="str">
        <f t="shared" ca="1" si="0"/>
        <v>2019-04-01</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325</v>
      </c>
      <c r="M22" s="8">
        <f>[1]!b_info_issueamount(L22)/100000000</f>
        <v>4</v>
      </c>
      <c r="N22" s="4" t="str">
        <f>[1]!b_agency_leadunderwriter(L22)</f>
        <v>中国工商银行股份有限公司</v>
      </c>
      <c r="O22" t="str">
        <f>[1]!b_issuer_windindustry(L22,4)</f>
        <v>酒店、度假村与豪华游轮</v>
      </c>
      <c r="P22" s="2" t="str">
        <f t="shared" ca="1" si="0"/>
        <v>2019-04-01</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326</v>
      </c>
      <c r="M23" s="8">
        <f>[1]!b_info_issueamount(L23)/100000000</f>
        <v>4</v>
      </c>
      <c r="N23" s="4" t="str">
        <f>[1]!b_agency_leadunderwriter(L23)</f>
        <v>中国银行股份有限公司</v>
      </c>
      <c r="O23" t="str">
        <f>[1]!b_issuer_windindustry(L23,4)</f>
        <v>金属非金属</v>
      </c>
      <c r="P23" s="2" t="str">
        <f t="shared" ca="1" si="0"/>
        <v>2019-04-01</v>
      </c>
    </row>
    <row r="24" spans="1:16" x14ac:dyDescent="0.25">
      <c r="P24" s="2" t="str">
        <f t="shared" ca="1" si="0"/>
        <v>2019-04-01</v>
      </c>
    </row>
    <row r="25" spans="1:16" x14ac:dyDescent="0.25">
      <c r="P25" s="2" t="str">
        <f t="shared" ca="1" si="0"/>
        <v>2019-04-01</v>
      </c>
    </row>
    <row r="26" spans="1:16" x14ac:dyDescent="0.25">
      <c r="P26" s="2" t="str">
        <f t="shared" ca="1" si="0"/>
        <v>2019-04-01</v>
      </c>
    </row>
    <row r="27" spans="1:16" x14ac:dyDescent="0.25">
      <c r="P27" s="2" t="str">
        <f t="shared" ca="1" si="0"/>
        <v>2019-04-01</v>
      </c>
    </row>
    <row r="28" spans="1:16" x14ac:dyDescent="0.25">
      <c r="P28" s="2" t="str">
        <f t="shared" ca="1" si="0"/>
        <v>2019-04-01</v>
      </c>
    </row>
    <row r="29" spans="1:16" x14ac:dyDescent="0.25">
      <c r="P29" s="2" t="str">
        <f t="shared" ca="1" si="0"/>
        <v>2019-04-01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2019-04-02T07:37:27Z</dcterms:modified>
</cp:coreProperties>
</file>