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4新券信评\"/>
    </mc:Choice>
  </mc:AlternateContent>
  <xr:revisionPtr revIDLastSave="0" documentId="13_ncr:1_{46EC7C2A-4740-409D-BEF0-5EF325C8403E}" xr6:coauthVersionLast="41" xr6:coauthVersionMax="41" xr10:uidLastSave="{00000000-0000-0000-0000-000000000000}"/>
  <bookViews>
    <workbookView xWindow="84" yWindow="240" windowWidth="23040" windowHeight="12360" activeTab="4"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M21" i="6"/>
  <c r="G20" i="6"/>
  <c r="D19" i="6"/>
  <c r="A18" i="6"/>
  <c r="C17" i="6"/>
  <c r="H16" i="6"/>
  <c r="E15" i="6"/>
  <c r="D9" i="6"/>
  <c r="A8" i="6"/>
  <c r="F7" i="6"/>
  <c r="M6" i="6"/>
  <c r="D6" i="6"/>
  <c r="D5" i="6"/>
  <c r="A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O23" i="6"/>
  <c r="F21" i="6"/>
  <c r="C20" i="6"/>
  <c r="M17" i="6"/>
  <c r="B17" i="6"/>
  <c r="G16" i="6"/>
  <c r="O15" i="6"/>
  <c r="D15" i="6"/>
  <c r="G14" i="6"/>
  <c r="A9" i="6"/>
  <c r="F8" i="6"/>
  <c r="M7" i="6"/>
  <c r="C7" i="6"/>
  <c r="C6" i="6"/>
  <c r="A5" i="6"/>
  <c r="F4" i="6"/>
  <c r="H23" i="6"/>
  <c r="E22" i="6"/>
  <c r="B21" i="6"/>
  <c r="O19" i="6"/>
  <c r="G17" i="6"/>
  <c r="O16" i="6"/>
  <c r="D16" i="6"/>
  <c r="A15" i="6"/>
  <c r="D14" i="6"/>
  <c r="H9" i="6"/>
  <c r="E8" i="6"/>
  <c r="B7" i="6"/>
  <c r="H6" i="6"/>
  <c r="H5" i="6"/>
  <c r="E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D23" i="6"/>
  <c r="E18" i="6"/>
  <c r="H15" i="6"/>
  <c r="N9" i="6"/>
  <c r="B8" i="6"/>
  <c r="E5" i="6"/>
  <c r="D3" i="6"/>
  <c r="S138" i="1"/>
  <c r="M135" i="1"/>
  <c r="O132" i="1"/>
  <c r="O130" i="1"/>
  <c r="M127" i="1"/>
  <c r="S112" i="1"/>
  <c r="F111" i="1"/>
  <c r="M103" i="1"/>
  <c r="B102" i="1"/>
  <c r="J101" i="1"/>
  <c r="Q100" i="1"/>
  <c r="F100" i="1"/>
  <c r="O99" i="1"/>
  <c r="D99" i="1"/>
  <c r="P98" i="1"/>
  <c r="J98" i="1"/>
  <c r="B98" i="1"/>
  <c r="N97" i="1"/>
  <c r="F97" i="1"/>
  <c r="Q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A22" i="6"/>
  <c r="F17" i="6"/>
  <c r="G6" i="6"/>
  <c r="Q2" i="6"/>
  <c r="S141" i="1"/>
  <c r="S137" i="1"/>
  <c r="O134" i="1"/>
  <c r="S131" i="1"/>
  <c r="O128" i="1"/>
  <c r="M121" i="1"/>
  <c r="M119" i="1"/>
  <c r="M117" i="1"/>
  <c r="F112" i="1"/>
  <c r="M109" i="1"/>
  <c r="J103" i="1"/>
  <c r="Q101" i="1"/>
  <c r="F101" i="1"/>
  <c r="O100" i="1"/>
  <c r="D100" i="1"/>
  <c r="M99" i="1"/>
  <c r="C99" i="1"/>
  <c r="O98" i="1"/>
  <c r="F98" i="1"/>
  <c r="R97" i="1"/>
  <c r="M97" i="1"/>
  <c r="D97" i="1"/>
  <c r="P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N20" i="6"/>
  <c r="N16" i="6"/>
  <c r="E9" i="6"/>
  <c r="G7" i="6"/>
  <c r="N5" i="6"/>
  <c r="B4" i="6"/>
  <c r="S140" i="1"/>
  <c r="S136" i="1"/>
  <c r="S133" i="1"/>
  <c r="M131" i="1"/>
  <c r="S129" i="1"/>
  <c r="M110" i="1"/>
  <c r="F109" i="1"/>
  <c r="Q103" i="1"/>
  <c r="F102" i="1"/>
  <c r="O101" i="1"/>
  <c r="D101" i="1"/>
  <c r="M100" i="1"/>
  <c r="B100" i="1"/>
  <c r="J99" i="1"/>
  <c r="B99" i="1"/>
  <c r="M98" i="1"/>
  <c r="E98" i="1"/>
  <c r="Q97" i="1"/>
  <c r="J97" i="1"/>
  <c r="C97" i="1"/>
  <c r="O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H19" i="6"/>
  <c r="S135" i="1"/>
  <c r="S127" i="1"/>
  <c r="M118" i="1"/>
  <c r="D102" i="1"/>
  <c r="Q99" i="1"/>
  <c r="D98" i="1"/>
  <c r="M96" i="1"/>
  <c r="F94" i="1"/>
  <c r="B92" i="1"/>
  <c r="D89" i="1"/>
  <c r="F86" i="1"/>
  <c r="B84" i="1"/>
  <c r="D81" i="1"/>
  <c r="F78" i="1"/>
  <c r="B76" i="1"/>
  <c r="D73" i="1"/>
  <c r="F70" i="1"/>
  <c r="B68" i="1"/>
  <c r="D65" i="1"/>
  <c r="F62" i="1"/>
  <c r="B60" i="1"/>
  <c r="C58" i="1"/>
  <c r="G56" i="1"/>
  <c r="E55" i="1"/>
  <c r="C54" i="1"/>
  <c r="G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E16" i="1"/>
  <c r="R15" i="1"/>
  <c r="N15" i="1"/>
  <c r="G15" i="1"/>
  <c r="C15" i="1"/>
  <c r="E14" i="1"/>
  <c r="F11" i="1"/>
  <c r="F9" i="1"/>
  <c r="F7" i="1"/>
  <c r="B5" i="1"/>
  <c r="D14" i="1"/>
  <c r="B11" i="1"/>
  <c r="B9" i="1"/>
  <c r="E4" i="1"/>
  <c r="B4" i="1"/>
  <c r="O103" i="1"/>
  <c r="F92" i="1"/>
  <c r="F84" i="1"/>
  <c r="F76" i="1"/>
  <c r="F68" i="1"/>
  <c r="F60" i="1"/>
  <c r="B56" i="1"/>
  <c r="C52" i="1"/>
  <c r="C50" i="1"/>
  <c r="C48" i="1"/>
  <c r="G46" i="1"/>
  <c r="G44" i="1"/>
  <c r="E43" i="1"/>
  <c r="G40" i="1"/>
  <c r="E39" i="1"/>
  <c r="G36" i="1"/>
  <c r="G34" i="1"/>
  <c r="G32" i="1"/>
  <c r="E31" i="1"/>
  <c r="E29" i="1"/>
  <c r="R28" i="1"/>
  <c r="C28" i="1"/>
  <c r="E27" i="1"/>
  <c r="G26" i="1"/>
  <c r="L25" i="1"/>
  <c r="N24" i="1"/>
  <c r="E23" i="1"/>
  <c r="C22" i="1"/>
  <c r="R20" i="1"/>
  <c r="C20" i="1"/>
  <c r="E19" i="1"/>
  <c r="C18" i="1"/>
  <c r="L17" i="1"/>
  <c r="N16" i="1"/>
  <c r="O15" i="1"/>
  <c r="B14" i="1"/>
  <c r="E5" i="1"/>
  <c r="C16" i="6"/>
  <c r="M133" i="1"/>
  <c r="M116" i="1"/>
  <c r="M101" i="1"/>
  <c r="F99" i="1"/>
  <c r="O97" i="1"/>
  <c r="F96" i="1"/>
  <c r="B94" i="1"/>
  <c r="D91" i="1"/>
  <c r="F88" i="1"/>
  <c r="B86" i="1"/>
  <c r="D83" i="1"/>
  <c r="F80" i="1"/>
  <c r="B78" i="1"/>
  <c r="D75" i="1"/>
  <c r="F72" i="1"/>
  <c r="B70" i="1"/>
  <c r="D67" i="1"/>
  <c r="F64" i="1"/>
  <c r="B62" i="1"/>
  <c r="D59" i="1"/>
  <c r="B58" i="1"/>
  <c r="F56" i="1"/>
  <c r="D55" i="1"/>
  <c r="B54" i="1"/>
  <c r="F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J16" i="1"/>
  <c r="D16" i="1"/>
  <c r="Q15" i="1"/>
  <c r="M15" i="1"/>
  <c r="F15" i="1"/>
  <c r="B15" i="1"/>
  <c r="B7" i="1"/>
  <c r="B6" i="1"/>
  <c r="N6" i="6"/>
  <c r="S139" i="1"/>
  <c r="M120" i="1"/>
  <c r="J100" i="1"/>
  <c r="B97" i="1"/>
  <c r="D87" i="1"/>
  <c r="D79" i="1"/>
  <c r="D71" i="1"/>
  <c r="B66" i="1"/>
  <c r="F58" i="1"/>
  <c r="F54" i="1"/>
  <c r="E51" i="1"/>
  <c r="G48" i="1"/>
  <c r="E47" i="1"/>
  <c r="C44" i="1"/>
  <c r="C42" i="1"/>
  <c r="E41" i="1"/>
  <c r="G38" i="1"/>
  <c r="C36" i="1"/>
  <c r="C34" i="1"/>
  <c r="C32" i="1"/>
  <c r="G30" i="1"/>
  <c r="P29" i="1"/>
  <c r="G28" i="1"/>
  <c r="P27" i="1"/>
  <c r="R26" i="1"/>
  <c r="C26" i="1"/>
  <c r="R24" i="1"/>
  <c r="C24" i="1"/>
  <c r="L23" i="1"/>
  <c r="P21" i="1"/>
  <c r="E21" i="1"/>
  <c r="G20" i="1"/>
  <c r="L19" i="1"/>
  <c r="P17" i="1"/>
  <c r="R16" i="1"/>
  <c r="B16" i="1"/>
  <c r="D15" i="1"/>
  <c r="B10" i="1"/>
  <c r="M111" i="1"/>
  <c r="B101" i="1"/>
  <c r="Q98" i="1"/>
  <c r="G97" i="1"/>
  <c r="B96" i="1"/>
  <c r="D93" i="1"/>
  <c r="F90" i="1"/>
  <c r="B88" i="1"/>
  <c r="D85" i="1"/>
  <c r="F82" i="1"/>
  <c r="B80" i="1"/>
  <c r="D77" i="1"/>
  <c r="F74" i="1"/>
  <c r="B72" i="1"/>
  <c r="D69" i="1"/>
  <c r="F66" i="1"/>
  <c r="B64" i="1"/>
  <c r="D61" i="1"/>
  <c r="G58" i="1"/>
  <c r="E57" i="1"/>
  <c r="C56" i="1"/>
  <c r="G54" i="1"/>
  <c r="E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G16" i="1"/>
  <c r="C16" i="1"/>
  <c r="P15" i="1"/>
  <c r="L15" i="1"/>
  <c r="E15" i="1"/>
  <c r="G14" i="1"/>
  <c r="C14" i="1"/>
  <c r="F10" i="1"/>
  <c r="F8" i="1"/>
  <c r="C14" i="6"/>
  <c r="M129" i="1"/>
  <c r="F110" i="1"/>
  <c r="L98" i="1"/>
  <c r="D95" i="1"/>
  <c r="B90" i="1"/>
  <c r="B82" i="1"/>
  <c r="B74" i="1"/>
  <c r="D63" i="1"/>
  <c r="D57" i="1"/>
  <c r="D53" i="1"/>
  <c r="G50" i="1"/>
  <c r="E49" i="1"/>
  <c r="C46" i="1"/>
  <c r="E45" i="1"/>
  <c r="G42" i="1"/>
  <c r="C40" i="1"/>
  <c r="C38" i="1"/>
  <c r="E37" i="1"/>
  <c r="E35" i="1"/>
  <c r="E33" i="1"/>
  <c r="C30" i="1"/>
  <c r="L29" i="1"/>
  <c r="N28" i="1"/>
  <c r="L27" i="1"/>
  <c r="N26" i="1"/>
  <c r="P25" i="1"/>
  <c r="E25" i="1"/>
  <c r="G24" i="1"/>
  <c r="P23" i="1"/>
  <c r="G22" i="1"/>
  <c r="L21" i="1"/>
  <c r="N20" i="1"/>
  <c r="P19" i="1"/>
  <c r="G18" i="1"/>
  <c r="E17" i="1"/>
  <c r="F16" i="1"/>
  <c r="J15" i="1"/>
  <c r="F14" i="1"/>
  <c r="B8" i="1"/>
  <c r="B119" i="1" l="1"/>
  <c r="B111" i="1"/>
  <c r="H129" i="1"/>
  <c r="B112" i="1"/>
  <c r="B123" i="1"/>
  <c r="M22" i="1"/>
  <c r="H117" i="1"/>
  <c r="H125" i="1"/>
  <c r="O22" i="1"/>
  <c r="B110" i="1"/>
  <c r="H119" i="1"/>
  <c r="B121" i="1"/>
  <c r="H123" i="1"/>
  <c r="H126" i="1"/>
  <c r="H130" i="1"/>
  <c r="J22" i="1"/>
  <c r="P22" i="1"/>
  <c r="B109" i="1"/>
  <c r="D118" i="1"/>
  <c r="H121" i="1"/>
  <c r="D124" i="1"/>
  <c r="H127" i="1"/>
  <c r="H131" i="1"/>
  <c r="P2" i="6"/>
  <c r="L22" i="1"/>
  <c r="Q22" i="1"/>
  <c r="H112" i="1"/>
  <c r="B117" i="1"/>
  <c r="D120" i="1"/>
  <c r="D122" i="1"/>
  <c r="B125" i="1"/>
  <c r="H128" i="1"/>
  <c r="H110" i="1"/>
  <c r="D117" i="1"/>
  <c r="B118" i="1"/>
  <c r="H120" i="1"/>
  <c r="D121" i="1"/>
  <c r="H122" i="1"/>
  <c r="B124" i="1"/>
  <c r="D125" i="1"/>
  <c r="B127" i="1"/>
  <c r="B129" i="1"/>
  <c r="B131"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23" i="6"/>
  <c r="P19" i="6"/>
  <c r="P26" i="6"/>
  <c r="P22" i="6"/>
  <c r="P15" i="6"/>
  <c r="P13" i="6"/>
  <c r="P18" i="6"/>
  <c r="P12" i="6"/>
  <c r="P9" i="6"/>
  <c r="P8" i="6"/>
  <c r="P5" i="6"/>
  <c r="P4" i="6"/>
  <c r="P14" i="6"/>
  <c r="J23" i="6"/>
  <c r="J5" i="6"/>
  <c r="J18" i="6"/>
  <c r="J17" i="6"/>
  <c r="J16" i="6"/>
  <c r="J6" i="6"/>
  <c r="J19" i="6"/>
  <c r="J21" i="6"/>
  <c r="J15" i="6"/>
  <c r="J9" i="6"/>
  <c r="J8" i="6"/>
  <c r="J20" i="6"/>
  <c r="J7" i="6"/>
  <c r="J22" i="6"/>
</calcChain>
</file>

<file path=xl/sharedStrings.xml><?xml version="1.0" encoding="utf-8"?>
<sst xmlns="http://schemas.openxmlformats.org/spreadsheetml/2006/main" count="601" uniqueCount="245">
  <si>
    <t>d19040305.IB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</si>
  <si>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</si>
  <si>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</si>
  <si>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</si>
  <si>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</si>
  <si>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</si>
  <si>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</si>
  <si>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</si>
  <si>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</si>
  <si>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</si>
  <si>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</si>
  <si>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</si>
  <si>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</si>
  <si>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</si>
  <si>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</si>
  <si>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</si>
  <si>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</si>
  <si>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</si>
  <si>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</si>
  <si>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</si>
  <si>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</si>
  <si>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</si>
  <si>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</si>
  <si>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011499003.IB</t>
  </si>
  <si>
    <t>主体级别</t>
  </si>
  <si>
    <t>AAA</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</si>
  <si>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</si>
  <si>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</si>
  <si>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</si>
  <si>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</si>
  <si>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</si>
  <si>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</si>
  <si>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</si>
  <si>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</si>
  <si>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</si>
  <si>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</si>
  <si>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</si>
  <si>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</si>
  <si>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</si>
  <si>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</si>
  <si>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</si>
  <si>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</si>
  <si>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</si>
  <si>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</si>
  <si>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</si>
  <si>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</si>
  <si>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</si>
  <si>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</si>
  <si>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</si>
  <si>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</si>
  <si>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</si>
  <si>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</si>
  <si>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</si>
  <si>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</si>
  <si>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</si>
  <si>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</si>
  <si>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</si>
  <si>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</si>
  <si>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</si>
  <si>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</si>
  <si>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</si>
  <si>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</si>
  <si>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</si>
  <si>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</si>
  <si>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</si>
  <si>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</si>
  <si>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</si>
  <si>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</si>
  <si>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</si>
  <si>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</si>
  <si>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</si>
  <si>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</si>
  <si>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</si>
  <si>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</si>
  <si>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</si>
  <si>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</si>
  <si>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</si>
  <si>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</si>
  <si>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</si>
  <si>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</si>
  <si>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</si>
  <si>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</si>
  <si>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</si>
  <si>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</si>
  <si>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</si>
  <si>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</si>
  <si>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</si>
  <si>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</si>
  <si>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</si>
  <si>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</si>
  <si>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</si>
  <si>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</si>
  <si>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</si>
  <si>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</si>
  <si>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</si>
  <si>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</si>
  <si>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</si>
  <si>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</si>
  <si>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</si>
  <si>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</si>
  <si>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</si>
  <si>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</si>
  <si>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</si>
  <si>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</si>
  <si>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</si>
  <si>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</si>
  <si>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</si>
  <si>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</si>
  <si>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</si>
  <si>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</si>
  <si>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</si>
  <si>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</si>
  <si>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</si>
  <si>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</si>
  <si>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</si>
  <si>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011900554.IB</t>
  </si>
  <si>
    <t>20190308</t>
  </si>
  <si>
    <t>19南新工SCP002</t>
  </si>
  <si>
    <t>011900154.IB</t>
  </si>
  <si>
    <t>20190115</t>
  </si>
  <si>
    <t>19南新工SCP001</t>
  </si>
  <si>
    <t>011802432.IB</t>
  </si>
  <si>
    <t>20181210</t>
  </si>
  <si>
    <t>18南新工SCP007</t>
  </si>
  <si>
    <t>011802347.IB</t>
  </si>
  <si>
    <t>20181128</t>
  </si>
  <si>
    <t>18南新工SCP006</t>
  </si>
  <si>
    <t>011802003.IB</t>
  </si>
  <si>
    <t>20181029</t>
  </si>
  <si>
    <t>18南新工SCP005</t>
  </si>
  <si>
    <t>011801560.IB</t>
  </si>
  <si>
    <t>20180815</t>
  </si>
  <si>
    <t>18南新工SCP004</t>
  </si>
  <si>
    <t>143610.SH</t>
  </si>
  <si>
    <t>20180426</t>
  </si>
  <si>
    <t>18新工01</t>
  </si>
  <si>
    <t>143611.SH</t>
  </si>
  <si>
    <t>18新工02</t>
  </si>
  <si>
    <t>011800622.IB</t>
  </si>
  <si>
    <t>20180403</t>
  </si>
  <si>
    <t>18南新工SCP003</t>
  </si>
  <si>
    <t>011800451.IB</t>
  </si>
  <si>
    <t>20180323</t>
  </si>
  <si>
    <t>18南新工SCP002</t>
  </si>
  <si>
    <t>011800198.IB</t>
  </si>
  <si>
    <t>20180202</t>
  </si>
  <si>
    <t>18南新工SCP001</t>
  </si>
  <si>
    <t>011755065.IB</t>
  </si>
  <si>
    <t>20171127</t>
  </si>
  <si>
    <t>17南新工SCP002</t>
  </si>
  <si>
    <t>011771028.IB</t>
  </si>
  <si>
    <t>20170731</t>
  </si>
  <si>
    <t>17南新工SCP001</t>
  </si>
  <si>
    <t>041671005.IB</t>
  </si>
  <si>
    <t>20160817</t>
  </si>
  <si>
    <t>16南新工CP001</t>
  </si>
  <si>
    <t>041571004.IB</t>
  </si>
  <si>
    <t>20150526</t>
  </si>
  <si>
    <t>15南新工CP001</t>
  </si>
  <si>
    <t>041471009.IB</t>
  </si>
  <si>
    <t>20141031</t>
  </si>
  <si>
    <t>14南新工CP001</t>
  </si>
  <si>
    <t>1382070.IB</t>
  </si>
  <si>
    <t>20130227</t>
  </si>
  <si>
    <t>13南新工MTN1</t>
  </si>
  <si>
    <t>1282399.IB</t>
  </si>
  <si>
    <t>20121016</t>
  </si>
  <si>
    <t>12南新工MTN2</t>
  </si>
  <si>
    <t>1282228.IB</t>
  </si>
  <si>
    <t>20120627</t>
  </si>
  <si>
    <t>12南新工MTN1</t>
  </si>
  <si>
    <t>历史主体评级</t>
  </si>
  <si>
    <t>发布日期</t>
  </si>
  <si>
    <t>主体资信级别</t>
  </si>
  <si>
    <t>评级展望</t>
  </si>
  <si>
    <t>评级机构</t>
  </si>
  <si>
    <t>20181123</t>
  </si>
  <si>
    <t>稳定</t>
  </si>
  <si>
    <t>上海新世纪资信评估投资服务有限公司</t>
  </si>
  <si>
    <t>20180627</t>
  </si>
  <si>
    <t>20170711</t>
  </si>
  <si>
    <t>20170629</t>
  </si>
  <si>
    <t>20170216</t>
  </si>
  <si>
    <t>20160701</t>
  </si>
  <si>
    <t>20151126</t>
  </si>
  <si>
    <t>AA+</t>
  </si>
  <si>
    <t>20150730</t>
  </si>
  <si>
    <t>20150429</t>
  </si>
  <si>
    <t>20150330</t>
  </si>
  <si>
    <t>20140625</t>
  </si>
  <si>
    <t>20130726</t>
  </si>
  <si>
    <t>20120907</t>
  </si>
  <si>
    <t>20111115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</si>
  <si>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</si>
  <si>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</si>
  <si>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</si>
  <si>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</si>
  <si>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</si>
  <si>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</si>
  <si>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</si>
  <si>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</si>
  <si>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</si>
  <si>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</si>
  <si>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南京医药股份有限公司</t>
  </si>
  <si>
    <t>AA稳定上调至AA+稳定</t>
  </si>
  <si>
    <t>中诚信国际信用评级有限责任公司</t>
  </si>
  <si>
    <t>南京医药在医药流通领域具备一定的规模优势，近年来盈利能力不断提升，非公开增发完成并引进境外战略投资者</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</si>
  <si>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</si>
  <si>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</si>
  <si>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</si>
  <si>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</si>
  <si>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</si>
  <si>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</si>
  <si>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</si>
  <si>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</si>
  <si>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</si>
  <si>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</si>
  <si>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</si>
  <si>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</si>
  <si>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</si>
  <si>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</si>
  <si>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</si>
  <si>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</si>
  <si>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</si>
  <si>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</si>
  <si>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</si>
  <si>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</si>
  <si>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</si>
  <si>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</si>
  <si>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</si>
  <si>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</si>
  <si>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</si>
  <si>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</si>
  <si>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</si>
  <si>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</si>
  <si>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南京新工投资集团有限责任公司</t>
  </si>
  <si>
    <t>地方国有企业</t>
  </si>
  <si>
    <t>日常消费--食品与主要用品零售Ⅱ--食品与主要用品零售Ⅲ--药品零售</t>
  </si>
  <si>
    <t>江苏省南京市玄武区唱经楼西街65号</t>
  </si>
  <si>
    <t>公司从事医药业务板块的南京医药产业集团有限责任公司是南京地区最大的医药企业和国内最大的医药企业集团之一，是南京市重点产业集团之一，是南京市委，市政府直属的特大型国有企业。连续三年位列中国500强企业前350位，中国医药企业前2位，是江苏省50强，医药行业龙头企业。医药制造板块在市场处于前列地位，其主要生产企业金陵药业股份有限公司南京金陵制药厂是全国医药50强之一。医药集团拥有较为明显的规模优势，目前集团下设七个研究所、2个博士后工作站、七个制药厂、五个中西药销售公司、近百个零售连锁药房、一个保健品专营公司和1所医院(金陵药业与市鼓楼医院联合收购的宿迁市人民医院)；具有化学合成药、生物制药、天然药物提取、中西药制剂(固体、液体)、饮片加工、保健品等多条现代化生产线；主要生产化学合成原料药、生物制剂、中西药制剂、中药饮片、保健品等。拥有南京医药、金陵药业、中外合资南京医药产业集团研究院、白敬宇制药、中山制药、同仁堂药业、南京药业、南京华东医药等重点企业，其中：南京医药、金陵药业为上市公司。</t>
  </si>
  <si>
    <t>南京市人民政府国有资产监督管理委员会</t>
  </si>
  <si>
    <t/>
  </si>
  <si>
    <t>A-1</t>
  </si>
  <si>
    <t>国药控股股份有限公司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</si>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</sst>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4" t="s">
        <v>1</v>
      </c>
      <c r="B3" s="115"/>
      <c r="C3" s="115"/>
      <c r="D3" s="115"/>
      <c r="E3" s="115"/>
      <c r="F3" s="115"/>
      <c r="G3" s="115"/>
    </row>
    <row r="4" spans="1:20" s="39" customFormat="1" ht="13.5" customHeight="1" x14ac:dyDescent="0.25">
      <c r="A4" s="95" t="s">
        <v>2</v>
      </c>
      <c r="B4" s="116" t="str">
        <f>[1]!b_info_issuerupdated(A2)</f>
        <v>南京新工投资集团有限责任公司</v>
      </c>
      <c r="C4" s="117"/>
      <c r="D4" s="95" t="s">
        <v>3</v>
      </c>
      <c r="E4" s="116" t="str">
        <f>[1]!s_info_nature(A2)</f>
        <v>地方国有企业</v>
      </c>
      <c r="F4" s="117"/>
      <c r="G4" s="117"/>
      <c r="H4" s="43"/>
    </row>
    <row r="5" spans="1:20" s="39" customFormat="1" ht="14.25" customHeight="1" x14ac:dyDescent="0.25">
      <c r="A5" s="95" t="s">
        <v>4</v>
      </c>
      <c r="B5" s="116" t="str">
        <f>[1]!b_issuer_windindustry(A2,9)</f>
        <v>日常消费--食品与主要用品零售Ⅱ--食品与主要用品零售Ⅲ--药品零售</v>
      </c>
      <c r="C5" s="117"/>
      <c r="D5" s="95" t="s">
        <v>5</v>
      </c>
      <c r="E5" s="116" t="str">
        <f>[1]!b_issuer_regaddress(A2)</f>
        <v>江苏省南京市玄武区唱经楼西街65号</v>
      </c>
      <c r="F5" s="117"/>
      <c r="G5" s="117"/>
    </row>
    <row r="6" spans="1:20" s="39" customFormat="1" ht="81" customHeight="1" x14ac:dyDescent="0.25">
      <c r="A6" s="95" t="s">
        <v>6</v>
      </c>
      <c r="B6" s="118" t="str">
        <f>[1]!s_info_briefing(A2)</f>
        <v>公司从事医药业务板块的南京医药产业集团有限责任公司是南京地区最大的医药企业和国内最大的医药企业集团之一，是南京市重点产业集团之一，是南京市委，市政府直属的特大型国有企业。连续三年位列中国500强企业前350位，中国医药企业前2位，是江苏省50强，医药行业龙头企业。医药制造板块在市场处于前列地位，其主要生产企业金陵药业股份有限公司南京金陵制药厂是全国医药50强之一。医药集团拥有较为明显的规模优势，目前集团下设七个研究所、2个博士后工作站、七个制药厂、五个中西药销售公司、近百个零售连锁药房、一个保健品专营公司和1所医院(金陵药业与市鼓楼医院联合收购的宿迁市人民医院)；具有化学合成药、生物制药、天然药物提取、中西药制剂(固体、液体)、饮片加工、保健品等多条现代化生产线；主要生产化学合成原料药、生物制剂、中西药制剂、中药饮片、保健品等。拥有南京医药、金陵药业、中外合资南京医药产业集团研究院、白敬宇制药、中山制药、同仁堂药业、南京药业、南京华东医药等重点企业，其中：南京医药、金陵药业为上市公司。</v>
      </c>
      <c r="C6" s="117"/>
      <c r="D6" s="117"/>
      <c r="E6" s="117"/>
      <c r="F6" s="117"/>
      <c r="G6" s="117"/>
    </row>
    <row r="7" spans="1:20" s="39" customFormat="1" x14ac:dyDescent="0.25">
      <c r="A7" s="96" t="s">
        <v>7</v>
      </c>
      <c r="B7" s="119" t="str">
        <f>[1]!b_issuer_shareholder(A2,"",1)</f>
        <v>南京市人民政府国有资产监督管理委员会</v>
      </c>
      <c r="C7" s="117"/>
      <c r="D7" s="117"/>
      <c r="E7" s="117"/>
      <c r="F7" s="98">
        <f>[1]!b_issuer_propofshareholder($A$2,"",1)%</f>
        <v>1</v>
      </c>
      <c r="G7" s="97"/>
      <c r="H7" s="44" t="s">
        <v>8</v>
      </c>
      <c r="M7" s="49">
        <v>42004</v>
      </c>
      <c r="N7" s="49">
        <v>42369</v>
      </c>
      <c r="O7" s="49">
        <v>41639</v>
      </c>
      <c r="P7" s="23" t="s">
        <v>9</v>
      </c>
      <c r="Q7" s="23" t="s">
        <v>10</v>
      </c>
      <c r="R7" s="23" t="s">
        <v>11</v>
      </c>
    </row>
    <row r="8" spans="1:20" s="39" customFormat="1" x14ac:dyDescent="0.25">
      <c r="A8" s="96"/>
      <c r="B8" s="119">
        <f>[1]!b_issuer_shareholder(A2,"",2)</f>
        <v>0</v>
      </c>
      <c r="C8" s="117"/>
      <c r="D8" s="117"/>
      <c r="E8" s="117"/>
      <c r="F8" s="98">
        <f>[1]!b_issuer_propofshareholder($A$2,"",2)%</f>
        <v>0</v>
      </c>
      <c r="G8" s="97"/>
      <c r="H8" s="44"/>
      <c r="M8" s="50"/>
      <c r="O8" s="50"/>
      <c r="P8" s="51"/>
    </row>
    <row r="9" spans="1:20" s="39" customFormat="1" x14ac:dyDescent="0.25">
      <c r="A9" s="96"/>
      <c r="B9" s="119">
        <f>[1]!b_issuer_shareholder(A2,"",3)</f>
        <v>0</v>
      </c>
      <c r="C9" s="117"/>
      <c r="D9" s="117"/>
      <c r="E9" s="117"/>
      <c r="F9" s="98">
        <f>[1]!b_issuer_propofshareholder($A$2,"",3)%</f>
        <v>0</v>
      </c>
      <c r="G9" s="97"/>
      <c r="H9" s="44"/>
      <c r="M9" s="50"/>
      <c r="O9" s="50"/>
      <c r="P9" s="51"/>
    </row>
    <row r="10" spans="1:20" s="39" customFormat="1" x14ac:dyDescent="0.25">
      <c r="A10" s="96"/>
      <c r="B10" s="119">
        <f>[1]!b_issuer_shareholder(A2,"",4)</f>
        <v>0</v>
      </c>
      <c r="C10" s="117"/>
      <c r="D10" s="117"/>
      <c r="E10" s="117"/>
      <c r="F10" s="98">
        <f>[1]!b_issuer_propofshareholder($A$2,"",4)%</f>
        <v>0</v>
      </c>
      <c r="G10" s="97"/>
      <c r="H10" s="44"/>
      <c r="M10" s="50"/>
      <c r="O10" s="50"/>
      <c r="P10" s="51"/>
    </row>
    <row r="11" spans="1:20" s="39" customFormat="1" x14ac:dyDescent="0.25">
      <c r="A11" s="96"/>
      <c r="B11" s="119">
        <f>[1]!b_issuer_shareholder(A2,"",5)</f>
        <v>0</v>
      </c>
      <c r="C11" s="117"/>
      <c r="D11" s="117"/>
      <c r="E11" s="117"/>
      <c r="F11" s="98">
        <f>[1]!b_issuer_propofshareholder($A$2,"",5)%</f>
        <v>0</v>
      </c>
      <c r="G11" s="97"/>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d19040305.IB</v>
      </c>
      <c r="K14" s="52"/>
      <c r="L14" s="53" t="str">
        <f>T15</f>
        <v>011499003.IB</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南京新工投资集团有限责任公司</v>
      </c>
      <c r="K15" s="135"/>
      <c r="L15" s="20" t="str">
        <f>[1]!b_info_issuer(L14)</f>
        <v>国药控股股份有限公司</v>
      </c>
      <c r="M15" s="20">
        <f>[1]!b_info_issuer(M14)</f>
        <v>0</v>
      </c>
      <c r="N15" s="20">
        <f>[1]!b_info_issuer(N14)</f>
        <v>0</v>
      </c>
      <c r="O15" s="20">
        <f>[1]!b_info_issuer(O14)</f>
        <v>0</v>
      </c>
      <c r="P15" s="20">
        <f>[1]!b_info_issuer(P14)</f>
        <v>0</v>
      </c>
      <c r="Q15" s="20">
        <f>[1]!b_info_issuer(Q14)</f>
        <v>0</v>
      </c>
      <c r="R15" s="20">
        <f>[1]!b_info_issuer(R14)</f>
        <v>0</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21"/>
      <c r="L16" s="11" t="s">
        <v>25</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26</v>
      </c>
      <c r="I17" s="21" t="s">
        <v>3</v>
      </c>
      <c r="J17" s="22" t="str">
        <f>[1]!s_info_nature(J14)</f>
        <v>地方国有企业</v>
      </c>
      <c r="K17" s="121"/>
      <c r="L17" s="22" t="str">
        <f>[1]!s_info_nature(L14)</f>
        <v>中央国有企业</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27</v>
      </c>
      <c r="J18" s="23" t="s">
        <v>28</v>
      </c>
      <c r="K18" s="121"/>
      <c r="L18" s="23" t="s">
        <v>28</v>
      </c>
      <c r="M18" s="23" t="s">
        <v>28</v>
      </c>
      <c r="N18" s="23" t="s">
        <v>28</v>
      </c>
      <c r="O18" s="23" t="s">
        <v>28</v>
      </c>
      <c r="P18" s="23" t="s">
        <v>28</v>
      </c>
      <c r="Q18" s="23" t="s">
        <v>28</v>
      </c>
      <c r="R18" s="23" t="s">
        <v>28</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29</v>
      </c>
      <c r="J19" s="24">
        <f>[1]!b_stm07_bs(J14,74,J13,1)/100000000</f>
        <v>636.12162544019998</v>
      </c>
      <c r="K19" s="121"/>
      <c r="L19" s="24">
        <f>[1]!b_stm07_bs(L14,74,L13,1)/100000000</f>
        <v>1694.0284470979998</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30</v>
      </c>
      <c r="J20" s="25">
        <f>[1]!s_fa_debttoassets(J14,J13)/100</f>
        <v>0.53387499999999999</v>
      </c>
      <c r="K20" s="121"/>
      <c r="L20" s="25">
        <f>[1]!s_fa_debttoassets(L14,L13)/100</f>
        <v>0.69647099999999995</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31</v>
      </c>
      <c r="J21" s="24">
        <f>[1]!s_fa_current(J14,J13)</f>
        <v>1.3542000000000001</v>
      </c>
      <c r="K21" s="121"/>
      <c r="L21" s="24">
        <f>[1]!s_fa_current(L14,L13)</f>
        <v>1.3029999999999999</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32</v>
      </c>
      <c r="J22" s="11">
        <f>(J96+J97+J98+J99+J100+J101)/J103</f>
        <v>0.23877798679044587</v>
      </c>
      <c r="K22" s="121"/>
      <c r="L22" s="11">
        <f>(公式页!L96+公式页!L97+公式页!L98+公式页!L99+公式页!L100+公式页!L101)/公式页!L103</f>
        <v>0.65081276397325849</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33</v>
      </c>
      <c r="J23" s="24">
        <f>[1]!s_fa_ebitdatodebt(J14,J13)</f>
        <v>6.4899999999999999E-2</v>
      </c>
      <c r="K23" s="121"/>
      <c r="L23" s="24">
        <f>[1]!s_fa_ebitdatodebt(L14,L13)</f>
        <v>0.1135</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34</v>
      </c>
      <c r="J24" s="24">
        <f>[1]!b_stm07_is(J14,9,J13,1)/100000000</f>
        <v>368.63588450300006</v>
      </c>
      <c r="K24" s="121"/>
      <c r="L24" s="24">
        <f>[1]!b_stm07_is(L14,9,L13,1)/100000000</f>
        <v>2770.2897776033001</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35</v>
      </c>
      <c r="J25" s="26">
        <f>[1]!s_fa_salescashintoor(J14,J13)%</f>
        <v>0.95730000000000004</v>
      </c>
      <c r="K25" s="121"/>
      <c r="L25" s="26">
        <f>[1]!s_fa_salescashintoor(L14,L13)%</f>
        <v>1.1632</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36</v>
      </c>
      <c r="J26" s="26">
        <f>[1]!s_fa_grossprofitmargin(J14,J13)%</f>
        <v>8.8780999999999999E-2</v>
      </c>
      <c r="K26" s="121"/>
      <c r="L26" s="26">
        <f>[1]!s_fa_grossprofitmargin(L14,L13)%</f>
        <v>8.2653000000000004E-2</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37</v>
      </c>
      <c r="J27" s="27">
        <f>[1]!b_stm07_is(J14,60,J13,1)/100000000</f>
        <v>10.825404191500001</v>
      </c>
      <c r="K27" s="121"/>
      <c r="L27" s="27">
        <f>[1]!b_stm07_is(L14,60,L13,1)/100000000</f>
        <v>77.959003949099994</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38</v>
      </c>
      <c r="I28" s="19" t="s">
        <v>39</v>
      </c>
      <c r="J28" s="25">
        <f>[1]!s_fa_roe(J14,J13)%</f>
        <v>4.4953E-2</v>
      </c>
      <c r="K28" s="121"/>
      <c r="L28" s="25">
        <f>[1]!s_fa_roe(L14,L13)%</f>
        <v>0.15518100000000001</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40</v>
      </c>
      <c r="J29" s="27">
        <f>[1]!b_stm07_cs(J14,39,J13,1)/100000000</f>
        <v>6.7282728414999999</v>
      </c>
      <c r="K29" s="121"/>
      <c r="L29" s="27">
        <f>[1]!b_stm07_cs(L14,39,L13,1)/100000000</f>
        <v>16.673446949200002</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41</v>
      </c>
      <c r="J96" s="62">
        <f>[1]!b_stm07_bs(J14,75,J13,1)</f>
        <v>5285968520</v>
      </c>
      <c r="K96" s="62"/>
      <c r="L96" s="62">
        <f>[1]!b_stm07_bs(L14,75,L13,1)</f>
        <v>23164001782.93</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42</v>
      </c>
      <c r="J97" s="62">
        <f>[1]!b_stm07_bs(J14,82,J13,1)</f>
        <v>78978969.519999996</v>
      </c>
      <c r="K97" s="62"/>
      <c r="L97" s="62">
        <f>[1]!b_stm07_bs(L14,82,L13,1)</f>
        <v>631615218.59000003</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43</v>
      </c>
      <c r="J98" s="62">
        <f>[1]!b_stm07_bs(J14,88,J13,1)</f>
        <v>1400852151.25</v>
      </c>
      <c r="K98" s="62"/>
      <c r="L98" s="62">
        <f>[1]!b_stm07_bs(L14,88,L13,1)</f>
        <v>4226872285.6700001</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44</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45</v>
      </c>
      <c r="J100" s="62">
        <f>[1]!b_stm07_bs(J14,94,J13,1)</f>
        <v>314252545.29000002</v>
      </c>
      <c r="K100" s="62"/>
      <c r="L100" s="62">
        <f>[1]!b_stm07_bs(L14,94,L13,1)</f>
        <v>451600000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46</v>
      </c>
      <c r="J101" s="62">
        <f>[1]!b_stm07_bs(J14,95,J13,1)</f>
        <v>0</v>
      </c>
      <c r="K101" s="62"/>
      <c r="L101" s="62">
        <f>[1]!b_stm07_bs(L14,95,L13,1)</f>
        <v>4989887829.21</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47</v>
      </c>
      <c r="J103" s="62">
        <f>[1]!b_stm07_bs(J14,141,J13,1)</f>
        <v>29651193065.27</v>
      </c>
      <c r="K103" s="62"/>
      <c r="L103" s="62">
        <f>[1]!b_stm07_bs(L14,141,L13,1)</f>
        <v>51418747401.480003</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0" t="s">
        <v>48</v>
      </c>
      <c r="B106" s="115"/>
      <c r="C106" s="115"/>
      <c r="D106" s="121"/>
      <c r="E106" s="121"/>
      <c r="F106" s="121"/>
      <c r="G106" s="121"/>
      <c r="H106" s="121"/>
      <c r="I106" s="121"/>
      <c r="J106" s="121"/>
      <c r="L106" s="39"/>
      <c r="M106" s="39"/>
    </row>
    <row r="107" spans="1:19" x14ac:dyDescent="0.25">
      <c r="A107" s="122" t="s">
        <v>49</v>
      </c>
      <c r="B107" s="115"/>
      <c r="C107" s="115"/>
      <c r="D107" s="121"/>
      <c r="E107" s="121"/>
      <c r="F107" s="121"/>
      <c r="G107" s="123">
        <v>2017</v>
      </c>
      <c r="H107" s="121"/>
      <c r="I107" s="121"/>
      <c r="J107" s="121"/>
      <c r="K107" s="74" t="str">
        <f>A2</f>
        <v>d19040305.IB</v>
      </c>
      <c r="L107" s="63">
        <f>B2</f>
        <v>43100</v>
      </c>
      <c r="M107" s="39"/>
    </row>
    <row r="108" spans="1:19" ht="12.75" customHeight="1" x14ac:dyDescent="0.25">
      <c r="A108" s="124" t="s">
        <v>50</v>
      </c>
      <c r="B108" s="115"/>
      <c r="C108" s="124" t="s">
        <v>51</v>
      </c>
      <c r="D108" s="121"/>
      <c r="E108" s="124" t="s">
        <v>52</v>
      </c>
      <c r="F108" s="121"/>
      <c r="G108" s="124" t="s">
        <v>53</v>
      </c>
      <c r="H108" s="121"/>
      <c r="I108" s="124" t="s">
        <v>54</v>
      </c>
      <c r="J108" s="121"/>
      <c r="L108" s="39"/>
      <c r="M108" s="39"/>
    </row>
    <row r="109" spans="1:19" ht="16.5" customHeight="1" x14ac:dyDescent="0.25">
      <c r="A109" s="19" t="s">
        <v>55</v>
      </c>
      <c r="B109" s="29">
        <f>M109/100</f>
        <v>0.53387499999999999</v>
      </c>
      <c r="C109" s="19" t="s">
        <v>31</v>
      </c>
      <c r="D109" s="30">
        <f>[1]!s_fa_current(A2,B2)</f>
        <v>1.3542000000000001</v>
      </c>
      <c r="E109" s="19" t="s">
        <v>35</v>
      </c>
      <c r="F109" s="33">
        <f>[1]!s_fa_salescashintoor(A2,B2)/100</f>
        <v>0.95730000000000004</v>
      </c>
      <c r="G109" s="19" t="s">
        <v>36</v>
      </c>
      <c r="H109" s="29">
        <f>S109/100</f>
        <v>8.8780999999999999E-2</v>
      </c>
      <c r="I109" s="19"/>
      <c r="J109" s="38"/>
      <c r="K109" s="50"/>
      <c r="L109" s="64" t="s">
        <v>55</v>
      </c>
      <c r="M109" s="65">
        <f>[1]!s_fa_debttoassets(A2,B2)</f>
        <v>53.387500000000003</v>
      </c>
      <c r="N109" s="19" t="s">
        <v>31</v>
      </c>
      <c r="O109" s="66"/>
      <c r="P109" s="19" t="s">
        <v>35</v>
      </c>
      <c r="Q109" s="66"/>
      <c r="R109" s="19" t="s">
        <v>36</v>
      </c>
      <c r="S109" s="69">
        <f>[1]!s_fa_grossprofitmargin(A2,B2)</f>
        <v>8.8780999999999999</v>
      </c>
    </row>
    <row r="110" spans="1:19" ht="15.75" customHeight="1" x14ac:dyDescent="0.25">
      <c r="A110" s="19" t="s">
        <v>56</v>
      </c>
      <c r="B110" s="29">
        <f>M110/100</f>
        <v>0.46942799999999996</v>
      </c>
      <c r="C110" s="19" t="s">
        <v>57</v>
      </c>
      <c r="D110" s="33">
        <f>[1]!s_fa_quick(A2,B2)</f>
        <v>1.1768000000000001</v>
      </c>
      <c r="E110" s="19" t="s">
        <v>58</v>
      </c>
      <c r="F110" s="30">
        <f>[1]!s_fa_arturn(A2,B2)</f>
        <v>4.8169000000000004</v>
      </c>
      <c r="G110" s="19" t="s">
        <v>59</v>
      </c>
      <c r="H110" s="29">
        <f>S110/100</f>
        <v>2.7425999999999999E-2</v>
      </c>
      <c r="I110" s="19"/>
      <c r="J110" s="38"/>
      <c r="L110" s="19" t="s">
        <v>56</v>
      </c>
      <c r="M110" s="65">
        <f>[1]!s_fa_catoassets(A2,B2)</f>
        <v>46.942799999999998</v>
      </c>
      <c r="N110" s="19" t="s">
        <v>57</v>
      </c>
      <c r="O110" s="66"/>
      <c r="P110" s="19" t="s">
        <v>58</v>
      </c>
      <c r="Q110" s="33"/>
      <c r="R110" s="19" t="s">
        <v>59</v>
      </c>
      <c r="S110" s="69">
        <f>[1]!s_fa_optogr(A2,B2)</f>
        <v>2.7425999999999999</v>
      </c>
    </row>
    <row r="111" spans="1:19" ht="15" customHeight="1" x14ac:dyDescent="0.25">
      <c r="A111" s="19" t="s">
        <v>60</v>
      </c>
      <c r="B111" s="29">
        <f>M111/100</f>
        <v>0.64932400000000001</v>
      </c>
      <c r="C111" s="19" t="s">
        <v>33</v>
      </c>
      <c r="D111" s="33">
        <f>[1]!s_fa_ebitdatodebt(A2,B2)</f>
        <v>6.4899999999999999E-2</v>
      </c>
      <c r="E111" s="19" t="s">
        <v>61</v>
      </c>
      <c r="F111" s="30">
        <f>[1]!s_fa_invturn(A2,B2)</f>
        <v>8.6211000000000002</v>
      </c>
      <c r="G111" s="19" t="s">
        <v>39</v>
      </c>
      <c r="H111" s="29">
        <f>S111/100</f>
        <v>4.4953E-2</v>
      </c>
      <c r="I111" s="19"/>
      <c r="J111" s="38"/>
      <c r="L111" s="19" t="s">
        <v>60</v>
      </c>
      <c r="M111" s="65">
        <f>[1]!s_fa_currentdebttodebt(A2,B2)</f>
        <v>64.932400000000001</v>
      </c>
      <c r="N111" s="19" t="s">
        <v>33</v>
      </c>
      <c r="O111" s="66"/>
      <c r="P111" s="19" t="s">
        <v>61</v>
      </c>
      <c r="Q111" s="66"/>
      <c r="R111" s="19" t="s">
        <v>39</v>
      </c>
      <c r="S111" s="69">
        <f>[1]!s_fa_roe(A2,B2)</f>
        <v>4.4953000000000003</v>
      </c>
    </row>
    <row r="112" spans="1:19" ht="14.25" customHeight="1" x14ac:dyDescent="0.25">
      <c r="A112" s="19" t="s">
        <v>32</v>
      </c>
      <c r="B112" s="31">
        <f>(M116+M117+M118+M119+M120+M121)/M123</f>
        <v>0.23877798679044587</v>
      </c>
      <c r="C112" s="19" t="s">
        <v>62</v>
      </c>
      <c r="D112" s="33">
        <f>[1]!s_fa_ebittointerest(A2,B2)</f>
        <v>4.2942999999999998</v>
      </c>
      <c r="E112" s="19" t="s">
        <v>63</v>
      </c>
      <c r="F112" s="30">
        <f>[1]!s_fa_caturn(A2,B2)</f>
        <v>1.2222</v>
      </c>
      <c r="G112" s="19" t="s">
        <v>64</v>
      </c>
      <c r="H112" s="29">
        <f>S112/100</f>
        <v>2.7147000000000001E-2</v>
      </c>
      <c r="I112" s="19"/>
      <c r="J112" s="38"/>
      <c r="L112" s="19" t="s">
        <v>32</v>
      </c>
      <c r="M112" s="67"/>
      <c r="N112" s="19" t="s">
        <v>62</v>
      </c>
      <c r="O112" s="66"/>
      <c r="P112" s="19" t="s">
        <v>63</v>
      </c>
      <c r="Q112" s="66"/>
      <c r="R112" s="19" t="s">
        <v>64</v>
      </c>
      <c r="S112" s="69">
        <f>[1]!s_fa_roa2(A2,B2)</f>
        <v>2.7147000000000001</v>
      </c>
    </row>
    <row r="113" spans="1:21" x14ac:dyDescent="0.25">
      <c r="A113" s="57"/>
      <c r="B113" s="58"/>
      <c r="C113" s="57"/>
      <c r="D113" s="59"/>
      <c r="E113" s="57" t="s">
        <v>65</v>
      </c>
      <c r="F113" s="60">
        <f>[1]!s_fa_dupont_faturnover(A2,B2)</f>
        <v>0.59260000000000002</v>
      </c>
      <c r="G113" s="57"/>
      <c r="H113" s="58"/>
      <c r="I113" s="57"/>
      <c r="J113" s="58"/>
      <c r="L113" s="57"/>
      <c r="M113" s="68"/>
      <c r="N113" s="57"/>
      <c r="O113" s="59"/>
      <c r="P113" s="57" t="s">
        <v>65</v>
      </c>
      <c r="Q113" s="70"/>
      <c r="R113" s="57"/>
      <c r="S113" s="58"/>
    </row>
    <row r="114" spans="1:21" ht="13.5" customHeight="1" x14ac:dyDescent="0.25">
      <c r="A114" s="120" t="s">
        <v>66</v>
      </c>
      <c r="B114" s="115"/>
      <c r="C114" s="115"/>
      <c r="D114" s="121"/>
      <c r="E114" s="121"/>
      <c r="F114" s="121"/>
      <c r="G114" s="121"/>
      <c r="H114" s="121"/>
      <c r="I114" s="121"/>
      <c r="J114" s="121"/>
      <c r="L114" s="39"/>
      <c r="M114" s="39"/>
    </row>
    <row r="115" spans="1:21" ht="13.5" customHeight="1" x14ac:dyDescent="0.25">
      <c r="A115" s="122" t="s">
        <v>67</v>
      </c>
      <c r="B115" s="115"/>
      <c r="C115" s="115"/>
      <c r="D115" s="121"/>
      <c r="E115" s="121"/>
      <c r="F115" s="121"/>
      <c r="G115" s="125">
        <v>2017</v>
      </c>
      <c r="H115" s="121"/>
      <c r="I115" s="121"/>
      <c r="J115" s="121"/>
      <c r="L115" s="39"/>
      <c r="M115" s="39"/>
    </row>
    <row r="116" spans="1:21" x14ac:dyDescent="0.25">
      <c r="A116" s="126" t="s">
        <v>68</v>
      </c>
      <c r="B116" s="115"/>
      <c r="C116" s="126" t="s">
        <v>69</v>
      </c>
      <c r="D116" s="121"/>
      <c r="E116" s="127" t="s">
        <v>70</v>
      </c>
      <c r="F116" s="121"/>
      <c r="G116" s="121"/>
      <c r="H116" s="121"/>
      <c r="I116" s="121"/>
      <c r="J116" s="121"/>
      <c r="L116" s="39" t="s">
        <v>41</v>
      </c>
      <c r="M116" s="62">
        <f>[1]!b_stm07_bs(K107,75,L107,1)</f>
        <v>5285968520</v>
      </c>
    </row>
    <row r="117" spans="1:21" ht="14.25" customHeight="1" x14ac:dyDescent="0.25">
      <c r="A117" s="19" t="s">
        <v>71</v>
      </c>
      <c r="B117" s="33">
        <f t="shared" ref="B117:B131" si="1">M127/100000000</f>
        <v>32.217848056599998</v>
      </c>
      <c r="C117" s="19" t="s">
        <v>72</v>
      </c>
      <c r="D117" s="31">
        <f t="shared" ref="D117:D125" si="2">O127/100000000</f>
        <v>368.63588450300006</v>
      </c>
      <c r="E117" s="128" t="s">
        <v>73</v>
      </c>
      <c r="F117" s="121"/>
      <c r="G117" s="121"/>
      <c r="H117" s="129">
        <f t="shared" ref="H117:H131" si="3">S127/100000000</f>
        <v>352.88667639519997</v>
      </c>
      <c r="I117" s="121"/>
      <c r="J117" s="121"/>
      <c r="L117" s="39" t="s">
        <v>42</v>
      </c>
      <c r="M117" s="62">
        <f>[1]!b_stm07_bs(K107,82,L107,1)</f>
        <v>78978969.519999996</v>
      </c>
    </row>
    <row r="118" spans="1:21" ht="14.25" customHeight="1" x14ac:dyDescent="0.25">
      <c r="A118" s="19" t="s">
        <v>74</v>
      </c>
      <c r="B118" s="33">
        <f t="shared" si="1"/>
        <v>77.545271148099999</v>
      </c>
      <c r="C118" s="19" t="s">
        <v>75</v>
      </c>
      <c r="D118" s="31">
        <f t="shared" si="2"/>
        <v>374.12380393040002</v>
      </c>
      <c r="E118" s="128" t="s">
        <v>76</v>
      </c>
      <c r="F118" s="121"/>
      <c r="G118" s="121"/>
      <c r="H118" s="129">
        <f t="shared" si="3"/>
        <v>28.337947360500003</v>
      </c>
      <c r="I118" s="121"/>
      <c r="J118" s="121"/>
      <c r="L118" s="39" t="s">
        <v>43</v>
      </c>
      <c r="M118" s="62">
        <f>[1]!b_stm07_bs(K107,88,L107,1)</f>
        <v>1400852151.25</v>
      </c>
    </row>
    <row r="119" spans="1:21" ht="14.25" customHeight="1" x14ac:dyDescent="0.25">
      <c r="A119" s="19" t="s">
        <v>77</v>
      </c>
      <c r="B119" s="33">
        <f t="shared" si="1"/>
        <v>29.901652758299999</v>
      </c>
      <c r="C119" s="19" t="s">
        <v>78</v>
      </c>
      <c r="D119" s="31">
        <f t="shared" si="2"/>
        <v>335.90814373749998</v>
      </c>
      <c r="E119" s="128" t="s">
        <v>79</v>
      </c>
      <c r="F119" s="121"/>
      <c r="G119" s="121"/>
      <c r="H119" s="130">
        <f t="shared" si="3"/>
        <v>381.40136845649999</v>
      </c>
      <c r="I119" s="121"/>
      <c r="J119" s="121"/>
      <c r="L119" s="39" t="s">
        <v>44</v>
      </c>
      <c r="M119" s="62">
        <f>[1]!b_stm07_bs(K107,147,L107,1)</f>
        <v>0</v>
      </c>
    </row>
    <row r="120" spans="1:21" ht="14.25" customHeight="1" x14ac:dyDescent="0.25">
      <c r="A120" s="19" t="s">
        <v>80</v>
      </c>
      <c r="B120" s="33">
        <f t="shared" si="1"/>
        <v>44.401534111700002</v>
      </c>
      <c r="C120" s="19" t="s">
        <v>81</v>
      </c>
      <c r="D120" s="31">
        <f t="shared" si="2"/>
        <v>10.679166002000001</v>
      </c>
      <c r="E120" s="128" t="s">
        <v>82</v>
      </c>
      <c r="F120" s="121"/>
      <c r="G120" s="121"/>
      <c r="H120" s="129">
        <f t="shared" si="3"/>
        <v>319.5683119373</v>
      </c>
      <c r="I120" s="121"/>
      <c r="J120" s="121"/>
      <c r="L120" s="39" t="s">
        <v>45</v>
      </c>
      <c r="M120" s="62">
        <f>[1]!b_stm07_bs(K107,94,L107,1)</f>
        <v>314252545.29000002</v>
      </c>
    </row>
    <row r="121" spans="1:21" ht="14.25" customHeight="1" x14ac:dyDescent="0.25">
      <c r="A121" s="19" t="s">
        <v>83</v>
      </c>
      <c r="B121" s="33">
        <f t="shared" si="1"/>
        <v>3.0998912093</v>
      </c>
      <c r="C121" s="19" t="s">
        <v>84</v>
      </c>
      <c r="D121" s="31">
        <f t="shared" si="2"/>
        <v>14.639654463900001</v>
      </c>
      <c r="E121" s="128" t="s">
        <v>85</v>
      </c>
      <c r="F121" s="121"/>
      <c r="G121" s="121"/>
      <c r="H121" s="129">
        <f t="shared" si="3"/>
        <v>26.4880675942</v>
      </c>
      <c r="I121" s="121"/>
      <c r="J121" s="121"/>
      <c r="L121" s="39" t="s">
        <v>46</v>
      </c>
      <c r="M121" s="62">
        <f>[1]!b_stm07_bs(K107,95,L107,1)</f>
        <v>0</v>
      </c>
    </row>
    <row r="122" spans="1:21" ht="14.25" customHeight="1" x14ac:dyDescent="0.25">
      <c r="A122" s="19" t="s">
        <v>86</v>
      </c>
      <c r="B122" s="33">
        <f t="shared" si="1"/>
        <v>7.9309090585000002</v>
      </c>
      <c r="C122" s="19" t="s">
        <v>87</v>
      </c>
      <c r="D122" s="31">
        <f t="shared" si="2"/>
        <v>4.1797059201</v>
      </c>
      <c r="E122" s="128" t="s">
        <v>88</v>
      </c>
      <c r="F122" s="121"/>
      <c r="G122" s="121"/>
      <c r="H122" s="130">
        <f t="shared" si="3"/>
        <v>374.67309561500002</v>
      </c>
      <c r="I122" s="121"/>
      <c r="J122" s="121"/>
      <c r="L122" s="39"/>
      <c r="M122" s="39"/>
    </row>
    <row r="123" spans="1:21" ht="14.25" customHeight="1" x14ac:dyDescent="0.25">
      <c r="A123" s="19" t="s">
        <v>89</v>
      </c>
      <c r="B123" s="61">
        <f t="shared" si="1"/>
        <v>636.12162544019998</v>
      </c>
      <c r="C123" s="19" t="s">
        <v>90</v>
      </c>
      <c r="D123" s="31">
        <f t="shared" si="2"/>
        <v>10.110296563</v>
      </c>
      <c r="E123" s="128" t="s">
        <v>91</v>
      </c>
      <c r="F123" s="121"/>
      <c r="G123" s="121"/>
      <c r="H123" s="130">
        <f t="shared" si="3"/>
        <v>6.7282728414999999</v>
      </c>
      <c r="I123" s="121"/>
      <c r="J123" s="121"/>
      <c r="L123" s="39" t="s">
        <v>47</v>
      </c>
      <c r="M123" s="62">
        <f>[1]!b_stm07_bs(K107,141,L107,1)</f>
        <v>29651193065.27</v>
      </c>
    </row>
    <row r="124" spans="1:21" ht="14.25" customHeight="1" x14ac:dyDescent="0.25">
      <c r="A124" s="19" t="s">
        <v>92</v>
      </c>
      <c r="B124" s="33">
        <f t="shared" si="1"/>
        <v>52.859685200000001</v>
      </c>
      <c r="C124" s="19" t="s">
        <v>93</v>
      </c>
      <c r="D124" s="31">
        <f t="shared" si="2"/>
        <v>12.9536827401</v>
      </c>
      <c r="E124" s="128" t="s">
        <v>94</v>
      </c>
      <c r="F124" s="121"/>
      <c r="G124" s="121"/>
      <c r="H124" s="130">
        <f t="shared" si="3"/>
        <v>18.034756246099999</v>
      </c>
      <c r="I124" s="121"/>
      <c r="J124" s="121"/>
      <c r="L124" s="39"/>
      <c r="M124" s="39"/>
    </row>
    <row r="125" spans="1:21" ht="27" customHeight="1" x14ac:dyDescent="0.25">
      <c r="A125" s="19" t="s">
        <v>95</v>
      </c>
      <c r="B125" s="33">
        <f t="shared" si="1"/>
        <v>14.0085215125</v>
      </c>
      <c r="C125" s="19" t="s">
        <v>37</v>
      </c>
      <c r="D125" s="31">
        <f t="shared" si="2"/>
        <v>10.825404191500001</v>
      </c>
      <c r="E125" s="128" t="s">
        <v>96</v>
      </c>
      <c r="F125" s="121"/>
      <c r="G125" s="121"/>
      <c r="H125" s="129">
        <f t="shared" si="3"/>
        <v>1.7000000000000001E-2</v>
      </c>
      <c r="I125" s="121"/>
      <c r="J125" s="121"/>
      <c r="L125" s="39"/>
      <c r="M125" s="39"/>
    </row>
    <row r="126" spans="1:21" ht="16.5" customHeight="1" x14ac:dyDescent="0.25">
      <c r="A126" s="19" t="s">
        <v>97</v>
      </c>
      <c r="B126" s="33">
        <f t="shared" si="1"/>
        <v>0</v>
      </c>
      <c r="C126" s="19"/>
      <c r="D126" s="34"/>
      <c r="E126" s="128" t="s">
        <v>98</v>
      </c>
      <c r="F126" s="121"/>
      <c r="G126" s="121"/>
      <c r="H126" s="129">
        <f t="shared" si="3"/>
        <v>82.959559065200011</v>
      </c>
      <c r="I126" s="121"/>
      <c r="J126" s="121"/>
      <c r="L126" s="131" t="s">
        <v>68</v>
      </c>
      <c r="M126" s="121"/>
      <c r="N126" s="131" t="s">
        <v>69</v>
      </c>
      <c r="O126" s="121"/>
      <c r="P126" s="122" t="s">
        <v>70</v>
      </c>
      <c r="Q126" s="121"/>
      <c r="R126" s="121"/>
      <c r="S126" s="132"/>
      <c r="T126" s="132"/>
      <c r="U126" s="132"/>
    </row>
    <row r="127" spans="1:21" ht="14.25" customHeight="1" x14ac:dyDescent="0.25">
      <c r="A127" s="19" t="s">
        <v>99</v>
      </c>
      <c r="B127" s="33">
        <f t="shared" si="1"/>
        <v>3.1425254529000002</v>
      </c>
      <c r="C127" s="19"/>
      <c r="D127" s="34"/>
      <c r="E127" s="128" t="s">
        <v>100</v>
      </c>
      <c r="F127" s="121"/>
      <c r="G127" s="121"/>
      <c r="H127" s="129">
        <f t="shared" si="3"/>
        <v>23.977955973299999</v>
      </c>
      <c r="I127" s="121"/>
      <c r="J127" s="121"/>
      <c r="L127" s="19" t="s">
        <v>71</v>
      </c>
      <c r="M127" s="69">
        <f>[1]!b_stm07_bs(K107,9,L107,1)</f>
        <v>3221784805.6599998</v>
      </c>
      <c r="N127" s="19" t="s">
        <v>72</v>
      </c>
      <c r="O127" s="69">
        <f>[1]!b_stm07_is(K107,83,L107,1)</f>
        <v>36863588450.300003</v>
      </c>
      <c r="P127" s="128" t="s">
        <v>73</v>
      </c>
      <c r="Q127" s="121"/>
      <c r="R127" s="121"/>
      <c r="S127" s="133">
        <f>[1]!b_stm07_cs(K107,9,L107,1)</f>
        <v>35288667639.519997</v>
      </c>
      <c r="T127" s="132"/>
      <c r="U127" s="132"/>
    </row>
    <row r="128" spans="1:21" ht="14.25" customHeight="1" x14ac:dyDescent="0.25">
      <c r="A128" s="19" t="s">
        <v>101</v>
      </c>
      <c r="B128" s="33">
        <f t="shared" si="1"/>
        <v>0</v>
      </c>
      <c r="C128" s="19"/>
      <c r="D128" s="34"/>
      <c r="E128" s="128" t="s">
        <v>102</v>
      </c>
      <c r="F128" s="121"/>
      <c r="G128" s="121"/>
      <c r="H128" s="130">
        <f t="shared" si="3"/>
        <v>108.48351637200001</v>
      </c>
      <c r="I128" s="121"/>
      <c r="J128" s="121"/>
      <c r="L128" s="19" t="s">
        <v>74</v>
      </c>
      <c r="M128" s="69">
        <f>[1]!b_stm07_bs(K107,12,L107,1)</f>
        <v>7754527114.8100004</v>
      </c>
      <c r="N128" s="19" t="s">
        <v>75</v>
      </c>
      <c r="O128" s="69">
        <f>[1]!b_stm07_is(K107,84,L107,1)</f>
        <v>37412380393.040001</v>
      </c>
      <c r="P128" s="128" t="s">
        <v>76</v>
      </c>
      <c r="Q128" s="121"/>
      <c r="R128" s="121"/>
      <c r="S128" s="133">
        <f>[1]!b_stm07_cs(K107,11,L107,1)</f>
        <v>2833794736.0500002</v>
      </c>
      <c r="T128" s="132"/>
      <c r="U128" s="132"/>
    </row>
    <row r="129" spans="1:21" ht="14.25" customHeight="1" x14ac:dyDescent="0.25">
      <c r="A129" s="19" t="s">
        <v>103</v>
      </c>
      <c r="B129" s="61">
        <f t="shared" si="1"/>
        <v>339.60969478750002</v>
      </c>
      <c r="C129" s="35"/>
      <c r="D129" s="32"/>
      <c r="E129" s="128" t="s">
        <v>104</v>
      </c>
      <c r="F129" s="121"/>
      <c r="G129" s="121"/>
      <c r="H129" s="129">
        <f t="shared" si="3"/>
        <v>124.8133796506</v>
      </c>
      <c r="I129" s="121"/>
      <c r="J129" s="121"/>
      <c r="L129" s="19" t="s">
        <v>77</v>
      </c>
      <c r="M129" s="69">
        <f>[1]!b_stm07_bs(K107,13,L107,1)</f>
        <v>2990165275.8299999</v>
      </c>
      <c r="N129" s="19" t="s">
        <v>78</v>
      </c>
      <c r="O129" s="69">
        <f>[1]!b_stm07_is(K107,10,L107,1)</f>
        <v>33590814373.75</v>
      </c>
      <c r="P129" s="128" t="s">
        <v>79</v>
      </c>
      <c r="Q129" s="121"/>
      <c r="R129" s="121"/>
      <c r="S129" s="134">
        <f>[1]!b_stm07_cs(K107,25,L107,1)</f>
        <v>38140136845.650002</v>
      </c>
      <c r="T129" s="132"/>
      <c r="U129" s="132"/>
    </row>
    <row r="130" spans="1:21" ht="14.25" customHeight="1" x14ac:dyDescent="0.25">
      <c r="A130" s="19" t="s">
        <v>105</v>
      </c>
      <c r="B130" s="61">
        <f t="shared" si="1"/>
        <v>296.51193065270002</v>
      </c>
      <c r="C130" s="35"/>
      <c r="D130" s="32"/>
      <c r="E130" s="128" t="s">
        <v>106</v>
      </c>
      <c r="F130" s="121"/>
      <c r="G130" s="121"/>
      <c r="H130" s="129">
        <f t="shared" si="3"/>
        <v>134.32292071169999</v>
      </c>
      <c r="I130" s="121"/>
      <c r="J130" s="121"/>
      <c r="L130" s="19" t="s">
        <v>80</v>
      </c>
      <c r="M130" s="69">
        <f>[1]!b_stm07_bs(K107,31,L107,1)</f>
        <v>4440153411.1700001</v>
      </c>
      <c r="N130" s="19" t="s">
        <v>81</v>
      </c>
      <c r="O130" s="69">
        <f>[1]!b_stm07_is(K107,12,L107,1)</f>
        <v>1067916600.2</v>
      </c>
      <c r="P130" s="128" t="s">
        <v>82</v>
      </c>
      <c r="Q130" s="121"/>
      <c r="R130" s="121"/>
      <c r="S130" s="133">
        <f>[1]!b_stm07_cs(K107,26,L107,1)</f>
        <v>31956831193.73</v>
      </c>
      <c r="T130" s="132"/>
      <c r="U130" s="132"/>
    </row>
    <row r="131" spans="1:21" ht="14.25" customHeight="1" x14ac:dyDescent="0.25">
      <c r="A131" s="36" t="s">
        <v>107</v>
      </c>
      <c r="B131" s="61">
        <f t="shared" si="1"/>
        <v>636.12162544019998</v>
      </c>
      <c r="C131" s="35"/>
      <c r="D131" s="32"/>
      <c r="E131" s="128" t="s">
        <v>108</v>
      </c>
      <c r="F131" s="121"/>
      <c r="G131" s="121"/>
      <c r="H131" s="130">
        <f t="shared" si="3"/>
        <v>-25.839404339699996</v>
      </c>
      <c r="I131" s="121"/>
      <c r="J131" s="121"/>
      <c r="L131" s="19" t="s">
        <v>83</v>
      </c>
      <c r="M131" s="69">
        <f>[1]!b_stm07_bs(K107,33,L107,1)</f>
        <v>309989120.93000001</v>
      </c>
      <c r="N131" s="19" t="s">
        <v>84</v>
      </c>
      <c r="O131" s="69">
        <f>[1]!b_stm07_is(K107,13,L107,1)</f>
        <v>1463965446.3900001</v>
      </c>
      <c r="P131" s="128" t="s">
        <v>85</v>
      </c>
      <c r="Q131" s="121"/>
      <c r="R131" s="121"/>
      <c r="S131" s="133">
        <f>[1]!b_stm07_cs(K107,29,L107,1)</f>
        <v>2648806759.4200001</v>
      </c>
      <c r="T131" s="132"/>
      <c r="U131" s="132"/>
    </row>
    <row r="132" spans="1:21" x14ac:dyDescent="0.25">
      <c r="L132" s="19" t="s">
        <v>86</v>
      </c>
      <c r="M132" s="69">
        <f>[1]!b_stm07_bs(K107,37,L107,1)</f>
        <v>793090905.85000002</v>
      </c>
      <c r="N132" s="19" t="s">
        <v>87</v>
      </c>
      <c r="O132" s="69">
        <f>[1]!b_stm07_is(K107,14,L107,1)</f>
        <v>417970592.00999999</v>
      </c>
      <c r="P132" s="128" t="s">
        <v>88</v>
      </c>
      <c r="Q132" s="121"/>
      <c r="R132" s="121"/>
      <c r="S132" s="134">
        <f>[1]!b_stm07_cs(K107,37,L107,1)</f>
        <v>37467309561.5</v>
      </c>
      <c r="T132" s="132"/>
      <c r="U132" s="132"/>
    </row>
    <row r="133" spans="1:21" x14ac:dyDescent="0.25">
      <c r="L133" s="19" t="s">
        <v>89</v>
      </c>
      <c r="M133" s="71">
        <f>[1]!b_stm07_bs(K107,74,L107,1)</f>
        <v>63612162544.019997</v>
      </c>
      <c r="N133" s="19" t="s">
        <v>90</v>
      </c>
      <c r="O133" s="69">
        <f>[1]!b_stm07_is(K107,48,L107,1)</f>
        <v>1011029656.3</v>
      </c>
      <c r="P133" s="128" t="s">
        <v>91</v>
      </c>
      <c r="Q133" s="121"/>
      <c r="R133" s="121"/>
      <c r="S133" s="134">
        <f>[1]!b_stm07_cs(K107,39,L107,1)</f>
        <v>672827284.14999998</v>
      </c>
      <c r="T133" s="132"/>
      <c r="U133" s="132"/>
    </row>
    <row r="134" spans="1:21" x14ac:dyDescent="0.25">
      <c r="L134" s="19" t="s">
        <v>92</v>
      </c>
      <c r="M134" s="69">
        <f>[1]!b_stm07_bs(K107,75,L107,1)</f>
        <v>5285968520</v>
      </c>
      <c r="N134" s="19" t="s">
        <v>93</v>
      </c>
      <c r="O134" s="69">
        <f>[1]!b_stm07_is(K107,55,L107,1)</f>
        <v>1295368274.01</v>
      </c>
      <c r="P134" s="128" t="s">
        <v>94</v>
      </c>
      <c r="Q134" s="121"/>
      <c r="R134" s="121"/>
      <c r="S134" s="134">
        <f>[1]!b_stm07_cs(K107,59,L107,1)</f>
        <v>1803475624.6099999</v>
      </c>
      <c r="T134" s="132"/>
      <c r="U134" s="132"/>
    </row>
    <row r="135" spans="1:21" ht="32.4" customHeight="1" x14ac:dyDescent="0.25">
      <c r="L135" s="19" t="s">
        <v>95</v>
      </c>
      <c r="M135" s="69">
        <f>[1]!b_stm07_bs(K107,88,L107,1)</f>
        <v>1400852151.25</v>
      </c>
      <c r="N135" s="19" t="s">
        <v>37</v>
      </c>
      <c r="O135" s="69">
        <f>[1]!b_stm07_is(K107,60,L107,1)</f>
        <v>1082540419.1500001</v>
      </c>
      <c r="P135" s="128" t="s">
        <v>96</v>
      </c>
      <c r="Q135" s="121"/>
      <c r="R135" s="121"/>
      <c r="S135" s="133">
        <f>[1]!b_stm07_cs(K107,60,L107,1)</f>
        <v>1700000</v>
      </c>
      <c r="T135" s="132"/>
      <c r="U135" s="132"/>
    </row>
    <row r="136" spans="1:21" ht="21.6" customHeight="1" x14ac:dyDescent="0.25">
      <c r="L136" s="19" t="s">
        <v>97</v>
      </c>
      <c r="M136" s="69">
        <f>[1]!b_stm07_bs(K107,147,L107,1)</f>
        <v>0</v>
      </c>
      <c r="N136" s="19"/>
      <c r="O136" s="34"/>
      <c r="P136" s="128" t="s">
        <v>98</v>
      </c>
      <c r="Q136" s="121"/>
      <c r="R136" s="121"/>
      <c r="S136" s="133">
        <f>[1]!b_stm07_cs(K107,61,L107,1)</f>
        <v>8295955906.5200005</v>
      </c>
      <c r="T136" s="132"/>
      <c r="U136" s="132"/>
    </row>
    <row r="137" spans="1:21" x14ac:dyDescent="0.25">
      <c r="L137" s="19" t="s">
        <v>99</v>
      </c>
      <c r="M137" s="69">
        <f>[1]!b_stm07_bs(K107,94,L107,1)</f>
        <v>314252545.29000002</v>
      </c>
      <c r="N137" s="19"/>
      <c r="O137" s="34"/>
      <c r="P137" s="128" t="s">
        <v>100</v>
      </c>
      <c r="Q137" s="121"/>
      <c r="R137" s="121"/>
      <c r="S137" s="133">
        <f>[1]!b_stm07_cs(K107,63,L107,1)</f>
        <v>2397795597.3299999</v>
      </c>
      <c r="T137" s="132"/>
      <c r="U137" s="132"/>
    </row>
    <row r="138" spans="1:21" x14ac:dyDescent="0.25">
      <c r="L138" s="19" t="s">
        <v>101</v>
      </c>
      <c r="M138" s="69">
        <f>[1]!b_stm07_bs(K107,95,L107,1)</f>
        <v>0</v>
      </c>
      <c r="N138" s="19"/>
      <c r="O138" s="34"/>
      <c r="P138" s="128" t="s">
        <v>102</v>
      </c>
      <c r="Q138" s="121"/>
      <c r="R138" s="121"/>
      <c r="S138" s="134">
        <f>[1]!b_stm07_cs(K107,68,L107,1)</f>
        <v>10848351637.200001</v>
      </c>
      <c r="T138" s="132"/>
      <c r="U138" s="132"/>
    </row>
    <row r="139" spans="1:21" x14ac:dyDescent="0.25">
      <c r="L139" s="19" t="s">
        <v>103</v>
      </c>
      <c r="M139" s="71">
        <f>[1]!b_stm07_bs(K107,128,L107,1)</f>
        <v>33960969478.75</v>
      </c>
      <c r="N139" s="35"/>
      <c r="O139" s="32"/>
      <c r="P139" s="128" t="s">
        <v>104</v>
      </c>
      <c r="Q139" s="121"/>
      <c r="R139" s="121"/>
      <c r="S139" s="133">
        <f>[1]!b_stm07_cs(K107,69,L107,1)</f>
        <v>12481337965.059999</v>
      </c>
      <c r="T139" s="132"/>
      <c r="U139" s="132"/>
    </row>
    <row r="140" spans="1:21" ht="21.6" customHeight="1" x14ac:dyDescent="0.25">
      <c r="L140" s="19" t="s">
        <v>105</v>
      </c>
      <c r="M140" s="71">
        <f>[1]!b_stm07_bs(K107,141,L107,1)</f>
        <v>29651193065.27</v>
      </c>
      <c r="N140" s="35"/>
      <c r="O140" s="32"/>
      <c r="P140" s="128" t="s">
        <v>106</v>
      </c>
      <c r="Q140" s="121"/>
      <c r="R140" s="121"/>
      <c r="S140" s="133">
        <f>[1]!b_stm07_cs(K107,75,L107,1)</f>
        <v>13432292071.17</v>
      </c>
      <c r="T140" s="132"/>
      <c r="U140" s="132"/>
    </row>
    <row r="141" spans="1:21" ht="21.6" customHeight="1" x14ac:dyDescent="0.25">
      <c r="L141" s="36" t="s">
        <v>107</v>
      </c>
      <c r="M141" s="71">
        <f>[1]!b_stm07_bs(K107,145,L107,1)</f>
        <v>63612162544.019997</v>
      </c>
      <c r="N141" s="35"/>
      <c r="O141" s="32"/>
      <c r="P141" s="128" t="s">
        <v>108</v>
      </c>
      <c r="Q141" s="121"/>
      <c r="R141" s="121"/>
      <c r="S141" s="134">
        <f>[1]!b_stm07_cs(K107,77,L107,1)</f>
        <v>-2583940433.9699998</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6" t="s">
        <v>1</v>
      </c>
      <c r="B1" s="115"/>
      <c r="C1" s="115"/>
      <c r="D1" s="115"/>
      <c r="E1" s="115"/>
      <c r="F1" s="115"/>
      <c r="G1" s="115"/>
    </row>
    <row r="2" spans="1:12" ht="13.5" customHeight="1" x14ac:dyDescent="0.25">
      <c r="A2" s="95" t="s">
        <v>2</v>
      </c>
      <c r="B2" s="116" t="s">
        <v>235</v>
      </c>
      <c r="C2" s="117"/>
      <c r="D2" s="95" t="s">
        <v>3</v>
      </c>
      <c r="E2" s="116" t="s">
        <v>236</v>
      </c>
      <c r="F2" s="117"/>
      <c r="G2" s="117"/>
    </row>
    <row r="3" spans="1:12" ht="14.25" customHeight="1" x14ac:dyDescent="0.25">
      <c r="A3" s="95" t="s">
        <v>4</v>
      </c>
      <c r="B3" s="116" t="s">
        <v>237</v>
      </c>
      <c r="C3" s="117"/>
      <c r="D3" s="95" t="s">
        <v>5</v>
      </c>
      <c r="E3" s="116" t="s">
        <v>238</v>
      </c>
      <c r="F3" s="117"/>
      <c r="G3" s="117"/>
    </row>
    <row r="4" spans="1:12" ht="113.25" customHeight="1" x14ac:dyDescent="0.25">
      <c r="A4" s="95" t="s">
        <v>6</v>
      </c>
      <c r="B4" s="118" t="s">
        <v>239</v>
      </c>
      <c r="C4" s="117"/>
      <c r="D4" s="117"/>
      <c r="E4" s="117"/>
      <c r="F4" s="117"/>
      <c r="G4" s="117"/>
    </row>
    <row r="5" spans="1:12" ht="14.4" x14ac:dyDescent="0.25">
      <c r="A5" s="99" t="s">
        <v>109</v>
      </c>
      <c r="B5" s="137" t="s">
        <v>240</v>
      </c>
      <c r="C5" s="117"/>
      <c r="D5" s="117"/>
      <c r="E5" s="117"/>
      <c r="F5" s="138">
        <v>1</v>
      </c>
      <c r="G5" s="117"/>
    </row>
    <row r="6" spans="1:12" ht="11.25" customHeight="1" x14ac:dyDescent="0.25">
      <c r="A6" s="99" t="s">
        <v>110</v>
      </c>
      <c r="B6" s="137" t="s">
        <v>241</v>
      </c>
      <c r="C6" s="117"/>
      <c r="D6" s="117"/>
      <c r="E6" s="117"/>
      <c r="F6" s="138" t="s">
        <v>241</v>
      </c>
      <c r="G6" s="117"/>
    </row>
    <row r="7" spans="1:12" ht="11.25" customHeight="1" x14ac:dyDescent="0.25">
      <c r="A7" s="99" t="s">
        <v>111</v>
      </c>
      <c r="B7" s="137" t="s">
        <v>241</v>
      </c>
      <c r="C7" s="117"/>
      <c r="D7" s="117"/>
      <c r="E7" s="117"/>
      <c r="F7" s="138" t="s">
        <v>241</v>
      </c>
      <c r="G7" s="117"/>
    </row>
    <row r="8" spans="1:12" ht="11.25" customHeight="1" x14ac:dyDescent="0.25">
      <c r="A8" s="99" t="s">
        <v>112</v>
      </c>
      <c r="B8" s="137" t="s">
        <v>241</v>
      </c>
      <c r="C8" s="117"/>
      <c r="D8" s="117"/>
      <c r="E8" s="117"/>
      <c r="F8" s="138" t="s">
        <v>241</v>
      </c>
      <c r="G8" s="117"/>
    </row>
    <row r="9" spans="1:12" ht="11.25" customHeight="1" x14ac:dyDescent="0.25">
      <c r="A9" s="99" t="s">
        <v>113</v>
      </c>
      <c r="B9" s="137" t="s">
        <v>241</v>
      </c>
      <c r="C9" s="117"/>
      <c r="D9" s="117"/>
      <c r="E9" s="117"/>
      <c r="F9" s="138" t="s">
        <v>241</v>
      </c>
      <c r="G9" s="117"/>
    </row>
    <row r="11" spans="1:12" ht="14.4" customHeight="1" x14ac:dyDescent="0.25">
      <c r="A11" s="139" t="s">
        <v>114</v>
      </c>
      <c r="B11" s="117"/>
      <c r="C11" s="117"/>
      <c r="D11" s="117"/>
      <c r="E11" s="117"/>
      <c r="F11" s="117"/>
      <c r="G11" s="117"/>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115</v>
      </c>
      <c r="B13" t="s">
        <v>116</v>
      </c>
      <c r="C13" t="s">
        <v>117</v>
      </c>
      <c r="D13" s="40">
        <v>2.89</v>
      </c>
      <c r="E13" s="40">
        <v>0.67671232876712328</v>
      </c>
      <c r="F13" s="47">
        <v>0</v>
      </c>
      <c r="G13" s="40">
        <v>10</v>
      </c>
    </row>
    <row r="14" spans="1:12" ht="14.4" customHeight="1" x14ac:dyDescent="0.25">
      <c r="A14" t="s">
        <v>118</v>
      </c>
      <c r="B14" t="s">
        <v>119</v>
      </c>
      <c r="C14" t="s">
        <v>120</v>
      </c>
      <c r="D14" s="40">
        <v>3.3</v>
      </c>
      <c r="E14" s="41">
        <v>0.52876712328767128</v>
      </c>
      <c r="F14">
        <v>0</v>
      </c>
      <c r="G14" s="40">
        <v>8</v>
      </c>
    </row>
    <row r="15" spans="1:12" ht="14.4" customHeight="1" x14ac:dyDescent="0.25">
      <c r="A15" t="s">
        <v>121</v>
      </c>
      <c r="B15" t="s">
        <v>122</v>
      </c>
      <c r="C15" t="s">
        <v>123</v>
      </c>
      <c r="D15" s="40">
        <v>3.79</v>
      </c>
      <c r="E15" s="41">
        <v>0.43287671232876712</v>
      </c>
      <c r="F15">
        <v>0</v>
      </c>
      <c r="G15" s="40">
        <v>10</v>
      </c>
    </row>
    <row r="16" spans="1:12" ht="14.4" customHeight="1" x14ac:dyDescent="0.25">
      <c r="A16" t="s">
        <v>124</v>
      </c>
      <c r="B16" t="s">
        <v>125</v>
      </c>
      <c r="C16" t="s">
        <v>126</v>
      </c>
      <c r="D16" s="40">
        <v>3.55</v>
      </c>
      <c r="E16" s="41">
        <v>0</v>
      </c>
      <c r="F16">
        <v>0</v>
      </c>
      <c r="G16" s="40">
        <v>4.8</v>
      </c>
    </row>
    <row r="17" spans="1:7" ht="14.4" customHeight="1" x14ac:dyDescent="0.25">
      <c r="A17" t="s">
        <v>127</v>
      </c>
      <c r="B17" t="s">
        <v>128</v>
      </c>
      <c r="C17" t="s">
        <v>129</v>
      </c>
      <c r="D17" s="40">
        <v>3.7</v>
      </c>
      <c r="E17" s="41">
        <v>0.31780821917808222</v>
      </c>
      <c r="F17">
        <v>0</v>
      </c>
      <c r="G17" s="40">
        <v>10</v>
      </c>
    </row>
    <row r="18" spans="1:7" ht="14.4" customHeight="1" x14ac:dyDescent="0.25">
      <c r="A18" t="s">
        <v>130</v>
      </c>
      <c r="B18" t="s">
        <v>131</v>
      </c>
      <c r="C18" t="s">
        <v>132</v>
      </c>
      <c r="D18" s="40">
        <v>3.8</v>
      </c>
      <c r="E18" s="41">
        <v>0.11232876712328767</v>
      </c>
      <c r="F18">
        <v>0</v>
      </c>
      <c r="G18" s="40">
        <v>5</v>
      </c>
    </row>
    <row r="19" spans="1:7" ht="14.4" customHeight="1" x14ac:dyDescent="0.25">
      <c r="A19" t="s">
        <v>133</v>
      </c>
      <c r="B19" t="s">
        <v>134</v>
      </c>
      <c r="C19" t="s">
        <v>135</v>
      </c>
      <c r="D19" s="40">
        <v>4.97</v>
      </c>
      <c r="E19" s="41">
        <v>4.0739726027397261</v>
      </c>
      <c r="F19" t="s">
        <v>25</v>
      </c>
      <c r="G19" s="40">
        <v>7.25</v>
      </c>
    </row>
    <row r="20" spans="1:7" ht="14.4" customHeight="1" x14ac:dyDescent="0.25">
      <c r="A20" t="s">
        <v>136</v>
      </c>
      <c r="B20" t="s">
        <v>134</v>
      </c>
      <c r="C20" t="s">
        <v>137</v>
      </c>
      <c r="D20" s="40">
        <v>4.97</v>
      </c>
      <c r="E20" s="41">
        <v>6.0739726027397261</v>
      </c>
      <c r="F20" t="s">
        <v>25</v>
      </c>
      <c r="G20" s="40">
        <v>2.75</v>
      </c>
    </row>
    <row r="21" spans="1:7" ht="14.4" customHeight="1" x14ac:dyDescent="0.25">
      <c r="A21" t="s">
        <v>138</v>
      </c>
      <c r="B21" t="s">
        <v>139</v>
      </c>
      <c r="C21" t="s">
        <v>140</v>
      </c>
      <c r="D21" s="40">
        <v>4.87</v>
      </c>
      <c r="E21" s="41">
        <v>0</v>
      </c>
      <c r="F21">
        <v>0</v>
      </c>
      <c r="G21" s="40">
        <v>5</v>
      </c>
    </row>
    <row r="22" spans="1:7" ht="14.4" customHeight="1" x14ac:dyDescent="0.25">
      <c r="A22" t="s">
        <v>141</v>
      </c>
      <c r="B22" t="s">
        <v>142</v>
      </c>
      <c r="C22" t="s">
        <v>143</v>
      </c>
      <c r="D22" s="40">
        <v>4.95</v>
      </c>
      <c r="E22" s="41">
        <v>0</v>
      </c>
      <c r="F22">
        <v>0</v>
      </c>
      <c r="G22" s="40">
        <v>10</v>
      </c>
    </row>
    <row r="23" spans="1:7" ht="14.4" customHeight="1" x14ac:dyDescent="0.25">
      <c r="A23" t="s">
        <v>144</v>
      </c>
      <c r="B23" t="s">
        <v>145</v>
      </c>
      <c r="C23" t="s">
        <v>146</v>
      </c>
      <c r="D23" s="40">
        <v>4.8499999999999996</v>
      </c>
      <c r="E23" s="41">
        <v>0</v>
      </c>
      <c r="F23">
        <v>0</v>
      </c>
      <c r="G23" s="40">
        <v>5</v>
      </c>
    </row>
    <row r="24" spans="1:7" ht="14.4" customHeight="1" x14ac:dyDescent="0.25">
      <c r="A24" t="s">
        <v>147</v>
      </c>
      <c r="B24" t="s">
        <v>148</v>
      </c>
      <c r="C24" t="s">
        <v>149</v>
      </c>
      <c r="D24" s="40">
        <v>5.3</v>
      </c>
      <c r="E24" s="41">
        <v>0</v>
      </c>
      <c r="F24">
        <v>0</v>
      </c>
      <c r="G24" s="40">
        <v>5</v>
      </c>
    </row>
    <row r="25" spans="1:7" ht="14.4" customHeight="1" x14ac:dyDescent="0.25">
      <c r="A25" t="s">
        <v>150</v>
      </c>
      <c r="B25" t="s">
        <v>151</v>
      </c>
      <c r="C25" t="s">
        <v>152</v>
      </c>
      <c r="D25" s="40">
        <v>4.5599999999999996</v>
      </c>
      <c r="E25" s="41">
        <v>0</v>
      </c>
      <c r="F25">
        <v>0</v>
      </c>
      <c r="G25" s="40">
        <v>5</v>
      </c>
    </row>
    <row r="26" spans="1:7" ht="14.4" customHeight="1" x14ac:dyDescent="0.25">
      <c r="A26" t="s">
        <v>153</v>
      </c>
      <c r="B26" t="s">
        <v>154</v>
      </c>
      <c r="C26" t="s">
        <v>155</v>
      </c>
      <c r="D26" s="40">
        <v>2.8</v>
      </c>
      <c r="E26" s="41">
        <v>0</v>
      </c>
      <c r="F26" t="s">
        <v>242</v>
      </c>
      <c r="G26" s="40">
        <v>15</v>
      </c>
    </row>
    <row r="27" spans="1:7" ht="14.4" customHeight="1" x14ac:dyDescent="0.25">
      <c r="A27" t="s">
        <v>156</v>
      </c>
      <c r="B27" t="s">
        <v>157</v>
      </c>
      <c r="C27" t="s">
        <v>158</v>
      </c>
      <c r="D27" s="40">
        <v>3.99</v>
      </c>
      <c r="E27" s="41">
        <v>0</v>
      </c>
      <c r="F27" t="s">
        <v>242</v>
      </c>
      <c r="G27" s="40">
        <v>18</v>
      </c>
    </row>
    <row r="28" spans="1:7" ht="14.4" customHeight="1" x14ac:dyDescent="0.25">
      <c r="A28" t="s">
        <v>159</v>
      </c>
      <c r="B28" t="s">
        <v>160</v>
      </c>
      <c r="C28" t="s">
        <v>161</v>
      </c>
      <c r="D28" s="40">
        <v>4.34</v>
      </c>
      <c r="E28" s="41">
        <v>0</v>
      </c>
      <c r="F28" t="s">
        <v>242</v>
      </c>
      <c r="G28" s="40">
        <v>20</v>
      </c>
    </row>
    <row r="29" spans="1:7" ht="14.4" customHeight="1" x14ac:dyDescent="0.25">
      <c r="A29" t="s">
        <v>162</v>
      </c>
      <c r="B29" t="s">
        <v>163</v>
      </c>
      <c r="C29" t="s">
        <v>164</v>
      </c>
      <c r="D29" s="40">
        <v>5.1100000000000003</v>
      </c>
      <c r="E29" s="41">
        <v>0</v>
      </c>
      <c r="F29" t="s">
        <v>25</v>
      </c>
      <c r="G29" s="40">
        <v>14</v>
      </c>
    </row>
    <row r="30" spans="1:7" ht="14.4" customHeight="1" x14ac:dyDescent="0.25">
      <c r="A30" t="s">
        <v>165</v>
      </c>
      <c r="B30" t="s">
        <v>166</v>
      </c>
      <c r="C30" t="s">
        <v>167</v>
      </c>
      <c r="D30" s="40">
        <v>5.41</v>
      </c>
      <c r="E30" s="41">
        <v>0</v>
      </c>
      <c r="F30" t="s">
        <v>25</v>
      </c>
      <c r="G30" s="40">
        <v>10</v>
      </c>
    </row>
    <row r="31" spans="1:7" ht="14.4" customHeight="1" x14ac:dyDescent="0.25">
      <c r="A31" t="s">
        <v>168</v>
      </c>
      <c r="B31" t="s">
        <v>169</v>
      </c>
      <c r="C31" t="s">
        <v>170</v>
      </c>
      <c r="D31" s="40">
        <v>4.9000000000000004</v>
      </c>
      <c r="E31" s="41">
        <v>0</v>
      </c>
      <c r="F31" t="s">
        <v>25</v>
      </c>
      <c r="G31" s="40">
        <v>6</v>
      </c>
    </row>
    <row r="32" spans="1:7" ht="14.4" customHeight="1" x14ac:dyDescent="0.25">
      <c r="D32" s="40"/>
      <c r="E32" s="41"/>
      <c r="G32" s="40"/>
    </row>
    <row r="33" spans="1:7" ht="14.4" customHeight="1" x14ac:dyDescent="0.25">
      <c r="D33" s="40"/>
      <c r="E33" s="41"/>
      <c r="G33" s="40"/>
    </row>
    <row r="34" spans="1:7" ht="14.4" customHeight="1" x14ac:dyDescent="0.25">
      <c r="D34" s="40"/>
      <c r="E34" s="41"/>
      <c r="G34" s="40"/>
    </row>
    <row r="35" spans="1:7" ht="14.4" customHeight="1" x14ac:dyDescent="0.25">
      <c r="D35" s="40"/>
      <c r="E35" s="41"/>
      <c r="G35" s="40"/>
    </row>
    <row r="36" spans="1:7" ht="14.4" customHeight="1" x14ac:dyDescent="0.25">
      <c r="D36" s="40"/>
      <c r="E36" s="41"/>
      <c r="G36" s="40"/>
    </row>
    <row r="37" spans="1:7" ht="14.4" customHeight="1" x14ac:dyDescent="0.25">
      <c r="A37" s="140" t="s">
        <v>171</v>
      </c>
      <c r="B37" s="140"/>
      <c r="C37" s="140"/>
      <c r="D37" s="140"/>
      <c r="E37" s="41"/>
      <c r="G37" s="40"/>
    </row>
    <row r="38" spans="1:7" ht="14.4" customHeight="1" x14ac:dyDescent="0.25">
      <c r="A38" s="100" t="s">
        <v>172</v>
      </c>
      <c r="B38" s="100" t="s">
        <v>173</v>
      </c>
      <c r="C38" s="100" t="s">
        <v>174</v>
      </c>
      <c r="D38" s="101" t="s">
        <v>175</v>
      </c>
      <c r="E38" s="41"/>
      <c r="G38" s="40"/>
    </row>
    <row r="39" spans="1:7" ht="14.4" customHeight="1" x14ac:dyDescent="0.25">
      <c r="A39" t="s">
        <v>176</v>
      </c>
      <c r="B39" t="s">
        <v>25</v>
      </c>
      <c r="C39" t="s">
        <v>177</v>
      </c>
      <c r="D39" s="40" t="s">
        <v>178</v>
      </c>
      <c r="E39" s="41"/>
      <c r="G39" s="40"/>
    </row>
    <row r="40" spans="1:7" ht="14.4" customHeight="1" x14ac:dyDescent="0.25">
      <c r="A40" t="s">
        <v>179</v>
      </c>
      <c r="B40" t="s">
        <v>25</v>
      </c>
      <c r="C40" t="s">
        <v>177</v>
      </c>
      <c r="D40" s="40" t="s">
        <v>178</v>
      </c>
      <c r="E40" s="41"/>
      <c r="G40" s="40"/>
    </row>
    <row r="41" spans="1:7" ht="14.4" customHeight="1" x14ac:dyDescent="0.25">
      <c r="A41" t="s">
        <v>180</v>
      </c>
      <c r="B41" t="s">
        <v>25</v>
      </c>
      <c r="C41" t="s">
        <v>177</v>
      </c>
      <c r="D41" s="40" t="s">
        <v>178</v>
      </c>
      <c r="E41" s="41"/>
      <c r="G41" s="40"/>
    </row>
    <row r="42" spans="1:7" ht="14.4" customHeight="1" x14ac:dyDescent="0.25">
      <c r="A42" t="s">
        <v>181</v>
      </c>
      <c r="B42" t="s">
        <v>25</v>
      </c>
      <c r="C42" t="s">
        <v>177</v>
      </c>
      <c r="D42" s="40" t="s">
        <v>178</v>
      </c>
      <c r="E42" s="41"/>
      <c r="G42" s="40"/>
    </row>
    <row r="43" spans="1:7" ht="14.4" customHeight="1" x14ac:dyDescent="0.25">
      <c r="A43" t="s">
        <v>182</v>
      </c>
      <c r="B43" t="s">
        <v>25</v>
      </c>
      <c r="C43" t="s">
        <v>177</v>
      </c>
      <c r="D43" s="40" t="s">
        <v>178</v>
      </c>
      <c r="E43" s="41"/>
      <c r="G43" s="40"/>
    </row>
    <row r="44" spans="1:7" ht="14.4" customHeight="1" x14ac:dyDescent="0.25">
      <c r="A44" t="s">
        <v>183</v>
      </c>
      <c r="B44" t="s">
        <v>25</v>
      </c>
      <c r="C44" t="s">
        <v>177</v>
      </c>
      <c r="D44" s="40" t="s">
        <v>178</v>
      </c>
      <c r="E44" s="41"/>
      <c r="G44" s="40"/>
    </row>
    <row r="45" spans="1:7" ht="14.4" customHeight="1" x14ac:dyDescent="0.25">
      <c r="A45" t="s">
        <v>184</v>
      </c>
      <c r="B45" t="s">
        <v>185</v>
      </c>
      <c r="C45" t="s">
        <v>177</v>
      </c>
      <c r="D45" s="40" t="s">
        <v>178</v>
      </c>
      <c r="E45" s="41"/>
      <c r="G45" s="40"/>
    </row>
    <row r="46" spans="1:7" ht="14.4" customHeight="1" x14ac:dyDescent="0.25">
      <c r="A46" t="s">
        <v>186</v>
      </c>
      <c r="B46" t="s">
        <v>185</v>
      </c>
      <c r="C46" t="s">
        <v>177</v>
      </c>
      <c r="D46" s="40" t="s">
        <v>178</v>
      </c>
      <c r="E46" s="41"/>
      <c r="G46" s="40"/>
    </row>
    <row r="47" spans="1:7" ht="14.4" customHeight="1" x14ac:dyDescent="0.25">
      <c r="A47" t="s">
        <v>187</v>
      </c>
      <c r="B47" t="s">
        <v>185</v>
      </c>
      <c r="C47" t="s">
        <v>177</v>
      </c>
      <c r="D47" s="40" t="s">
        <v>178</v>
      </c>
      <c r="E47" s="41"/>
      <c r="G47" s="40"/>
    </row>
    <row r="48" spans="1:7" ht="14.4" customHeight="1" x14ac:dyDescent="0.25">
      <c r="A48" t="s">
        <v>188</v>
      </c>
      <c r="B48" t="s">
        <v>185</v>
      </c>
      <c r="C48" t="s">
        <v>177</v>
      </c>
      <c r="D48" s="40" t="s">
        <v>178</v>
      </c>
      <c r="E48" s="41"/>
      <c r="G48" s="40"/>
    </row>
    <row r="49" spans="1:7" ht="14.4" customHeight="1" x14ac:dyDescent="0.25">
      <c r="A49" t="s">
        <v>189</v>
      </c>
      <c r="B49" t="s">
        <v>185</v>
      </c>
      <c r="C49" t="s">
        <v>177</v>
      </c>
      <c r="D49" s="40" t="s">
        <v>178</v>
      </c>
      <c r="E49" s="41"/>
      <c r="G49" s="40"/>
    </row>
    <row r="50" spans="1:7" ht="14.4" customHeight="1" x14ac:dyDescent="0.25">
      <c r="A50" t="s">
        <v>190</v>
      </c>
      <c r="B50" t="s">
        <v>185</v>
      </c>
      <c r="C50" t="s">
        <v>177</v>
      </c>
      <c r="D50" s="40" t="s">
        <v>178</v>
      </c>
      <c r="E50" s="41"/>
      <c r="G50" s="40"/>
    </row>
    <row r="51" spans="1:7" ht="14.4" customHeight="1" x14ac:dyDescent="0.25">
      <c r="A51" t="s">
        <v>191</v>
      </c>
      <c r="B51" t="s">
        <v>185</v>
      </c>
      <c r="C51" t="s">
        <v>177</v>
      </c>
      <c r="D51" s="40" t="s">
        <v>178</v>
      </c>
      <c r="E51" s="41"/>
      <c r="G51" s="40"/>
    </row>
    <row r="52" spans="1:7" ht="14.4" customHeight="1" x14ac:dyDescent="0.25">
      <c r="A52" t="s">
        <v>192</v>
      </c>
      <c r="B52" t="s">
        <v>185</v>
      </c>
      <c r="C52" t="s">
        <v>177</v>
      </c>
      <c r="D52" s="40" t="s">
        <v>178</v>
      </c>
      <c r="E52" s="41"/>
      <c r="G52" s="40"/>
    </row>
    <row r="53" spans="1:7" ht="14.4" customHeight="1" x14ac:dyDescent="0.25">
      <c r="D53" s="40"/>
      <c r="E53" s="41"/>
      <c r="G53" s="40"/>
    </row>
    <row r="54" spans="1:7" ht="14.4" customHeight="1" x14ac:dyDescent="0.25">
      <c r="D54" s="40"/>
      <c r="E54" s="41"/>
      <c r="G54" s="40"/>
    </row>
    <row r="55" spans="1:7" ht="14.4" customHeight="1" x14ac:dyDescent="0.25">
      <c r="D55" s="40"/>
      <c r="E55" s="41"/>
      <c r="G55" s="40"/>
    </row>
    <row r="56" spans="1:7" ht="14.4" customHeight="1" x14ac:dyDescent="0.25">
      <c r="D56" s="40"/>
      <c r="E56" s="41"/>
      <c r="G56" s="40"/>
    </row>
    <row r="57" spans="1:7" ht="14.4" customHeight="1" x14ac:dyDescent="0.25">
      <c r="D57" s="40"/>
      <c r="E57" s="41"/>
      <c r="G57" s="40"/>
    </row>
    <row r="58" spans="1:7" ht="14.4" customHeight="1" x14ac:dyDescent="0.25">
      <c r="D58" s="40"/>
      <c r="E58" s="41"/>
      <c r="G58" s="40"/>
    </row>
    <row r="59" spans="1:7" ht="14.4" customHeight="1" x14ac:dyDescent="0.25">
      <c r="D59" s="40"/>
      <c r="E59" s="41"/>
      <c r="G59" s="40"/>
    </row>
    <row r="60" spans="1:7" ht="14.4" customHeight="1" x14ac:dyDescent="0.25">
      <c r="D60" s="40"/>
      <c r="E60" s="41"/>
      <c r="G60" s="40"/>
    </row>
    <row r="61" spans="1:7" ht="14.4" customHeight="1" x14ac:dyDescent="0.25">
      <c r="D61" s="40"/>
      <c r="E61" s="41"/>
      <c r="G61" s="40"/>
    </row>
    <row r="62" spans="1:7" ht="14.4" customHeight="1" x14ac:dyDescent="0.25">
      <c r="D62" s="40"/>
      <c r="E62" s="41"/>
      <c r="G62" s="40"/>
    </row>
    <row r="63" spans="1:7" ht="14.4" customHeight="1" x14ac:dyDescent="0.25">
      <c r="D63" s="40"/>
      <c r="E63" s="41"/>
      <c r="G63" s="40"/>
    </row>
    <row r="64" spans="1: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193</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37:D3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1" t="s">
        <v>48</v>
      </c>
      <c r="B1" s="117"/>
      <c r="C1" s="117"/>
      <c r="D1" s="117"/>
      <c r="E1" s="117"/>
      <c r="F1" s="117"/>
      <c r="G1" s="117"/>
      <c r="H1" s="117"/>
      <c r="I1" s="117"/>
      <c r="J1" s="117"/>
    </row>
    <row r="2" spans="1:10" x14ac:dyDescent="0.25">
      <c r="A2" s="139" t="s">
        <v>49</v>
      </c>
      <c r="B2" s="117"/>
      <c r="C2" s="117"/>
      <c r="D2" s="117"/>
      <c r="E2" s="117"/>
      <c r="F2" s="117"/>
      <c r="G2" s="142">
        <v>2017</v>
      </c>
      <c r="H2" s="117"/>
      <c r="I2" s="117"/>
      <c r="J2" s="117"/>
    </row>
    <row r="3" spans="1:10" ht="12.75" customHeight="1" x14ac:dyDescent="0.25">
      <c r="A3" s="139" t="s">
        <v>50</v>
      </c>
      <c r="B3" s="117"/>
      <c r="C3" s="139" t="s">
        <v>51</v>
      </c>
      <c r="D3" s="117"/>
      <c r="E3" s="139" t="s">
        <v>52</v>
      </c>
      <c r="F3" s="117"/>
      <c r="G3" s="139" t="s">
        <v>53</v>
      </c>
      <c r="H3" s="117"/>
      <c r="I3" s="139" t="s">
        <v>54</v>
      </c>
      <c r="J3" s="117"/>
    </row>
    <row r="4" spans="1:10" ht="21.6" customHeight="1" x14ac:dyDescent="0.25">
      <c r="A4" s="95" t="s">
        <v>55</v>
      </c>
      <c r="B4" s="102">
        <v>0.53387499999999999</v>
      </c>
      <c r="C4" s="95" t="s">
        <v>31</v>
      </c>
      <c r="D4" s="103">
        <v>1.3542000000000001</v>
      </c>
      <c r="E4" s="95" t="s">
        <v>35</v>
      </c>
      <c r="F4" s="102">
        <v>0.95730000000000004</v>
      </c>
      <c r="G4" s="95" t="s">
        <v>36</v>
      </c>
      <c r="H4" s="102">
        <v>8.8780999999999999E-2</v>
      </c>
      <c r="I4" s="95"/>
      <c r="J4" s="104"/>
    </row>
    <row r="5" spans="1:10" ht="15.75" customHeight="1" x14ac:dyDescent="0.25">
      <c r="A5" s="95" t="s">
        <v>56</v>
      </c>
      <c r="B5" s="102">
        <v>0.46942799999999996</v>
      </c>
      <c r="C5" s="95" t="s">
        <v>57</v>
      </c>
      <c r="D5" s="103">
        <v>1.1768000000000001</v>
      </c>
      <c r="E5" s="95" t="s">
        <v>58</v>
      </c>
      <c r="F5" s="103">
        <v>4.8169000000000004</v>
      </c>
      <c r="G5" s="95" t="s">
        <v>59</v>
      </c>
      <c r="H5" s="102">
        <v>2.7425999999999999E-2</v>
      </c>
      <c r="I5" s="95"/>
      <c r="J5" s="104"/>
    </row>
    <row r="6" spans="1:10" ht="15" customHeight="1" x14ac:dyDescent="0.25">
      <c r="A6" s="95" t="s">
        <v>60</v>
      </c>
      <c r="B6" s="102">
        <v>0.64932400000000001</v>
      </c>
      <c r="C6" s="95" t="s">
        <v>33</v>
      </c>
      <c r="D6" s="105">
        <v>6.4899999999999999E-2</v>
      </c>
      <c r="E6" s="95" t="s">
        <v>61</v>
      </c>
      <c r="F6" s="103">
        <v>8.6211000000000002</v>
      </c>
      <c r="G6" s="95" t="s">
        <v>39</v>
      </c>
      <c r="H6" s="102">
        <v>4.4953E-2</v>
      </c>
      <c r="I6" s="95"/>
      <c r="J6" s="104"/>
    </row>
    <row r="7" spans="1:10" ht="14.25" customHeight="1" x14ac:dyDescent="0.25">
      <c r="A7" s="95" t="s">
        <v>32</v>
      </c>
      <c r="B7" s="105">
        <v>0.23877798679044587</v>
      </c>
      <c r="C7" s="95" t="s">
        <v>62</v>
      </c>
      <c r="D7" s="105">
        <v>4.2942999999999998</v>
      </c>
      <c r="E7" s="95" t="s">
        <v>63</v>
      </c>
      <c r="F7" s="103">
        <v>1.2222</v>
      </c>
      <c r="G7" s="95" t="s">
        <v>64</v>
      </c>
      <c r="H7" s="102">
        <v>2.7147000000000001E-2</v>
      </c>
      <c r="I7" s="95"/>
      <c r="J7" s="104"/>
    </row>
    <row r="8" spans="1:10" x14ac:dyDescent="0.25">
      <c r="A8" s="95"/>
      <c r="B8" s="106"/>
      <c r="C8" s="95"/>
      <c r="D8" s="107"/>
      <c r="E8" s="95" t="s">
        <v>65</v>
      </c>
      <c r="F8" s="103">
        <v>0.59260000000000002</v>
      </c>
      <c r="G8" s="95"/>
      <c r="H8" s="106"/>
      <c r="I8" s="95"/>
      <c r="J8" s="106"/>
    </row>
    <row r="9" spans="1:10" ht="13.5" customHeight="1" x14ac:dyDescent="0.25">
      <c r="A9" s="141" t="s">
        <v>66</v>
      </c>
      <c r="B9" s="117"/>
      <c r="C9" s="117"/>
      <c r="D9" s="117"/>
      <c r="E9" s="117"/>
      <c r="F9" s="117"/>
      <c r="G9" s="117"/>
      <c r="H9" s="117"/>
      <c r="I9" s="117"/>
      <c r="J9" s="117"/>
    </row>
    <row r="10" spans="1:10" ht="13.5" customHeight="1" x14ac:dyDescent="0.25">
      <c r="A10" s="139" t="s">
        <v>67</v>
      </c>
      <c r="B10" s="117"/>
      <c r="C10" s="117"/>
      <c r="D10" s="117"/>
      <c r="E10" s="117"/>
      <c r="F10" s="117"/>
      <c r="G10" s="143">
        <v>2017</v>
      </c>
      <c r="H10" s="117"/>
      <c r="I10" s="117"/>
      <c r="J10" s="117"/>
    </row>
    <row r="11" spans="1:10" x14ac:dyDescent="0.25">
      <c r="A11" s="139" t="s">
        <v>68</v>
      </c>
      <c r="B11" s="117"/>
      <c r="C11" s="139" t="s">
        <v>69</v>
      </c>
      <c r="D11" s="117"/>
      <c r="E11" s="139" t="s">
        <v>70</v>
      </c>
      <c r="F11" s="117"/>
      <c r="G11" s="117"/>
      <c r="H11" s="117"/>
      <c r="I11" s="117"/>
      <c r="J11" s="117"/>
    </row>
    <row r="12" spans="1:10" ht="14.25" customHeight="1" x14ac:dyDescent="0.25">
      <c r="A12" s="95" t="s">
        <v>71</v>
      </c>
      <c r="B12" s="108">
        <v>32.217848056599998</v>
      </c>
      <c r="C12" s="95" t="s">
        <v>72</v>
      </c>
      <c r="D12" s="105">
        <v>368.63588450300006</v>
      </c>
      <c r="E12" s="144" t="s">
        <v>73</v>
      </c>
      <c r="F12" s="117"/>
      <c r="G12" s="117"/>
      <c r="H12" s="145">
        <v>352.88667639519997</v>
      </c>
      <c r="I12" s="117"/>
      <c r="J12" s="117"/>
    </row>
    <row r="13" spans="1:10" ht="14.25" customHeight="1" x14ac:dyDescent="0.25">
      <c r="A13" s="95" t="s">
        <v>74</v>
      </c>
      <c r="B13" s="108">
        <v>77.545271148099999</v>
      </c>
      <c r="C13" s="95" t="s">
        <v>75</v>
      </c>
      <c r="D13" s="105">
        <v>374.12380393040002</v>
      </c>
      <c r="E13" s="144" t="s">
        <v>76</v>
      </c>
      <c r="F13" s="117"/>
      <c r="G13" s="117"/>
      <c r="H13" s="145">
        <v>28.337947360500003</v>
      </c>
      <c r="I13" s="117"/>
      <c r="J13" s="117"/>
    </row>
    <row r="14" spans="1:10" ht="14.25" customHeight="1" x14ac:dyDescent="0.25">
      <c r="A14" s="95" t="s">
        <v>77</v>
      </c>
      <c r="B14" s="108">
        <v>29.901652758299999</v>
      </c>
      <c r="C14" s="95" t="s">
        <v>78</v>
      </c>
      <c r="D14" s="105">
        <v>335.90814373749998</v>
      </c>
      <c r="E14" s="144" t="s">
        <v>79</v>
      </c>
      <c r="F14" s="117"/>
      <c r="G14" s="117"/>
      <c r="H14" s="145">
        <v>381.40136845649999</v>
      </c>
      <c r="I14" s="117"/>
      <c r="J14" s="117"/>
    </row>
    <row r="15" spans="1:10" ht="14.25" customHeight="1" x14ac:dyDescent="0.25">
      <c r="A15" s="95" t="s">
        <v>80</v>
      </c>
      <c r="B15" s="108">
        <v>44.401534111700002</v>
      </c>
      <c r="C15" s="95" t="s">
        <v>81</v>
      </c>
      <c r="D15" s="105">
        <v>10.679166002000001</v>
      </c>
      <c r="E15" s="144" t="s">
        <v>82</v>
      </c>
      <c r="F15" s="117"/>
      <c r="G15" s="117"/>
      <c r="H15" s="145">
        <v>319.5683119373</v>
      </c>
      <c r="I15" s="117"/>
      <c r="J15" s="117"/>
    </row>
    <row r="16" spans="1:10" ht="14.25" customHeight="1" x14ac:dyDescent="0.25">
      <c r="A16" s="95" t="s">
        <v>83</v>
      </c>
      <c r="B16" s="108">
        <v>3.0998912093</v>
      </c>
      <c r="C16" s="95" t="s">
        <v>84</v>
      </c>
      <c r="D16" s="105">
        <v>14.639654463900001</v>
      </c>
      <c r="E16" s="144" t="s">
        <v>85</v>
      </c>
      <c r="F16" s="117"/>
      <c r="G16" s="117"/>
      <c r="H16" s="145">
        <v>26.4880675942</v>
      </c>
      <c r="I16" s="117"/>
      <c r="J16" s="117"/>
    </row>
    <row r="17" spans="1:10" ht="14.25" customHeight="1" x14ac:dyDescent="0.25">
      <c r="A17" s="95" t="s">
        <v>86</v>
      </c>
      <c r="B17" s="108">
        <v>7.9309090585000002</v>
      </c>
      <c r="C17" s="95" t="s">
        <v>87</v>
      </c>
      <c r="D17" s="105">
        <v>4.1797059201</v>
      </c>
      <c r="E17" s="144" t="s">
        <v>88</v>
      </c>
      <c r="F17" s="117"/>
      <c r="G17" s="117"/>
      <c r="H17" s="145">
        <v>374.67309561500002</v>
      </c>
      <c r="I17" s="117"/>
      <c r="J17" s="117"/>
    </row>
    <row r="18" spans="1:10" ht="14.25" customHeight="1" x14ac:dyDescent="0.25">
      <c r="A18" s="95" t="s">
        <v>89</v>
      </c>
      <c r="B18" s="108">
        <v>636.12162544019998</v>
      </c>
      <c r="C18" s="95" t="s">
        <v>90</v>
      </c>
      <c r="D18" s="105">
        <v>10.110296563</v>
      </c>
      <c r="E18" s="144" t="s">
        <v>91</v>
      </c>
      <c r="F18" s="117"/>
      <c r="G18" s="117"/>
      <c r="H18" s="145">
        <v>6.7282728414999999</v>
      </c>
      <c r="I18" s="117"/>
      <c r="J18" s="117"/>
    </row>
    <row r="19" spans="1:10" ht="14.25" customHeight="1" x14ac:dyDescent="0.25">
      <c r="A19" s="95" t="s">
        <v>92</v>
      </c>
      <c r="B19" s="108">
        <v>52.859685200000001</v>
      </c>
      <c r="C19" s="95" t="s">
        <v>93</v>
      </c>
      <c r="D19" s="105">
        <v>12.9536827401</v>
      </c>
      <c r="E19" s="144" t="s">
        <v>94</v>
      </c>
      <c r="F19" s="117"/>
      <c r="G19" s="117"/>
      <c r="H19" s="145">
        <v>18.034756246099999</v>
      </c>
      <c r="I19" s="117"/>
      <c r="J19" s="117"/>
    </row>
    <row r="20" spans="1:10" ht="27" customHeight="1" x14ac:dyDescent="0.25">
      <c r="A20" s="95" t="s">
        <v>95</v>
      </c>
      <c r="B20" s="108">
        <v>14.0085215125</v>
      </c>
      <c r="C20" s="95" t="s">
        <v>37</v>
      </c>
      <c r="D20" s="105">
        <v>10.825404191500001</v>
      </c>
      <c r="E20" s="144" t="s">
        <v>96</v>
      </c>
      <c r="F20" s="117"/>
      <c r="G20" s="117"/>
      <c r="H20" s="145">
        <v>1.7000000000000001E-2</v>
      </c>
      <c r="I20" s="117"/>
      <c r="J20" s="117"/>
    </row>
    <row r="21" spans="1:10" ht="16.5" customHeight="1" x14ac:dyDescent="0.25">
      <c r="A21" s="95" t="s">
        <v>97</v>
      </c>
      <c r="B21" s="108">
        <v>0</v>
      </c>
      <c r="C21" s="95"/>
      <c r="D21" s="109"/>
      <c r="E21" s="144" t="s">
        <v>98</v>
      </c>
      <c r="F21" s="117"/>
      <c r="G21" s="117"/>
      <c r="H21" s="145">
        <v>82.959559065200011</v>
      </c>
      <c r="I21" s="117"/>
      <c r="J21" s="117"/>
    </row>
    <row r="22" spans="1:10" ht="14.25" customHeight="1" x14ac:dyDescent="0.25">
      <c r="A22" s="95" t="s">
        <v>99</v>
      </c>
      <c r="B22" s="108">
        <v>3.1425254529000002</v>
      </c>
      <c r="C22" s="95"/>
      <c r="D22" s="109"/>
      <c r="E22" s="144" t="s">
        <v>100</v>
      </c>
      <c r="F22" s="117"/>
      <c r="G22" s="117"/>
      <c r="H22" s="145">
        <v>23.977955973299999</v>
      </c>
      <c r="I22" s="117"/>
      <c r="J22" s="117"/>
    </row>
    <row r="23" spans="1:10" ht="14.25" customHeight="1" x14ac:dyDescent="0.25">
      <c r="A23" s="95" t="s">
        <v>101</v>
      </c>
      <c r="B23" s="108">
        <v>0</v>
      </c>
      <c r="C23" s="95"/>
      <c r="D23" s="109"/>
      <c r="E23" s="144" t="s">
        <v>102</v>
      </c>
      <c r="F23" s="117"/>
      <c r="G23" s="117"/>
      <c r="H23" s="145">
        <v>108.48351637200001</v>
      </c>
      <c r="I23" s="117"/>
      <c r="J23" s="117"/>
    </row>
    <row r="24" spans="1:10" ht="14.25" customHeight="1" x14ac:dyDescent="0.25">
      <c r="A24" s="95" t="s">
        <v>103</v>
      </c>
      <c r="B24" s="108">
        <v>339.60969478750002</v>
      </c>
      <c r="C24" s="110"/>
      <c r="D24" s="107"/>
      <c r="E24" s="144" t="s">
        <v>104</v>
      </c>
      <c r="F24" s="117"/>
      <c r="G24" s="117"/>
      <c r="H24" s="145">
        <v>124.8133796506</v>
      </c>
      <c r="I24" s="117"/>
      <c r="J24" s="117"/>
    </row>
    <row r="25" spans="1:10" ht="14.25" customHeight="1" x14ac:dyDescent="0.25">
      <c r="A25" s="95" t="s">
        <v>105</v>
      </c>
      <c r="B25" s="108">
        <v>296.51193065270002</v>
      </c>
      <c r="C25" s="110"/>
      <c r="D25" s="107"/>
      <c r="E25" s="144" t="s">
        <v>106</v>
      </c>
      <c r="F25" s="117"/>
      <c r="G25" s="117"/>
      <c r="H25" s="145">
        <v>134.32292071169999</v>
      </c>
      <c r="I25" s="117"/>
      <c r="J25" s="117"/>
    </row>
    <row r="26" spans="1:10" ht="14.25" customHeight="1" x14ac:dyDescent="0.25">
      <c r="A26" s="111" t="s">
        <v>107</v>
      </c>
      <c r="B26" s="108">
        <v>636.12162544019998</v>
      </c>
      <c r="C26" s="110"/>
      <c r="D26" s="107"/>
      <c r="E26" s="144" t="s">
        <v>108</v>
      </c>
      <c r="F26" s="117"/>
      <c r="G26" s="117"/>
      <c r="H26" s="145">
        <v>-25.839404339699996</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0" t="s">
        <v>194</v>
      </c>
      <c r="B1" s="121"/>
      <c r="C1" s="121"/>
      <c r="D1" s="121"/>
      <c r="E1" s="121"/>
      <c r="F1" s="121"/>
      <c r="G1" s="121"/>
      <c r="H1" s="121"/>
      <c r="I1" s="121"/>
    </row>
    <row r="2" spans="1:10" ht="46.5" customHeight="1" x14ac:dyDescent="0.25">
      <c r="A2" s="19" t="s">
        <v>22</v>
      </c>
      <c r="B2" s="77" t="s">
        <v>235</v>
      </c>
      <c r="C2" s="77" t="s">
        <v>195</v>
      </c>
      <c r="D2" s="77" t="s">
        <v>243</v>
      </c>
      <c r="E2" s="77" t="s">
        <v>241</v>
      </c>
      <c r="F2" s="77" t="s">
        <v>241</v>
      </c>
      <c r="G2" s="77" t="s">
        <v>241</v>
      </c>
      <c r="H2" s="77" t="s">
        <v>241</v>
      </c>
      <c r="I2" s="77" t="s">
        <v>241</v>
      </c>
      <c r="J2" s="77" t="s">
        <v>241</v>
      </c>
    </row>
    <row r="3" spans="1:10" x14ac:dyDescent="0.25">
      <c r="A3" s="19" t="s">
        <v>24</v>
      </c>
      <c r="B3" s="78" t="s">
        <v>25</v>
      </c>
      <c r="C3" s="86" t="s">
        <v>196</v>
      </c>
      <c r="D3" s="78" t="s">
        <v>25</v>
      </c>
      <c r="E3" s="78" t="s">
        <v>241</v>
      </c>
      <c r="F3" s="78" t="s">
        <v>241</v>
      </c>
      <c r="G3" s="78" t="s">
        <v>241</v>
      </c>
      <c r="H3" s="78" t="s">
        <v>241</v>
      </c>
      <c r="I3" s="78" t="s">
        <v>241</v>
      </c>
      <c r="J3" s="78" t="s">
        <v>241</v>
      </c>
    </row>
    <row r="4" spans="1:10" s="18" customFormat="1" ht="21.6" x14ac:dyDescent="0.25">
      <c r="A4" s="21" t="s">
        <v>3</v>
      </c>
      <c r="B4" s="79" t="s">
        <v>236</v>
      </c>
      <c r="C4" s="86" t="s">
        <v>196</v>
      </c>
      <c r="D4" s="79" t="s">
        <v>244</v>
      </c>
      <c r="E4" s="79" t="s">
        <v>241</v>
      </c>
      <c r="F4" s="79" t="s">
        <v>241</v>
      </c>
      <c r="G4" s="79" t="s">
        <v>241</v>
      </c>
      <c r="H4" s="79" t="s">
        <v>241</v>
      </c>
      <c r="I4" s="79" t="s">
        <v>241</v>
      </c>
      <c r="J4" s="79" t="s">
        <v>241</v>
      </c>
    </row>
    <row r="5" spans="1:10" s="18" customFormat="1" x14ac:dyDescent="0.25">
      <c r="A5" s="21" t="s">
        <v>27</v>
      </c>
      <c r="B5" s="80" t="s">
        <v>28</v>
      </c>
      <c r="C5" s="86" t="s">
        <v>196</v>
      </c>
      <c r="D5" s="80" t="s">
        <v>28</v>
      </c>
      <c r="E5" s="80" t="s">
        <v>241</v>
      </c>
      <c r="F5" s="80" t="s">
        <v>241</v>
      </c>
      <c r="G5" s="80" t="s">
        <v>241</v>
      </c>
      <c r="H5" s="80" t="s">
        <v>241</v>
      </c>
      <c r="I5" s="80" t="s">
        <v>241</v>
      </c>
      <c r="J5" s="80" t="s">
        <v>241</v>
      </c>
    </row>
    <row r="6" spans="1:10" x14ac:dyDescent="0.25">
      <c r="A6" s="19" t="s">
        <v>29</v>
      </c>
      <c r="B6" s="81">
        <v>636.12162544019998</v>
      </c>
      <c r="C6" s="86">
        <v>1694.0284470979998</v>
      </c>
      <c r="D6" s="81">
        <v>1694.0284470979998</v>
      </c>
      <c r="E6" s="81" t="s">
        <v>241</v>
      </c>
      <c r="F6" s="81" t="s">
        <v>241</v>
      </c>
      <c r="G6" s="81" t="s">
        <v>241</v>
      </c>
      <c r="H6" s="81" t="s">
        <v>241</v>
      </c>
      <c r="I6" s="81" t="s">
        <v>241</v>
      </c>
      <c r="J6" s="81" t="s">
        <v>241</v>
      </c>
    </row>
    <row r="7" spans="1:10" x14ac:dyDescent="0.25">
      <c r="A7" s="19" t="s">
        <v>30</v>
      </c>
      <c r="B7" s="82">
        <v>0.53387499999999999</v>
      </c>
      <c r="C7" s="86">
        <v>0.69647099999999995</v>
      </c>
      <c r="D7" s="82">
        <v>0.69647099999999995</v>
      </c>
      <c r="E7" s="82" t="s">
        <v>241</v>
      </c>
      <c r="F7" s="82" t="s">
        <v>241</v>
      </c>
      <c r="G7" s="82" t="s">
        <v>241</v>
      </c>
      <c r="H7" s="82" t="s">
        <v>241</v>
      </c>
      <c r="I7" s="82" t="s">
        <v>241</v>
      </c>
      <c r="J7" s="82" t="s">
        <v>241</v>
      </c>
    </row>
    <row r="8" spans="1:10" x14ac:dyDescent="0.25">
      <c r="A8" s="19" t="s">
        <v>31</v>
      </c>
      <c r="B8" s="81">
        <v>1.3542000000000001</v>
      </c>
      <c r="C8" s="86">
        <v>1.3029999999999999</v>
      </c>
      <c r="D8" s="81">
        <v>1.3029999999999999</v>
      </c>
      <c r="E8" s="81" t="s">
        <v>241</v>
      </c>
      <c r="F8" s="81" t="s">
        <v>241</v>
      </c>
      <c r="G8" s="81" t="s">
        <v>241</v>
      </c>
      <c r="H8" s="81" t="s">
        <v>241</v>
      </c>
      <c r="I8" s="81" t="s">
        <v>241</v>
      </c>
      <c r="J8" s="81" t="s">
        <v>241</v>
      </c>
    </row>
    <row r="9" spans="1:10" x14ac:dyDescent="0.25">
      <c r="A9" s="19" t="s">
        <v>32</v>
      </c>
      <c r="B9" s="78">
        <v>0.23877798679044587</v>
      </c>
      <c r="C9" s="86">
        <v>0.65081276397325849</v>
      </c>
      <c r="D9" s="78">
        <v>0.65081276397325849</v>
      </c>
      <c r="E9" s="78" t="s">
        <v>241</v>
      </c>
      <c r="F9" s="78" t="s">
        <v>241</v>
      </c>
      <c r="G9" s="78" t="s">
        <v>241</v>
      </c>
      <c r="H9" s="78" t="s">
        <v>241</v>
      </c>
      <c r="I9" s="78" t="s">
        <v>241</v>
      </c>
      <c r="J9" s="78" t="s">
        <v>241</v>
      </c>
    </row>
    <row r="10" spans="1:10" ht="21.6" customHeight="1" x14ac:dyDescent="0.25">
      <c r="A10" s="19" t="s">
        <v>33</v>
      </c>
      <c r="B10" s="81">
        <v>6.4899999999999999E-2</v>
      </c>
      <c r="C10" s="86">
        <v>0.1135</v>
      </c>
      <c r="D10" s="81">
        <v>0.1135</v>
      </c>
      <c r="E10" s="81" t="s">
        <v>241</v>
      </c>
      <c r="F10" s="81" t="s">
        <v>241</v>
      </c>
      <c r="G10" s="81" t="s">
        <v>241</v>
      </c>
      <c r="H10" s="81" t="s">
        <v>241</v>
      </c>
      <c r="I10" s="81" t="s">
        <v>241</v>
      </c>
      <c r="J10" s="81" t="s">
        <v>241</v>
      </c>
    </row>
    <row r="11" spans="1:10" x14ac:dyDescent="0.25">
      <c r="A11" s="19" t="s">
        <v>34</v>
      </c>
      <c r="B11" s="81">
        <v>368.63588450300006</v>
      </c>
      <c r="C11" s="86">
        <v>2770.2897776033001</v>
      </c>
      <c r="D11" s="81">
        <v>2770.2897776033001</v>
      </c>
      <c r="E11" s="81" t="s">
        <v>241</v>
      </c>
      <c r="F11" s="81" t="s">
        <v>241</v>
      </c>
      <c r="G11" s="81" t="s">
        <v>241</v>
      </c>
      <c r="H11" s="81" t="s">
        <v>241</v>
      </c>
      <c r="I11" s="81" t="s">
        <v>241</v>
      </c>
      <c r="J11" s="81" t="s">
        <v>241</v>
      </c>
    </row>
    <row r="12" spans="1:10" s="18" customFormat="1" x14ac:dyDescent="0.25">
      <c r="A12" s="21" t="s">
        <v>35</v>
      </c>
      <c r="B12" s="83">
        <v>0.95730000000000004</v>
      </c>
      <c r="C12" s="86">
        <v>1.1632</v>
      </c>
      <c r="D12" s="83">
        <v>1.1632</v>
      </c>
      <c r="E12" s="83" t="s">
        <v>241</v>
      </c>
      <c r="F12" s="83" t="s">
        <v>241</v>
      </c>
      <c r="G12" s="83" t="s">
        <v>241</v>
      </c>
      <c r="H12" s="83" t="s">
        <v>241</v>
      </c>
      <c r="I12" s="83" t="s">
        <v>241</v>
      </c>
      <c r="J12" s="83" t="s">
        <v>241</v>
      </c>
    </row>
    <row r="13" spans="1:10" s="18" customFormat="1" x14ac:dyDescent="0.25">
      <c r="A13" s="21" t="s">
        <v>36</v>
      </c>
      <c r="B13" s="83">
        <v>8.8780999999999999E-2</v>
      </c>
      <c r="C13" s="86">
        <v>8.2653000000000004E-2</v>
      </c>
      <c r="D13" s="83">
        <v>8.2653000000000004E-2</v>
      </c>
      <c r="E13" s="83" t="s">
        <v>241</v>
      </c>
      <c r="F13" s="83" t="s">
        <v>241</v>
      </c>
      <c r="G13" s="83" t="s">
        <v>241</v>
      </c>
      <c r="H13" s="83" t="s">
        <v>241</v>
      </c>
      <c r="I13" s="83" t="s">
        <v>241</v>
      </c>
      <c r="J13" s="83" t="s">
        <v>241</v>
      </c>
    </row>
    <row r="14" spans="1:10" s="18" customFormat="1" x14ac:dyDescent="0.25">
      <c r="A14" s="21" t="s">
        <v>37</v>
      </c>
      <c r="B14" s="84">
        <v>10.825404191500001</v>
      </c>
      <c r="C14" s="86">
        <v>77.959003949099994</v>
      </c>
      <c r="D14" s="84">
        <v>77.959003949099994</v>
      </c>
      <c r="E14" s="84" t="s">
        <v>241</v>
      </c>
      <c r="F14" s="84" t="s">
        <v>241</v>
      </c>
      <c r="G14" s="84" t="s">
        <v>241</v>
      </c>
      <c r="H14" s="84" t="s">
        <v>241</v>
      </c>
      <c r="I14" s="84" t="s">
        <v>241</v>
      </c>
      <c r="J14" s="84" t="s">
        <v>241</v>
      </c>
    </row>
    <row r="15" spans="1:10" x14ac:dyDescent="0.25">
      <c r="A15" s="19" t="s">
        <v>39</v>
      </c>
      <c r="B15" s="82">
        <v>4.4953E-2</v>
      </c>
      <c r="C15" s="86">
        <v>0.15518100000000001</v>
      </c>
      <c r="D15" s="82">
        <v>0.15518100000000001</v>
      </c>
      <c r="E15" s="82" t="s">
        <v>241</v>
      </c>
      <c r="F15" s="82" t="s">
        <v>241</v>
      </c>
      <c r="G15" s="82" t="s">
        <v>241</v>
      </c>
      <c r="H15" s="82" t="s">
        <v>241</v>
      </c>
      <c r="I15" s="82" t="s">
        <v>241</v>
      </c>
      <c r="J15" s="82" t="s">
        <v>241</v>
      </c>
    </row>
    <row r="16" spans="1:10" s="18" customFormat="1" ht="25.8" customHeight="1" x14ac:dyDescent="0.25">
      <c r="A16" s="21" t="s">
        <v>40</v>
      </c>
      <c r="B16" s="84">
        <v>6.7282728414999999</v>
      </c>
      <c r="C16" s="86">
        <v>16.673446949200002</v>
      </c>
      <c r="D16" s="84">
        <v>16.673446949200002</v>
      </c>
      <c r="E16" s="84" t="s">
        <v>241</v>
      </c>
      <c r="F16" s="84" t="s">
        <v>241</v>
      </c>
      <c r="G16" s="84" t="s">
        <v>241</v>
      </c>
      <c r="H16" s="84" t="s">
        <v>241</v>
      </c>
      <c r="I16" s="84" t="s">
        <v>241</v>
      </c>
      <c r="J16" s="84" t="s">
        <v>241</v>
      </c>
    </row>
    <row r="17" spans="1:10" x14ac:dyDescent="0.25">
      <c r="A17" s="19" t="s">
        <v>54</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tabSelected="1" workbookViewId="0">
      <selection sqref="A1:XFD1048576"/>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6" t="s">
        <v>197</v>
      </c>
      <c r="B1" s="121"/>
      <c r="C1" s="121"/>
      <c r="D1" s="121"/>
      <c r="E1" s="121"/>
      <c r="F1" s="121"/>
    </row>
    <row r="2" spans="1:6" x14ac:dyDescent="0.25">
      <c r="A2" s="91" t="s">
        <v>198</v>
      </c>
      <c r="B2" s="90" t="s">
        <v>199</v>
      </c>
      <c r="C2" s="90" t="s">
        <v>200</v>
      </c>
      <c r="D2" s="90" t="s">
        <v>201</v>
      </c>
      <c r="E2" s="90" t="s">
        <v>175</v>
      </c>
      <c r="F2" s="90" t="s">
        <v>202</v>
      </c>
    </row>
    <row r="3" spans="1:6" ht="48" customHeight="1" x14ac:dyDescent="0.25">
      <c r="A3" s="112">
        <v>43210</v>
      </c>
      <c r="B3" s="92" t="s">
        <v>203</v>
      </c>
      <c r="C3" s="113" t="s">
        <v>204</v>
      </c>
      <c r="D3" s="113"/>
      <c r="E3" s="92" t="s">
        <v>205</v>
      </c>
      <c r="F3" s="113" t="s">
        <v>206</v>
      </c>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9" spans="1:6" x14ac:dyDescent="0.25">
      <c r="A19" s="140" t="s">
        <v>207</v>
      </c>
      <c r="B19" s="140"/>
      <c r="C19" s="140"/>
      <c r="D19" s="140"/>
      <c r="E19" s="140"/>
      <c r="F19" s="140"/>
    </row>
    <row r="20" spans="1:6" x14ac:dyDescent="0.25">
      <c r="A20" s="100" t="s">
        <v>198</v>
      </c>
      <c r="B20" s="100" t="s">
        <v>199</v>
      </c>
      <c r="C20" s="100" t="s">
        <v>208</v>
      </c>
      <c r="D20" s="100" t="s">
        <v>209</v>
      </c>
      <c r="E20" s="100" t="s">
        <v>175</v>
      </c>
      <c r="F20" s="100" t="s">
        <v>202</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47" t="s">
        <v>210</v>
      </c>
      <c r="B1" s="121"/>
      <c r="C1" s="121"/>
      <c r="D1" s="121"/>
      <c r="E1" s="121"/>
      <c r="F1" s="121"/>
      <c r="G1" s="121"/>
      <c r="H1" s="121"/>
      <c r="I1" s="121"/>
      <c r="J1" s="121"/>
      <c r="K1" s="121"/>
      <c r="L1" s="121"/>
      <c r="M1" s="121"/>
      <c r="N1" s="121"/>
    </row>
    <row r="2" spans="1:18" s="1" customFormat="1" ht="25.5" customHeight="1" x14ac:dyDescent="0.25">
      <c r="A2" s="3" t="s">
        <v>211</v>
      </c>
      <c r="B2" s="3" t="s">
        <v>212</v>
      </c>
      <c r="C2" s="3" t="s">
        <v>213</v>
      </c>
      <c r="D2" s="3" t="s">
        <v>214</v>
      </c>
      <c r="E2" s="3" t="s">
        <v>215</v>
      </c>
      <c r="F2" s="3" t="s">
        <v>216</v>
      </c>
      <c r="G2" s="3" t="s">
        <v>217</v>
      </c>
      <c r="H2" s="3" t="s">
        <v>16</v>
      </c>
      <c r="I2" s="3" t="s">
        <v>218</v>
      </c>
      <c r="J2" s="3" t="s">
        <v>219</v>
      </c>
      <c r="K2" s="3" t="s">
        <v>220</v>
      </c>
      <c r="L2" s="3" t="s">
        <v>221</v>
      </c>
      <c r="M2" s="3" t="s">
        <v>19</v>
      </c>
      <c r="N2" s="3" t="s">
        <v>222</v>
      </c>
      <c r="O2" s="9"/>
      <c r="P2" s="10" t="str">
        <f ca="1">Q2</f>
        <v>2019-04-02</v>
      </c>
      <c r="Q2" s="1" t="str">
        <f ca="1">[1]!td(R2-1)</f>
        <v>2019-04-02</v>
      </c>
      <c r="R2" s="9">
        <f ca="1">TODAY()</f>
        <v>43558</v>
      </c>
    </row>
    <row r="3" spans="1:18" ht="15.75" customHeight="1" x14ac:dyDescent="0.25">
      <c r="A3" s="4" t="str">
        <f>[1]!b_info_name(L3)</f>
        <v>19南新工SCP003</v>
      </c>
      <c r="B3" s="5" t="str">
        <f>[1]!b_issue_firstissue(L3)</f>
        <v>2019-04-04</v>
      </c>
      <c r="C3" s="4">
        <f>[1]!b_info_term(L3)</f>
        <v>0.73970000000000002</v>
      </c>
      <c r="D3" s="6" t="str">
        <f>[1]!issuerrating(L3)</f>
        <v>AAA</v>
      </c>
      <c r="E3" s="6" t="str">
        <f>[1]!b_info_creditrating(L3)</f>
        <v>-</v>
      </c>
      <c r="F3" s="4" t="str">
        <f>[1]!b_rate_creditratingagency(L3)</f>
        <v>上海新世纪资信评估投资服务有限公司</v>
      </c>
      <c r="G3" s="7">
        <f>[1]!b_agency_guarantor(L3)</f>
        <v>0</v>
      </c>
      <c r="H3" s="8" t="s">
        <v>223</v>
      </c>
      <c r="I3" s="11"/>
      <c r="J3" s="12" t="s">
        <v>223</v>
      </c>
      <c r="K3" s="13"/>
      <c r="L3" s="75" t="str">
        <f>公式页!A2</f>
        <v>d19040305.IB</v>
      </c>
      <c r="M3" s="8" t="s">
        <v>223</v>
      </c>
      <c r="N3" s="4" t="str">
        <f>[1]!b_agency_leadunderwriter(L3)</f>
        <v>南京银行股份有限公司,宁波银行股份有限公司</v>
      </c>
      <c r="P3" s="2" t="str">
        <f t="shared" ref="P3:P29" ca="1" si="0">$P$2</f>
        <v>2019-04-02</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3.6911</v>
      </c>
      <c r="K4" s="13">
        <f>K3</f>
        <v>0</v>
      </c>
      <c r="L4" s="14" t="s">
        <v>224</v>
      </c>
      <c r="M4" s="8">
        <f>[1]!b_info_issueamount(L4)/100000000</f>
        <v>5</v>
      </c>
      <c r="N4" s="4" t="str">
        <f>[1]!b_agency_leadunderwriter(L4)</f>
        <v>上海浦东发展银行股份有限公司,中国国际金融股份有限公司</v>
      </c>
      <c r="P4" s="2" t="str">
        <f t="shared" ca="1" si="0"/>
        <v>2019-04-02</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2019-04-02</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2019-04-02</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2019-04-02</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2019-04-02</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2019-04-02</v>
      </c>
    </row>
    <row r="10" spans="1:18" x14ac:dyDescent="0.25">
      <c r="P10" s="2" t="str">
        <f t="shared" ca="1" si="0"/>
        <v>2019-04-02</v>
      </c>
    </row>
    <row r="11" spans="1:18" x14ac:dyDescent="0.25">
      <c r="P11" s="2" t="str">
        <f t="shared" ca="1" si="0"/>
        <v>2019-04-02</v>
      </c>
    </row>
    <row r="12" spans="1:18" x14ac:dyDescent="0.25">
      <c r="A12" s="147" t="s">
        <v>225</v>
      </c>
      <c r="B12" s="121"/>
      <c r="C12" s="121"/>
      <c r="D12" s="121"/>
      <c r="E12" s="121"/>
      <c r="F12" s="121"/>
      <c r="G12" s="121"/>
      <c r="H12" s="121"/>
      <c r="I12" s="121"/>
      <c r="J12" s="121"/>
      <c r="K12" s="121"/>
      <c r="L12" s="121"/>
      <c r="M12" s="121"/>
      <c r="N12" s="121"/>
      <c r="P12" s="2" t="str">
        <f t="shared" ca="1" si="0"/>
        <v>2019-04-02</v>
      </c>
    </row>
    <row r="13" spans="1:18" s="1" customFormat="1" ht="43.2" customHeight="1" x14ac:dyDescent="0.25">
      <c r="A13" s="3" t="s">
        <v>211</v>
      </c>
      <c r="B13" s="3" t="s">
        <v>212</v>
      </c>
      <c r="C13" s="3" t="s">
        <v>213</v>
      </c>
      <c r="D13" s="3" t="s">
        <v>214</v>
      </c>
      <c r="E13" s="3" t="s">
        <v>215</v>
      </c>
      <c r="F13" s="3" t="s">
        <v>216</v>
      </c>
      <c r="G13" s="3" t="s">
        <v>217</v>
      </c>
      <c r="H13" s="3" t="s">
        <v>16</v>
      </c>
      <c r="I13" s="3" t="s">
        <v>218</v>
      </c>
      <c r="J13" s="3" t="s">
        <v>219</v>
      </c>
      <c r="K13" s="3" t="s">
        <v>220</v>
      </c>
      <c r="L13" s="3" t="s">
        <v>221</v>
      </c>
      <c r="M13" s="3" t="s">
        <v>19</v>
      </c>
      <c r="N13" s="3" t="s">
        <v>222</v>
      </c>
      <c r="P13" s="2" t="str">
        <f t="shared" ca="1" si="0"/>
        <v>2019-04-02</v>
      </c>
    </row>
    <row r="14" spans="1:18" ht="15.75" customHeight="1" x14ac:dyDescent="0.25">
      <c r="A14" s="4" t="str">
        <f>[1]!b_info_name(L14)</f>
        <v>19南新工SCP003</v>
      </c>
      <c r="B14" s="5" t="str">
        <f>[1]!b_issue_firstissue(L14)</f>
        <v>2019-04-04</v>
      </c>
      <c r="C14" s="4">
        <f>[1]!b_info_term(L14)</f>
        <v>0.73970000000000002</v>
      </c>
      <c r="D14" s="6" t="str">
        <f>[1]!issuerrating(L14)</f>
        <v>AAA</v>
      </c>
      <c r="E14" s="6" t="str">
        <f>[1]!b_info_creditrating(L14)</f>
        <v>-</v>
      </c>
      <c r="F14" s="4" t="str">
        <f>[1]!b_rate_creditratingagency(L14)</f>
        <v>上海新世纪资信评估投资服务有限公司</v>
      </c>
      <c r="G14" s="7">
        <f>[1]!b_agency_guarantor(L14)</f>
        <v>0</v>
      </c>
      <c r="H14" s="8" t="s">
        <v>223</v>
      </c>
      <c r="I14" s="11"/>
      <c r="J14" s="12" t="s">
        <v>223</v>
      </c>
      <c r="K14" s="13">
        <f>K3</f>
        <v>0</v>
      </c>
      <c r="L14" s="76" t="str">
        <f>L3</f>
        <v>d19040305.IB</v>
      </c>
      <c r="M14" s="8" t="s">
        <v>223</v>
      </c>
      <c r="N14" s="4" t="str">
        <f>[1]!b_agency_leadunderwriter(L14)</f>
        <v>南京银行股份有限公司,宁波银行股份有限公司</v>
      </c>
      <c r="P14" s="2" t="str">
        <f t="shared" ca="1" si="0"/>
        <v>2019-04-02</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226</v>
      </c>
      <c r="M15" s="8">
        <f>[1]!b_info_issueamount(L15)/100000000</f>
        <v>5</v>
      </c>
      <c r="N15" s="4" t="str">
        <f>[1]!b_agency_leadunderwriter(L15)</f>
        <v>招商银行股份有限公司</v>
      </c>
      <c r="O15" t="str">
        <f>[1]!b_issuer_windindustry(L15,4)</f>
        <v>西药</v>
      </c>
      <c r="P15" s="2" t="str">
        <f t="shared" ca="1" si="0"/>
        <v>2019-04-02</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227</v>
      </c>
      <c r="M16" s="8">
        <f>[1]!b_info_issueamount(L16)/100000000</f>
        <v>6</v>
      </c>
      <c r="N16" s="4" t="str">
        <f>[1]!b_agency_leadunderwriter(L16)</f>
        <v>北京银行股份有限公司</v>
      </c>
      <c r="O16" t="str">
        <f>[1]!b_issuer_windindustry(L16,4)</f>
        <v>化肥与农用化工</v>
      </c>
      <c r="P16" s="2" t="str">
        <f t="shared" ca="1" si="0"/>
        <v>2019-04-02</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228</v>
      </c>
      <c r="M17" s="8">
        <f>[1]!b_info_issueamount(L17)/100000000</f>
        <v>3.5</v>
      </c>
      <c r="N17" s="4" t="str">
        <f>[1]!b_agency_leadunderwriter(L17)</f>
        <v>华夏银行股份有限公司</v>
      </c>
      <c r="O17" t="str">
        <f>[1]!b_issuer_windindustry(L17,4)</f>
        <v>食品加工与肉类</v>
      </c>
      <c r="P17" s="2" t="str">
        <f t="shared" ca="1" si="0"/>
        <v>2019-04-02</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229</v>
      </c>
      <c r="M18" s="8">
        <f>[1]!b_info_issueamount(L18)/100000000</f>
        <v>3</v>
      </c>
      <c r="N18" s="4" t="str">
        <f>[1]!b_agency_leadunderwriter(L18)</f>
        <v>兴业银行股份有限公司</v>
      </c>
      <c r="O18" t="str">
        <f>[1]!b_issuer_windindustry(L18,4)</f>
        <v>工业机械</v>
      </c>
      <c r="P18" s="2" t="str">
        <f t="shared" ca="1" si="0"/>
        <v>2019-04-02</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230</v>
      </c>
      <c r="M19" s="8">
        <f>[1]!b_info_issueamount(L19)/100000000</f>
        <v>3</v>
      </c>
      <c r="N19" s="4" t="str">
        <f>[1]!b_agency_leadunderwriter(L19)</f>
        <v>中国银行股份有限公司</v>
      </c>
      <c r="O19" t="str">
        <f>[1]!b_issuer_windindustry(L19,4)</f>
        <v>半导体产品</v>
      </c>
      <c r="P19" s="2" t="str">
        <f t="shared" ca="1" si="0"/>
        <v>2019-04-02</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231</v>
      </c>
      <c r="M20" s="8">
        <f>[1]!b_info_issueamount(L20)/100000000</f>
        <v>5</v>
      </c>
      <c r="N20" s="4" t="str">
        <f>[1]!b_agency_leadunderwriter(L20)</f>
        <v>中国银行股份有限公司</v>
      </c>
      <c r="O20" t="str">
        <f>[1]!b_issuer_windindustry(L20,4)</f>
        <v>医疗保健用品</v>
      </c>
      <c r="P20" s="2" t="str">
        <f t="shared" ca="1" si="0"/>
        <v>2019-04-02</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232</v>
      </c>
      <c r="M21" s="8">
        <f>[1]!b_info_issueamount(L21)/100000000</f>
        <v>2</v>
      </c>
      <c r="N21" s="4" t="str">
        <f>[1]!b_agency_leadunderwriter(L21)</f>
        <v>中国银行股份有限公司</v>
      </c>
      <c r="O21" t="str">
        <f>[1]!b_issuer_windindustry(L21,4)</f>
        <v>食品加工与肉类</v>
      </c>
      <c r="P21" s="2" t="str">
        <f t="shared" ca="1" si="0"/>
        <v>2019-04-02</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233</v>
      </c>
      <c r="M22" s="8">
        <f>[1]!b_info_issueamount(L22)/100000000</f>
        <v>4</v>
      </c>
      <c r="N22" s="4" t="str">
        <f>[1]!b_agency_leadunderwriter(L22)</f>
        <v>中国工商银行股份有限公司</v>
      </c>
      <c r="O22" t="str">
        <f>[1]!b_issuer_windindustry(L22,4)</f>
        <v>酒店、度假村与豪华游轮</v>
      </c>
      <c r="P22" s="2" t="str">
        <f t="shared" ca="1" si="0"/>
        <v>2019-04-02</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234</v>
      </c>
      <c r="M23" s="8">
        <f>[1]!b_info_issueamount(L23)/100000000</f>
        <v>4</v>
      </c>
      <c r="N23" s="4" t="str">
        <f>[1]!b_agency_leadunderwriter(L23)</f>
        <v>中国银行股份有限公司</v>
      </c>
      <c r="O23" t="str">
        <f>[1]!b_issuer_windindustry(L23,4)</f>
        <v>金属非金属</v>
      </c>
      <c r="P23" s="2" t="str">
        <f t="shared" ca="1" si="0"/>
        <v>2019-04-02</v>
      </c>
    </row>
    <row r="24" spans="1:16" x14ac:dyDescent="0.25">
      <c r="P24" s="2" t="str">
        <f t="shared" ca="1" si="0"/>
        <v>2019-04-02</v>
      </c>
    </row>
    <row r="25" spans="1:16" x14ac:dyDescent="0.25">
      <c r="P25" s="2" t="str">
        <f t="shared" ca="1" si="0"/>
        <v>2019-04-02</v>
      </c>
    </row>
    <row r="26" spans="1:16" x14ac:dyDescent="0.25">
      <c r="P26" s="2" t="str">
        <f t="shared" ca="1" si="0"/>
        <v>2019-04-02</v>
      </c>
    </row>
    <row r="27" spans="1:16" x14ac:dyDescent="0.25">
      <c r="P27" s="2" t="str">
        <f t="shared" ca="1" si="0"/>
        <v>2019-04-02</v>
      </c>
    </row>
    <row r="28" spans="1:16" x14ac:dyDescent="0.25">
      <c r="P28" s="2" t="str">
        <f t="shared" ca="1" si="0"/>
        <v>2019-04-02</v>
      </c>
    </row>
    <row r="29" spans="1:16" x14ac:dyDescent="0.25">
      <c r="P29" s="2" t="str">
        <f t="shared" ca="1" si="0"/>
        <v>2019-04-02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2019-04-03T07:26:28Z</dcterms:modified>
</cp:coreProperties>
</file>