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2CDAE39C-CB66-4714-8DF7-A2E8305FCA2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M5" i="6"/>
  <c r="D5" i="6"/>
  <c r="D4"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O23" i="6"/>
  <c r="F21" i="6"/>
  <c r="C20" i="6"/>
  <c r="M17" i="6"/>
  <c r="G16" i="6"/>
  <c r="D15" i="6"/>
  <c r="C14" i="6"/>
  <c r="H9" i="6"/>
  <c r="F7" i="6"/>
  <c r="G6" i="6"/>
  <c r="C5" i="6"/>
  <c r="A4" i="6"/>
  <c r="F3" i="6"/>
  <c r="Q2"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H23" i="6"/>
  <c r="B21" i="6"/>
  <c r="C16" i="6"/>
  <c r="C6" i="6"/>
  <c r="G5" i="6"/>
  <c r="H4" i="6"/>
  <c r="C3" i="6"/>
  <c r="M139" i="1"/>
  <c r="O135" i="1"/>
  <c r="S132" i="1"/>
  <c r="S130" i="1"/>
  <c r="O127" i="1"/>
  <c r="F113" i="1"/>
  <c r="D110" i="1"/>
  <c r="M103" i="1"/>
  <c r="B102" i="1"/>
  <c r="J101" i="1"/>
  <c r="Q100" i="1"/>
  <c r="F100" i="1"/>
  <c r="O99" i="1"/>
  <c r="D99" i="1"/>
  <c r="M98" i="1"/>
  <c r="B98" i="1"/>
  <c r="J97" i="1"/>
  <c r="Q96" i="1"/>
  <c r="F96" i="1"/>
  <c r="D95" i="1"/>
  <c r="B94" i="1"/>
  <c r="B93" i="1"/>
  <c r="B92" i="1"/>
  <c r="C91" i="1"/>
  <c r="D90" i="1"/>
  <c r="D89" i="1"/>
  <c r="E88" i="1"/>
  <c r="F87" i="1"/>
  <c r="F86" i="1"/>
  <c r="G85" i="1"/>
  <c r="B85" i="1"/>
  <c r="B84" i="1"/>
  <c r="C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131" i="1"/>
  <c r="D112" i="1"/>
  <c r="D23" i="6"/>
  <c r="N20" i="6"/>
  <c r="E18" i="6"/>
  <c r="O15" i="6"/>
  <c r="N9" i="6"/>
  <c r="B7" i="6"/>
  <c r="N5" i="6"/>
  <c r="E4" i="6"/>
  <c r="B3" i="6"/>
  <c r="S141" i="1"/>
  <c r="S137" i="1"/>
  <c r="O134" i="1"/>
  <c r="S131" i="1"/>
  <c r="O128" i="1"/>
  <c r="M121" i="1"/>
  <c r="M119" i="1"/>
  <c r="M117" i="1"/>
  <c r="F112" i="1"/>
  <c r="M109" i="1"/>
  <c r="L103" i="1"/>
  <c r="R101" i="1"/>
  <c r="G101" i="1"/>
  <c r="P100" i="1"/>
  <c r="E100" i="1"/>
  <c r="N99" i="1"/>
  <c r="C99" i="1"/>
  <c r="L98" i="1"/>
  <c r="R97" i="1"/>
  <c r="G97" i="1"/>
  <c r="P96" i="1"/>
  <c r="E96" i="1"/>
  <c r="C95" i="1"/>
  <c r="G93" i="1"/>
  <c r="F92" i="1"/>
  <c r="G91" i="1"/>
  <c r="B91" i="1"/>
  <c r="B90" i="1"/>
  <c r="C89" i="1"/>
  <c r="D88" i="1"/>
  <c r="D87" i="1"/>
  <c r="E86" i="1"/>
  <c r="F85" i="1"/>
  <c r="F84" i="1"/>
  <c r="G83" i="1"/>
  <c r="B83"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E22" i="6"/>
  <c r="O19" i="6"/>
  <c r="F17" i="6"/>
  <c r="E8" i="6"/>
  <c r="M6" i="6"/>
  <c r="N4" i="6"/>
  <c r="M141" i="1"/>
  <c r="M137" i="1"/>
  <c r="M134" i="1"/>
  <c r="M128" i="1"/>
  <c r="M123" i="1"/>
  <c r="S110" i="1"/>
  <c r="A22" i="6"/>
  <c r="M133" i="1"/>
  <c r="M116" i="1"/>
  <c r="P103" i="1"/>
  <c r="N101" i="1"/>
  <c r="L100" i="1"/>
  <c r="G99" i="1"/>
  <c r="E98" i="1"/>
  <c r="C97" i="1"/>
  <c r="G95" i="1"/>
  <c r="C93" i="1"/>
  <c r="D91" i="1"/>
  <c r="F89" i="1"/>
  <c r="G87" i="1"/>
  <c r="B86" i="1"/>
  <c r="D84" i="1"/>
  <c r="E82" i="1"/>
  <c r="C81" i="1"/>
  <c r="G79" i="1"/>
  <c r="E78" i="1"/>
  <c r="C77" i="1"/>
  <c r="G75" i="1"/>
  <c r="E74" i="1"/>
  <c r="C73" i="1"/>
  <c r="G71" i="1"/>
  <c r="E70" i="1"/>
  <c r="C69" i="1"/>
  <c r="G67" i="1"/>
  <c r="E66" i="1"/>
  <c r="C65" i="1"/>
  <c r="G63" i="1"/>
  <c r="E62" i="1"/>
  <c r="C61" i="1"/>
  <c r="G59" i="1"/>
  <c r="E58" i="1"/>
  <c r="C57" i="1"/>
  <c r="G55" i="1"/>
  <c r="E54" i="1"/>
  <c r="C53" i="1"/>
  <c r="G51" i="1"/>
  <c r="E50" i="1"/>
  <c r="C49" i="1"/>
  <c r="G47" i="1"/>
  <c r="E46" i="1"/>
  <c r="C45" i="1"/>
  <c r="G43" i="1"/>
  <c r="E42" i="1"/>
  <c r="C41" i="1"/>
  <c r="G39" i="1"/>
  <c r="E38" i="1"/>
  <c r="C37" i="1"/>
  <c r="G35" i="1"/>
  <c r="E34" i="1"/>
  <c r="C33" i="1"/>
  <c r="G31" i="1"/>
  <c r="E30" i="1"/>
  <c r="N29" i="1"/>
  <c r="C29" i="1"/>
  <c r="L28" i="1"/>
  <c r="R27" i="1"/>
  <c r="G27" i="1"/>
  <c r="P26" i="1"/>
  <c r="E26" i="1"/>
  <c r="N25" i="1"/>
  <c r="C25" i="1"/>
  <c r="L24" i="1"/>
  <c r="R23" i="1"/>
  <c r="G23" i="1"/>
  <c r="E22" i="1"/>
  <c r="N21" i="1"/>
  <c r="C21" i="1"/>
  <c r="L20" i="1"/>
  <c r="R19" i="1"/>
  <c r="G19" i="1"/>
  <c r="E18" i="1"/>
  <c r="N17" i="1"/>
  <c r="C17" i="1"/>
  <c r="B16" i="1"/>
  <c r="J15" i="1"/>
  <c r="F14" i="1"/>
  <c r="B10" i="1"/>
  <c r="E5" i="1"/>
  <c r="D63" i="1"/>
  <c r="B62" i="1"/>
  <c r="F60" i="1"/>
  <c r="D59" i="1"/>
  <c r="B58" i="1"/>
  <c r="F56" i="1"/>
  <c r="D55" i="1"/>
  <c r="B54" i="1"/>
  <c r="F52" i="1"/>
  <c r="D51" i="1"/>
  <c r="B50" i="1"/>
  <c r="F48" i="1"/>
  <c r="D47" i="1"/>
  <c r="B46" i="1"/>
  <c r="F44" i="1"/>
  <c r="D43" i="1"/>
  <c r="B42" i="1"/>
  <c r="F40" i="1"/>
  <c r="D39" i="1"/>
  <c r="B38" i="1"/>
  <c r="F36" i="1"/>
  <c r="D35" i="1"/>
  <c r="B34" i="1"/>
  <c r="F32" i="1"/>
  <c r="D31" i="1"/>
  <c r="B30" i="1"/>
  <c r="J29" i="1"/>
  <c r="Q28" i="1"/>
  <c r="F28" i="1"/>
  <c r="O27" i="1"/>
  <c r="D27" i="1"/>
  <c r="M26" i="1"/>
  <c r="B26" i="1"/>
  <c r="J25" i="1"/>
  <c r="Q24" i="1"/>
  <c r="F24" i="1"/>
  <c r="D23" i="1"/>
  <c r="B22" i="1"/>
  <c r="J21" i="1"/>
  <c r="Q20" i="1"/>
  <c r="F20" i="1"/>
  <c r="O19" i="1"/>
  <c r="D19" i="1"/>
  <c r="B18" i="1"/>
  <c r="G16" i="1"/>
  <c r="P15" i="1"/>
  <c r="C14" i="1"/>
  <c r="B4" i="1"/>
  <c r="B17" i="6"/>
  <c r="S139" i="1"/>
  <c r="M129" i="1"/>
  <c r="F110" i="1"/>
  <c r="C101" i="1"/>
  <c r="R99" i="1"/>
  <c r="N97" i="1"/>
  <c r="E94" i="1"/>
  <c r="D92" i="1"/>
  <c r="E90" i="1"/>
  <c r="F88" i="1"/>
  <c r="B87" i="1"/>
  <c r="C85" i="1"/>
  <c r="D83" i="1"/>
  <c r="G81" i="1"/>
  <c r="E80" i="1"/>
  <c r="C79" i="1"/>
  <c r="G77" i="1"/>
  <c r="E76" i="1"/>
  <c r="C75" i="1"/>
  <c r="G73" i="1"/>
  <c r="E72" i="1"/>
  <c r="C71" i="1"/>
  <c r="G69" i="1"/>
  <c r="E68" i="1"/>
  <c r="C67" i="1"/>
  <c r="G65" i="1"/>
  <c r="E64" i="1"/>
  <c r="C63" i="1"/>
  <c r="G61" i="1"/>
  <c r="E60" i="1"/>
  <c r="C59" i="1"/>
  <c r="G57" i="1"/>
  <c r="E56" i="1"/>
  <c r="C55" i="1"/>
  <c r="G53" i="1"/>
  <c r="E52" i="1"/>
  <c r="C51" i="1"/>
  <c r="G49" i="1"/>
  <c r="E48" i="1"/>
  <c r="C47" i="1"/>
  <c r="G45" i="1"/>
  <c r="E44" i="1"/>
  <c r="C43" i="1"/>
  <c r="G41" i="1"/>
  <c r="E40" i="1"/>
  <c r="C39" i="1"/>
  <c r="G37" i="1"/>
  <c r="E36" i="1"/>
  <c r="C35" i="1"/>
  <c r="G33" i="1"/>
  <c r="E32" i="1"/>
  <c r="C31" i="1"/>
  <c r="R29" i="1"/>
  <c r="G29" i="1"/>
  <c r="P28" i="1"/>
  <c r="N27" i="1"/>
  <c r="C27" i="1"/>
  <c r="L26" i="1"/>
  <c r="R25" i="1"/>
  <c r="G25" i="1"/>
  <c r="P24" i="1"/>
  <c r="E24" i="1"/>
  <c r="N23" i="1"/>
  <c r="C23" i="1"/>
  <c r="R21" i="1"/>
  <c r="P20" i="1"/>
  <c r="E20" i="1"/>
  <c r="C19" i="1"/>
  <c r="R17" i="1"/>
  <c r="F16" i="1"/>
  <c r="D15" i="1"/>
  <c r="B14" i="1"/>
  <c r="H5" i="6"/>
  <c r="S135" i="1"/>
  <c r="S127" i="1"/>
  <c r="Q103" i="1"/>
  <c r="M100" i="1"/>
  <c r="J99" i="1"/>
  <c r="D97" i="1"/>
  <c r="D93" i="1"/>
  <c r="G89" i="1"/>
  <c r="D86" i="1"/>
  <c r="F82" i="1"/>
  <c r="B80" i="1"/>
  <c r="F78" i="1"/>
  <c r="B76" i="1"/>
  <c r="B72" i="1"/>
  <c r="D69" i="1"/>
  <c r="F66" i="1"/>
  <c r="F62" i="1"/>
  <c r="B60" i="1"/>
  <c r="D57" i="1"/>
  <c r="F54" i="1"/>
  <c r="B52" i="1"/>
  <c r="D49" i="1"/>
  <c r="F46" i="1"/>
  <c r="B44" i="1"/>
  <c r="D41" i="1"/>
  <c r="D37" i="1"/>
  <c r="H19" i="6"/>
  <c r="D9" i="6"/>
  <c r="M111" i="1"/>
  <c r="F102" i="1"/>
  <c r="D101" i="1"/>
  <c r="B100" i="1"/>
  <c r="Q98" i="1"/>
  <c r="O97" i="1"/>
  <c r="M96" i="1"/>
  <c r="F94" i="1"/>
  <c r="E92" i="1"/>
  <c r="F90" i="1"/>
  <c r="B89" i="1"/>
  <c r="C87" i="1"/>
  <c r="D85" i="1"/>
  <c r="F83" i="1"/>
  <c r="B82" i="1"/>
  <c r="F80" i="1"/>
  <c r="D79" i="1"/>
  <c r="B78" i="1"/>
  <c r="F76" i="1"/>
  <c r="D75" i="1"/>
  <c r="B74" i="1"/>
  <c r="F72" i="1"/>
  <c r="D71" i="1"/>
  <c r="B70" i="1"/>
  <c r="F68" i="1"/>
  <c r="D67" i="1"/>
  <c r="B66" i="1"/>
  <c r="F64" i="1"/>
  <c r="O23" i="1"/>
  <c r="J17" i="1"/>
  <c r="E15" i="1"/>
  <c r="F8" i="1"/>
  <c r="M120" i="1"/>
  <c r="E102" i="1"/>
  <c r="P98" i="1"/>
  <c r="L96" i="1"/>
  <c r="E28" i="1"/>
  <c r="G21" i="1"/>
  <c r="N19" i="1"/>
  <c r="G17" i="1"/>
  <c r="O15" i="1"/>
  <c r="B8" i="1"/>
  <c r="A8" i="6"/>
  <c r="M118" i="1"/>
  <c r="O101" i="1"/>
  <c r="F98" i="1"/>
  <c r="B96" i="1"/>
  <c r="F91" i="1"/>
  <c r="B88" i="1"/>
  <c r="E84" i="1"/>
  <c r="D81" i="1"/>
  <c r="D77" i="1"/>
  <c r="F74" i="1"/>
  <c r="D73" i="1"/>
  <c r="F70" i="1"/>
  <c r="B68" i="1"/>
  <c r="D65" i="1"/>
  <c r="B64" i="1"/>
  <c r="D61" i="1"/>
  <c r="F58" i="1"/>
  <c r="B56" i="1"/>
  <c r="D53" i="1"/>
  <c r="F50" i="1"/>
  <c r="B48" i="1"/>
  <c r="D45" i="1"/>
  <c r="F42" i="1"/>
  <c r="B40" i="1"/>
  <c r="F38" i="1"/>
  <c r="B36" i="1"/>
  <c r="F34" i="1"/>
  <c r="O29" i="1"/>
  <c r="D25" i="1"/>
  <c r="O17" i="1"/>
  <c r="D33" i="1"/>
  <c r="D29" i="1"/>
  <c r="Q26" i="1"/>
  <c r="M24" i="1"/>
  <c r="F22" i="1"/>
  <c r="B20" i="1"/>
  <c r="D17" i="1"/>
  <c r="F10" i="1"/>
  <c r="B32" i="1"/>
  <c r="M28" i="1"/>
  <c r="F26" i="1"/>
  <c r="B24" i="1"/>
  <c r="O21" i="1"/>
  <c r="J19" i="1"/>
  <c r="C16" i="1"/>
  <c r="B6" i="1"/>
  <c r="F30" i="1"/>
  <c r="B28" i="1"/>
  <c r="O25" i="1"/>
  <c r="J23" i="1"/>
  <c r="D21" i="1"/>
  <c r="F18" i="1"/>
  <c r="L15" i="1"/>
  <c r="J27" i="1"/>
  <c r="M20" i="1"/>
  <c r="G14" i="1"/>
  <c r="L22" i="1" l="1"/>
  <c r="M22" i="1"/>
  <c r="B111" i="1"/>
  <c r="H117" i="1"/>
  <c r="H125" i="1"/>
  <c r="B119" i="1"/>
  <c r="H129" i="1"/>
  <c r="B112" i="1"/>
  <c r="B123" i="1"/>
  <c r="H110" i="1"/>
  <c r="B118" i="1"/>
  <c r="B124" i="1"/>
  <c r="B127" i="1"/>
  <c r="B131" i="1"/>
  <c r="P22" i="1"/>
  <c r="B109" i="1"/>
  <c r="D118" i="1"/>
  <c r="H121" i="1"/>
  <c r="D124" i="1"/>
  <c r="H127" i="1"/>
  <c r="H131" i="1"/>
  <c r="D121" i="1"/>
  <c r="Q22" i="1"/>
  <c r="D117" i="1"/>
  <c r="H120" i="1"/>
  <c r="H122" i="1"/>
  <c r="D125" i="1"/>
  <c r="B129" i="1"/>
  <c r="N22" i="1"/>
  <c r="R22" i="1"/>
  <c r="H109" i="1"/>
  <c r="H111" i="1"/>
  <c r="H118" i="1"/>
  <c r="D119" i="1"/>
  <c r="B120" i="1"/>
  <c r="B122" i="1"/>
  <c r="D123" i="1"/>
  <c r="H124" i="1"/>
  <c r="B126" i="1"/>
  <c r="B128" i="1"/>
  <c r="B130" i="1"/>
  <c r="P2" i="6"/>
  <c r="J22" i="1"/>
  <c r="O22" i="1"/>
  <c r="B110" i="1"/>
  <c r="H112" i="1"/>
  <c r="B117" i="1"/>
  <c r="H119" i="1"/>
  <c r="D120" i="1"/>
  <c r="B121" i="1"/>
  <c r="D122" i="1"/>
  <c r="H123" i="1"/>
  <c r="B125" i="1"/>
  <c r="H126" i="1"/>
  <c r="H128" i="1"/>
  <c r="H130" i="1"/>
  <c r="J4" i="6"/>
  <c r="P29" i="6" l="1"/>
  <c r="P25" i="6"/>
  <c r="P21" i="6"/>
  <c r="P17" i="6"/>
  <c r="P11" i="6"/>
  <c r="P7" i="6"/>
  <c r="P28" i="6"/>
  <c r="P24" i="6"/>
  <c r="P20" i="6"/>
  <c r="P16" i="6"/>
  <c r="P10" i="6"/>
  <c r="P6" i="6"/>
  <c r="P27" i="6"/>
  <c r="P23" i="6"/>
  <c r="P19" i="6"/>
  <c r="P15" i="6"/>
  <c r="P13" i="6"/>
  <c r="P9" i="6"/>
  <c r="P5" i="6"/>
  <c r="P26" i="6"/>
  <c r="P22" i="6"/>
  <c r="P18" i="6"/>
  <c r="P12" i="6"/>
  <c r="P8" i="6"/>
  <c r="P4" i="6"/>
  <c r="P14" i="6"/>
  <c r="P3" i="6"/>
  <c r="J22" i="6"/>
  <c r="J15" i="6"/>
  <c r="J6" i="6"/>
  <c r="J7" i="6"/>
  <c r="J19" i="6"/>
  <c r="J17" i="6"/>
  <c r="J9" i="6"/>
  <c r="J18" i="6"/>
  <c r="J20" i="6"/>
  <c r="J16" i="6"/>
  <c r="J23" i="6"/>
  <c r="J21" i="6"/>
  <c r="J5" i="6"/>
  <c r="J8" i="6"/>
</calcChain>
</file>

<file path=xl/sharedStrings.xml><?xml version="1.0" encoding="utf-8"?>
<sst xmlns="http://schemas.openxmlformats.org/spreadsheetml/2006/main" count="484" uniqueCount="227">
  <si>
    <t>q19040414.IB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</si>
  <si>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</si>
  <si>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</si>
  <si>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</si>
  <si>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</si>
  <si>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</si>
  <si>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</si>
  <si>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</si>
  <si>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</si>
  <si>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</si>
  <si>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</si>
  <si>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</si>
  <si>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</si>
  <si>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</si>
  <si>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</si>
  <si>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</si>
  <si>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</si>
  <si>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</si>
  <si>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</si>
  <si>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</si>
  <si>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</si>
  <si>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</si>
  <si>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</si>
  <si>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011900128.IB</t>
  </si>
  <si>
    <t>主体级别</t>
  </si>
  <si>
    <t>AA</t>
  </si>
  <si>
    <t>101900168.IB</t>
  </si>
  <si>
    <t>*选择性黏贴</t>
  </si>
  <si>
    <t>031800614.IB</t>
  </si>
  <si>
    <t>数据年度</t>
  </si>
  <si>
    <t>2017年</t>
  </si>
  <si>
    <t>031762024.IB</t>
  </si>
  <si>
    <t>总资产</t>
  </si>
  <si>
    <t>101900108.IB</t>
  </si>
  <si>
    <t>负债率</t>
  </si>
  <si>
    <t>031900091.IB</t>
  </si>
  <si>
    <t>流动比率</t>
  </si>
  <si>
    <t>101900042.IB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</si>
  <si>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</si>
  <si>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</si>
  <si>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</si>
  <si>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</si>
  <si>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</si>
  <si>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</si>
  <si>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</si>
  <si>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</si>
  <si>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</si>
  <si>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</si>
  <si>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</si>
  <si>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</si>
  <si>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</si>
  <si>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</si>
  <si>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</si>
  <si>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</si>
  <si>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</si>
  <si>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</si>
  <si>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</si>
  <si>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</si>
  <si>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</si>
  <si>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</si>
  <si>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</si>
  <si>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</si>
  <si>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</si>
  <si>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</si>
  <si>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</si>
  <si>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</si>
  <si>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</si>
  <si>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</si>
  <si>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</si>
  <si>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</si>
  <si>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</si>
  <si>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</si>
  <si>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</si>
  <si>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</si>
  <si>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</si>
  <si>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</si>
  <si>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</si>
  <si>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</si>
  <si>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</si>
  <si>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</si>
  <si>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</si>
  <si>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</si>
  <si>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</si>
  <si>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</si>
  <si>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</si>
  <si>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</si>
  <si>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</si>
  <si>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</si>
  <si>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</si>
  <si>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</si>
  <si>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</si>
  <si>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</si>
  <si>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</si>
  <si>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</si>
  <si>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</si>
  <si>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</si>
  <si>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</si>
  <si>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</si>
  <si>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</si>
  <si>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</si>
  <si>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</si>
  <si>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</si>
  <si>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</si>
  <si>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</si>
  <si>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</si>
  <si>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</si>
  <si>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</si>
  <si>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</si>
  <si>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</si>
  <si>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</si>
  <si>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</si>
  <si>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</si>
  <si>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</si>
  <si>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</si>
  <si>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</si>
  <si>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</si>
  <si>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</si>
  <si>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</si>
  <si>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</si>
  <si>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</si>
  <si>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</si>
  <si>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历史主体评级</t>
  </si>
  <si>
    <t>发布日期</t>
  </si>
  <si>
    <t>主体资信级别</t>
  </si>
  <si>
    <t>评级展望</t>
  </si>
  <si>
    <t>评级机构</t>
  </si>
  <si>
    <t>20190123</t>
  </si>
  <si>
    <t>稳定</t>
  </si>
  <si>
    <t>上海新世纪资信评估投资服务有限公司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</si>
  <si>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</si>
  <si>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</si>
  <si>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</si>
  <si>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</si>
  <si>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</si>
  <si>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</si>
  <si>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</si>
  <si>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</si>
  <si>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</si>
  <si>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</si>
  <si>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启东市城市建设投资开发有限公司</t>
  </si>
  <si>
    <t>AA稳定上调至AA+稳定</t>
  </si>
  <si>
    <t>中诚信证券评估有限公司</t>
  </si>
  <si>
    <t>扬州市邗江城市建设发展有限公司</t>
  </si>
  <si>
    <t>东方金诚国际信用评估有限公司</t>
  </si>
  <si>
    <t xml:space="preserve">近年来扬州市邗江区经济持续增长， 财政收入规模不断增加， 为公司发展提供了良好的外部环境。维扬发投划拨完成后，公司在业务区域和范围、专营地位等方面进一步提高。随着公司业务范围扩大和专营地位提高， 预计公司在资产注入、财政补贴等方面仍将得到股东及相关各方的有力支持。公司营业收入及利润规模明显扩大，资产总额及所有者权益大幅增长。负债水平有所下降。公司当前有较好的融资环境。
</t>
  </si>
  <si>
    <t>海盐县国有资产经营有限公司</t>
  </si>
  <si>
    <t>联合资信评估有限公司</t>
  </si>
  <si>
    <t>公司在海盐县区域内专营优势突出，近年来持续获得股东在资本金注入、资产和股权划拨及财政补贴等方面的有力支持； 2018 年以来， 海盐国资所处外部环境进一步提升，土地返还款规模较大，同时，受安置房需求扩增、销售模式改进及水价调升影响，海盐国资整体盈利能力得到改善；此外，百步镇和秦山街道纳入公司开发范围后，公司业务区域范围进一步扩大，可开发土地资源将大幅增加。未来， 随着海盐县经济和财政实力进一步提升， 海盐国资获得的外部支持力度有望进一步加大， 发展前景良好。</t>
  </si>
  <si>
    <t>江苏新海连发展集团有限公司</t>
  </si>
  <si>
    <t>BB负面上调至BB稳定</t>
  </si>
  <si>
    <t>惠誉国际信用评级有限公司</t>
  </si>
  <si>
    <t>公司不断完善发展战略，优化资产结构。集团将紧紧围绕连云港“ 高质发展、后发先至＂ 的目标导向， 以区域服务和运营管理为职能担当， 形成多元化的园区业务板块， 进一步强化使命担当， 做实“园区运营商” ， 为区域产业升级、地方社会经济发展提供不懈动力和有力支撑。</t>
  </si>
  <si>
    <t>泰州凤城河建设发展有限公司</t>
  </si>
  <si>
    <t>联合信用评级有限公司</t>
  </si>
  <si>
    <t>南通城市建设集团有限公司</t>
  </si>
  <si>
    <t>AA+稳定上调至AAA稳定</t>
  </si>
  <si>
    <t>中诚信国际信用评级有限责任公司</t>
  </si>
  <si>
    <t>南通市经济较好且对公司有持续的支持，资产重组使得公司实力增加。</t>
  </si>
  <si>
    <t>扬州经济技术开发区开发总公司</t>
  </si>
  <si>
    <t>扬州地区经济较强，对公司在补贴方面给予较大支持。</t>
  </si>
  <si>
    <t>南京市浦口区国有资产投资经营有限公司</t>
  </si>
  <si>
    <t>浦口区作为南京市实施跨江发展战略的主要承载区以及江北新区的重要组成部分，近年来经济增速处于较高水平，为浦口国资主业运营提供了较好的外部环境。浦口国资是大江北集团下属的核心国有资产运营平台之一，业务地位重要，可在业务开展上获得股东及实际控制人的持续支持。受益于股东持续增资和自身经营积累，近年来浦口国资资本实力持续增强。</t>
  </si>
  <si>
    <t>南京浦口经济开发有限公司</t>
  </si>
  <si>
    <t>经开区为浦口区经济发展及提高工业化水平的核心载体，基础设施不断完善，未来将重点发展智能制造、高端交通装备等产业，具有较广阔的产业发展空间，浦口经开面临的外部经营环境较好。浦口经开获取股东大江北集团的大额现金增资，资本实力明显增强，负债经营程度下降，对于项目建设、债务偿付的保障程度提升。浦口经开为浦口经济开发区唯一的基础设施建设和土地开发主体，有望在项目、融资等方面进一步获得股东支持。</t>
  </si>
  <si>
    <t>如皋市交通投资发展有限公司</t>
  </si>
  <si>
    <t>公司营业收入稳步增长，利润水平有所提高，权益规模持续提高，资产负债率明显下降</t>
  </si>
  <si>
    <t>淮安市盱眙城市资产经营有限责任公司</t>
  </si>
  <si>
    <t>AA负面上调至AA稳定</t>
  </si>
  <si>
    <t>是盱眙县主要的城市基础设施投资建设主体，盱眙县政府通过返还较大规模土地购置款充实了公司权益规模；划出了资产负债率较高的子公司以及存在较大代偿风险的担保公司，提升了公司资产质量；另外公司持续获得政府的财政补贴。</t>
  </si>
  <si>
    <t>盐城高新区投资集团有限公司</t>
  </si>
  <si>
    <t>公司是盐城高新区唯一的基础设施建设投资主体，具有一定的区域优势。盐城市政府和盐城高新区管理委员会在资金注入、财政补贴和项目回购等方面给予公司有力支持。公司股东为支持公司未来的发展和转型，将盐龙湖公司以及盐龙创投划入公司，公司的资产和权益规模显著增长，业务范围和自身盈利能力有望提升。</t>
  </si>
  <si>
    <t>如东县东泰社会发展投资有限责任公司</t>
  </si>
  <si>
    <t>鹏元资信评估有限公司</t>
  </si>
  <si>
    <t>2017年，如东县实现地区生产总值增长852.5亿元，较上年增长7.9%，为公司发展提供了良好的基础，公司这也多元化程度高，部分业务具备区域垄断性，业务持续性好。公司业务持续性好。营业收入和利润保持良好增长势头，新增转让土地收入。土地储备资源丰富为如东县核心的基础设施建设与土地整理开发主体，公司获得的外部支持力度很大 。</t>
  </si>
  <si>
    <t>黑牡丹(集团)股份有限公司</t>
  </si>
  <si>
    <t>2017年常州市新北区GDP为1340.2亿元，同比增长9.1%，区域经济及综合实力稳步提升为公司营造了良好的发展环境。城镇化建设发展态势两高，收益水平稳定先后承接了基础设施建设工程、安置房建设、土地一级开发、万顷良田工程等多个项目。相关项目均由相关政府部门以开发成本加一定的回报率回购，收益稳定。牛仔布行业地位稳定，规模稳步增长，商品房销售情况良好。</t>
  </si>
  <si>
    <t>海门市城市发展集团有限公司</t>
  </si>
  <si>
    <t>依托区位优势和政策扶持，2017 年海门市经济保持增长，可为城发集团的经营和发展提供良好的支撑。 显著提升 。跟踪期内，城发集团完成重大重组，获得大规模增资和资产注入，经营和资本实力均有提升，在地方国资体系中的地位进一步巩固。城发集团现金及现金类资产充裕，同时拥有部分未抵押的土地资产，可通过土地抵押或转让筹措资金，改善流动性。</t>
  </si>
  <si>
    <t>近一年来同行业发债企业主体评级下调情况</t>
  </si>
  <si>
    <t>主体资信级别下调</t>
  </si>
  <si>
    <t>主体评级展望下调</t>
  </si>
  <si>
    <t>扬州市广陵新城投资发展有限公司</t>
  </si>
  <si>
    <t>AA稳定下调至AA负面</t>
  </si>
  <si>
    <t>广陵新城启动建设较晚，财政实力较弱切税收占比较低。公司在建拟建项目尚需投入金额较大，未来债务仍面临上行压力。财务杠杆率很高，短期偿债压力较大，公司较大规模的应收账款和往来账款对公司资金占用较为严重，同时公司对外担保规模较大</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</si>
  <si>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</si>
  <si>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</si>
  <si>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</si>
  <si>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</si>
  <si>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</si>
  <si>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</si>
  <si>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</si>
  <si>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</si>
  <si>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</si>
  <si>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</si>
  <si>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</si>
  <si>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</si>
  <si>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</si>
  <si>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</si>
  <si>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</si>
  <si>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</si>
  <si>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</si>
  <si>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</si>
  <si>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</si>
  <si>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</si>
  <si>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</si>
  <si>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</si>
  <si>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</si>
  <si>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</si>
  <si>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</si>
  <si>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浙江东南网架集团有限公司</t>
  </si>
  <si>
    <t>民营企业</t>
  </si>
  <si>
    <t>工业--资本货物--机械--工业机械</t>
  </si>
  <si>
    <t>浙江省杭州市萧山区衙前镇新林周村</t>
  </si>
  <si>
    <t>公司是一家集设计、制作、安装于一体的大型钢结构上市企业，为国家大跨度空间结构产业化基地实施单位、国家高新技术企业、中国钢结构协会副会长单位、全国优秀建筑企业。公司工程专业承包资质壹级，制造资质特级，设计资质甲级，信用等级AAA，生产基地纵横广东、四川、浙江和天津;三省一市，具备年产钢结构、网架46万吨，建筑板材600万平方米的制造能力。主要生产大跨度空间桁架结构，空间网架网壳结构，高层重钢结构，轻钢结构，金属屋面系统等系列产品。产品技术水平均达国内领先、国际先进，已辐射全国各地，并远销瑞士、越南、马里、蒙古、印尼、苏丹、安哥拉、哈萨克斯坦、刚果等国家和地区。</t>
  </si>
  <si>
    <t>郭明明</t>
  </si>
  <si>
    <t>杭州驰安实业发展有限公司</t>
  </si>
  <si>
    <t>陈传贤</t>
  </si>
  <si>
    <t>周观根</t>
  </si>
  <si>
    <t>徐春祥</t>
  </si>
  <si>
    <t>盐城市国有资产投资集团有限公司</t>
  </si>
  <si>
    <t>南京汤山建设投资发展有限公司</t>
  </si>
  <si>
    <t>南京六合经济技术开发总公司</t>
  </si>
  <si>
    <t>建湖县城市建设投资有限公司</t>
  </si>
  <si>
    <t>太仓娄城高新建设有限公司</t>
  </si>
  <si>
    <t>南京溧水经济技术开发总公司</t>
  </si>
  <si>
    <t>江苏高淳经济开发区开发有限公司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</si>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</sst>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浙江东南网架集团有限公司</v>
      </c>
      <c r="C4" s="120"/>
      <c r="D4" s="56" t="s">
        <v>3</v>
      </c>
      <c r="E4" s="119" t="str">
        <f>[1]!s_info_nature(A2)</f>
        <v>民营企业</v>
      </c>
      <c r="F4" s="120"/>
      <c r="G4" s="120"/>
      <c r="H4" s="19"/>
    </row>
    <row r="5" spans="1:20" s="17" customFormat="1" ht="14.25" customHeight="1" x14ac:dyDescent="0.25">
      <c r="A5" s="56" t="s">
        <v>4</v>
      </c>
      <c r="B5" s="119" t="str">
        <f>[1]!b_issuer_windindustry(A2,9)</f>
        <v>工业--资本货物--机械--工业机械</v>
      </c>
      <c r="C5" s="120"/>
      <c r="D5" s="56" t="s">
        <v>5</v>
      </c>
      <c r="E5" s="119" t="str">
        <f>[1]!b_issuer_regaddress(A2)</f>
        <v>浙江省杭州市萧山区衙前镇新林周村</v>
      </c>
      <c r="F5" s="120"/>
      <c r="G5" s="120"/>
    </row>
    <row r="6" spans="1:20" s="17" customFormat="1" ht="81" customHeight="1" x14ac:dyDescent="0.25">
      <c r="A6" s="56" t="s">
        <v>6</v>
      </c>
      <c r="B6" s="121" t="str">
        <f>[1]!s_info_briefing(A2)</f>
        <v>公司是一家集设计、制作、安装于一体的大型钢结构上市企业，为国家大跨度空间结构产业化基地实施单位、国家高新技术企业、中国钢结构协会副会长单位、全国优秀建筑企业。公司工程专业承包资质壹级，制造资质特级，设计资质甲级，信用等级AAA，生产基地纵横广东、四川、浙江和天津;三省一市，具备年产钢结构、网架46万吨，建筑板材600万平方米的制造能力。主要生产大跨度空间桁架结构，空间网架网壳结构，高层重钢结构，轻钢结构，金属屋面系统等系列产品。产品技术水平均达国内领先、国际先进，已辐射全国各地，并远销瑞士、越南、马里、蒙古、印尼、苏丹、安哥拉、哈萨克斯坦、刚果等国家和地区。</v>
      </c>
      <c r="C6" s="120"/>
      <c r="D6" s="120"/>
      <c r="E6" s="120"/>
      <c r="F6" s="120"/>
      <c r="G6" s="120"/>
    </row>
    <row r="7" spans="1:20" s="17" customFormat="1" x14ac:dyDescent="0.25">
      <c r="A7" s="58" t="s">
        <v>7</v>
      </c>
      <c r="B7" s="122" t="str">
        <f>[1]!b_issuer_shareholder(A2,"",1)</f>
        <v>郭明明</v>
      </c>
      <c r="C7" s="120"/>
      <c r="D7" s="120"/>
      <c r="E7" s="120"/>
      <c r="F7" s="60">
        <f>[1]!b_issuer_propofshareholder($A$2,"",1)%</f>
        <v>0.47</v>
      </c>
      <c r="G7" s="59"/>
      <c r="H7" s="20" t="s">
        <v>8</v>
      </c>
      <c r="M7" s="24">
        <v>42004</v>
      </c>
      <c r="N7" s="24">
        <v>42369</v>
      </c>
      <c r="O7" s="24">
        <v>41639</v>
      </c>
      <c r="P7" s="61" t="s">
        <v>9</v>
      </c>
      <c r="Q7" s="61" t="s">
        <v>10</v>
      </c>
      <c r="R7" s="61" t="s">
        <v>11</v>
      </c>
    </row>
    <row r="8" spans="1:20" s="17" customFormat="1" x14ac:dyDescent="0.25">
      <c r="A8" s="58"/>
      <c r="B8" s="122" t="str">
        <f>[1]!b_issuer_shareholder(A2,"",2)</f>
        <v>杭州驰安实业发展有限公司</v>
      </c>
      <c r="C8" s="120"/>
      <c r="D8" s="120"/>
      <c r="E8" s="120"/>
      <c r="F8" s="60">
        <f>[1]!b_issuer_propofshareholder($A$2,"",2)%</f>
        <v>0.16666999816894532</v>
      </c>
      <c r="G8" s="59"/>
      <c r="H8" s="20"/>
      <c r="M8" s="25"/>
      <c r="O8" s="25"/>
      <c r="P8" s="62"/>
    </row>
    <row r="9" spans="1:20" s="17" customFormat="1" x14ac:dyDescent="0.25">
      <c r="A9" s="58"/>
      <c r="B9" s="122" t="str">
        <f>[1]!b_issuer_shareholder(A2,"",3)</f>
        <v>陈传贤</v>
      </c>
      <c r="C9" s="120"/>
      <c r="D9" s="120"/>
      <c r="E9" s="120"/>
      <c r="F9" s="60">
        <f>[1]!b_issuer_propofshareholder($A$2,"",3)%</f>
        <v>5.824999809265137E-2</v>
      </c>
      <c r="G9" s="59"/>
      <c r="H9" s="20"/>
      <c r="M9" s="25"/>
      <c r="O9" s="25"/>
      <c r="P9" s="62"/>
    </row>
    <row r="10" spans="1:20" s="17" customFormat="1" x14ac:dyDescent="0.25">
      <c r="A10" s="58"/>
      <c r="B10" s="122" t="str">
        <f>[1]!b_issuer_shareholder(A2,"",4)</f>
        <v>周观根</v>
      </c>
      <c r="C10" s="120"/>
      <c r="D10" s="120"/>
      <c r="E10" s="120"/>
      <c r="F10" s="60">
        <f>[1]!b_issuer_propofshareholder($A$2,"",4)%</f>
        <v>4.7670001983642581E-2</v>
      </c>
      <c r="G10" s="59"/>
      <c r="H10" s="20"/>
      <c r="M10" s="25"/>
      <c r="O10" s="25"/>
      <c r="P10" s="62"/>
    </row>
    <row r="11" spans="1:20" s="17" customFormat="1" x14ac:dyDescent="0.25">
      <c r="A11" s="58"/>
      <c r="B11" s="122" t="str">
        <f>[1]!b_issuer_shareholder(A2,"",5)</f>
        <v>徐春祥</v>
      </c>
      <c r="C11" s="120"/>
      <c r="D11" s="120"/>
      <c r="E11" s="120"/>
      <c r="F11" s="60">
        <f>[1]!b_issuer_propofshareholder($A$2,"",5)%</f>
        <v>4.7670001983642581E-2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q19040414.IB</v>
      </c>
      <c r="K14" s="26"/>
      <c r="L14" s="27" t="str">
        <f>T15</f>
        <v>011900128.IB</v>
      </c>
      <c r="M14" s="27" t="str">
        <f>T16</f>
        <v>101900168.IB</v>
      </c>
      <c r="N14" s="27" t="str">
        <f>T17</f>
        <v>031800614.IB</v>
      </c>
      <c r="O14" s="27" t="str">
        <f>T18</f>
        <v>031762024.IB</v>
      </c>
      <c r="P14" s="27" t="str">
        <f>T19</f>
        <v>101900108.IB</v>
      </c>
      <c r="Q14" s="27" t="str">
        <f>T20</f>
        <v>031900091.IB</v>
      </c>
      <c r="R14" s="5" t="str">
        <f>T21</f>
        <v>101900042.IB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浙江东南网架集团有限公司</v>
      </c>
      <c r="K15" s="138"/>
      <c r="L15" s="8" t="str">
        <f>[1]!b_info_issuer(L14)</f>
        <v>盐城市国有资产投资集团有限公司</v>
      </c>
      <c r="M15" s="8" t="str">
        <f>[1]!b_info_issuer(M14)</f>
        <v>南京汤山建设投资发展有限公司</v>
      </c>
      <c r="N15" s="8" t="str">
        <f>[1]!b_info_issuer(N14)</f>
        <v>南京六合经济技术开发总公司</v>
      </c>
      <c r="O15" s="8" t="str">
        <f>[1]!b_info_issuer(O14)</f>
        <v>建湖县城市建设投资有限公司</v>
      </c>
      <c r="P15" s="8" t="str">
        <f>[1]!b_info_issuer(P14)</f>
        <v>太仓娄城高新建设有限公司</v>
      </c>
      <c r="Q15" s="8" t="str">
        <f>[1]!b_info_issuer(Q14)</f>
        <v>南京溧水经济技术开发总公司</v>
      </c>
      <c r="R15" s="8" t="str">
        <f>[1]!b_info_issuer(R14)</f>
        <v>江苏高淳经济开发区开发有限公司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民营企业</v>
      </c>
      <c r="K17" s="124"/>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122.21913570549999</v>
      </c>
      <c r="K19" s="124"/>
      <c r="L19" s="67">
        <f>[1]!b_stm07_bs(L14,74,L13,1)/100000000</f>
        <v>311.78838135619998</v>
      </c>
      <c r="M19" s="67">
        <f>[1]!b_stm07_bs(M14,74,M13,1)/100000000</f>
        <v>240.8875893984</v>
      </c>
      <c r="N19" s="67">
        <f>[1]!b_stm07_bs(N14,74,N13,1)/100000000</f>
        <v>104.92305362459999</v>
      </c>
      <c r="O19" s="67">
        <f>[1]!b_stm07_bs(O14,74,O13,1)/100000000</f>
        <v>290.75602778259997</v>
      </c>
      <c r="P19" s="67">
        <f>[1]!b_stm07_bs(P14,74,P13,1)/100000000</f>
        <v>324.65559949049998</v>
      </c>
      <c r="Q19" s="67">
        <f>[1]!b_stm07_bs(Q14,74,Q13,1)/100000000</f>
        <v>293.73411836419996</v>
      </c>
      <c r="R19" s="67">
        <f>[1]!b_stm07_bs(R14,74,R13,1)/100000000</f>
        <v>195.48223594459998</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0.68259000000000003</v>
      </c>
      <c r="K20" s="124"/>
      <c r="L20" s="10">
        <f>[1]!s_fa_debttoassets(L14,L13)/100</f>
        <v>0.69892799999999999</v>
      </c>
      <c r="M20" s="10">
        <f>[1]!s_fa_debttoassets(M14,M13)/100</f>
        <v>0.73167800000000005</v>
      </c>
      <c r="N20" s="10">
        <f>[1]!s_fa_debttoassets(N14,N13)/100</f>
        <v>0.43359799999999998</v>
      </c>
      <c r="O20" s="10">
        <f>[1]!s_fa_debttoassets(O14,O13)/100</f>
        <v>0.59744999999999993</v>
      </c>
      <c r="P20" s="10">
        <f>[1]!s_fa_debttoassets(P14,P13)/100</f>
        <v>0.486763</v>
      </c>
      <c r="Q20" s="10">
        <f>[1]!s_fa_debttoassets(Q14,Q13)/100</f>
        <v>0.60611300000000001</v>
      </c>
      <c r="R20" s="10">
        <f>[1]!s_fa_debttoassets(R14,R13)/100</f>
        <v>0.57354899999999998</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1.1593</v>
      </c>
      <c r="K21" s="124"/>
      <c r="L21" s="67">
        <f>[1]!s_fa_current(L14,L13)</f>
        <v>1.3626</v>
      </c>
      <c r="M21" s="67">
        <f>[1]!s_fa_current(M14,M13)</f>
        <v>3.0137999999999998</v>
      </c>
      <c r="N21" s="67">
        <f>[1]!s_fa_current(N14,N13)</f>
        <v>3.1089000000000002</v>
      </c>
      <c r="O21" s="67">
        <f>[1]!s_fa_current(O14,O13)</f>
        <v>3.7454000000000001</v>
      </c>
      <c r="P21" s="67">
        <f>[1]!s_fa_current(P14,P13)</f>
        <v>2.1103999999999998</v>
      </c>
      <c r="Q21" s="67">
        <f>[1]!s_fa_current(Q14,Q13)</f>
        <v>4.5677000000000003</v>
      </c>
      <c r="R21" s="67">
        <f>[1]!s_fa_current(R14,R13)</f>
        <v>4.1844000000000001</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0.76601843132825942</v>
      </c>
      <c r="K22" s="124"/>
      <c r="L22" s="65">
        <f>(公式页!L96+公式页!L97+公式页!L98+公式页!L99+公式页!L100+公式页!L101)/公式页!L103</f>
        <v>1.4018873839479511</v>
      </c>
      <c r="M22" s="65">
        <f t="shared" ref="M22:R22" si="0">(M96+M97+M98+M99+M100+M101)/M103</f>
        <v>1.8840432975992234</v>
      </c>
      <c r="N22" s="65">
        <f t="shared" si="0"/>
        <v>0.5454799501392863</v>
      </c>
      <c r="O22" s="65">
        <f t="shared" si="0"/>
        <v>1.2025899758316621</v>
      </c>
      <c r="P22" s="65">
        <f t="shared" si="0"/>
        <v>0.43142476097062887</v>
      </c>
      <c r="Q22" s="65">
        <f t="shared" si="0"/>
        <v>1.2361200783952861</v>
      </c>
      <c r="R22" s="65">
        <f t="shared" si="0"/>
        <v>0.80512750339574601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6.0600000000000001E-2</v>
      </c>
      <c r="K23" s="124"/>
      <c r="L23" s="67">
        <f>[1]!s_fa_ebitdatodebt(L14,L13)</f>
        <v>2.98E-2</v>
      </c>
      <c r="M23" s="67">
        <f>[1]!s_fa_ebitdatodebt(M14,M13)</f>
        <v>1.37E-2</v>
      </c>
      <c r="N23" s="67">
        <f>[1]!s_fa_ebitdatodebt(N14,N13)</f>
        <v>3.6799999999999999E-2</v>
      </c>
      <c r="O23" s="67">
        <f>[1]!s_fa_ebitdatodebt(O14,O13)</f>
        <v>1.54E-2</v>
      </c>
      <c r="P23" s="67">
        <f>[1]!s_fa_ebitdatodebt(P14,P13)</f>
        <v>2.9100000000000001E-2</v>
      </c>
      <c r="Q23" s="67">
        <f>[1]!s_fa_ebitdatodebt(Q14,Q13)</f>
        <v>2.1299999999999999E-2</v>
      </c>
      <c r="R23" s="67">
        <f>[1]!s_fa_ebitdatodebt(R14,R13)</f>
        <v>2.1299999999999999E-2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105.90433496780001</v>
      </c>
      <c r="K24" s="124"/>
      <c r="L24" s="67">
        <f>[1]!b_stm07_is(L14,9,L13,1)/100000000</f>
        <v>81.254864261499989</v>
      </c>
      <c r="M24" s="67">
        <f>[1]!b_stm07_is(M14,9,M13,1)/100000000</f>
        <v>25.934322141300001</v>
      </c>
      <c r="N24" s="67">
        <f>[1]!b_stm07_is(N14,9,N13,1)/100000000</f>
        <v>9.8716887802999995</v>
      </c>
      <c r="O24" s="67">
        <f>[1]!b_stm07_is(O14,9,O13,1)/100000000</f>
        <v>8.3063380593999998</v>
      </c>
      <c r="P24" s="67">
        <f>[1]!b_stm07_is(P14,9,P13,1)/100000000</f>
        <v>18.4092353584</v>
      </c>
      <c r="Q24" s="67">
        <f>[1]!b_stm07_is(Q14,9,Q13,1)/100000000</f>
        <v>14.3882039171</v>
      </c>
      <c r="R24" s="67">
        <f>[1]!b_stm07_is(R14,9,R13,1)/100000000</f>
        <v>6.1406239459000007</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0.98450000000000004</v>
      </c>
      <c r="K25" s="124"/>
      <c r="L25" s="11">
        <f>[1]!s_fa_salescashintoor(L14,L13)%</f>
        <v>1.1472</v>
      </c>
      <c r="M25" s="11">
        <f>[1]!s_fa_salescashintoor(M14,M13)%</f>
        <v>0.35260000000000002</v>
      </c>
      <c r="N25" s="11">
        <f>[1]!s_fa_salescashintoor(N14,N13)%</f>
        <v>1</v>
      </c>
      <c r="O25" s="11">
        <f>[1]!s_fa_salescashintoor(O14,O13)%</f>
        <v>1.0234000000000001</v>
      </c>
      <c r="P25" s="11">
        <f>[1]!s_fa_salescashintoor(P14,P13)%</f>
        <v>0.33479999999999999</v>
      </c>
      <c r="Q25" s="11">
        <f>[1]!s_fa_salescashintoor(Q14,Q13)%</f>
        <v>0.72509999999999986</v>
      </c>
      <c r="R25" s="11">
        <f>[1]!s_fa_salescashintoor(R14,R13)%</f>
        <v>1.2116</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9.0131000000000003E-2</v>
      </c>
      <c r="K26" s="124"/>
      <c r="L26" s="11">
        <f>[1]!s_fa_grossprofitmargin(L14,L13)%</f>
        <v>9.3256999999999993E-2</v>
      </c>
      <c r="M26" s="11">
        <f>[1]!s_fa_grossprofitmargin(M14,M13)%</f>
        <v>0.11755900000000001</v>
      </c>
      <c r="N26" s="11">
        <f>[1]!s_fa_grossprofitmargin(N14,N13)%</f>
        <v>0.16666699999999998</v>
      </c>
      <c r="O26" s="11">
        <f>[1]!s_fa_grossprofitmargin(O14,O13)%</f>
        <v>0.17666899999999999</v>
      </c>
      <c r="P26" s="11">
        <f>[1]!s_fa_grossprofitmargin(P14,P13)%</f>
        <v>5.4501000000000001E-2</v>
      </c>
      <c r="Q26" s="11">
        <f>[1]!s_fa_grossprofitmargin(Q14,Q13)%</f>
        <v>5.7625999999999997E-2</v>
      </c>
      <c r="R26" s="11">
        <f>[1]!s_fa_grossprofitmargin(R14,R13)%</f>
        <v>0.12668299999999999</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1.6990725100999999</v>
      </c>
      <c r="K27" s="124"/>
      <c r="L27" s="68">
        <f>[1]!b_stm07_is(L14,60,L13,1)/100000000</f>
        <v>1.3489157127000002</v>
      </c>
      <c r="M27" s="68">
        <f>[1]!b_stm07_is(M14,60,M13,1)/100000000</f>
        <v>1.2115408131999998</v>
      </c>
      <c r="N27" s="68">
        <f>[1]!b_stm07_is(N14,60,N13,1)/100000000</f>
        <v>1.2008886382999999</v>
      </c>
      <c r="O27" s="68">
        <f>[1]!b_stm07_is(O14,60,O13,1)/100000000</f>
        <v>1.1582803104000001</v>
      </c>
      <c r="P27" s="68">
        <f>[1]!b_stm07_is(P14,60,P13,1)/100000000</f>
        <v>3.4223547913000001</v>
      </c>
      <c r="Q27" s="68">
        <f>[1]!b_stm07_is(Q14,60,Q13,1)/100000000</f>
        <v>3.5701373627999997</v>
      </c>
      <c r="R27" s="68">
        <f>[1]!b_stm07_is(R14,60,R13,1)/100000000</f>
        <v>2.2058011946999998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0.103226</v>
      </c>
      <c r="K28" s="124"/>
      <c r="L28" s="10">
        <f>[1]!s_fa_roe(L14,L13)%</f>
        <v>9.0010000000000003E-3</v>
      </c>
      <c r="M28" s="10">
        <f>[1]!s_fa_roe(M14,M13)%</f>
        <v>2.7290000000000002E-2</v>
      </c>
      <c r="N28" s="10">
        <f>[1]!s_fa_roe(N14,N13)%</f>
        <v>2.0413999999999998E-2</v>
      </c>
      <c r="O28" s="10">
        <f>[1]!s_fa_roe(O14,O13)%</f>
        <v>1.0145E-2</v>
      </c>
      <c r="P28" s="10">
        <f>[1]!s_fa_roe(P14,P13)%</f>
        <v>2.3012999999999999E-2</v>
      </c>
      <c r="Q28" s="10">
        <f>[1]!s_fa_roe(Q14,Q13)%</f>
        <v>3.1519999999999999E-2</v>
      </c>
      <c r="R28" s="10">
        <f>[1]!s_fa_roe(R14,R13)%</f>
        <v>2.9114000000000001E-2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7.9406097966999996</v>
      </c>
      <c r="K29" s="124"/>
      <c r="L29" s="68">
        <f>[1]!b_stm07_cs(L14,39,L13,1)/100000000</f>
        <v>3.7031212599999995E-2</v>
      </c>
      <c r="M29" s="68">
        <f>[1]!b_stm07_cs(M14,39,M13,1)/100000000</f>
        <v>0.24758641819999999</v>
      </c>
      <c r="N29" s="68">
        <f>[1]!b_stm07_cs(N14,39,N13,1)/100000000</f>
        <v>13.024742984300001</v>
      </c>
      <c r="O29" s="68">
        <f>[1]!b_stm07_cs(O14,39,O13,1)/100000000</f>
        <v>-16.480227500599998</v>
      </c>
      <c r="P29" s="68">
        <f>[1]!b_stm07_cs(P14,39,P13,1)/100000000</f>
        <v>0.31098069499999997</v>
      </c>
      <c r="Q29" s="68">
        <f>[1]!b_stm07_cs(Q14,39,Q13,1)/100000000</f>
        <v>-13.6297086352</v>
      </c>
      <c r="R29" s="68">
        <f>[1]!b_stm07_cs(R14,39,R13,1)/100000000</f>
        <v>-19.346645773199999</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2266195000</v>
      </c>
      <c r="K96" s="70"/>
      <c r="L96" s="70">
        <f>[1]!b_stm07_bs(L14,75,L13,1)</f>
        <v>1419000000</v>
      </c>
      <c r="M96" s="70">
        <f>[1]!b_stm07_bs(M14,75,M13,1)</f>
        <v>300000000</v>
      </c>
      <c r="N96" s="70">
        <f>[1]!b_stm07_bs(N14,75,N13,1)</f>
        <v>0</v>
      </c>
      <c r="O96" s="70">
        <f>[1]!b_stm07_bs(O14,75,O13,1)</f>
        <v>1227840000</v>
      </c>
      <c r="P96" s="70">
        <f>[1]!b_stm07_bs(P14,75,P13,1)</f>
        <v>100000000</v>
      </c>
      <c r="Q96" s="70">
        <f>[1]!b_stm07_bs(Q14,75,Q13,1)</f>
        <v>475000000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5412192.2999999998</v>
      </c>
      <c r="K97" s="70"/>
      <c r="L97" s="70">
        <f>[1]!b_stm07_bs(L14,82,L13,1)</f>
        <v>207735419.24000001</v>
      </c>
      <c r="M97" s="70">
        <f>[1]!b_stm07_bs(M14,82,M13,1)</f>
        <v>281336351.19999999</v>
      </c>
      <c r="N97" s="70">
        <f>[1]!b_stm07_bs(N14,82,N13,1)</f>
        <v>18025000</v>
      </c>
      <c r="O97" s="70">
        <f>[1]!b_stm07_bs(O14,82,O13,1)</f>
        <v>249931000.5</v>
      </c>
      <c r="P97" s="70">
        <f>[1]!b_stm07_bs(P14,82,P13,1)</f>
        <v>81430000</v>
      </c>
      <c r="Q97" s="70">
        <f>[1]!b_stm07_bs(Q14,82,Q13,1)</f>
        <v>37732567.18</v>
      </c>
      <c r="R97" s="70">
        <f>[1]!b_stm07_bs(R14,82,R13,1)</f>
        <v>35517777.780000001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310050000</v>
      </c>
      <c r="K98" s="70"/>
      <c r="L98" s="70">
        <f>[1]!b_stm07_bs(L14,88,L13,1)</f>
        <v>3240900000</v>
      </c>
      <c r="M98" s="70">
        <f>[1]!b_stm07_bs(M14,88,M13,1)</f>
        <v>1833282690.79</v>
      </c>
      <c r="N98" s="70">
        <f>[1]!b_stm07_bs(N14,88,N13,1)</f>
        <v>1739290300</v>
      </c>
      <c r="O98" s="70">
        <f>[1]!b_stm07_bs(O14,88,O13,1)</f>
        <v>3014277995.3600001</v>
      </c>
      <c r="P98" s="70">
        <f>[1]!b_stm07_bs(P14,88,P13,1)</f>
        <v>2239690911</v>
      </c>
      <c r="Q98" s="70">
        <f>[1]!b_stm07_bs(Q14,88,Q13,1)</f>
        <v>2201500000</v>
      </c>
      <c r="R98" s="70">
        <f>[1]!b_stm07_bs(R14,88,R13,1)</f>
        <v>1036250000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390000000</v>
      </c>
      <c r="K100" s="70"/>
      <c r="L100" s="70">
        <f>[1]!b_stm07_bs(L14,94,L13,1)</f>
        <v>5292000000</v>
      </c>
      <c r="M100" s="70">
        <f>[1]!b_stm07_bs(M14,94,M13,1)</f>
        <v>8787166358.2099991</v>
      </c>
      <c r="N100" s="70">
        <f>[1]!b_stm07_bs(N14,94,N13,1)</f>
        <v>486581200</v>
      </c>
      <c r="O100" s="70">
        <f>[1]!b_stm07_bs(O14,94,O13,1)</f>
        <v>6085536072.5699997</v>
      </c>
      <c r="P100" s="70">
        <f>[1]!b_stm07_bs(P14,94,P13,1)</f>
        <v>4067500000</v>
      </c>
      <c r="Q100" s="70">
        <f>[1]!b_stm07_bs(Q14,94,Q13,1)</f>
        <v>7914000000</v>
      </c>
      <c r="R100" s="70">
        <f>[1]!b_stm07_bs(R14,94,R13,1)</f>
        <v>3661750000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0</v>
      </c>
      <c r="K101" s="70"/>
      <c r="L101" s="70">
        <f>[1]!b_stm07_bs(L14,95,L13,1)</f>
        <v>3000000000</v>
      </c>
      <c r="M101" s="70">
        <f>[1]!b_stm07_bs(M14,95,M13,1)</f>
        <v>975800000</v>
      </c>
      <c r="N101" s="70">
        <f>[1]!b_stm07_bs(N14,95,N13,1)</f>
        <v>997813378.80999994</v>
      </c>
      <c r="O101" s="70">
        <f>[1]!b_stm07_bs(O14,95,O13,1)</f>
        <v>3497988604.1399999</v>
      </c>
      <c r="P101" s="70">
        <f>[1]!b_stm07_bs(P14,95,P13,1)</f>
        <v>700000000</v>
      </c>
      <c r="Q101" s="70">
        <f>[1]!b_stm07_bs(Q14,95,Q13,1)</f>
        <v>3673420000</v>
      </c>
      <c r="R101" s="70">
        <f>[1]!b_stm07_bs(R14,95,R13,1)</f>
        <v>1978312767.3099999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3879354687.52</v>
      </c>
      <c r="K103" s="70"/>
      <c r="L103" s="70">
        <f>[1]!b_stm07_bs(L14,141,L13,1)</f>
        <v>9387084561.7999992</v>
      </c>
      <c r="M103" s="70">
        <f>[1]!b_stm07_bs(M14,141,M13,1)</f>
        <v>6463537974.8000002</v>
      </c>
      <c r="N103" s="70">
        <f>[1]!b_stm07_bs(N14,141,N13,1)</f>
        <v>5942857987.6899996</v>
      </c>
      <c r="O103" s="70">
        <f>[1]!b_stm07_bs(O14,141,O13,1)</f>
        <v>11704383002.889999</v>
      </c>
      <c r="P103" s="70">
        <f>[1]!b_stm07_bs(P14,141,P13,1)</f>
        <v>16662513516.440001</v>
      </c>
      <c r="Q103" s="70">
        <f>[1]!b_stm07_bs(Q14,141,Q13,1)</f>
        <v>11569792301.85</v>
      </c>
      <c r="R103" s="70">
        <f>[1]!b_stm07_bs(R14,141,R13,1)</f>
        <v>8336357305.8699999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q19040414.IB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3" t="s">
        <v>61</v>
      </c>
      <c r="B109" s="12">
        <f>M109/100</f>
        <v>0.68259000000000003</v>
      </c>
      <c r="C109" s="53" t="s">
        <v>36</v>
      </c>
      <c r="D109" s="71">
        <f>[1]!s_fa_current(A2,B2)</f>
        <v>1.1593</v>
      </c>
      <c r="E109" s="53" t="s">
        <v>41</v>
      </c>
      <c r="F109" s="72">
        <f>[1]!s_fa_salescashintoor(A2,B2)/100</f>
        <v>0.98450000000000004</v>
      </c>
      <c r="G109" s="53" t="s">
        <v>42</v>
      </c>
      <c r="H109" s="12">
        <f>S109/100</f>
        <v>9.0131000000000003E-2</v>
      </c>
      <c r="I109" s="53"/>
      <c r="J109" s="16"/>
      <c r="K109" s="25"/>
      <c r="L109" s="34" t="s">
        <v>61</v>
      </c>
      <c r="M109" s="73">
        <f>[1]!s_fa_debttoassets(A2,B2)</f>
        <v>68.259</v>
      </c>
      <c r="N109" s="53" t="s">
        <v>36</v>
      </c>
      <c r="O109" s="35"/>
      <c r="P109" s="53" t="s">
        <v>41</v>
      </c>
      <c r="Q109" s="35"/>
      <c r="R109" s="53" t="s">
        <v>42</v>
      </c>
      <c r="S109" s="74">
        <f>[1]!s_fa_grossprofitmargin(A2,B2)</f>
        <v>9.0130999999999997</v>
      </c>
    </row>
    <row r="110" spans="1:19" ht="15.75" customHeight="1" x14ac:dyDescent="0.25">
      <c r="A110" s="53" t="s">
        <v>62</v>
      </c>
      <c r="B110" s="12">
        <f>M110/100</f>
        <v>0.74160300000000001</v>
      </c>
      <c r="C110" s="53" t="s">
        <v>63</v>
      </c>
      <c r="D110" s="72">
        <f>[1]!s_fa_quick(A2,B2)</f>
        <v>0.79669999999999996</v>
      </c>
      <c r="E110" s="53" t="s">
        <v>64</v>
      </c>
      <c r="F110" s="71">
        <f>[1]!s_fa_arturn(A2,B2)</f>
        <v>3.4664000000000001</v>
      </c>
      <c r="G110" s="53" t="s">
        <v>65</v>
      </c>
      <c r="H110" s="12">
        <f>S110/100</f>
        <v>1.5972E-2</v>
      </c>
      <c r="I110" s="53"/>
      <c r="J110" s="16"/>
      <c r="L110" s="53" t="s">
        <v>62</v>
      </c>
      <c r="M110" s="73">
        <f>[1]!s_fa_catoassets(A2,B2)</f>
        <v>74.160300000000007</v>
      </c>
      <c r="N110" s="53" t="s">
        <v>63</v>
      </c>
      <c r="O110" s="35"/>
      <c r="P110" s="53" t="s">
        <v>64</v>
      </c>
      <c r="Q110" s="72"/>
      <c r="R110" s="53" t="s">
        <v>65</v>
      </c>
      <c r="S110" s="74">
        <f>[1]!s_fa_optogr(A2,B2)</f>
        <v>1.5972</v>
      </c>
    </row>
    <row r="111" spans="1:19" ht="15" customHeight="1" x14ac:dyDescent="0.25">
      <c r="A111" s="53" t="s">
        <v>66</v>
      </c>
      <c r="B111" s="12">
        <f>M111/100</f>
        <v>0.93717399999999995</v>
      </c>
      <c r="C111" s="53" t="s">
        <v>39</v>
      </c>
      <c r="D111" s="72">
        <f>[1]!s_fa_ebitdatodebt(A2,B2)</f>
        <v>6.0600000000000001E-2</v>
      </c>
      <c r="E111" s="53" t="s">
        <v>67</v>
      </c>
      <c r="F111" s="71">
        <f>[1]!s_fa_invturn(A2,B2)</f>
        <v>3.6791</v>
      </c>
      <c r="G111" s="53" t="s">
        <v>45</v>
      </c>
      <c r="H111" s="12">
        <f>S111/100</f>
        <v>0.103226</v>
      </c>
      <c r="I111" s="53"/>
      <c r="J111" s="16"/>
      <c r="L111" s="53" t="s">
        <v>66</v>
      </c>
      <c r="M111" s="73">
        <f>[1]!s_fa_currentdebttodebt(A2,B2)</f>
        <v>93.717399999999998</v>
      </c>
      <c r="N111" s="53" t="s">
        <v>39</v>
      </c>
      <c r="O111" s="35"/>
      <c r="P111" s="53" t="s">
        <v>67</v>
      </c>
      <c r="Q111" s="35"/>
      <c r="R111" s="53" t="s">
        <v>45</v>
      </c>
      <c r="S111" s="74">
        <f>[1]!s_fa_roe(A2,B2)</f>
        <v>10.3226</v>
      </c>
    </row>
    <row r="112" spans="1:19" ht="14.25" customHeight="1" x14ac:dyDescent="0.25">
      <c r="A112" s="53" t="s">
        <v>38</v>
      </c>
      <c r="B112" s="75">
        <f>(M116+M117+M118+M119+M120+M121)/M123</f>
        <v>0.76601843132825942</v>
      </c>
      <c r="C112" s="53" t="s">
        <v>68</v>
      </c>
      <c r="D112" s="72">
        <f>[1]!s_fa_ebittointerest(A2,B2)</f>
        <v>2.3729</v>
      </c>
      <c r="E112" s="53" t="s">
        <v>69</v>
      </c>
      <c r="F112" s="71">
        <f>[1]!s_fa_caturn(A2,B2)</f>
        <v>1.2721</v>
      </c>
      <c r="G112" s="53" t="s">
        <v>70</v>
      </c>
      <c r="H112" s="12">
        <f>S112/100</f>
        <v>2.5964000000000001E-2</v>
      </c>
      <c r="I112" s="53"/>
      <c r="J112" s="16"/>
      <c r="L112" s="53" t="s">
        <v>38</v>
      </c>
      <c r="M112" s="76"/>
      <c r="N112" s="53" t="s">
        <v>68</v>
      </c>
      <c r="O112" s="35"/>
      <c r="P112" s="53" t="s">
        <v>69</v>
      </c>
      <c r="Q112" s="35"/>
      <c r="R112" s="53" t="s">
        <v>70</v>
      </c>
      <c r="S112" s="74">
        <f>[1]!s_fa_roa2(A2,B2)</f>
        <v>2.5964</v>
      </c>
    </row>
    <row r="113" spans="1:21" x14ac:dyDescent="0.25">
      <c r="A113" s="30"/>
      <c r="B113" s="31"/>
      <c r="C113" s="30"/>
      <c r="D113" s="32"/>
      <c r="E113" s="30" t="s">
        <v>71</v>
      </c>
      <c r="F113" s="77">
        <f>[1]!s_fa_dupont_faturnover(A2,B2)</f>
        <v>0.92049999999999998</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0">
        <f>[1]!b_stm07_bs(K107,75,L107,1)</f>
        <v>2266195000</v>
      </c>
    </row>
    <row r="117" spans="1:21" ht="14.25" customHeight="1" x14ac:dyDescent="0.25">
      <c r="A117" s="53" t="s">
        <v>77</v>
      </c>
      <c r="B117" s="72">
        <f t="shared" ref="B117:B131" si="1">M127/100000000</f>
        <v>19.3538979912</v>
      </c>
      <c r="C117" s="53" t="s">
        <v>78</v>
      </c>
      <c r="D117" s="75">
        <f t="shared" ref="D117:D125" si="2">O127/100000000</f>
        <v>105.90433496780001</v>
      </c>
      <c r="E117" s="131" t="s">
        <v>79</v>
      </c>
      <c r="F117" s="124"/>
      <c r="G117" s="124"/>
      <c r="H117" s="132">
        <f t="shared" ref="H117:H131" si="3">S127/100000000</f>
        <v>104.2619619315</v>
      </c>
      <c r="I117" s="124"/>
      <c r="J117" s="124"/>
      <c r="L117" s="17" t="s">
        <v>48</v>
      </c>
      <c r="M117" s="70">
        <f>[1]!b_stm07_bs(K107,82,L107,1)</f>
        <v>5412192.2999999998</v>
      </c>
    </row>
    <row r="118" spans="1:21" ht="14.25" customHeight="1" x14ac:dyDescent="0.25">
      <c r="A118" s="53" t="s">
        <v>80</v>
      </c>
      <c r="B118" s="72">
        <f t="shared" si="1"/>
        <v>31.372136095999998</v>
      </c>
      <c r="C118" s="53" t="s">
        <v>81</v>
      </c>
      <c r="D118" s="75">
        <f t="shared" si="2"/>
        <v>105.12125127420001</v>
      </c>
      <c r="E118" s="131" t="s">
        <v>82</v>
      </c>
      <c r="F118" s="124"/>
      <c r="G118" s="124"/>
      <c r="H118" s="132">
        <f t="shared" si="3"/>
        <v>5.9334164805999992</v>
      </c>
      <c r="I118" s="124"/>
      <c r="J118" s="124"/>
      <c r="L118" s="17" t="s">
        <v>49</v>
      </c>
      <c r="M118" s="70">
        <f>[1]!b_stm07_bs(K107,88,L107,1)</f>
        <v>310050000</v>
      </c>
    </row>
    <row r="119" spans="1:21" ht="14.25" customHeight="1" x14ac:dyDescent="0.25">
      <c r="A119" s="53" t="s">
        <v>83</v>
      </c>
      <c r="B119" s="72">
        <f t="shared" si="1"/>
        <v>3.9022274942000004</v>
      </c>
      <c r="C119" s="53" t="s">
        <v>84</v>
      </c>
      <c r="D119" s="75">
        <f t="shared" si="2"/>
        <v>96.359106255</v>
      </c>
      <c r="E119" s="131" t="s">
        <v>85</v>
      </c>
      <c r="F119" s="124"/>
      <c r="G119" s="124"/>
      <c r="H119" s="133">
        <f t="shared" si="3"/>
        <v>110.30702480209999</v>
      </c>
      <c r="I119" s="124"/>
      <c r="J119" s="124"/>
      <c r="L119" s="17" t="s">
        <v>50</v>
      </c>
      <c r="M119" s="70">
        <f>[1]!b_stm07_bs(K107,147,L107,1)</f>
        <v>0</v>
      </c>
    </row>
    <row r="120" spans="1:21" ht="14.25" customHeight="1" x14ac:dyDescent="0.25">
      <c r="A120" s="53" t="s">
        <v>86</v>
      </c>
      <c r="B120" s="72">
        <f t="shared" si="1"/>
        <v>25.823101469200001</v>
      </c>
      <c r="C120" s="53" t="s">
        <v>87</v>
      </c>
      <c r="D120" s="75">
        <f t="shared" si="2"/>
        <v>0.23315484980000001</v>
      </c>
      <c r="E120" s="131" t="s">
        <v>88</v>
      </c>
      <c r="F120" s="124"/>
      <c r="G120" s="124"/>
      <c r="H120" s="132">
        <f t="shared" si="3"/>
        <v>84.599800154199997</v>
      </c>
      <c r="I120" s="124"/>
      <c r="J120" s="124"/>
      <c r="L120" s="17" t="s">
        <v>51</v>
      </c>
      <c r="M120" s="70">
        <f>[1]!b_stm07_bs(K107,94,L107,1)</f>
        <v>390000000</v>
      </c>
    </row>
    <row r="121" spans="1:21" ht="14.25" customHeight="1" x14ac:dyDescent="0.25">
      <c r="A121" s="53" t="s">
        <v>89</v>
      </c>
      <c r="B121" s="72">
        <f t="shared" si="1"/>
        <v>0.43126602289999999</v>
      </c>
      <c r="C121" s="53" t="s">
        <v>90</v>
      </c>
      <c r="D121" s="75">
        <f t="shared" si="2"/>
        <v>5.6628746887999997</v>
      </c>
      <c r="E121" s="131" t="s">
        <v>91</v>
      </c>
      <c r="F121" s="124"/>
      <c r="G121" s="124"/>
      <c r="H121" s="132">
        <f t="shared" si="3"/>
        <v>8.1310466994000006</v>
      </c>
      <c r="I121" s="124"/>
      <c r="J121" s="124"/>
      <c r="L121" s="17" t="s">
        <v>52</v>
      </c>
      <c r="M121" s="70">
        <f>[1]!b_stm07_bs(K107,95,L107,1)</f>
        <v>0</v>
      </c>
    </row>
    <row r="122" spans="1:21" ht="14.25" customHeight="1" x14ac:dyDescent="0.25">
      <c r="A122" s="53" t="s">
        <v>92</v>
      </c>
      <c r="B122" s="72">
        <f t="shared" si="1"/>
        <v>1.7153883049</v>
      </c>
      <c r="C122" s="53" t="s">
        <v>93</v>
      </c>
      <c r="D122" s="75">
        <f t="shared" si="2"/>
        <v>1.3110879630000001</v>
      </c>
      <c r="E122" s="131" t="s">
        <v>94</v>
      </c>
      <c r="F122" s="124"/>
      <c r="G122" s="124"/>
      <c r="H122" s="133">
        <f t="shared" si="3"/>
        <v>102.36641500540001</v>
      </c>
      <c r="I122" s="124"/>
      <c r="J122" s="124"/>
      <c r="L122" s="17"/>
      <c r="M122" s="17"/>
    </row>
    <row r="123" spans="1:21" ht="14.25" customHeight="1" x14ac:dyDescent="0.25">
      <c r="A123" s="53" t="s">
        <v>95</v>
      </c>
      <c r="B123" s="78">
        <f t="shared" si="1"/>
        <v>122.21913570549999</v>
      </c>
      <c r="C123" s="53" t="s">
        <v>96</v>
      </c>
      <c r="D123" s="75">
        <f t="shared" si="2"/>
        <v>1.6915464463000001</v>
      </c>
      <c r="E123" s="131" t="s">
        <v>97</v>
      </c>
      <c r="F123" s="124"/>
      <c r="G123" s="124"/>
      <c r="H123" s="133">
        <f t="shared" si="3"/>
        <v>7.9406097966999996</v>
      </c>
      <c r="I123" s="124"/>
      <c r="J123" s="124"/>
      <c r="L123" s="17" t="s">
        <v>53</v>
      </c>
      <c r="M123" s="70">
        <f>[1]!b_stm07_bs(K107,141,L107,1)</f>
        <v>3879354687.52</v>
      </c>
    </row>
    <row r="124" spans="1:21" ht="14.25" customHeight="1" x14ac:dyDescent="0.25">
      <c r="A124" s="53" t="s">
        <v>98</v>
      </c>
      <c r="B124" s="72">
        <f t="shared" si="1"/>
        <v>22.661950000000001</v>
      </c>
      <c r="C124" s="53" t="s">
        <v>99</v>
      </c>
      <c r="D124" s="75">
        <f t="shared" si="2"/>
        <v>1.7283352877</v>
      </c>
      <c r="E124" s="131" t="s">
        <v>100</v>
      </c>
      <c r="F124" s="124"/>
      <c r="G124" s="124"/>
      <c r="H124" s="133">
        <f t="shared" si="3"/>
        <v>-3.0180307261000001</v>
      </c>
      <c r="I124" s="124"/>
      <c r="J124" s="124"/>
      <c r="L124" s="17"/>
      <c r="M124" s="17"/>
    </row>
    <row r="125" spans="1:21" ht="27" customHeight="1" x14ac:dyDescent="0.25">
      <c r="A125" s="53" t="s">
        <v>101</v>
      </c>
      <c r="B125" s="72">
        <f t="shared" si="1"/>
        <v>3.1004999999999998</v>
      </c>
      <c r="C125" s="53" t="s">
        <v>43</v>
      </c>
      <c r="D125" s="75">
        <f t="shared" si="2"/>
        <v>1.6990725100999999</v>
      </c>
      <c r="E125" s="131" t="s">
        <v>102</v>
      </c>
      <c r="F125" s="124"/>
      <c r="G125" s="124"/>
      <c r="H125" s="132">
        <f t="shared" si="3"/>
        <v>13.59619</v>
      </c>
      <c r="I125" s="124"/>
      <c r="J125" s="124"/>
      <c r="L125" s="17"/>
      <c r="M125" s="17"/>
    </row>
    <row r="126" spans="1:21" ht="16.5" customHeight="1" x14ac:dyDescent="0.25">
      <c r="A126" s="53" t="s">
        <v>103</v>
      </c>
      <c r="B126" s="72">
        <f t="shared" si="1"/>
        <v>0</v>
      </c>
      <c r="C126" s="53"/>
      <c r="D126" s="79"/>
      <c r="E126" s="131" t="s">
        <v>104</v>
      </c>
      <c r="F126" s="124"/>
      <c r="G126" s="124"/>
      <c r="H126" s="132">
        <f t="shared" si="3"/>
        <v>34.141950000000001</v>
      </c>
      <c r="I126" s="124"/>
      <c r="J126" s="124"/>
      <c r="L126" s="134" t="s">
        <v>74</v>
      </c>
      <c r="M126" s="124"/>
      <c r="N126" s="134" t="s">
        <v>75</v>
      </c>
      <c r="O126" s="124"/>
      <c r="P126" s="125" t="s">
        <v>76</v>
      </c>
      <c r="Q126" s="124"/>
      <c r="R126" s="124"/>
      <c r="S126" s="135"/>
      <c r="T126" s="135"/>
      <c r="U126" s="135"/>
    </row>
    <row r="127" spans="1:21" ht="14.25" customHeight="1" x14ac:dyDescent="0.25">
      <c r="A127" s="53" t="s">
        <v>105</v>
      </c>
      <c r="B127" s="72">
        <f t="shared" si="1"/>
        <v>3.9</v>
      </c>
      <c r="C127" s="53"/>
      <c r="D127" s="79"/>
      <c r="E127" s="131" t="s">
        <v>106</v>
      </c>
      <c r="F127" s="124"/>
      <c r="G127" s="124"/>
      <c r="H127" s="132">
        <f t="shared" si="3"/>
        <v>0</v>
      </c>
      <c r="I127" s="124"/>
      <c r="J127" s="124"/>
      <c r="L127" s="53" t="s">
        <v>77</v>
      </c>
      <c r="M127" s="74">
        <f>[1]!b_stm07_bs(K107,9,L107,1)</f>
        <v>1935389799.1199999</v>
      </c>
      <c r="N127" s="53" t="s">
        <v>78</v>
      </c>
      <c r="O127" s="74">
        <f>[1]!b_stm07_is(K107,83,L107,1)</f>
        <v>10590433496.780001</v>
      </c>
      <c r="P127" s="131" t="s">
        <v>79</v>
      </c>
      <c r="Q127" s="124"/>
      <c r="R127" s="124"/>
      <c r="S127" s="136">
        <f>[1]!b_stm07_cs(K107,9,L107,1)</f>
        <v>10426196193.15</v>
      </c>
      <c r="T127" s="135"/>
      <c r="U127" s="135"/>
    </row>
    <row r="128" spans="1:21" ht="14.25" customHeight="1" x14ac:dyDescent="0.25">
      <c r="A128" s="53" t="s">
        <v>107</v>
      </c>
      <c r="B128" s="72">
        <f t="shared" si="1"/>
        <v>0</v>
      </c>
      <c r="C128" s="53"/>
      <c r="D128" s="79"/>
      <c r="E128" s="131" t="s">
        <v>108</v>
      </c>
      <c r="F128" s="124"/>
      <c r="G128" s="124"/>
      <c r="H128" s="133">
        <f t="shared" si="3"/>
        <v>47.937911999999997</v>
      </c>
      <c r="I128" s="124"/>
      <c r="J128" s="124"/>
      <c r="L128" s="53" t="s">
        <v>80</v>
      </c>
      <c r="M128" s="74">
        <f>[1]!b_stm07_bs(K107,12,L107,1)</f>
        <v>3137213609.5999999</v>
      </c>
      <c r="N128" s="53" t="s">
        <v>81</v>
      </c>
      <c r="O128" s="74">
        <f>[1]!b_stm07_is(K107,84,L107,1)</f>
        <v>10512125127.42</v>
      </c>
      <c r="P128" s="131" t="s">
        <v>82</v>
      </c>
      <c r="Q128" s="124"/>
      <c r="R128" s="124"/>
      <c r="S128" s="136">
        <f>[1]!b_stm07_cs(K107,11,L107,1)</f>
        <v>593341648.05999994</v>
      </c>
      <c r="T128" s="135"/>
      <c r="U128" s="135"/>
    </row>
    <row r="129" spans="1:21" ht="14.25" customHeight="1" x14ac:dyDescent="0.25">
      <c r="A129" s="53" t="s">
        <v>109</v>
      </c>
      <c r="B129" s="78">
        <f t="shared" si="1"/>
        <v>83.425588830300001</v>
      </c>
      <c r="C129" s="14"/>
      <c r="D129" s="13"/>
      <c r="E129" s="131" t="s">
        <v>110</v>
      </c>
      <c r="F129" s="124"/>
      <c r="G129" s="124"/>
      <c r="H129" s="132">
        <f t="shared" si="3"/>
        <v>42.850582023999998</v>
      </c>
      <c r="I129" s="124"/>
      <c r="J129" s="124"/>
      <c r="L129" s="53" t="s">
        <v>83</v>
      </c>
      <c r="M129" s="74">
        <f>[1]!b_stm07_bs(K107,13,L107,1)</f>
        <v>390222749.42000002</v>
      </c>
      <c r="N129" s="53" t="s">
        <v>84</v>
      </c>
      <c r="O129" s="74">
        <f>[1]!b_stm07_is(K107,10,L107,1)</f>
        <v>9635910625.5</v>
      </c>
      <c r="P129" s="131" t="s">
        <v>85</v>
      </c>
      <c r="Q129" s="124"/>
      <c r="R129" s="124"/>
      <c r="S129" s="137">
        <f>[1]!b_stm07_cs(K107,25,L107,1)</f>
        <v>11030702480.209999</v>
      </c>
      <c r="T129" s="135"/>
      <c r="U129" s="135"/>
    </row>
    <row r="130" spans="1:21" ht="14.25" customHeight="1" x14ac:dyDescent="0.25">
      <c r="A130" s="53" t="s">
        <v>111</v>
      </c>
      <c r="B130" s="78">
        <f t="shared" si="1"/>
        <v>38.793546875200001</v>
      </c>
      <c r="C130" s="14"/>
      <c r="D130" s="13"/>
      <c r="E130" s="131" t="s">
        <v>112</v>
      </c>
      <c r="F130" s="124"/>
      <c r="G130" s="124"/>
      <c r="H130" s="132">
        <f t="shared" si="3"/>
        <v>44.859522413100002</v>
      </c>
      <c r="I130" s="124"/>
      <c r="J130" s="124"/>
      <c r="L130" s="53" t="s">
        <v>86</v>
      </c>
      <c r="M130" s="74">
        <f>[1]!b_stm07_bs(K107,31,L107,1)</f>
        <v>2582310146.9200001</v>
      </c>
      <c r="N130" s="53" t="s">
        <v>87</v>
      </c>
      <c r="O130" s="74">
        <f>[1]!b_stm07_is(K107,12,L107,1)</f>
        <v>23315484.98</v>
      </c>
      <c r="P130" s="131" t="s">
        <v>88</v>
      </c>
      <c r="Q130" s="124"/>
      <c r="R130" s="124"/>
      <c r="S130" s="136">
        <f>[1]!b_stm07_cs(K107,26,L107,1)</f>
        <v>8459980015.4200001</v>
      </c>
      <c r="T130" s="135"/>
      <c r="U130" s="135"/>
    </row>
    <row r="131" spans="1:21" ht="14.25" customHeight="1" x14ac:dyDescent="0.25">
      <c r="A131" s="15" t="s">
        <v>113</v>
      </c>
      <c r="B131" s="78">
        <f t="shared" si="1"/>
        <v>122.21913570549999</v>
      </c>
      <c r="C131" s="14"/>
      <c r="D131" s="13"/>
      <c r="E131" s="131" t="s">
        <v>114</v>
      </c>
      <c r="F131" s="124"/>
      <c r="G131" s="124"/>
      <c r="H131" s="133">
        <f t="shared" si="3"/>
        <v>3.0783895869000002</v>
      </c>
      <c r="I131" s="124"/>
      <c r="J131" s="124"/>
      <c r="L131" s="53" t="s">
        <v>89</v>
      </c>
      <c r="M131" s="74">
        <f>[1]!b_stm07_bs(K107,33,L107,1)</f>
        <v>43126602.289999999</v>
      </c>
      <c r="N131" s="53" t="s">
        <v>90</v>
      </c>
      <c r="O131" s="74">
        <f>[1]!b_stm07_is(K107,13,L107,1)</f>
        <v>566287468.88</v>
      </c>
      <c r="P131" s="131" t="s">
        <v>91</v>
      </c>
      <c r="Q131" s="124"/>
      <c r="R131" s="124"/>
      <c r="S131" s="136">
        <f>[1]!b_stm07_cs(K107,29,L107,1)</f>
        <v>813104669.94000006</v>
      </c>
      <c r="T131" s="135"/>
      <c r="U131" s="135"/>
    </row>
    <row r="132" spans="1:21" x14ac:dyDescent="0.25">
      <c r="L132" s="53" t="s">
        <v>92</v>
      </c>
      <c r="M132" s="74">
        <f>[1]!b_stm07_bs(K107,37,L107,1)</f>
        <v>171538830.49000001</v>
      </c>
      <c r="N132" s="53" t="s">
        <v>93</v>
      </c>
      <c r="O132" s="74">
        <f>[1]!b_stm07_is(K107,14,L107,1)</f>
        <v>131108796.3</v>
      </c>
      <c r="P132" s="131" t="s">
        <v>94</v>
      </c>
      <c r="Q132" s="124"/>
      <c r="R132" s="124"/>
      <c r="S132" s="137">
        <f>[1]!b_stm07_cs(K107,37,L107,1)</f>
        <v>10236641500.540001</v>
      </c>
      <c r="T132" s="135"/>
      <c r="U132" s="135"/>
    </row>
    <row r="133" spans="1:21" x14ac:dyDescent="0.25">
      <c r="L133" s="53" t="s">
        <v>95</v>
      </c>
      <c r="M133" s="80">
        <f>[1]!b_stm07_bs(K107,74,L107,1)</f>
        <v>12221913570.549999</v>
      </c>
      <c r="N133" s="53" t="s">
        <v>96</v>
      </c>
      <c r="O133" s="74">
        <f>[1]!b_stm07_is(K107,48,L107,1)</f>
        <v>169154644.63</v>
      </c>
      <c r="P133" s="131" t="s">
        <v>97</v>
      </c>
      <c r="Q133" s="124"/>
      <c r="R133" s="124"/>
      <c r="S133" s="137">
        <f>[1]!b_stm07_cs(K107,39,L107,1)</f>
        <v>794060979.66999996</v>
      </c>
      <c r="T133" s="135"/>
      <c r="U133" s="135"/>
    </row>
    <row r="134" spans="1:21" x14ac:dyDescent="0.25">
      <c r="L134" s="53" t="s">
        <v>98</v>
      </c>
      <c r="M134" s="74">
        <f>[1]!b_stm07_bs(K107,75,L107,1)</f>
        <v>2266195000</v>
      </c>
      <c r="N134" s="53" t="s">
        <v>99</v>
      </c>
      <c r="O134" s="74">
        <f>[1]!b_stm07_is(K107,55,L107,1)</f>
        <v>172833528.77000001</v>
      </c>
      <c r="P134" s="131" t="s">
        <v>100</v>
      </c>
      <c r="Q134" s="124"/>
      <c r="R134" s="124"/>
      <c r="S134" s="137">
        <f>[1]!b_stm07_cs(K107,59,L107,1)</f>
        <v>-301803072.61000001</v>
      </c>
      <c r="T134" s="135"/>
      <c r="U134" s="135"/>
    </row>
    <row r="135" spans="1:21" ht="32.4" customHeight="1" x14ac:dyDescent="0.25">
      <c r="L135" s="53" t="s">
        <v>101</v>
      </c>
      <c r="M135" s="74">
        <f>[1]!b_stm07_bs(K107,88,L107,1)</f>
        <v>310050000</v>
      </c>
      <c r="N135" s="53" t="s">
        <v>43</v>
      </c>
      <c r="O135" s="74">
        <f>[1]!b_stm07_is(K107,60,L107,1)</f>
        <v>169907251.00999999</v>
      </c>
      <c r="P135" s="131" t="s">
        <v>102</v>
      </c>
      <c r="Q135" s="124"/>
      <c r="R135" s="124"/>
      <c r="S135" s="136">
        <f>[1]!b_stm07_cs(K107,60,L107,1)</f>
        <v>1359619000</v>
      </c>
      <c r="T135" s="135"/>
      <c r="U135" s="135"/>
    </row>
    <row r="136" spans="1:21" ht="21.6" customHeight="1" x14ac:dyDescent="0.25">
      <c r="L136" s="53" t="s">
        <v>103</v>
      </c>
      <c r="M136" s="74">
        <f>[1]!b_stm07_bs(K107,147,L107,1)</f>
        <v>0</v>
      </c>
      <c r="N136" s="53"/>
      <c r="O136" s="79"/>
      <c r="P136" s="131" t="s">
        <v>104</v>
      </c>
      <c r="Q136" s="124"/>
      <c r="R136" s="124"/>
      <c r="S136" s="136">
        <f>[1]!b_stm07_cs(K107,61,L107,1)</f>
        <v>3414195000</v>
      </c>
      <c r="T136" s="135"/>
      <c r="U136" s="135"/>
    </row>
    <row r="137" spans="1:21" x14ac:dyDescent="0.25">
      <c r="L137" s="53" t="s">
        <v>105</v>
      </c>
      <c r="M137" s="74">
        <f>[1]!b_stm07_bs(K107,94,L107,1)</f>
        <v>390000000</v>
      </c>
      <c r="N137" s="53"/>
      <c r="O137" s="79"/>
      <c r="P137" s="131" t="s">
        <v>106</v>
      </c>
      <c r="Q137" s="124"/>
      <c r="R137" s="124"/>
      <c r="S137" s="136">
        <f>[1]!b_stm07_cs(K107,63,L107,1)</f>
        <v>0</v>
      </c>
      <c r="T137" s="135"/>
      <c r="U137" s="135"/>
    </row>
    <row r="138" spans="1:21" x14ac:dyDescent="0.25">
      <c r="L138" s="53" t="s">
        <v>107</v>
      </c>
      <c r="M138" s="74">
        <f>[1]!b_stm07_bs(K107,95,L107,1)</f>
        <v>0</v>
      </c>
      <c r="N138" s="53"/>
      <c r="O138" s="79"/>
      <c r="P138" s="131" t="s">
        <v>108</v>
      </c>
      <c r="Q138" s="124"/>
      <c r="R138" s="124"/>
      <c r="S138" s="137">
        <f>[1]!b_stm07_cs(K107,68,L107,1)</f>
        <v>4793791200</v>
      </c>
      <c r="T138" s="135"/>
      <c r="U138" s="135"/>
    </row>
    <row r="139" spans="1:21" x14ac:dyDescent="0.25">
      <c r="L139" s="53" t="s">
        <v>109</v>
      </c>
      <c r="M139" s="80">
        <f>[1]!b_stm07_bs(K107,128,L107,1)</f>
        <v>8342558883.0299997</v>
      </c>
      <c r="N139" s="14"/>
      <c r="O139" s="13"/>
      <c r="P139" s="131" t="s">
        <v>110</v>
      </c>
      <c r="Q139" s="124"/>
      <c r="R139" s="124"/>
      <c r="S139" s="136">
        <f>[1]!b_stm07_cs(K107,69,L107,1)</f>
        <v>4285058202.4000001</v>
      </c>
      <c r="T139" s="135"/>
      <c r="U139" s="135"/>
    </row>
    <row r="140" spans="1:21" ht="21.6" customHeight="1" x14ac:dyDescent="0.25">
      <c r="L140" s="53" t="s">
        <v>111</v>
      </c>
      <c r="M140" s="80">
        <f>[1]!b_stm07_bs(K107,141,L107,1)</f>
        <v>3879354687.52</v>
      </c>
      <c r="N140" s="14"/>
      <c r="O140" s="13"/>
      <c r="P140" s="131" t="s">
        <v>112</v>
      </c>
      <c r="Q140" s="124"/>
      <c r="R140" s="124"/>
      <c r="S140" s="136">
        <f>[1]!b_stm07_cs(K107,75,L107,1)</f>
        <v>4485952241.3100004</v>
      </c>
      <c r="T140" s="135"/>
      <c r="U140" s="135"/>
    </row>
    <row r="141" spans="1:21" ht="21.6" customHeight="1" x14ac:dyDescent="0.25">
      <c r="L141" s="15" t="s">
        <v>113</v>
      </c>
      <c r="M141" s="80">
        <f>[1]!b_stm07_bs(K107,145,L107,1)</f>
        <v>12221913570.549999</v>
      </c>
      <c r="N141" s="14"/>
      <c r="O141" s="13"/>
      <c r="P141" s="131" t="s">
        <v>114</v>
      </c>
      <c r="Q141" s="124"/>
      <c r="R141" s="124"/>
      <c r="S141" s="137">
        <f>[1]!b_stm07_cs(K107,77,L107,1)</f>
        <v>307838958.69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209</v>
      </c>
      <c r="C2" s="120"/>
      <c r="D2" s="56" t="s">
        <v>3</v>
      </c>
      <c r="E2" s="119" t="s">
        <v>210</v>
      </c>
      <c r="F2" s="120"/>
      <c r="G2" s="120"/>
    </row>
    <row r="3" spans="1:12" ht="14.25" customHeight="1" x14ac:dyDescent="0.25">
      <c r="A3" s="56" t="s">
        <v>4</v>
      </c>
      <c r="B3" s="119" t="s">
        <v>211</v>
      </c>
      <c r="C3" s="120"/>
      <c r="D3" s="56" t="s">
        <v>5</v>
      </c>
      <c r="E3" s="119" t="s">
        <v>212</v>
      </c>
      <c r="F3" s="120"/>
      <c r="G3" s="120"/>
    </row>
    <row r="4" spans="1:12" ht="113.25" customHeight="1" x14ac:dyDescent="0.25">
      <c r="A4" s="56" t="s">
        <v>6</v>
      </c>
      <c r="B4" s="121" t="s">
        <v>213</v>
      </c>
      <c r="C4" s="120"/>
      <c r="D4" s="120"/>
      <c r="E4" s="120"/>
      <c r="F4" s="120"/>
      <c r="G4" s="120"/>
    </row>
    <row r="5" spans="1:12" ht="14.4" x14ac:dyDescent="0.25">
      <c r="A5" s="81" t="s">
        <v>115</v>
      </c>
      <c r="B5" s="140" t="s">
        <v>214</v>
      </c>
      <c r="C5" s="120"/>
      <c r="D5" s="120"/>
      <c r="E5" s="120"/>
      <c r="F5" s="141">
        <v>0.47</v>
      </c>
      <c r="G5" s="120"/>
    </row>
    <row r="6" spans="1:12" ht="11.25" customHeight="1" x14ac:dyDescent="0.25">
      <c r="A6" s="81" t="s">
        <v>116</v>
      </c>
      <c r="B6" s="140" t="s">
        <v>215</v>
      </c>
      <c r="C6" s="120"/>
      <c r="D6" s="120"/>
      <c r="E6" s="120"/>
      <c r="F6" s="141">
        <v>0.16666999816894532</v>
      </c>
      <c r="G6" s="120"/>
    </row>
    <row r="7" spans="1:12" ht="11.25" customHeight="1" x14ac:dyDescent="0.25">
      <c r="A7" s="81" t="s">
        <v>117</v>
      </c>
      <c r="B7" s="140" t="s">
        <v>216</v>
      </c>
      <c r="C7" s="120"/>
      <c r="D7" s="120"/>
      <c r="E7" s="120"/>
      <c r="F7" s="141">
        <v>5.824999809265137E-2</v>
      </c>
      <c r="G7" s="120"/>
    </row>
    <row r="8" spans="1:12" ht="11.25" customHeight="1" x14ac:dyDescent="0.25">
      <c r="A8" s="81" t="s">
        <v>118</v>
      </c>
      <c r="B8" s="140" t="s">
        <v>217</v>
      </c>
      <c r="C8" s="120"/>
      <c r="D8" s="120"/>
      <c r="E8" s="120"/>
      <c r="F8" s="141">
        <v>4.7670001983642581E-2</v>
      </c>
      <c r="G8" s="120"/>
    </row>
    <row r="9" spans="1:12" ht="11.25" customHeight="1" x14ac:dyDescent="0.25">
      <c r="A9" s="81" t="s">
        <v>119</v>
      </c>
      <c r="B9" s="140" t="s">
        <v>218</v>
      </c>
      <c r="C9" s="120"/>
      <c r="D9" s="120"/>
      <c r="E9" s="120"/>
      <c r="F9" s="141">
        <v>4.7670001983642581E-2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D13" s="63"/>
      <c r="E13" s="63">
        <v>0</v>
      </c>
      <c r="F13" s="64">
        <v>0</v>
      </c>
      <c r="G13" s="63">
        <v>0</v>
      </c>
    </row>
    <row r="14" spans="1:12" ht="14.4" customHeight="1" x14ac:dyDescent="0.25">
      <c r="D14" s="63"/>
      <c r="E14" s="82"/>
      <c r="G14" s="63"/>
    </row>
    <row r="15" spans="1:12" ht="14.4" customHeight="1" x14ac:dyDescent="0.25">
      <c r="D15" s="63"/>
      <c r="E15" s="82"/>
      <c r="G15" s="63"/>
    </row>
    <row r="16" spans="1:12" ht="14.4" customHeight="1" x14ac:dyDescent="0.25">
      <c r="D16" s="63"/>
      <c r="E16" s="82"/>
      <c r="G16" s="63"/>
    </row>
    <row r="17" spans="1:7" ht="14.4" customHeight="1" x14ac:dyDescent="0.25">
      <c r="D17" s="63"/>
      <c r="E17" s="82"/>
      <c r="G17" s="63"/>
    </row>
    <row r="18" spans="1:7" ht="14.4" customHeight="1" x14ac:dyDescent="0.25">
      <c r="A18" s="143" t="s">
        <v>121</v>
      </c>
      <c r="B18" s="143"/>
      <c r="C18" s="143"/>
      <c r="D18" s="143"/>
      <c r="E18" s="82"/>
      <c r="G18" s="63"/>
    </row>
    <row r="19" spans="1:7" ht="14.4" customHeight="1" x14ac:dyDescent="0.25">
      <c r="A19" s="83" t="s">
        <v>122</v>
      </c>
      <c r="B19" s="83" t="s">
        <v>123</v>
      </c>
      <c r="C19" s="83" t="s">
        <v>124</v>
      </c>
      <c r="D19" s="84" t="s">
        <v>125</v>
      </c>
      <c r="E19" s="82"/>
      <c r="G19" s="63"/>
    </row>
    <row r="20" spans="1:7" ht="14.4" customHeight="1" x14ac:dyDescent="0.25">
      <c r="A20" t="s">
        <v>126</v>
      </c>
      <c r="B20" t="s">
        <v>25</v>
      </c>
      <c r="C20" t="s">
        <v>127</v>
      </c>
      <c r="D20" s="63" t="s">
        <v>128</v>
      </c>
      <c r="E20" s="82"/>
      <c r="G20" s="63"/>
    </row>
    <row r="21" spans="1:7" ht="14.4" customHeight="1" x14ac:dyDescent="0.25">
      <c r="D21" s="63"/>
      <c r="E21" s="82"/>
      <c r="G21" s="63"/>
    </row>
    <row r="22" spans="1:7" ht="14.4" customHeight="1" x14ac:dyDescent="0.25">
      <c r="D22" s="63"/>
      <c r="E22" s="82"/>
      <c r="G22" s="63"/>
    </row>
    <row r="23" spans="1:7" ht="14.4" customHeight="1" x14ac:dyDescent="0.25">
      <c r="D23" s="63"/>
      <c r="E23" s="82"/>
      <c r="G23" s="63"/>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129</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18:D1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6" t="s">
        <v>61</v>
      </c>
      <c r="B4" s="85">
        <v>0.68259000000000003</v>
      </c>
      <c r="C4" s="56" t="s">
        <v>36</v>
      </c>
      <c r="D4" s="86">
        <v>1.1593</v>
      </c>
      <c r="E4" s="56" t="s">
        <v>41</v>
      </c>
      <c r="F4" s="85">
        <v>0.98450000000000004</v>
      </c>
      <c r="G4" s="56" t="s">
        <v>42</v>
      </c>
      <c r="H4" s="85">
        <v>9.0131000000000003E-2</v>
      </c>
      <c r="I4" s="56"/>
      <c r="J4" s="87"/>
    </row>
    <row r="5" spans="1:10" ht="15.75" customHeight="1" x14ac:dyDescent="0.25">
      <c r="A5" s="56" t="s">
        <v>62</v>
      </c>
      <c r="B5" s="85">
        <v>0.74160300000000001</v>
      </c>
      <c r="C5" s="56" t="s">
        <v>63</v>
      </c>
      <c r="D5" s="86">
        <v>0.79669999999999996</v>
      </c>
      <c r="E5" s="56" t="s">
        <v>64</v>
      </c>
      <c r="F5" s="86">
        <v>3.4664000000000001</v>
      </c>
      <c r="G5" s="56" t="s">
        <v>65</v>
      </c>
      <c r="H5" s="85">
        <v>1.5972E-2</v>
      </c>
      <c r="I5" s="56"/>
      <c r="J5" s="87"/>
    </row>
    <row r="6" spans="1:10" ht="15" customHeight="1" x14ac:dyDescent="0.25">
      <c r="A6" s="56" t="s">
        <v>66</v>
      </c>
      <c r="B6" s="85">
        <v>0.93717399999999995</v>
      </c>
      <c r="C6" s="56" t="s">
        <v>39</v>
      </c>
      <c r="D6" s="88">
        <v>6.0600000000000001E-2</v>
      </c>
      <c r="E6" s="56" t="s">
        <v>67</v>
      </c>
      <c r="F6" s="86">
        <v>3.6791</v>
      </c>
      <c r="G6" s="56" t="s">
        <v>45</v>
      </c>
      <c r="H6" s="85">
        <v>0.103226</v>
      </c>
      <c r="I6" s="56"/>
      <c r="J6" s="87"/>
    </row>
    <row r="7" spans="1:10" ht="14.25" customHeight="1" x14ac:dyDescent="0.25">
      <c r="A7" s="56" t="s">
        <v>38</v>
      </c>
      <c r="B7" s="88">
        <v>0.76601843132825942</v>
      </c>
      <c r="C7" s="56" t="s">
        <v>68</v>
      </c>
      <c r="D7" s="88">
        <v>2.3729</v>
      </c>
      <c r="E7" s="56" t="s">
        <v>69</v>
      </c>
      <c r="F7" s="86">
        <v>1.2721</v>
      </c>
      <c r="G7" s="56" t="s">
        <v>70</v>
      </c>
      <c r="H7" s="85">
        <v>2.5964000000000001E-2</v>
      </c>
      <c r="I7" s="56"/>
      <c r="J7" s="87"/>
    </row>
    <row r="8" spans="1:10" x14ac:dyDescent="0.25">
      <c r="A8" s="56"/>
      <c r="B8" s="89"/>
      <c r="C8" s="56"/>
      <c r="D8" s="90"/>
      <c r="E8" s="56" t="s">
        <v>71</v>
      </c>
      <c r="F8" s="86">
        <v>0.92049999999999998</v>
      </c>
      <c r="G8" s="56"/>
      <c r="H8" s="89"/>
      <c r="I8" s="56"/>
      <c r="J8" s="89"/>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6" t="s">
        <v>77</v>
      </c>
      <c r="B12" s="91">
        <v>19.3538979912</v>
      </c>
      <c r="C12" s="56" t="s">
        <v>78</v>
      </c>
      <c r="D12" s="88">
        <v>105.90433496780001</v>
      </c>
      <c r="E12" s="147" t="s">
        <v>79</v>
      </c>
      <c r="F12" s="120"/>
      <c r="G12" s="120"/>
      <c r="H12" s="148">
        <v>104.2619619315</v>
      </c>
      <c r="I12" s="120"/>
      <c r="J12" s="120"/>
    </row>
    <row r="13" spans="1:10" ht="14.25" customHeight="1" x14ac:dyDescent="0.25">
      <c r="A13" s="56" t="s">
        <v>80</v>
      </c>
      <c r="B13" s="91">
        <v>31.372136095999998</v>
      </c>
      <c r="C13" s="56" t="s">
        <v>81</v>
      </c>
      <c r="D13" s="88">
        <v>105.12125127420001</v>
      </c>
      <c r="E13" s="147" t="s">
        <v>82</v>
      </c>
      <c r="F13" s="120"/>
      <c r="G13" s="120"/>
      <c r="H13" s="148">
        <v>5.9334164805999992</v>
      </c>
      <c r="I13" s="120"/>
      <c r="J13" s="120"/>
    </row>
    <row r="14" spans="1:10" ht="14.25" customHeight="1" x14ac:dyDescent="0.25">
      <c r="A14" s="56" t="s">
        <v>83</v>
      </c>
      <c r="B14" s="91">
        <v>3.9022274942000004</v>
      </c>
      <c r="C14" s="56" t="s">
        <v>84</v>
      </c>
      <c r="D14" s="88">
        <v>96.359106255</v>
      </c>
      <c r="E14" s="147" t="s">
        <v>85</v>
      </c>
      <c r="F14" s="120"/>
      <c r="G14" s="120"/>
      <c r="H14" s="148">
        <v>110.30702480209999</v>
      </c>
      <c r="I14" s="120"/>
      <c r="J14" s="120"/>
    </row>
    <row r="15" spans="1:10" ht="14.25" customHeight="1" x14ac:dyDescent="0.25">
      <c r="A15" s="56" t="s">
        <v>86</v>
      </c>
      <c r="B15" s="91">
        <v>25.823101469200001</v>
      </c>
      <c r="C15" s="56" t="s">
        <v>87</v>
      </c>
      <c r="D15" s="88">
        <v>0.23315484980000001</v>
      </c>
      <c r="E15" s="147" t="s">
        <v>88</v>
      </c>
      <c r="F15" s="120"/>
      <c r="G15" s="120"/>
      <c r="H15" s="148">
        <v>84.599800154199997</v>
      </c>
      <c r="I15" s="120"/>
      <c r="J15" s="120"/>
    </row>
    <row r="16" spans="1:10" ht="14.25" customHeight="1" x14ac:dyDescent="0.25">
      <c r="A16" s="56" t="s">
        <v>89</v>
      </c>
      <c r="B16" s="91">
        <v>0.43126602289999999</v>
      </c>
      <c r="C16" s="56" t="s">
        <v>90</v>
      </c>
      <c r="D16" s="88">
        <v>5.6628746887999997</v>
      </c>
      <c r="E16" s="147" t="s">
        <v>91</v>
      </c>
      <c r="F16" s="120"/>
      <c r="G16" s="120"/>
      <c r="H16" s="148">
        <v>8.1310466994000006</v>
      </c>
      <c r="I16" s="120"/>
      <c r="J16" s="120"/>
    </row>
    <row r="17" spans="1:10" ht="14.25" customHeight="1" x14ac:dyDescent="0.25">
      <c r="A17" s="56" t="s">
        <v>92</v>
      </c>
      <c r="B17" s="91">
        <v>1.7153883049</v>
      </c>
      <c r="C17" s="56" t="s">
        <v>93</v>
      </c>
      <c r="D17" s="88">
        <v>1.3110879630000001</v>
      </c>
      <c r="E17" s="147" t="s">
        <v>94</v>
      </c>
      <c r="F17" s="120"/>
      <c r="G17" s="120"/>
      <c r="H17" s="148">
        <v>102.36641500540001</v>
      </c>
      <c r="I17" s="120"/>
      <c r="J17" s="120"/>
    </row>
    <row r="18" spans="1:10" ht="14.25" customHeight="1" x14ac:dyDescent="0.25">
      <c r="A18" s="56" t="s">
        <v>95</v>
      </c>
      <c r="B18" s="91">
        <v>122.21913570549999</v>
      </c>
      <c r="C18" s="56" t="s">
        <v>96</v>
      </c>
      <c r="D18" s="88">
        <v>1.6915464463000001</v>
      </c>
      <c r="E18" s="147" t="s">
        <v>97</v>
      </c>
      <c r="F18" s="120"/>
      <c r="G18" s="120"/>
      <c r="H18" s="148">
        <v>7.9406097966999996</v>
      </c>
      <c r="I18" s="120"/>
      <c r="J18" s="120"/>
    </row>
    <row r="19" spans="1:10" ht="14.25" customHeight="1" x14ac:dyDescent="0.25">
      <c r="A19" s="56" t="s">
        <v>98</v>
      </c>
      <c r="B19" s="91">
        <v>22.661950000000001</v>
      </c>
      <c r="C19" s="56" t="s">
        <v>99</v>
      </c>
      <c r="D19" s="88">
        <v>1.7283352877</v>
      </c>
      <c r="E19" s="147" t="s">
        <v>100</v>
      </c>
      <c r="F19" s="120"/>
      <c r="G19" s="120"/>
      <c r="H19" s="148">
        <v>-3.0180307261000001</v>
      </c>
      <c r="I19" s="120"/>
      <c r="J19" s="120"/>
    </row>
    <row r="20" spans="1:10" ht="27" customHeight="1" x14ac:dyDescent="0.25">
      <c r="A20" s="56" t="s">
        <v>101</v>
      </c>
      <c r="B20" s="91">
        <v>3.1004999999999998</v>
      </c>
      <c r="C20" s="56" t="s">
        <v>43</v>
      </c>
      <c r="D20" s="88">
        <v>1.6990725100999999</v>
      </c>
      <c r="E20" s="147" t="s">
        <v>102</v>
      </c>
      <c r="F20" s="120"/>
      <c r="G20" s="120"/>
      <c r="H20" s="148">
        <v>13.59619</v>
      </c>
      <c r="I20" s="120"/>
      <c r="J20" s="120"/>
    </row>
    <row r="21" spans="1:10" ht="16.5" customHeight="1" x14ac:dyDescent="0.25">
      <c r="A21" s="56" t="s">
        <v>103</v>
      </c>
      <c r="B21" s="91">
        <v>0</v>
      </c>
      <c r="C21" s="56"/>
      <c r="D21" s="92"/>
      <c r="E21" s="147" t="s">
        <v>104</v>
      </c>
      <c r="F21" s="120"/>
      <c r="G21" s="120"/>
      <c r="H21" s="148">
        <v>34.141950000000001</v>
      </c>
      <c r="I21" s="120"/>
      <c r="J21" s="120"/>
    </row>
    <row r="22" spans="1:10" ht="14.25" customHeight="1" x14ac:dyDescent="0.25">
      <c r="A22" s="56" t="s">
        <v>105</v>
      </c>
      <c r="B22" s="91">
        <v>3.9</v>
      </c>
      <c r="C22" s="56"/>
      <c r="D22" s="92"/>
      <c r="E22" s="147" t="s">
        <v>106</v>
      </c>
      <c r="F22" s="120"/>
      <c r="G22" s="120"/>
      <c r="H22" s="148">
        <v>0</v>
      </c>
      <c r="I22" s="120"/>
      <c r="J22" s="120"/>
    </row>
    <row r="23" spans="1:10" ht="14.25" customHeight="1" x14ac:dyDescent="0.25">
      <c r="A23" s="56" t="s">
        <v>107</v>
      </c>
      <c r="B23" s="91">
        <v>0</v>
      </c>
      <c r="C23" s="56"/>
      <c r="D23" s="92"/>
      <c r="E23" s="147" t="s">
        <v>108</v>
      </c>
      <c r="F23" s="120"/>
      <c r="G23" s="120"/>
      <c r="H23" s="148">
        <v>47.937911999999997</v>
      </c>
      <c r="I23" s="120"/>
      <c r="J23" s="120"/>
    </row>
    <row r="24" spans="1:10" ht="14.25" customHeight="1" x14ac:dyDescent="0.25">
      <c r="A24" s="56" t="s">
        <v>109</v>
      </c>
      <c r="B24" s="91">
        <v>83.425588830300001</v>
      </c>
      <c r="C24" s="93"/>
      <c r="D24" s="90"/>
      <c r="E24" s="147" t="s">
        <v>110</v>
      </c>
      <c r="F24" s="120"/>
      <c r="G24" s="120"/>
      <c r="H24" s="148">
        <v>42.850582023999998</v>
      </c>
      <c r="I24" s="120"/>
      <c r="J24" s="120"/>
    </row>
    <row r="25" spans="1:10" ht="14.25" customHeight="1" x14ac:dyDescent="0.25">
      <c r="A25" s="56" t="s">
        <v>111</v>
      </c>
      <c r="B25" s="91">
        <v>38.793546875200001</v>
      </c>
      <c r="C25" s="93"/>
      <c r="D25" s="90"/>
      <c r="E25" s="147" t="s">
        <v>112</v>
      </c>
      <c r="F25" s="120"/>
      <c r="G25" s="120"/>
      <c r="H25" s="148">
        <v>44.859522413100002</v>
      </c>
      <c r="I25" s="120"/>
      <c r="J25" s="120"/>
    </row>
    <row r="26" spans="1:10" ht="14.25" customHeight="1" x14ac:dyDescent="0.25">
      <c r="A26" s="94" t="s">
        <v>113</v>
      </c>
      <c r="B26" s="91">
        <v>122.21913570549999</v>
      </c>
      <c r="C26" s="93"/>
      <c r="D26" s="90"/>
      <c r="E26" s="147" t="s">
        <v>114</v>
      </c>
      <c r="F26" s="120"/>
      <c r="G26" s="120"/>
      <c r="H26" s="148">
        <v>3.0783895869000002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130</v>
      </c>
      <c r="B1" s="124"/>
      <c r="C1" s="124"/>
      <c r="D1" s="124"/>
      <c r="E1" s="124"/>
      <c r="F1" s="124"/>
      <c r="G1" s="124"/>
      <c r="H1" s="124"/>
      <c r="I1" s="124"/>
    </row>
    <row r="2" spans="1:10" ht="46.5" customHeight="1" x14ac:dyDescent="0.25">
      <c r="A2" s="53" t="s">
        <v>22</v>
      </c>
      <c r="B2" s="43" t="s">
        <v>209</v>
      </c>
      <c r="C2" s="43" t="s">
        <v>131</v>
      </c>
      <c r="D2" s="43" t="s">
        <v>219</v>
      </c>
      <c r="E2" s="43" t="s">
        <v>220</v>
      </c>
      <c r="F2" s="43" t="s">
        <v>221</v>
      </c>
      <c r="G2" s="43" t="s">
        <v>222</v>
      </c>
      <c r="H2" s="43" t="s">
        <v>223</v>
      </c>
      <c r="I2" s="43" t="s">
        <v>224</v>
      </c>
      <c r="J2" s="43" t="s">
        <v>225</v>
      </c>
    </row>
    <row r="3" spans="1:10" x14ac:dyDescent="0.25">
      <c r="A3" s="53" t="s">
        <v>24</v>
      </c>
      <c r="B3" s="96" t="s">
        <v>25</v>
      </c>
      <c r="C3" s="97" t="s">
        <v>132</v>
      </c>
      <c r="D3" s="96" t="s">
        <v>25</v>
      </c>
      <c r="E3" s="96" t="s">
        <v>25</v>
      </c>
      <c r="F3" s="96" t="s">
        <v>25</v>
      </c>
      <c r="G3" s="96" t="s">
        <v>25</v>
      </c>
      <c r="H3" s="96" t="s">
        <v>25</v>
      </c>
      <c r="I3" s="96" t="s">
        <v>25</v>
      </c>
      <c r="J3" s="96" t="s">
        <v>25</v>
      </c>
    </row>
    <row r="4" spans="1:10" s="7" customFormat="1" ht="21.6" x14ac:dyDescent="0.25">
      <c r="A4" s="9" t="s">
        <v>3</v>
      </c>
      <c r="B4" s="98" t="s">
        <v>210</v>
      </c>
      <c r="C4" s="97" t="s">
        <v>132</v>
      </c>
      <c r="D4" s="98" t="s">
        <v>226</v>
      </c>
      <c r="E4" s="98" t="s">
        <v>226</v>
      </c>
      <c r="F4" s="98" t="s">
        <v>226</v>
      </c>
      <c r="G4" s="98" t="s">
        <v>226</v>
      </c>
      <c r="H4" s="98" t="s">
        <v>226</v>
      </c>
      <c r="I4" s="98" t="s">
        <v>226</v>
      </c>
      <c r="J4" s="98" t="s">
        <v>226</v>
      </c>
    </row>
    <row r="5" spans="1:10" s="7" customFormat="1" x14ac:dyDescent="0.25">
      <c r="A5" s="9" t="s">
        <v>29</v>
      </c>
      <c r="B5" s="99" t="s">
        <v>30</v>
      </c>
      <c r="C5" s="97" t="s">
        <v>132</v>
      </c>
      <c r="D5" s="99" t="s">
        <v>30</v>
      </c>
      <c r="E5" s="99" t="s">
        <v>30</v>
      </c>
      <c r="F5" s="99" t="s">
        <v>30</v>
      </c>
      <c r="G5" s="99" t="s">
        <v>30</v>
      </c>
      <c r="H5" s="99" t="s">
        <v>30</v>
      </c>
      <c r="I5" s="99" t="s">
        <v>30</v>
      </c>
      <c r="J5" s="99" t="s">
        <v>30</v>
      </c>
    </row>
    <row r="6" spans="1:10" x14ac:dyDescent="0.25">
      <c r="A6" s="53" t="s">
        <v>32</v>
      </c>
      <c r="B6" s="100">
        <v>122.21913570549999</v>
      </c>
      <c r="C6" s="97">
        <v>251.74671513730001</v>
      </c>
      <c r="D6" s="100">
        <v>311.78838135619998</v>
      </c>
      <c r="E6" s="100">
        <v>240.8875893984</v>
      </c>
      <c r="F6" s="100">
        <v>104.92305362459999</v>
      </c>
      <c r="G6" s="100">
        <v>290.75602778259997</v>
      </c>
      <c r="H6" s="100">
        <v>324.65559949049998</v>
      </c>
      <c r="I6" s="100">
        <v>293.73411836419996</v>
      </c>
      <c r="J6" s="100">
        <v>195.48223594459998</v>
      </c>
    </row>
    <row r="7" spans="1:10" x14ac:dyDescent="0.25">
      <c r="A7" s="53" t="s">
        <v>34</v>
      </c>
      <c r="B7" s="44">
        <v>0.68259000000000003</v>
      </c>
      <c r="C7" s="97">
        <v>0.5897255714285714</v>
      </c>
      <c r="D7" s="44">
        <v>0.69892799999999999</v>
      </c>
      <c r="E7" s="44">
        <v>0.73167800000000005</v>
      </c>
      <c r="F7" s="44">
        <v>0.43359799999999998</v>
      </c>
      <c r="G7" s="44">
        <v>0.59744999999999993</v>
      </c>
      <c r="H7" s="44">
        <v>0.486763</v>
      </c>
      <c r="I7" s="44">
        <v>0.60611300000000001</v>
      </c>
      <c r="J7" s="44">
        <v>0.57354899999999998</v>
      </c>
    </row>
    <row r="8" spans="1:10" x14ac:dyDescent="0.25">
      <c r="A8" s="53" t="s">
        <v>36</v>
      </c>
      <c r="B8" s="100">
        <v>1.1593</v>
      </c>
      <c r="C8" s="97">
        <v>3.1561714285714286</v>
      </c>
      <c r="D8" s="100">
        <v>1.3626</v>
      </c>
      <c r="E8" s="100">
        <v>3.0137999999999998</v>
      </c>
      <c r="F8" s="100">
        <v>3.1089000000000002</v>
      </c>
      <c r="G8" s="100">
        <v>3.7454000000000001</v>
      </c>
      <c r="H8" s="100">
        <v>2.1103999999999998</v>
      </c>
      <c r="I8" s="100">
        <v>4.5677000000000003</v>
      </c>
      <c r="J8" s="100">
        <v>4.1844000000000001</v>
      </c>
    </row>
    <row r="9" spans="1:10" x14ac:dyDescent="0.25">
      <c r="A9" s="53" t="s">
        <v>38</v>
      </c>
      <c r="B9" s="96">
        <v>0.76601843132825942</v>
      </c>
      <c r="C9" s="97">
        <v>1.0723818500399691</v>
      </c>
      <c r="D9" s="96">
        <v>1.4018873839479511</v>
      </c>
      <c r="E9" s="96">
        <v>1.8840432975992234</v>
      </c>
      <c r="F9" s="96">
        <v>0.5454799501392863</v>
      </c>
      <c r="G9" s="96">
        <v>1.2025899758316621</v>
      </c>
      <c r="H9" s="96">
        <v>0.43142476097062887</v>
      </c>
      <c r="I9" s="96">
        <v>1.2361200783952861</v>
      </c>
      <c r="J9" s="96">
        <v>0.80512750339574601</v>
      </c>
    </row>
    <row r="10" spans="1:10" ht="21.6" customHeight="1" x14ac:dyDescent="0.25">
      <c r="A10" s="53" t="s">
        <v>39</v>
      </c>
      <c r="B10" s="100">
        <v>6.0600000000000001E-2</v>
      </c>
      <c r="C10" s="97">
        <v>2.3914285714285714E-2</v>
      </c>
      <c r="D10" s="100">
        <v>2.98E-2</v>
      </c>
      <c r="E10" s="100">
        <v>1.37E-2</v>
      </c>
      <c r="F10" s="100">
        <v>3.6799999999999999E-2</v>
      </c>
      <c r="G10" s="100">
        <v>1.54E-2</v>
      </c>
      <c r="H10" s="100">
        <v>2.9100000000000001E-2</v>
      </c>
      <c r="I10" s="100">
        <v>2.1299999999999999E-2</v>
      </c>
      <c r="J10" s="100">
        <v>2.1299999999999999E-2</v>
      </c>
    </row>
    <row r="11" spans="1:10" x14ac:dyDescent="0.25">
      <c r="A11" s="53" t="s">
        <v>40</v>
      </c>
      <c r="B11" s="100">
        <v>105.90433496780001</v>
      </c>
      <c r="C11" s="97">
        <v>23.472182351985715</v>
      </c>
      <c r="D11" s="100">
        <v>81.254864261499989</v>
      </c>
      <c r="E11" s="100">
        <v>25.934322141300001</v>
      </c>
      <c r="F11" s="100">
        <v>9.8716887802999995</v>
      </c>
      <c r="G11" s="100">
        <v>8.3063380593999998</v>
      </c>
      <c r="H11" s="100">
        <v>18.4092353584</v>
      </c>
      <c r="I11" s="100">
        <v>14.3882039171</v>
      </c>
      <c r="J11" s="100">
        <v>6.1406239459000007</v>
      </c>
    </row>
    <row r="12" spans="1:10" s="7" customFormat="1" x14ac:dyDescent="0.25">
      <c r="A12" s="9" t="s">
        <v>41</v>
      </c>
      <c r="B12" s="45">
        <v>0.98450000000000004</v>
      </c>
      <c r="C12" s="97">
        <v>0.82781428571428572</v>
      </c>
      <c r="D12" s="45">
        <v>1.1472</v>
      </c>
      <c r="E12" s="45">
        <v>0.35260000000000002</v>
      </c>
      <c r="F12" s="45">
        <v>1</v>
      </c>
      <c r="G12" s="45">
        <v>1.0234000000000001</v>
      </c>
      <c r="H12" s="45">
        <v>0.33479999999999999</v>
      </c>
      <c r="I12" s="45">
        <v>0.72509999999999986</v>
      </c>
      <c r="J12" s="45">
        <v>1.2116</v>
      </c>
    </row>
    <row r="13" spans="1:10" s="7" customFormat="1" x14ac:dyDescent="0.25">
      <c r="A13" s="9" t="s">
        <v>42</v>
      </c>
      <c r="B13" s="45">
        <v>9.0131000000000003E-2</v>
      </c>
      <c r="C13" s="97">
        <v>0.11328028571428571</v>
      </c>
      <c r="D13" s="45">
        <v>9.3256999999999993E-2</v>
      </c>
      <c r="E13" s="45">
        <v>0.11755900000000001</v>
      </c>
      <c r="F13" s="45">
        <v>0.16666699999999998</v>
      </c>
      <c r="G13" s="45">
        <v>0.17666899999999999</v>
      </c>
      <c r="H13" s="45">
        <v>5.4501000000000001E-2</v>
      </c>
      <c r="I13" s="45">
        <v>5.7625999999999997E-2</v>
      </c>
      <c r="J13" s="45">
        <v>0.12668299999999999</v>
      </c>
    </row>
    <row r="14" spans="1:10" s="7" customFormat="1" x14ac:dyDescent="0.25">
      <c r="A14" s="9" t="s">
        <v>43</v>
      </c>
      <c r="B14" s="101">
        <v>1.6990725100999999</v>
      </c>
      <c r="C14" s="97">
        <v>2.0168455461999999</v>
      </c>
      <c r="D14" s="101">
        <v>1.3489157127000002</v>
      </c>
      <c r="E14" s="101">
        <v>1.2115408131999998</v>
      </c>
      <c r="F14" s="101">
        <v>1.2008886382999999</v>
      </c>
      <c r="G14" s="101">
        <v>1.1582803104000001</v>
      </c>
      <c r="H14" s="101">
        <v>3.4223547913000001</v>
      </c>
      <c r="I14" s="101">
        <v>3.5701373627999997</v>
      </c>
      <c r="J14" s="101">
        <v>2.2058011946999998</v>
      </c>
    </row>
    <row r="15" spans="1:10" x14ac:dyDescent="0.25">
      <c r="A15" s="53" t="s">
        <v>45</v>
      </c>
      <c r="B15" s="44">
        <v>0.103226</v>
      </c>
      <c r="C15" s="97">
        <v>2.1499571428571427E-2</v>
      </c>
      <c r="D15" s="44">
        <v>9.0010000000000003E-3</v>
      </c>
      <c r="E15" s="44">
        <v>2.7290000000000002E-2</v>
      </c>
      <c r="F15" s="44">
        <v>2.0413999999999998E-2</v>
      </c>
      <c r="G15" s="44">
        <v>1.0145E-2</v>
      </c>
      <c r="H15" s="44">
        <v>2.3012999999999999E-2</v>
      </c>
      <c r="I15" s="44">
        <v>3.1519999999999999E-2</v>
      </c>
      <c r="J15" s="44">
        <v>2.9114000000000001E-2</v>
      </c>
    </row>
    <row r="16" spans="1:10" s="7" customFormat="1" ht="25.8" customHeight="1" x14ac:dyDescent="0.25">
      <c r="A16" s="9" t="s">
        <v>46</v>
      </c>
      <c r="B16" s="101">
        <v>7.9406097966999996</v>
      </c>
      <c r="C16" s="97">
        <v>-5.1194629426999985</v>
      </c>
      <c r="D16" s="101">
        <v>3.7031212599999995E-2</v>
      </c>
      <c r="E16" s="101">
        <v>0.24758641819999999</v>
      </c>
      <c r="F16" s="101">
        <v>13.024742984300001</v>
      </c>
      <c r="G16" s="101">
        <v>-16.480227500599998</v>
      </c>
      <c r="H16" s="101">
        <v>0.31098069499999997</v>
      </c>
      <c r="I16" s="101">
        <v>-13.6297086352</v>
      </c>
      <c r="J16" s="101">
        <v>-19.346645773199999</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133</v>
      </c>
      <c r="B1" s="124"/>
      <c r="C1" s="124"/>
      <c r="D1" s="124"/>
      <c r="E1" s="124"/>
      <c r="F1" s="124"/>
    </row>
    <row r="2" spans="1:6" x14ac:dyDescent="0.25">
      <c r="A2" s="51" t="s">
        <v>134</v>
      </c>
      <c r="B2" s="50" t="s">
        <v>135</v>
      </c>
      <c r="C2" s="50" t="s">
        <v>136</v>
      </c>
      <c r="D2" s="50" t="s">
        <v>137</v>
      </c>
      <c r="E2" s="50" t="s">
        <v>125</v>
      </c>
      <c r="F2" s="50" t="s">
        <v>138</v>
      </c>
    </row>
    <row r="3" spans="1:6" ht="48" customHeight="1" x14ac:dyDescent="0.25">
      <c r="A3" s="103">
        <v>43476</v>
      </c>
      <c r="B3" s="52" t="s">
        <v>139</v>
      </c>
      <c r="C3" s="104" t="s">
        <v>140</v>
      </c>
      <c r="D3" s="104"/>
      <c r="E3" s="52" t="s">
        <v>141</v>
      </c>
      <c r="F3" s="104"/>
    </row>
    <row r="4" spans="1:6" ht="49.5" customHeight="1" x14ac:dyDescent="0.25">
      <c r="A4" s="103">
        <v>43455</v>
      </c>
      <c r="B4" s="52" t="s">
        <v>142</v>
      </c>
      <c r="C4" s="104" t="s">
        <v>140</v>
      </c>
      <c r="D4" s="104"/>
      <c r="E4" s="52" t="s">
        <v>143</v>
      </c>
      <c r="F4" s="104" t="s">
        <v>144</v>
      </c>
    </row>
    <row r="5" spans="1:6" ht="91.2" x14ac:dyDescent="0.25">
      <c r="A5" s="103">
        <v>43455</v>
      </c>
      <c r="B5" s="52" t="s">
        <v>145</v>
      </c>
      <c r="C5" s="104" t="s">
        <v>140</v>
      </c>
      <c r="D5" s="104"/>
      <c r="E5" s="52" t="s">
        <v>146</v>
      </c>
      <c r="F5" s="104" t="s">
        <v>147</v>
      </c>
    </row>
    <row r="6" spans="1:6" ht="57" x14ac:dyDescent="0.25">
      <c r="A6" s="103">
        <v>43452</v>
      </c>
      <c r="B6" s="52" t="s">
        <v>148</v>
      </c>
      <c r="C6" s="104"/>
      <c r="D6" s="104" t="s">
        <v>149</v>
      </c>
      <c r="E6" s="52" t="s">
        <v>150</v>
      </c>
      <c r="F6" s="104" t="s">
        <v>151</v>
      </c>
    </row>
    <row r="7" spans="1:6" x14ac:dyDescent="0.25">
      <c r="A7" s="103">
        <v>43325</v>
      </c>
      <c r="B7" s="52" t="s">
        <v>152</v>
      </c>
      <c r="C7" s="104" t="s">
        <v>140</v>
      </c>
      <c r="D7" s="104"/>
      <c r="E7" s="52" t="s">
        <v>153</v>
      </c>
      <c r="F7" s="104"/>
    </row>
    <row r="8" spans="1:6" ht="22.8" x14ac:dyDescent="0.25">
      <c r="A8" s="103">
        <v>43308</v>
      </c>
      <c r="B8" s="52" t="s">
        <v>154</v>
      </c>
      <c r="C8" s="104" t="s">
        <v>155</v>
      </c>
      <c r="D8" s="104"/>
      <c r="E8" s="52" t="s">
        <v>156</v>
      </c>
      <c r="F8" s="104" t="s">
        <v>157</v>
      </c>
    </row>
    <row r="9" spans="1:6" x14ac:dyDescent="0.25">
      <c r="A9" s="103">
        <v>43291</v>
      </c>
      <c r="B9" s="52" t="s">
        <v>158</v>
      </c>
      <c r="C9" s="104" t="s">
        <v>140</v>
      </c>
      <c r="D9" s="104"/>
      <c r="E9" s="52" t="s">
        <v>156</v>
      </c>
      <c r="F9" s="104" t="s">
        <v>159</v>
      </c>
    </row>
    <row r="10" spans="1:6" ht="68.400000000000006" x14ac:dyDescent="0.25">
      <c r="A10" s="103">
        <v>43287</v>
      </c>
      <c r="B10" s="52" t="s">
        <v>160</v>
      </c>
      <c r="C10" s="104" t="s">
        <v>140</v>
      </c>
      <c r="D10" s="104"/>
      <c r="E10" s="52" t="s">
        <v>128</v>
      </c>
      <c r="F10" s="104" t="s">
        <v>161</v>
      </c>
    </row>
    <row r="11" spans="1:6" ht="79.8" x14ac:dyDescent="0.25">
      <c r="A11" s="103">
        <v>43280</v>
      </c>
      <c r="B11" s="52" t="s">
        <v>162</v>
      </c>
      <c r="C11" s="104" t="s">
        <v>140</v>
      </c>
      <c r="D11" s="104"/>
      <c r="E11" s="52" t="s">
        <v>128</v>
      </c>
      <c r="F11" s="104" t="s">
        <v>163</v>
      </c>
    </row>
    <row r="12" spans="1:6" x14ac:dyDescent="0.25">
      <c r="A12" s="105">
        <v>43278</v>
      </c>
      <c r="B12" t="s">
        <v>164</v>
      </c>
      <c r="C12" s="106" t="s">
        <v>140</v>
      </c>
      <c r="D12" s="106"/>
      <c r="E12" t="s">
        <v>146</v>
      </c>
      <c r="F12" s="106" t="s">
        <v>165</v>
      </c>
    </row>
    <row r="13" spans="1:6" x14ac:dyDescent="0.25">
      <c r="A13" s="105">
        <v>43278</v>
      </c>
      <c r="B13" t="s">
        <v>166</v>
      </c>
      <c r="C13" s="106" t="s">
        <v>167</v>
      </c>
      <c r="D13" s="106"/>
      <c r="E13" t="s">
        <v>146</v>
      </c>
      <c r="F13" s="106" t="s">
        <v>168</v>
      </c>
    </row>
    <row r="14" spans="1:6" x14ac:dyDescent="0.25">
      <c r="A14" s="105">
        <v>43276</v>
      </c>
      <c r="B14" t="s">
        <v>169</v>
      </c>
      <c r="C14" s="106" t="s">
        <v>140</v>
      </c>
      <c r="D14" s="106"/>
      <c r="E14" t="s">
        <v>146</v>
      </c>
      <c r="F14" s="106" t="s">
        <v>170</v>
      </c>
    </row>
    <row r="15" spans="1:6" ht="27" customHeight="1" x14ac:dyDescent="0.25">
      <c r="A15" s="105">
        <v>43271</v>
      </c>
      <c r="B15" t="s">
        <v>171</v>
      </c>
      <c r="C15" s="106" t="s">
        <v>140</v>
      </c>
      <c r="D15" s="106"/>
      <c r="E15" t="s">
        <v>172</v>
      </c>
      <c r="F15" s="106" t="s">
        <v>173</v>
      </c>
    </row>
    <row r="16" spans="1:6" ht="27" customHeight="1" x14ac:dyDescent="0.25">
      <c r="A16" s="105">
        <v>43266</v>
      </c>
      <c r="B16" t="s">
        <v>174</v>
      </c>
      <c r="C16" s="106" t="s">
        <v>140</v>
      </c>
      <c r="D16" s="106"/>
      <c r="E16" t="s">
        <v>156</v>
      </c>
      <c r="F16" s="106" t="s">
        <v>175</v>
      </c>
    </row>
    <row r="17" spans="1:6" x14ac:dyDescent="0.25">
      <c r="A17" s="105">
        <v>43266</v>
      </c>
      <c r="B17" t="s">
        <v>176</v>
      </c>
      <c r="C17" s="106" t="s">
        <v>140</v>
      </c>
      <c r="D17" s="106"/>
      <c r="E17" t="s">
        <v>128</v>
      </c>
      <c r="F17" s="106" t="s">
        <v>177</v>
      </c>
    </row>
    <row r="33" spans="1:6" x14ac:dyDescent="0.25">
      <c r="A33" s="143" t="s">
        <v>178</v>
      </c>
      <c r="B33" s="143"/>
      <c r="C33" s="143"/>
      <c r="D33" s="143"/>
      <c r="E33" s="143"/>
      <c r="F33" s="143"/>
    </row>
    <row r="34" spans="1:6" x14ac:dyDescent="0.25">
      <c r="A34" s="83" t="s">
        <v>134</v>
      </c>
      <c r="B34" s="83" t="s">
        <v>135</v>
      </c>
      <c r="C34" s="83" t="s">
        <v>179</v>
      </c>
      <c r="D34" s="83" t="s">
        <v>180</v>
      </c>
      <c r="E34" s="83" t="s">
        <v>125</v>
      </c>
      <c r="F34" s="83" t="s">
        <v>138</v>
      </c>
    </row>
    <row r="35" spans="1:6" x14ac:dyDescent="0.25">
      <c r="A35" s="107">
        <v>43277</v>
      </c>
      <c r="B35" s="57" t="s">
        <v>181</v>
      </c>
      <c r="C35" s="108"/>
      <c r="D35" s="108" t="s">
        <v>182</v>
      </c>
      <c r="E35" s="57" t="s">
        <v>156</v>
      </c>
      <c r="F35" s="108" t="s">
        <v>183</v>
      </c>
    </row>
  </sheetData>
  <mergeCells count="2">
    <mergeCell ref="A1:F1"/>
    <mergeCell ref="A33:F3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184</v>
      </c>
      <c r="B1" s="124"/>
      <c r="C1" s="124"/>
      <c r="D1" s="124"/>
      <c r="E1" s="124"/>
      <c r="F1" s="124"/>
      <c r="G1" s="124"/>
      <c r="H1" s="124"/>
      <c r="I1" s="124"/>
      <c r="J1" s="124"/>
      <c r="K1" s="124"/>
      <c r="L1" s="124"/>
      <c r="M1" s="124"/>
      <c r="N1" s="124"/>
    </row>
    <row r="2" spans="1:18" s="1" customFormat="1" ht="25.5" customHeight="1" x14ac:dyDescent="0.25">
      <c r="A2" s="54" t="s">
        <v>185</v>
      </c>
      <c r="B2" s="54" t="s">
        <v>186</v>
      </c>
      <c r="C2" s="54" t="s">
        <v>187</v>
      </c>
      <c r="D2" s="54" t="s">
        <v>188</v>
      </c>
      <c r="E2" s="54" t="s">
        <v>189</v>
      </c>
      <c r="F2" s="54" t="s">
        <v>190</v>
      </c>
      <c r="G2" s="54" t="s">
        <v>191</v>
      </c>
      <c r="H2" s="54" t="s">
        <v>16</v>
      </c>
      <c r="I2" s="54" t="s">
        <v>192</v>
      </c>
      <c r="J2" s="54" t="s">
        <v>193</v>
      </c>
      <c r="K2" s="54" t="s">
        <v>194</v>
      </c>
      <c r="L2" s="54" t="s">
        <v>195</v>
      </c>
      <c r="M2" s="54" t="s">
        <v>19</v>
      </c>
      <c r="N2" s="54" t="s">
        <v>196</v>
      </c>
      <c r="O2" s="3"/>
      <c r="P2" s="110" t="str">
        <f ca="1">Q2</f>
        <v>2019-04-08</v>
      </c>
      <c r="Q2" s="1" t="str">
        <f ca="1">[1]!td(R2-1)</f>
        <v>2019-04-08</v>
      </c>
      <c r="R2" s="3">
        <f ca="1">TODAY()</f>
        <v>43564</v>
      </c>
    </row>
    <row r="3" spans="1:18" ht="15.75" customHeight="1" x14ac:dyDescent="0.25">
      <c r="A3" s="111" t="str">
        <f>[1]!b_info_name(L3)</f>
        <v>19东南MTN001</v>
      </c>
      <c r="B3" s="2" t="str">
        <f>[1]!b_issue_firstissue(L3)</f>
        <v>2019-04-10</v>
      </c>
      <c r="C3" s="111">
        <f>[1]!b_info_term(L3)</f>
        <v>3</v>
      </c>
      <c r="D3" s="112" t="str">
        <f>[1]!issuerrating(L3)</f>
        <v>AA</v>
      </c>
      <c r="E3" s="112" t="str">
        <f>[1]!b_info_creditrating(L3)</f>
        <v>AA</v>
      </c>
      <c r="F3" s="111" t="str">
        <f>[1]!b_rate_creditratingagency(L3)</f>
        <v>上海新世纪资信评估投资服务有限公司</v>
      </c>
      <c r="G3" s="113">
        <f>[1]!b_agency_guarantor(L3)</f>
        <v>0</v>
      </c>
      <c r="H3" s="114" t="s">
        <v>197</v>
      </c>
      <c r="I3" s="65"/>
      <c r="J3" s="115" t="s">
        <v>197</v>
      </c>
      <c r="K3" s="116"/>
      <c r="L3" s="41" t="str">
        <f>公式页!A2</f>
        <v>q19040414.IB</v>
      </c>
      <c r="M3" s="114" t="s">
        <v>197</v>
      </c>
      <c r="N3" s="111" t="str">
        <f>[1]!b_agency_leadunderwriter(L3)</f>
        <v>浙商银行股份有限公司</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3.6494</v>
      </c>
      <c r="K4" s="116">
        <f>K3</f>
        <v>0</v>
      </c>
      <c r="L4" s="4" t="s">
        <v>198</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199</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4" t="s">
        <v>185</v>
      </c>
      <c r="B13" s="54" t="s">
        <v>186</v>
      </c>
      <c r="C13" s="54" t="s">
        <v>187</v>
      </c>
      <c r="D13" s="54" t="s">
        <v>188</v>
      </c>
      <c r="E13" s="54" t="s">
        <v>189</v>
      </c>
      <c r="F13" s="54" t="s">
        <v>190</v>
      </c>
      <c r="G13" s="54" t="s">
        <v>191</v>
      </c>
      <c r="H13" s="54" t="s">
        <v>16</v>
      </c>
      <c r="I13" s="54" t="s">
        <v>192</v>
      </c>
      <c r="J13" s="54" t="s">
        <v>193</v>
      </c>
      <c r="K13" s="54" t="s">
        <v>194</v>
      </c>
      <c r="L13" s="54" t="s">
        <v>195</v>
      </c>
      <c r="M13" s="54" t="s">
        <v>19</v>
      </c>
      <c r="N13" s="54" t="s">
        <v>196</v>
      </c>
      <c r="P13" s="109" t="str">
        <f t="shared" ca="1" si="0"/>
        <v>2019-04-08</v>
      </c>
    </row>
    <row r="14" spans="1:18" ht="15.75" customHeight="1" x14ac:dyDescent="0.25">
      <c r="A14" s="111" t="str">
        <f>[1]!b_info_name(L14)</f>
        <v>19东南MTN001</v>
      </c>
      <c r="B14" s="2" t="str">
        <f>[1]!b_issue_firstissue(L14)</f>
        <v>2019-04-10</v>
      </c>
      <c r="C14" s="111">
        <f>[1]!b_info_term(L14)</f>
        <v>3</v>
      </c>
      <c r="D14" s="112" t="str">
        <f>[1]!issuerrating(L14)</f>
        <v>AA</v>
      </c>
      <c r="E14" s="112" t="str">
        <f>[1]!b_info_creditrating(L14)</f>
        <v>AA</v>
      </c>
      <c r="F14" s="111" t="str">
        <f>[1]!b_rate_creditratingagency(L14)</f>
        <v>上海新世纪资信评估投资服务有限公司</v>
      </c>
      <c r="G14" s="113">
        <f>[1]!b_agency_guarantor(L14)</f>
        <v>0</v>
      </c>
      <c r="H14" s="114" t="s">
        <v>197</v>
      </c>
      <c r="I14" s="65"/>
      <c r="J14" s="115" t="s">
        <v>197</v>
      </c>
      <c r="K14" s="116">
        <f>K3</f>
        <v>0</v>
      </c>
      <c r="L14" s="42" t="str">
        <f>L3</f>
        <v>q19040414.IB</v>
      </c>
      <c r="M14" s="114" t="s">
        <v>197</v>
      </c>
      <c r="N14" s="111" t="str">
        <f>[1]!b_agency_leadunderwriter(L14)</f>
        <v>浙商银行股份有限公司</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200</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201</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202</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203</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204</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205</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206</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207</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208</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2019-04-09T09:00:23Z</dcterms:modified>
</cp:coreProperties>
</file>