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0新券信评\"/>
    </mc:Choice>
  </mc:AlternateContent>
  <xr:revisionPtr revIDLastSave="0" documentId="13_ncr:1_{59CA4C0D-62F2-469C-9383-EE7ADC1F6DC0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D75" i="1"/>
  <c r="E74" i="1"/>
  <c r="F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C75" i="1"/>
  <c r="D74" i="1"/>
  <c r="D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B75" i="1"/>
  <c r="B74" i="1"/>
  <c r="C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F74" i="1"/>
  <c r="G73" i="1"/>
  <c r="B73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L22" i="1" l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23" i="6"/>
  <c r="J5" i="6"/>
  <c r="J18" i="6"/>
  <c r="J20" i="6"/>
  <c r="J6" i="6"/>
  <c r="J9" i="6"/>
  <c r="J19" i="6"/>
  <c r="J21" i="6"/>
  <c r="J7" i="6"/>
  <c r="J16" i="6"/>
  <c r="J8" i="6"/>
  <c r="J17" i="6"/>
  <c r="J22" i="6"/>
  <c r="J15" i="6"/>
</calcChain>
</file>

<file path=xl/sharedStrings.xml><?xml version="1.0" encoding="utf-8"?>
<sst xmlns="http://schemas.openxmlformats.org/spreadsheetml/2006/main" count="477" uniqueCount="212">
  <si>
    <t>q19040813.IB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</si>
  <si>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</si>
  <si>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</si>
  <si>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</si>
  <si>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</si>
  <si>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</si>
  <si>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</si>
  <si>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</si>
  <si>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</si>
  <si>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</si>
  <si>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</si>
  <si>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</si>
  <si>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</si>
  <si>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</si>
  <si>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</si>
  <si>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</si>
  <si>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</si>
  <si>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</si>
  <si>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</si>
  <si>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</si>
  <si>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</si>
  <si>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</si>
  <si>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</si>
  <si>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101900076.IB</t>
  </si>
  <si>
    <t>主体级别</t>
  </si>
  <si>
    <t>AA</t>
  </si>
  <si>
    <t>101900012.IB</t>
  </si>
  <si>
    <t>*选择性黏贴</t>
  </si>
  <si>
    <t>101801535.IB</t>
  </si>
  <si>
    <t>数据年度</t>
  </si>
  <si>
    <t>2017年</t>
  </si>
  <si>
    <t>101801539.IB</t>
  </si>
  <si>
    <t>总资产</t>
  </si>
  <si>
    <t>1980018.IB</t>
  </si>
  <si>
    <t>负债率</t>
  </si>
  <si>
    <t>101801361.IB</t>
  </si>
  <si>
    <t>流动比率</t>
  </si>
  <si>
    <t>1880262.IB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</si>
  <si>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</si>
  <si>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</si>
  <si>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</si>
  <si>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</si>
  <si>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</si>
  <si>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</si>
  <si>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</si>
  <si>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</si>
  <si>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</si>
  <si>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</si>
  <si>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</si>
  <si>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</si>
  <si>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</si>
  <si>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</si>
  <si>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</si>
  <si>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</si>
  <si>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</si>
  <si>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</si>
  <si>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</si>
  <si>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</si>
  <si>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</si>
  <si>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</si>
  <si>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</si>
  <si>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</si>
  <si>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</si>
  <si>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</si>
  <si>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</si>
  <si>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</si>
  <si>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</si>
  <si>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</si>
  <si>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</si>
  <si>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</si>
  <si>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</si>
  <si>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</si>
  <si>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</si>
  <si>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</si>
  <si>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</si>
  <si>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</si>
  <si>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</si>
  <si>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</si>
  <si>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</si>
  <si>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</si>
  <si>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</si>
  <si>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</si>
  <si>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</si>
  <si>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</si>
  <si>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</si>
  <si>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</si>
  <si>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</si>
  <si>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</si>
  <si>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</si>
  <si>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</si>
  <si>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</si>
  <si>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</si>
  <si>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</si>
  <si>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</si>
  <si>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</si>
  <si>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</si>
  <si>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</si>
  <si>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</si>
  <si>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</si>
  <si>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</si>
  <si>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</si>
  <si>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</si>
  <si>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</si>
  <si>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</si>
  <si>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</si>
  <si>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</si>
  <si>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</si>
  <si>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</si>
  <si>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</si>
  <si>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</si>
  <si>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</si>
  <si>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</si>
  <si>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</si>
  <si>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</si>
  <si>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</si>
  <si>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</si>
  <si>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</si>
  <si>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</si>
  <si>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</si>
  <si>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</si>
  <si>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</si>
  <si>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101801338.IB</t>
  </si>
  <si>
    <t>20181116</t>
  </si>
  <si>
    <t>18肥西建投MTN001</t>
  </si>
  <si>
    <t>127758.SH</t>
  </si>
  <si>
    <t>20160602</t>
  </si>
  <si>
    <t>16肥西债</t>
  </si>
  <si>
    <t>1680246.IB</t>
  </si>
  <si>
    <t>16肥西城投债</t>
  </si>
  <si>
    <t>历史主体评级</t>
  </si>
  <si>
    <t>发布日期</t>
  </si>
  <si>
    <t>主体资信级别</t>
  </si>
  <si>
    <t>评级展望</t>
  </si>
  <si>
    <t>评级机构</t>
  </si>
  <si>
    <t>20190211</t>
  </si>
  <si>
    <t>稳定</t>
  </si>
  <si>
    <t>东方金诚国际信用评估有限公司</t>
  </si>
  <si>
    <t>20181016</t>
  </si>
  <si>
    <t>20180625</t>
  </si>
  <si>
    <t>20170704</t>
  </si>
  <si>
    <t>20160523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</si>
  <si>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</si>
  <si>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</si>
  <si>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</si>
  <si>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</si>
  <si>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</si>
  <si>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</si>
  <si>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</si>
  <si>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</si>
  <si>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</si>
  <si>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</si>
  <si>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宁国市国有资产投资运营有限公司</t>
  </si>
  <si>
    <t>AA-稳定上调至AA稳定</t>
  </si>
  <si>
    <t>中证鹏元资信评估股份有限公司</t>
  </si>
  <si>
    <t>拥有丰富的土地资产，营业收入规模持续增长，得到股东和政府的支持。</t>
  </si>
  <si>
    <t>建安投资控股集团有限公司</t>
  </si>
  <si>
    <t>AA稳定上调至AA+稳定</t>
  </si>
  <si>
    <t>外部融资环境较好，营业收入持续增长，类金融板块业务开展较好。</t>
  </si>
  <si>
    <t>宿州市新区建设投资集团有限公司</t>
  </si>
  <si>
    <t>宿州市地区经济保持较快增长，经济实力仍很强，宿州经开区主导产业发展较快，招商引资进展顺利，发展态势良好。公司继续从事宿州经开区基础设施建设，业务仍具有很强的区域专营性。作为宿州经开区最重要的基础设施建设主体，公司在财政补贴方面继续获得股东的支持。</t>
  </si>
  <si>
    <t>南陵县建设投资有限责任公司</t>
  </si>
  <si>
    <t>鹏元资信评估有限公司</t>
  </si>
  <si>
    <t>2017年南陵县取得了良好的经济发展成果，为公司发展提供了良好基础，公司实现主营业务收入12.66医院，同比增加11.52%，公司盈利状况良好，业务持续性较好。政府置换及股东投入资本金增加，公司实力得到了提升。</t>
  </si>
  <si>
    <t>宣城市国有资产投资有限公司</t>
  </si>
  <si>
    <t>联合资信评估有限公司</t>
  </si>
  <si>
    <t>宣城市经济较快增长，地方财政实力有所增强，为公司营造了良好的外部发展环境。公司作为宣城市唯一的市级基础设施建设主体和国有资产运营主体，在跟踪期内持续获得政府在资产划转、财政补贴等多方面的大力支持。公司业务结构较为多元化，经营性业务收入对营业收入形成有效补充，收入实现质量好。公司土地储备规模较大，有望为公司带来持续较大规模的土地出让收入。跟踪期内，公司新增工程施工业务，预期将对公司收入规模有显著贡献。</t>
  </si>
  <si>
    <t>安徽乐行城市建设集团有限公司</t>
  </si>
  <si>
    <t>2017年，涡阳县地区生产总值等重要经济指标保持较快增长，二三产业占比继续提高，经济实力持续增强，公司主要从事涡阳县的基础设施及安置房建设，业务具有很强的区域专营性，公司在增资、资产划拨和财政补贴等方面继续得到股东的大力支持。股东的增资及无偿注入资本是的公司所有者权益有所增长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</si>
  <si>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</si>
  <si>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</si>
  <si>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</si>
  <si>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</si>
  <si>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</si>
  <si>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</si>
  <si>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</si>
  <si>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</si>
  <si>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</si>
  <si>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</si>
  <si>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</si>
  <si>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</si>
  <si>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</si>
  <si>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</si>
  <si>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</si>
  <si>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</si>
  <si>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</si>
  <si>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</si>
  <si>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</si>
  <si>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</si>
  <si>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</si>
  <si>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</si>
  <si>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</si>
  <si>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</si>
  <si>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</si>
  <si>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</si>
  <si>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</si>
  <si>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</si>
  <si>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肥西县城乡建设投资有限公司</t>
  </si>
  <si>
    <t>地方国有企业</t>
  </si>
  <si>
    <t>工业--资本货物--建筑与工程Ⅲ--建筑与工程</t>
  </si>
  <si>
    <t>安徽省合肥市肥西县上派花木城</t>
  </si>
  <si>
    <t>公司系肥西县人民政府批准设立的国有控股公司，是肥西县最重要的城市基础设施、保障性住房和安置房建设的投融资实施主体，也是肥西县最重要的国有资产运营管理平台。公司目前的核心业务为市政基础设施建设和保障性住房建设，有力地促进了肥西县城镇化进程和区域经济的发展。未来随着肥西县经济的快速发展和城市化进程的进一步加快，公司的业务规模将迅速扩大，垄断优势也将得到进一步加强。公司作为肥西县最重要的国有资产经营管理平台，在项目建设、资金筹集、资产注入、税收优惠等方面均得到了肥西县政府的大力支持。此外，肥西县作为安徽省县域经济发展的排头兵，地方财政实力较强，为公司的发展提供有力支持。</t>
  </si>
  <si>
    <t>肥西县财政局</t>
  </si>
  <si>
    <t>肥西县国有资产管理委员会办公室</t>
  </si>
  <si>
    <t/>
  </si>
  <si>
    <t>AAA</t>
  </si>
  <si>
    <t>淮南市城市建设投资有限责任公司</t>
  </si>
  <si>
    <t>淮南市产业发展(集团)有限公司</t>
  </si>
  <si>
    <t>亳州城建发展控股集团有限公司</t>
  </si>
  <si>
    <t>黄山城投集团有限公司</t>
  </si>
  <si>
    <t>怀远县城市投资发展有限责任公司</t>
  </si>
  <si>
    <t>淮北市建投控股集团有限公司</t>
  </si>
  <si>
    <t>马鞍山市博望区城市发展投资有限责任公司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</si>
</sst>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肥西县城乡建设投资有限公司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工业--资本货物--建筑与工程Ⅲ--建筑与工程</v>
      </c>
      <c r="C5" s="117"/>
      <c r="D5" s="57" t="s">
        <v>5</v>
      </c>
      <c r="E5" s="116" t="str">
        <f>[1]!b_issuer_regaddress(A2)</f>
        <v>安徽省合肥市肥西县上派花木城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系肥西县人民政府批准设立的国有控股公司，是肥西县最重要的城市基础设施、保障性住房和安置房建设的投融资实施主体，也是肥西县最重要的国有资产运营管理平台。公司目前的核心业务为市政基础设施建设和保障性住房建设，有力地促进了肥西县城镇化进程和区域经济的发展。未来随着肥西县经济的快速发展和城市化进程的进一步加快，公司的业务规模将迅速扩大，垄断优势也将得到进一步加强。公司作为肥西县最重要的国有资产经营管理平台，在项目建设、资金筹集、资产注入、税收优惠等方面均得到了肥西县政府的大力支持。此外，肥西县作为安徽省县域经济发展的排头兵，地方财政实力较强，为公司的发展提供有力支持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肥西县财政局</v>
      </c>
      <c r="C7" s="117"/>
      <c r="D7" s="117"/>
      <c r="E7" s="117"/>
      <c r="F7" s="60">
        <f>[1]!b_issuer_propofshareholder($A$2,"",1)%</f>
        <v>0.94610000610351563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 t="str">
        <f>[1]!b_issuer_shareholder(A2,"",2)</f>
        <v>肥西县国有资产管理委员会办公室</v>
      </c>
      <c r="C8" s="117"/>
      <c r="D8" s="117"/>
      <c r="E8" s="117"/>
      <c r="F8" s="60">
        <f>[1]!b_issuer_propofshareholder($A$2,"",2)%</f>
        <v>5.389999866485596E-2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q19040813.IB</v>
      </c>
      <c r="K14" s="26"/>
      <c r="L14" s="27" t="str">
        <f>T15</f>
        <v>101900076.IB</v>
      </c>
      <c r="M14" s="27" t="str">
        <f>T16</f>
        <v>101900012.IB</v>
      </c>
      <c r="N14" s="27" t="str">
        <f>T17</f>
        <v>101801535.IB</v>
      </c>
      <c r="O14" s="27" t="str">
        <f>T18</f>
        <v>101801539.IB</v>
      </c>
      <c r="P14" s="27" t="str">
        <f>T19</f>
        <v>1980018.IB</v>
      </c>
      <c r="Q14" s="27" t="str">
        <f>T20</f>
        <v>101801361.IB</v>
      </c>
      <c r="R14" s="5" t="str">
        <f>T21</f>
        <v>1880262.IB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肥西县城乡建设投资有限公司</v>
      </c>
      <c r="K15" s="135"/>
      <c r="L15" s="8" t="str">
        <f>[1]!b_info_issuer(L14)</f>
        <v>淮南市城市建设投资有限责任公司</v>
      </c>
      <c r="M15" s="8" t="str">
        <f>[1]!b_info_issuer(M14)</f>
        <v>淮南市产业发展(集团)有限公司</v>
      </c>
      <c r="N15" s="8" t="str">
        <f>[1]!b_info_issuer(N14)</f>
        <v>亳州城建发展控股集团有限公司</v>
      </c>
      <c r="O15" s="8" t="str">
        <f>[1]!b_info_issuer(O14)</f>
        <v>黄山城投集团有限公司</v>
      </c>
      <c r="P15" s="8" t="str">
        <f>[1]!b_info_issuer(P14)</f>
        <v>怀远县城市投资发展有限责任公司</v>
      </c>
      <c r="Q15" s="8" t="str">
        <f>[1]!b_info_issuer(Q14)</f>
        <v>淮北市建投控股集团有限公司</v>
      </c>
      <c r="R15" s="8" t="str">
        <f>[1]!b_info_issuer(R14)</f>
        <v>马鞍山市博望区城市发展投资有限责任公司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143.3603768557</v>
      </c>
      <c r="K19" s="121"/>
      <c r="L19" s="67">
        <f>[1]!b_stm07_bs(L14,74,L13,1)/100000000</f>
        <v>526.46748590109996</v>
      </c>
      <c r="M19" s="67">
        <f>[1]!b_stm07_bs(M14,74,M13,1)/100000000</f>
        <v>149.79160809000001</v>
      </c>
      <c r="N19" s="67">
        <f>[1]!b_stm07_bs(N14,74,N13,1)/100000000</f>
        <v>324.42599049739999</v>
      </c>
      <c r="O19" s="67">
        <f>[1]!b_stm07_bs(O14,74,O13,1)/100000000</f>
        <v>300.36078722270003</v>
      </c>
      <c r="P19" s="67">
        <f>[1]!b_stm07_bs(P14,74,P13,1)/100000000</f>
        <v>145.43915470389999</v>
      </c>
      <c r="Q19" s="67">
        <f>[1]!b_stm07_bs(Q14,74,Q13,1)/100000000</f>
        <v>823.03781546919993</v>
      </c>
      <c r="R19" s="67">
        <f>[1]!b_stm07_bs(R14,74,R13,1)/100000000</f>
        <v>118.1893999357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0.36595500000000003</v>
      </c>
      <c r="K20" s="121"/>
      <c r="L20" s="10">
        <f>[1]!s_fa_debttoassets(L14,L13)/100</f>
        <v>0.57127600000000001</v>
      </c>
      <c r="M20" s="10">
        <f>[1]!s_fa_debttoassets(M14,M13)/100</f>
        <v>0.438164</v>
      </c>
      <c r="N20" s="10">
        <f>[1]!s_fa_debttoassets(N14,N13)/100</f>
        <v>0.51557500000000001</v>
      </c>
      <c r="O20" s="10">
        <f>[1]!s_fa_debttoassets(O14,O13)/100</f>
        <v>0.53523799999999999</v>
      </c>
      <c r="P20" s="10">
        <f>[1]!s_fa_debttoassets(P14,P13)/100</f>
        <v>0.46425899999999998</v>
      </c>
      <c r="Q20" s="10">
        <f>[1]!s_fa_debttoassets(Q14,Q13)/100</f>
        <v>0.61487700000000001</v>
      </c>
      <c r="R20" s="10">
        <f>[1]!s_fa_debttoassets(R14,R13)/100</f>
        <v>0.53536399999999995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6.3935000000000004</v>
      </c>
      <c r="K21" s="121"/>
      <c r="L21" s="67">
        <f>[1]!s_fa_current(L14,L13)</f>
        <v>3.0510000000000002</v>
      </c>
      <c r="M21" s="67">
        <f>[1]!s_fa_current(M14,M13)</f>
        <v>8.7484999999999999</v>
      </c>
      <c r="N21" s="67">
        <f>[1]!s_fa_current(N14,N13)</f>
        <v>4.8160999999999996</v>
      </c>
      <c r="O21" s="67">
        <f>[1]!s_fa_current(O14,O13)</f>
        <v>7.4047999999999998</v>
      </c>
      <c r="P21" s="67">
        <f>[1]!s_fa_current(P14,P13)</f>
        <v>6.8339999999999996</v>
      </c>
      <c r="Q21" s="67">
        <f>[1]!s_fa_current(Q14,Q13)</f>
        <v>3.9702999999999999</v>
      </c>
      <c r="R21" s="67">
        <f>[1]!s_fa_current(R14,R13)</f>
        <v>2.7530000000000001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0.37225371342636915</v>
      </c>
      <c r="K22" s="121"/>
      <c r="L22" s="65">
        <f>(公式页!L96+公式页!L97+公式页!L98+公式页!L99+公式页!L100+公式页!L101)/公式页!L103</f>
        <v>0.83395311623200619</v>
      </c>
      <c r="M22" s="65">
        <f t="shared" ref="M22:R22" si="0">(M96+M97+M98+M99+M100+M101)/M103</f>
        <v>0.65500214656199562</v>
      </c>
      <c r="N22" s="65">
        <f t="shared" si="0"/>
        <v>0.70522129322538907</v>
      </c>
      <c r="O22" s="65">
        <f t="shared" si="0"/>
        <v>0.7919934619537341</v>
      </c>
      <c r="P22" s="65">
        <f t="shared" si="0"/>
        <v>0.30223983232533697</v>
      </c>
      <c r="Q22" s="65">
        <f t="shared" si="0"/>
        <v>1.1804570419514775</v>
      </c>
      <c r="R22" s="65">
        <f t="shared" si="0"/>
        <v>0.51101114494649835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7.5600000000000001E-2</v>
      </c>
      <c r="K23" s="121"/>
      <c r="L23" s="67">
        <f>[1]!s_fa_ebitdatodebt(L14,L13)</f>
        <v>3.6600000000000001E-2</v>
      </c>
      <c r="M23" s="67">
        <f>[1]!s_fa_ebitdatodebt(M14,M13)</f>
        <v>0.10780000000000001</v>
      </c>
      <c r="N23" s="67">
        <f>[1]!s_fa_ebitdatodebt(N14,N13)</f>
        <v>1.55E-2</v>
      </c>
      <c r="O23" s="67">
        <f>[1]!s_fa_ebitdatodebt(O14,O13)</f>
        <v>1.11E-2</v>
      </c>
      <c r="P23" s="67">
        <f>[1]!s_fa_ebitdatodebt(P14,P13)</f>
        <v>4.4999999999999998E-2</v>
      </c>
      <c r="Q23" s="67">
        <f>[1]!s_fa_ebitdatodebt(Q14,Q13)</f>
        <v>3.32E-2</v>
      </c>
      <c r="R23" s="67">
        <f>[1]!s_fa_ebitdatodebt(R14,R13)</f>
        <v>3.15E-2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12.173392038800001</v>
      </c>
      <c r="K24" s="121"/>
      <c r="L24" s="67">
        <f>[1]!b_stm07_is(L14,9,L13,1)/100000000</f>
        <v>26.494411077399999</v>
      </c>
      <c r="M24" s="67">
        <f>[1]!b_stm07_is(M14,9,M13,1)/100000000</f>
        <v>7.1358362148000003</v>
      </c>
      <c r="N24" s="67">
        <f>[1]!b_stm07_is(N14,9,N13,1)/100000000</f>
        <v>22.3439095373</v>
      </c>
      <c r="O24" s="67">
        <f>[1]!b_stm07_is(O14,9,O13,1)/100000000</f>
        <v>4.9806957407999999</v>
      </c>
      <c r="P24" s="67">
        <f>[1]!b_stm07_is(P14,9,P13,1)/100000000</f>
        <v>6.3530226104</v>
      </c>
      <c r="Q24" s="67">
        <f>[1]!b_stm07_is(Q14,9,Q13,1)/100000000</f>
        <v>80.369074749700005</v>
      </c>
      <c r="R24" s="67">
        <f>[1]!b_stm07_is(R14,9,R13,1)/100000000</f>
        <v>5.3605733578999999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1.0662</v>
      </c>
      <c r="K25" s="121"/>
      <c r="L25" s="11">
        <f>[1]!s_fa_salescashintoor(L14,L13)%</f>
        <v>0.68400000000000005</v>
      </c>
      <c r="M25" s="11">
        <f>[1]!s_fa_salescashintoor(M14,M13)%</f>
        <v>0.87849999999999995</v>
      </c>
      <c r="N25" s="11">
        <f>[1]!s_fa_salescashintoor(N14,N13)%</f>
        <v>0.68629999999999991</v>
      </c>
      <c r="O25" s="11">
        <f>[1]!s_fa_salescashintoor(O14,O13)%</f>
        <v>1.29</v>
      </c>
      <c r="P25" s="11">
        <f>[1]!s_fa_salescashintoor(P14,P13)%</f>
        <v>1.3662000000000001</v>
      </c>
      <c r="Q25" s="11">
        <f>[1]!s_fa_salescashintoor(Q14,Q13)%</f>
        <v>0.75070000000000003</v>
      </c>
      <c r="R25" s="11">
        <f>[1]!s_fa_salescashintoor(R14,R13)%</f>
        <v>0.54079999999999995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0.194109</v>
      </c>
      <c r="K26" s="121"/>
      <c r="L26" s="11">
        <f>[1]!s_fa_grossprofitmargin(L14,L13)%</f>
        <v>0.15387700000000001</v>
      </c>
      <c r="M26" s="11">
        <f>[1]!s_fa_grossprofitmargin(M14,M13)%</f>
        <v>0.295738</v>
      </c>
      <c r="N26" s="11">
        <f>[1]!s_fa_grossprofitmargin(N14,N13)%</f>
        <v>6.8945999999999993E-2</v>
      </c>
      <c r="O26" s="11">
        <f>[1]!s_fa_grossprofitmargin(O14,O13)%</f>
        <v>0.20236499999999999</v>
      </c>
      <c r="P26" s="11">
        <f>[1]!s_fa_grossprofitmargin(P14,P13)%</f>
        <v>0.16954799999999998</v>
      </c>
      <c r="Q26" s="11">
        <f>[1]!s_fa_grossprofitmargin(Q14,Q13)%</f>
        <v>0.27232600000000001</v>
      </c>
      <c r="R26" s="11">
        <f>[1]!s_fa_grossprofitmargin(R14,R13)%</f>
        <v>0.17519300000000002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3.4868799031000002</v>
      </c>
      <c r="K27" s="121"/>
      <c r="L27" s="68">
        <f>[1]!b_stm07_is(L14,60,L13,1)/100000000</f>
        <v>4.4131057475000004</v>
      </c>
      <c r="M27" s="68">
        <f>[1]!b_stm07_is(M14,60,M13,1)/100000000</f>
        <v>4.1255668070000002</v>
      </c>
      <c r="N27" s="68">
        <f>[1]!b_stm07_is(N14,60,N13,1)/100000000</f>
        <v>1.4810444319999998</v>
      </c>
      <c r="O27" s="68">
        <f>[1]!b_stm07_is(O14,60,O13,1)/100000000</f>
        <v>1.8004329631</v>
      </c>
      <c r="P27" s="68">
        <f>[1]!b_stm07_is(P14,60,P13,1)/100000000</f>
        <v>2.8670876275000001</v>
      </c>
      <c r="Q27" s="68">
        <f>[1]!b_stm07_is(Q14,60,Q13,1)/100000000</f>
        <v>9.4321893708999998</v>
      </c>
      <c r="R27" s="68">
        <f>[1]!b_stm07_is(R14,60,R13,1)/100000000</f>
        <v>1.6534841902000001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4.2521000000000003E-2</v>
      </c>
      <c r="K28" s="121"/>
      <c r="L28" s="10">
        <f>[1]!s_fa_roe(L14,L13)%</f>
        <v>1.9833E-2</v>
      </c>
      <c r="M28" s="10">
        <f>[1]!s_fa_roe(M14,M13)%</f>
        <v>5.3230000000000006E-2</v>
      </c>
      <c r="N28" s="10">
        <f>[1]!s_fa_roe(N14,N13)%</f>
        <v>1.2516000000000001E-2</v>
      </c>
      <c r="O28" s="10">
        <f>[1]!s_fa_roe(O14,O13)%</f>
        <v>1.2942E-2</v>
      </c>
      <c r="P28" s="10">
        <f>[1]!s_fa_roe(P14,P13)%</f>
        <v>3.7471000000000004E-2</v>
      </c>
      <c r="Q28" s="10">
        <f>[1]!s_fa_roe(Q14,Q13)%</f>
        <v>3.3591999999999997E-2</v>
      </c>
      <c r="R28" s="10">
        <f>[1]!s_fa_roe(R14,R13)%</f>
        <v>3.4417000000000003E-2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-22.077139110799997</v>
      </c>
      <c r="K29" s="121"/>
      <c r="L29" s="68">
        <f>[1]!b_stm07_cs(L14,39,L13,1)/100000000</f>
        <v>-31.023461654200002</v>
      </c>
      <c r="M29" s="68">
        <f>[1]!b_stm07_cs(M14,39,M13,1)/100000000</f>
        <v>-2.3576413325000001</v>
      </c>
      <c r="N29" s="68">
        <f>[1]!b_stm07_cs(N14,39,N13,1)/100000000</f>
        <v>1.7986979231</v>
      </c>
      <c r="O29" s="68">
        <f>[1]!b_stm07_cs(O14,39,O13,1)/100000000</f>
        <v>6.3499999909000007</v>
      </c>
      <c r="P29" s="68">
        <f>[1]!b_stm07_cs(P14,39,P13,1)/100000000</f>
        <v>-2.905755772</v>
      </c>
      <c r="Q29" s="68">
        <f>[1]!b_stm07_cs(Q14,39,Q13,1)/100000000</f>
        <v>-82.679671197700003</v>
      </c>
      <c r="R29" s="68">
        <f>[1]!b_stm07_cs(R14,39,R13,1)/100000000</f>
        <v>-10.128606917000001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0</v>
      </c>
      <c r="K96" s="70"/>
      <c r="L96" s="70">
        <f>[1]!b_stm07_bs(L14,75,L13,1)</f>
        <v>0</v>
      </c>
      <c r="M96" s="70">
        <f>[1]!b_stm07_bs(M14,75,M13,1)</f>
        <v>590000000</v>
      </c>
      <c r="N96" s="70">
        <f>[1]!b_stm07_bs(N14,75,N13,1)</f>
        <v>216605000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2643900000</v>
      </c>
      <c r="R96" s="70">
        <f>[1]!b_stm07_bs(R14,75,R13,1)</f>
        <v>118700000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114871813.29000001</v>
      </c>
      <c r="K97" s="70"/>
      <c r="L97" s="70">
        <f>[1]!b_stm07_bs(L14,82,L13,1)</f>
        <v>162721978.78</v>
      </c>
      <c r="M97" s="70">
        <f>[1]!b_stm07_bs(M14,82,M13,1)</f>
        <v>18786508.370000001</v>
      </c>
      <c r="N97" s="70">
        <f>[1]!b_stm07_bs(N14,82,N13,1)</f>
        <v>63512407.710000001</v>
      </c>
      <c r="O97" s="70">
        <f>[1]!b_stm07_bs(O14,82,O13,1)</f>
        <v>22509518.609999999</v>
      </c>
      <c r="P97" s="70">
        <f>[1]!b_stm07_bs(P14,82,P13,1)</f>
        <v>0</v>
      </c>
      <c r="Q97" s="70">
        <f>[1]!b_stm07_bs(Q14,82,Q13,1)</f>
        <v>5600600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321000000</v>
      </c>
      <c r="K98" s="70"/>
      <c r="L98" s="70">
        <f>[1]!b_stm07_bs(L14,88,L13,1)</f>
        <v>3559801389.6300001</v>
      </c>
      <c r="M98" s="70">
        <f>[1]!b_stm07_bs(M14,88,M13,1)</f>
        <v>50000000</v>
      </c>
      <c r="N98" s="70">
        <f>[1]!b_stm07_bs(N14,88,N13,1)</f>
        <v>617000000</v>
      </c>
      <c r="O98" s="70">
        <f>[1]!b_stm07_bs(O14,88,O13,1)</f>
        <v>1499948073.3800001</v>
      </c>
      <c r="P98" s="70">
        <f>[1]!b_stm07_bs(P14,88,P13,1)</f>
        <v>490985868.75999999</v>
      </c>
      <c r="Q98" s="70">
        <f>[1]!b_stm07_bs(Q14,88,Q13,1)</f>
        <v>2917560235.71</v>
      </c>
      <c r="R98" s="70">
        <f>[1]!b_stm07_bs(R14,88,R13,1)</f>
        <v>393121571.14999998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1456100000</v>
      </c>
      <c r="K100" s="70"/>
      <c r="L100" s="70">
        <f>[1]!b_stm07_bs(L14,94,L13,1)</f>
        <v>9015319400</v>
      </c>
      <c r="M100" s="70">
        <f>[1]!b_stm07_bs(M14,94,M13,1)</f>
        <v>2568390000</v>
      </c>
      <c r="N100" s="70">
        <f>[1]!b_stm07_bs(N14,94,N13,1)</f>
        <v>7197588341.79</v>
      </c>
      <c r="O100" s="70">
        <f>[1]!b_stm07_bs(O14,94,O13,1)</f>
        <v>8599300000</v>
      </c>
      <c r="P100" s="70">
        <f>[1]!b_stm07_bs(P14,94,P13,1)</f>
        <v>1864000000</v>
      </c>
      <c r="Q100" s="70">
        <f>[1]!b_stm07_bs(Q14,94,Q13,1)</f>
        <v>22042201666.299999</v>
      </c>
      <c r="R100" s="70">
        <f>[1]!b_stm07_bs(R14,94,R13,1)</f>
        <v>2294400000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1491698656.5599999</v>
      </c>
      <c r="K101" s="70"/>
      <c r="L101" s="70">
        <f>[1]!b_stm07_bs(L14,95,L13,1)</f>
        <v>6085231666.6700001</v>
      </c>
      <c r="M101" s="70">
        <f>[1]!b_stm07_bs(M14,95,M13,1)</f>
        <v>2285207539.6799998</v>
      </c>
      <c r="N101" s="70">
        <f>[1]!b_stm07_bs(N14,95,N13,1)</f>
        <v>2988545543</v>
      </c>
      <c r="O101" s="70">
        <f>[1]!b_stm07_bs(O14,95,O13,1)</f>
        <v>934183972.60000002</v>
      </c>
      <c r="P101" s="70">
        <f>[1]!b_stm07_bs(P14,95,P13,1)</f>
        <v>0</v>
      </c>
      <c r="Q101" s="70">
        <f>[1]!b_stm07_bs(Q14,95,Q13,1)</f>
        <v>9807801000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9089688961.6100006</v>
      </c>
      <c r="K103" s="70"/>
      <c r="L103" s="70">
        <f>[1]!b_stm07_bs(L14,141,L13,1)</f>
        <v>22570902450.880001</v>
      </c>
      <c r="M103" s="70">
        <f>[1]!b_stm07_bs(M14,141,M13,1)</f>
        <v>8415825928.1800003</v>
      </c>
      <c r="N103" s="70">
        <f>[1]!b_stm07_bs(N14,141,N13,1)</f>
        <v>15715990709.540001</v>
      </c>
      <c r="O103" s="70">
        <f>[1]!b_stm07_bs(O14,141,O13,1)</f>
        <v>13959637415.84</v>
      </c>
      <c r="P103" s="70">
        <f>[1]!b_stm07_bs(P14,141,P13,1)</f>
        <v>7791778636.9899998</v>
      </c>
      <c r="Q103" s="70">
        <f>[1]!b_stm07_bs(Q14,141,Q13,1)</f>
        <v>31697098811.959999</v>
      </c>
      <c r="R103" s="70">
        <f>[1]!b_stm07_bs(R14,141,R13,1)</f>
        <v>5491507570.6300001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q19040813.IB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0.36595500000000003</v>
      </c>
      <c r="C109" s="54" t="s">
        <v>36</v>
      </c>
      <c r="D109" s="71">
        <f>[1]!s_fa_current(A2,B2)</f>
        <v>6.3935000000000004</v>
      </c>
      <c r="E109" s="54" t="s">
        <v>41</v>
      </c>
      <c r="F109" s="72">
        <f>[1]!s_fa_salescashintoor(A2,B2)/100</f>
        <v>1.0662</v>
      </c>
      <c r="G109" s="54" t="s">
        <v>42</v>
      </c>
      <c r="H109" s="12">
        <f>S109/100</f>
        <v>0.194109</v>
      </c>
      <c r="I109" s="54"/>
      <c r="J109" s="16"/>
      <c r="K109" s="25"/>
      <c r="L109" s="34" t="s">
        <v>61</v>
      </c>
      <c r="M109" s="73">
        <f>[1]!s_fa_debttoassets(A2,B2)</f>
        <v>36.595500000000001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19.410900000000002</v>
      </c>
    </row>
    <row r="110" spans="1:19" ht="15.75" customHeight="1" x14ac:dyDescent="0.25">
      <c r="A110" s="54" t="s">
        <v>62</v>
      </c>
      <c r="B110" s="12">
        <f>M110/100</f>
        <v>0.94230500000000006</v>
      </c>
      <c r="C110" s="54" t="s">
        <v>63</v>
      </c>
      <c r="D110" s="72">
        <f>[1]!s_fa_quick(A2,B2)</f>
        <v>1.2211000000000001</v>
      </c>
      <c r="E110" s="54" t="s">
        <v>64</v>
      </c>
      <c r="F110" s="71">
        <f>[1]!s_fa_arturn(A2,B2)</f>
        <v>7.9452999999999996</v>
      </c>
      <c r="G110" s="54" t="s">
        <v>65</v>
      </c>
      <c r="H110" s="12">
        <f>S110/100</f>
        <v>0.32289700000000005</v>
      </c>
      <c r="I110" s="54"/>
      <c r="J110" s="16"/>
      <c r="L110" s="54" t="s">
        <v>62</v>
      </c>
      <c r="M110" s="73">
        <f>[1]!s_fa_catoassets(A2,B2)</f>
        <v>94.230500000000006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32.289700000000003</v>
      </c>
    </row>
    <row r="111" spans="1:19" ht="15" customHeight="1" x14ac:dyDescent="0.25">
      <c r="A111" s="54" t="s">
        <v>66</v>
      </c>
      <c r="B111" s="12">
        <f>M111/100</f>
        <v>0.40273699999999996</v>
      </c>
      <c r="C111" s="54" t="s">
        <v>39</v>
      </c>
      <c r="D111" s="72">
        <f>[1]!s_fa_ebitdatodebt(A2,B2)</f>
        <v>7.5600000000000001E-2</v>
      </c>
      <c r="E111" s="54" t="s">
        <v>67</v>
      </c>
      <c r="F111" s="71">
        <f>[1]!s_fa_invturn(A2,B2)</f>
        <v>9.8299999999999998E-2</v>
      </c>
      <c r="G111" s="54" t="s">
        <v>45</v>
      </c>
      <c r="H111" s="12">
        <f>S111/100</f>
        <v>4.2521000000000003E-2</v>
      </c>
      <c r="I111" s="54"/>
      <c r="J111" s="16"/>
      <c r="L111" s="54" t="s">
        <v>66</v>
      </c>
      <c r="M111" s="73">
        <f>[1]!s_fa_currentdebttodebt(A2,B2)</f>
        <v>40.273699999999998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4.2521000000000004</v>
      </c>
    </row>
    <row r="112" spans="1:19" ht="14.25" customHeight="1" x14ac:dyDescent="0.25">
      <c r="A112" s="54" t="s">
        <v>38</v>
      </c>
      <c r="B112" s="75">
        <f>(M116+M117+M118+M119+M120+M121)/M123</f>
        <v>0.37225371342636915</v>
      </c>
      <c r="C112" s="54" t="s">
        <v>68</v>
      </c>
      <c r="D112" s="72">
        <f>[1]!s_fa_ebittointerest(A2,B2)</f>
        <v>0</v>
      </c>
      <c r="E112" s="54" t="s">
        <v>69</v>
      </c>
      <c r="F112" s="71">
        <f>[1]!s_fa_caturn(A2,B2)</f>
        <v>9.2600000000000002E-2</v>
      </c>
      <c r="G112" s="54" t="s">
        <v>70</v>
      </c>
      <c r="H112" s="12">
        <f>S112/100</f>
        <v>2.7227000000000001E-2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2.7227000000000001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8.7300000000000003E-2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0</v>
      </c>
    </row>
    <row r="117" spans="1:21" ht="14.25" customHeight="1" x14ac:dyDescent="0.25">
      <c r="A117" s="54" t="s">
        <v>77</v>
      </c>
      <c r="B117" s="72">
        <f t="shared" ref="B117:B131" si="1">M127/100000000</f>
        <v>19.1310190194</v>
      </c>
      <c r="C117" s="54" t="s">
        <v>78</v>
      </c>
      <c r="D117" s="75">
        <f t="shared" ref="D117:D125" si="2">O127/100000000</f>
        <v>12.173392038800001</v>
      </c>
      <c r="E117" s="128" t="s">
        <v>79</v>
      </c>
      <c r="F117" s="121"/>
      <c r="G117" s="121"/>
      <c r="H117" s="129">
        <f t="shared" ref="H117:H131" si="3">S127/100000000</f>
        <v>12.9789699321</v>
      </c>
      <c r="I117" s="121"/>
      <c r="J117" s="121"/>
      <c r="L117" s="17" t="s">
        <v>48</v>
      </c>
      <c r="M117" s="70">
        <f>[1]!b_stm07_bs(K107,82,L107,1)</f>
        <v>114871813.29000001</v>
      </c>
    </row>
    <row r="118" spans="1:21" ht="14.25" customHeight="1" x14ac:dyDescent="0.25">
      <c r="A118" s="54" t="s">
        <v>80</v>
      </c>
      <c r="B118" s="72">
        <f t="shared" si="1"/>
        <v>1.8811195911</v>
      </c>
      <c r="C118" s="54" t="s">
        <v>81</v>
      </c>
      <c r="D118" s="75">
        <f t="shared" si="2"/>
        <v>10.2526347254</v>
      </c>
      <c r="E118" s="128" t="s">
        <v>82</v>
      </c>
      <c r="F118" s="121"/>
      <c r="G118" s="121"/>
      <c r="H118" s="129">
        <f t="shared" si="3"/>
        <v>13.498627513499999</v>
      </c>
      <c r="I118" s="121"/>
      <c r="J118" s="121"/>
      <c r="L118" s="17" t="s">
        <v>49</v>
      </c>
      <c r="M118" s="70">
        <f>[1]!b_stm07_bs(K107,88,L107,1)</f>
        <v>321000000</v>
      </c>
    </row>
    <row r="119" spans="1:21" ht="14.25" customHeight="1" x14ac:dyDescent="0.25">
      <c r="A119" s="54" t="s">
        <v>83</v>
      </c>
      <c r="B119" s="72">
        <f t="shared" si="1"/>
        <v>4.7890488489999994</v>
      </c>
      <c r="C119" s="54" t="s">
        <v>84</v>
      </c>
      <c r="D119" s="75">
        <f t="shared" si="2"/>
        <v>9.8104233327999992</v>
      </c>
      <c r="E119" s="128" t="s">
        <v>85</v>
      </c>
      <c r="F119" s="121"/>
      <c r="G119" s="121"/>
      <c r="H119" s="130">
        <f t="shared" si="3"/>
        <v>26.477597445600001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4.0499996327999996</v>
      </c>
      <c r="C120" s="54" t="s">
        <v>87</v>
      </c>
      <c r="D120" s="75">
        <f t="shared" si="2"/>
        <v>0</v>
      </c>
      <c r="E120" s="128" t="s">
        <v>88</v>
      </c>
      <c r="F120" s="121"/>
      <c r="G120" s="121"/>
      <c r="H120" s="129">
        <f t="shared" si="3"/>
        <v>29.045142041199998</v>
      </c>
      <c r="I120" s="121"/>
      <c r="J120" s="121"/>
      <c r="L120" s="17" t="s">
        <v>51</v>
      </c>
      <c r="M120" s="70">
        <f>[1]!b_stm07_bs(K107,94,L107,1)</f>
        <v>1456100000</v>
      </c>
    </row>
    <row r="121" spans="1:21" ht="14.25" customHeight="1" x14ac:dyDescent="0.25">
      <c r="A121" s="54" t="s">
        <v>89</v>
      </c>
      <c r="B121" s="72">
        <f t="shared" si="1"/>
        <v>0</v>
      </c>
      <c r="C121" s="54" t="s">
        <v>90</v>
      </c>
      <c r="D121" s="75">
        <f t="shared" si="2"/>
        <v>0.1853121566</v>
      </c>
      <c r="E121" s="128" t="s">
        <v>91</v>
      </c>
      <c r="F121" s="121"/>
      <c r="G121" s="121"/>
      <c r="H121" s="129">
        <f t="shared" si="3"/>
        <v>18.8589233161</v>
      </c>
      <c r="I121" s="121"/>
      <c r="J121" s="121"/>
      <c r="L121" s="17" t="s">
        <v>52</v>
      </c>
      <c r="M121" s="70">
        <f>[1]!b_stm07_bs(K107,95,L107,1)</f>
        <v>1491698656.5599999</v>
      </c>
    </row>
    <row r="122" spans="1:21" ht="14.25" customHeight="1" x14ac:dyDescent="0.25">
      <c r="A122" s="54" t="s">
        <v>92</v>
      </c>
      <c r="B122" s="72">
        <f t="shared" si="1"/>
        <v>0.2697847531</v>
      </c>
      <c r="C122" s="54" t="s">
        <v>93</v>
      </c>
      <c r="D122" s="75">
        <f t="shared" si="2"/>
        <v>-1.2346249199999999E-2</v>
      </c>
      <c r="E122" s="128" t="s">
        <v>94</v>
      </c>
      <c r="F122" s="121"/>
      <c r="G122" s="121"/>
      <c r="H122" s="130">
        <f t="shared" si="3"/>
        <v>48.554736556400002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143.3603768557</v>
      </c>
      <c r="C123" s="54" t="s">
        <v>96</v>
      </c>
      <c r="D123" s="75">
        <f t="shared" si="2"/>
        <v>3.9307573133999996</v>
      </c>
      <c r="E123" s="128" t="s">
        <v>97</v>
      </c>
      <c r="F123" s="121"/>
      <c r="G123" s="121"/>
      <c r="H123" s="130">
        <f t="shared" si="3"/>
        <v>-22.077139110799997</v>
      </c>
      <c r="I123" s="121"/>
      <c r="J123" s="121"/>
      <c r="L123" s="17" t="s">
        <v>53</v>
      </c>
      <c r="M123" s="70">
        <f>[1]!b_stm07_bs(K107,141,L107,1)</f>
        <v>9089688961.6100006</v>
      </c>
    </row>
    <row r="124" spans="1:21" ht="14.25" customHeight="1" x14ac:dyDescent="0.25">
      <c r="A124" s="54" t="s">
        <v>98</v>
      </c>
      <c r="B124" s="72">
        <f t="shared" si="1"/>
        <v>0</v>
      </c>
      <c r="C124" s="54" t="s">
        <v>99</v>
      </c>
      <c r="D124" s="75">
        <f t="shared" si="2"/>
        <v>3.9669652269000002</v>
      </c>
      <c r="E124" s="128" t="s">
        <v>100</v>
      </c>
      <c r="F124" s="121"/>
      <c r="G124" s="121"/>
      <c r="H124" s="130">
        <f t="shared" si="3"/>
        <v>-0.54569305159999992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3.21</v>
      </c>
      <c r="C125" s="54" t="s">
        <v>43</v>
      </c>
      <c r="D125" s="75">
        <f t="shared" si="2"/>
        <v>3.4868799031000002</v>
      </c>
      <c r="E125" s="128" t="s">
        <v>102</v>
      </c>
      <c r="F125" s="121"/>
      <c r="G125" s="121"/>
      <c r="H125" s="129">
        <f t="shared" si="3"/>
        <v>15.1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2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14.561</v>
      </c>
      <c r="C127" s="54"/>
      <c r="D127" s="79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54" t="s">
        <v>77</v>
      </c>
      <c r="M127" s="74">
        <f>[1]!b_stm07_bs(K107,9,L107,1)</f>
        <v>1913101901.9400001</v>
      </c>
      <c r="N127" s="54" t="s">
        <v>78</v>
      </c>
      <c r="O127" s="74">
        <f>[1]!b_stm07_is(K107,83,L107,1)</f>
        <v>1217339203.8800001</v>
      </c>
      <c r="P127" s="128" t="s">
        <v>79</v>
      </c>
      <c r="Q127" s="121"/>
      <c r="R127" s="121"/>
      <c r="S127" s="133">
        <f>[1]!b_stm07_cs(K107,9,L107,1)</f>
        <v>1297896993.21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14.9169865656</v>
      </c>
      <c r="C128" s="54"/>
      <c r="D128" s="79"/>
      <c r="E128" s="128" t="s">
        <v>108</v>
      </c>
      <c r="F128" s="121"/>
      <c r="G128" s="121"/>
      <c r="H128" s="130">
        <f t="shared" si="3"/>
        <v>17.100000000000001</v>
      </c>
      <c r="I128" s="121"/>
      <c r="J128" s="121"/>
      <c r="L128" s="54" t="s">
        <v>80</v>
      </c>
      <c r="M128" s="74">
        <f>[1]!b_stm07_bs(K107,12,L107,1)</f>
        <v>188111959.11000001</v>
      </c>
      <c r="N128" s="54" t="s">
        <v>81</v>
      </c>
      <c r="O128" s="74">
        <f>[1]!b_stm07_is(K107,84,L107,1)</f>
        <v>1025263472.54</v>
      </c>
      <c r="P128" s="128" t="s">
        <v>82</v>
      </c>
      <c r="Q128" s="121"/>
      <c r="R128" s="121"/>
      <c r="S128" s="133">
        <f>[1]!b_stm07_cs(K107,11,L107,1)</f>
        <v>1349862751.3499999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52.463487239599999</v>
      </c>
      <c r="C129" s="14"/>
      <c r="D129" s="13"/>
      <c r="E129" s="128" t="s">
        <v>110</v>
      </c>
      <c r="F129" s="121"/>
      <c r="G129" s="121"/>
      <c r="H129" s="129">
        <f t="shared" si="3"/>
        <v>3.7490000000000001</v>
      </c>
      <c r="I129" s="121"/>
      <c r="J129" s="121"/>
      <c r="L129" s="54" t="s">
        <v>83</v>
      </c>
      <c r="M129" s="74">
        <f>[1]!b_stm07_bs(K107,13,L107,1)</f>
        <v>478904884.89999998</v>
      </c>
      <c r="N129" s="54" t="s">
        <v>84</v>
      </c>
      <c r="O129" s="74">
        <f>[1]!b_stm07_is(K107,10,L107,1)</f>
        <v>981042333.27999997</v>
      </c>
      <c r="P129" s="128" t="s">
        <v>85</v>
      </c>
      <c r="Q129" s="121"/>
      <c r="R129" s="121"/>
      <c r="S129" s="134">
        <f>[1]!b_stm07_cs(K107,25,L107,1)</f>
        <v>2647759744.5599999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90.896889616100012</v>
      </c>
      <c r="C130" s="14"/>
      <c r="D130" s="13"/>
      <c r="E130" s="128" t="s">
        <v>112</v>
      </c>
      <c r="F130" s="121"/>
      <c r="G130" s="121"/>
      <c r="H130" s="129">
        <f t="shared" si="3"/>
        <v>5.4589903239000002</v>
      </c>
      <c r="I130" s="121"/>
      <c r="J130" s="121"/>
      <c r="L130" s="54" t="s">
        <v>86</v>
      </c>
      <c r="M130" s="74">
        <f>[1]!b_stm07_bs(K107,31,L107,1)</f>
        <v>404999963.27999997</v>
      </c>
      <c r="N130" s="54" t="s">
        <v>87</v>
      </c>
      <c r="O130" s="74">
        <f>[1]!b_stm07_is(K107,12,L107,1)</f>
        <v>0</v>
      </c>
      <c r="P130" s="128" t="s">
        <v>88</v>
      </c>
      <c r="Q130" s="121"/>
      <c r="R130" s="121"/>
      <c r="S130" s="133">
        <f>[1]!b_stm07_cs(K107,26,L107,1)</f>
        <v>2904514204.1199999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143.3603768557</v>
      </c>
      <c r="C131" s="14"/>
      <c r="D131" s="13"/>
      <c r="E131" s="128" t="s">
        <v>114</v>
      </c>
      <c r="F131" s="121"/>
      <c r="G131" s="121"/>
      <c r="H131" s="130">
        <f t="shared" si="3"/>
        <v>11.641009676099999</v>
      </c>
      <c r="I131" s="121"/>
      <c r="J131" s="121"/>
      <c r="L131" s="54" t="s">
        <v>89</v>
      </c>
      <c r="M131" s="74">
        <f>[1]!b_stm07_bs(K107,33,L107,1)</f>
        <v>0</v>
      </c>
      <c r="N131" s="54" t="s">
        <v>90</v>
      </c>
      <c r="O131" s="74">
        <f>[1]!b_stm07_is(K107,13,L107,1)</f>
        <v>18531215.66</v>
      </c>
      <c r="P131" s="128" t="s">
        <v>91</v>
      </c>
      <c r="Q131" s="121"/>
      <c r="R131" s="121"/>
      <c r="S131" s="133">
        <f>[1]!b_stm07_cs(K107,29,L107,1)</f>
        <v>1885892331.6099999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26978475.309999999</v>
      </c>
      <c r="N132" s="54" t="s">
        <v>93</v>
      </c>
      <c r="O132" s="74">
        <f>[1]!b_stm07_is(K107,14,L107,1)</f>
        <v>-1234624.92</v>
      </c>
      <c r="P132" s="128" t="s">
        <v>94</v>
      </c>
      <c r="Q132" s="121"/>
      <c r="R132" s="121"/>
      <c r="S132" s="134">
        <f>[1]!b_stm07_cs(K107,37,L107,1)</f>
        <v>4855473655.6400003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14336037685.57</v>
      </c>
      <c r="N133" s="54" t="s">
        <v>96</v>
      </c>
      <c r="O133" s="74">
        <f>[1]!b_stm07_is(K107,48,L107,1)</f>
        <v>393075731.33999997</v>
      </c>
      <c r="P133" s="128" t="s">
        <v>97</v>
      </c>
      <c r="Q133" s="121"/>
      <c r="R133" s="121"/>
      <c r="S133" s="134">
        <f>[1]!b_stm07_cs(K107,39,L107,1)</f>
        <v>-2207713911.0799999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0</v>
      </c>
      <c r="N134" s="54" t="s">
        <v>99</v>
      </c>
      <c r="O134" s="74">
        <f>[1]!b_stm07_is(K107,55,L107,1)</f>
        <v>396696522.69</v>
      </c>
      <c r="P134" s="128" t="s">
        <v>100</v>
      </c>
      <c r="Q134" s="121"/>
      <c r="R134" s="121"/>
      <c r="S134" s="134">
        <f>[1]!b_stm07_cs(K107,59,L107,1)</f>
        <v>-54569305.159999996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321000000</v>
      </c>
      <c r="N135" s="54" t="s">
        <v>43</v>
      </c>
      <c r="O135" s="74">
        <f>[1]!b_stm07_is(K107,60,L107,1)</f>
        <v>348687990.31</v>
      </c>
      <c r="P135" s="128" t="s">
        <v>102</v>
      </c>
      <c r="Q135" s="121"/>
      <c r="R135" s="121"/>
      <c r="S135" s="133">
        <f>[1]!b_stm07_cs(K107,60,L107,1)</f>
        <v>1510000000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200000000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1456100000</v>
      </c>
      <c r="N137" s="54"/>
      <c r="O137" s="79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1491698656.5599999</v>
      </c>
      <c r="N138" s="54"/>
      <c r="O138" s="79"/>
      <c r="P138" s="128" t="s">
        <v>108</v>
      </c>
      <c r="Q138" s="121"/>
      <c r="R138" s="121"/>
      <c r="S138" s="134">
        <f>[1]!b_stm07_cs(K107,68,L107,1)</f>
        <v>1710000000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5246348723.96</v>
      </c>
      <c r="N139" s="14"/>
      <c r="O139" s="13"/>
      <c r="P139" s="128" t="s">
        <v>110</v>
      </c>
      <c r="Q139" s="121"/>
      <c r="R139" s="121"/>
      <c r="S139" s="133">
        <f>[1]!b_stm07_cs(K107,69,L107,1)</f>
        <v>374900000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9089688961.6100006</v>
      </c>
      <c r="N140" s="14"/>
      <c r="O140" s="13"/>
      <c r="P140" s="128" t="s">
        <v>112</v>
      </c>
      <c r="Q140" s="121"/>
      <c r="R140" s="121"/>
      <c r="S140" s="133">
        <f>[1]!b_stm07_cs(K107,75,L107,1)</f>
        <v>545899032.38999999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14336037685.57</v>
      </c>
      <c r="N141" s="14"/>
      <c r="O141" s="13"/>
      <c r="P141" s="128" t="s">
        <v>114</v>
      </c>
      <c r="Q141" s="121"/>
      <c r="R141" s="121"/>
      <c r="S141" s="134">
        <f>[1]!b_stm07_cs(K107,77,L107,1)</f>
        <v>1164100967.6099999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196</v>
      </c>
      <c r="C2" s="117"/>
      <c r="D2" s="57" t="s">
        <v>3</v>
      </c>
      <c r="E2" s="116" t="s">
        <v>197</v>
      </c>
      <c r="F2" s="117"/>
      <c r="G2" s="117"/>
    </row>
    <row r="3" spans="1:12" ht="14.25" customHeight="1" x14ac:dyDescent="0.25">
      <c r="A3" s="57" t="s">
        <v>4</v>
      </c>
      <c r="B3" s="116" t="s">
        <v>198</v>
      </c>
      <c r="C3" s="117"/>
      <c r="D3" s="57" t="s">
        <v>5</v>
      </c>
      <c r="E3" s="116" t="s">
        <v>199</v>
      </c>
      <c r="F3" s="117"/>
      <c r="G3" s="117"/>
    </row>
    <row r="4" spans="1:12" ht="113.25" customHeight="1" x14ac:dyDescent="0.25">
      <c r="A4" s="57" t="s">
        <v>6</v>
      </c>
      <c r="B4" s="118" t="s">
        <v>200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201</v>
      </c>
      <c r="C5" s="117"/>
      <c r="D5" s="117"/>
      <c r="E5" s="117"/>
      <c r="F5" s="138">
        <v>0.94610000610351563</v>
      </c>
      <c r="G5" s="117"/>
    </row>
    <row r="6" spans="1:12" ht="11.25" customHeight="1" x14ac:dyDescent="0.25">
      <c r="A6" s="81" t="s">
        <v>116</v>
      </c>
      <c r="B6" s="137" t="s">
        <v>202</v>
      </c>
      <c r="C6" s="117"/>
      <c r="D6" s="117"/>
      <c r="E6" s="117"/>
      <c r="F6" s="138">
        <v>5.389999866485596E-2</v>
      </c>
      <c r="G6" s="117"/>
    </row>
    <row r="7" spans="1:12" ht="11.25" customHeight="1" x14ac:dyDescent="0.25">
      <c r="A7" s="81" t="s">
        <v>117</v>
      </c>
      <c r="B7" s="137" t="s">
        <v>203</v>
      </c>
      <c r="C7" s="117"/>
      <c r="D7" s="117"/>
      <c r="E7" s="117"/>
      <c r="F7" s="138" t="s">
        <v>203</v>
      </c>
      <c r="G7" s="117"/>
    </row>
    <row r="8" spans="1:12" ht="11.25" customHeight="1" x14ac:dyDescent="0.25">
      <c r="A8" s="81" t="s">
        <v>118</v>
      </c>
      <c r="B8" s="137" t="s">
        <v>203</v>
      </c>
      <c r="C8" s="117"/>
      <c r="D8" s="117"/>
      <c r="E8" s="117"/>
      <c r="F8" s="138" t="s">
        <v>203</v>
      </c>
      <c r="G8" s="117"/>
    </row>
    <row r="9" spans="1:12" ht="11.25" customHeight="1" x14ac:dyDescent="0.25">
      <c r="A9" s="81" t="s">
        <v>119</v>
      </c>
      <c r="B9" s="137" t="s">
        <v>203</v>
      </c>
      <c r="C9" s="117"/>
      <c r="D9" s="117"/>
      <c r="E9" s="117"/>
      <c r="F9" s="138" t="s">
        <v>203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5.25</v>
      </c>
      <c r="E13" s="63">
        <v>4.6164383561643838</v>
      </c>
      <c r="F13" s="64" t="s">
        <v>25</v>
      </c>
      <c r="G13" s="63">
        <v>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4.45</v>
      </c>
      <c r="E14" s="82">
        <v>4.1506849315068495</v>
      </c>
      <c r="F14" t="s">
        <v>204</v>
      </c>
      <c r="G14" s="63">
        <v>15</v>
      </c>
    </row>
    <row r="15" spans="1:12" ht="14.4" customHeight="1" x14ac:dyDescent="0.25">
      <c r="A15" t="s">
        <v>127</v>
      </c>
      <c r="B15" t="s">
        <v>125</v>
      </c>
      <c r="C15" t="s">
        <v>128</v>
      </c>
      <c r="D15" s="63">
        <v>4.45</v>
      </c>
      <c r="E15" s="82">
        <v>4.1506849315068495</v>
      </c>
      <c r="F15" t="s">
        <v>204</v>
      </c>
      <c r="G15" s="63">
        <v>15</v>
      </c>
    </row>
    <row r="16" spans="1:12" ht="14.4" customHeight="1" x14ac:dyDescent="0.25">
      <c r="D16" s="63"/>
      <c r="E16" s="82"/>
      <c r="G16" s="63"/>
    </row>
    <row r="17" spans="1:7" ht="14.4" customHeight="1" x14ac:dyDescent="0.25">
      <c r="D17" s="63"/>
      <c r="E17" s="82"/>
      <c r="G17" s="63"/>
    </row>
    <row r="18" spans="1:7" ht="14.4" customHeight="1" x14ac:dyDescent="0.25">
      <c r="D18" s="63"/>
      <c r="E18" s="82"/>
      <c r="G18" s="63"/>
    </row>
    <row r="19" spans="1:7" ht="14.4" customHeight="1" x14ac:dyDescent="0.25">
      <c r="D19" s="63"/>
      <c r="E19" s="82"/>
      <c r="G19" s="63"/>
    </row>
    <row r="20" spans="1:7" ht="14.4" customHeight="1" x14ac:dyDescent="0.25">
      <c r="D20" s="63"/>
      <c r="E20" s="82"/>
      <c r="G20" s="63"/>
    </row>
    <row r="21" spans="1:7" ht="14.4" customHeight="1" x14ac:dyDescent="0.25">
      <c r="A21" s="140" t="s">
        <v>129</v>
      </c>
      <c r="B21" s="140"/>
      <c r="C21" s="140"/>
      <c r="D21" s="140"/>
      <c r="E21" s="82"/>
      <c r="G21" s="63"/>
    </row>
    <row r="22" spans="1:7" ht="14.4" customHeight="1" x14ac:dyDescent="0.25">
      <c r="A22" s="83" t="s">
        <v>130</v>
      </c>
      <c r="B22" s="83" t="s">
        <v>131</v>
      </c>
      <c r="C22" s="83" t="s">
        <v>132</v>
      </c>
      <c r="D22" s="84" t="s">
        <v>133</v>
      </c>
      <c r="E22" s="82"/>
      <c r="G22" s="63"/>
    </row>
    <row r="23" spans="1:7" ht="14.4" customHeight="1" x14ac:dyDescent="0.25">
      <c r="A23" t="s">
        <v>134</v>
      </c>
      <c r="B23" t="s">
        <v>25</v>
      </c>
      <c r="C23" t="s">
        <v>135</v>
      </c>
      <c r="D23" s="63" t="s">
        <v>136</v>
      </c>
      <c r="E23" s="82"/>
      <c r="G23" s="63"/>
    </row>
    <row r="24" spans="1:7" ht="14.4" customHeight="1" x14ac:dyDescent="0.25">
      <c r="A24" t="s">
        <v>137</v>
      </c>
      <c r="B24" t="s">
        <v>25</v>
      </c>
      <c r="C24" t="s">
        <v>135</v>
      </c>
      <c r="D24" s="63" t="s">
        <v>136</v>
      </c>
      <c r="E24" s="82"/>
      <c r="G24" s="63"/>
    </row>
    <row r="25" spans="1:7" ht="14.4" customHeight="1" x14ac:dyDescent="0.25">
      <c r="A25" t="s">
        <v>138</v>
      </c>
      <c r="B25" t="s">
        <v>25</v>
      </c>
      <c r="C25" t="s">
        <v>135</v>
      </c>
      <c r="D25" s="63" t="s">
        <v>136</v>
      </c>
      <c r="E25" s="82"/>
      <c r="G25" s="63"/>
    </row>
    <row r="26" spans="1:7" ht="14.4" customHeight="1" x14ac:dyDescent="0.25">
      <c r="A26" t="s">
        <v>139</v>
      </c>
      <c r="B26" t="s">
        <v>25</v>
      </c>
      <c r="C26" t="s">
        <v>135</v>
      </c>
      <c r="D26" s="63" t="s">
        <v>136</v>
      </c>
      <c r="E26" s="82"/>
      <c r="G26" s="63"/>
    </row>
    <row r="27" spans="1:7" ht="14.4" customHeight="1" x14ac:dyDescent="0.25">
      <c r="A27" t="s">
        <v>140</v>
      </c>
      <c r="B27" t="s">
        <v>25</v>
      </c>
      <c r="C27" t="s">
        <v>135</v>
      </c>
      <c r="D27" s="63" t="s">
        <v>136</v>
      </c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D30" s="63"/>
      <c r="E30" s="82"/>
      <c r="G30" s="63"/>
    </row>
    <row r="31" spans="1:7" ht="14.4" customHeight="1" x14ac:dyDescent="0.25">
      <c r="D31" s="63"/>
      <c r="E31" s="82"/>
      <c r="G31" s="63"/>
    </row>
    <row r="32" spans="1:7" ht="14.4" customHeight="1" x14ac:dyDescent="0.25">
      <c r="D32" s="63"/>
      <c r="E32" s="82"/>
      <c r="G32" s="63"/>
    </row>
    <row r="33" spans="4:7" ht="14.4" customHeight="1" x14ac:dyDescent="0.25">
      <c r="D33" s="63"/>
      <c r="E33" s="82"/>
      <c r="G33" s="63"/>
    </row>
    <row r="34" spans="4:7" ht="14.4" customHeight="1" x14ac:dyDescent="0.25">
      <c r="D34" s="63"/>
      <c r="E34" s="82"/>
      <c r="G34" s="63"/>
    </row>
    <row r="35" spans="4:7" ht="14.4" customHeight="1" x14ac:dyDescent="0.25">
      <c r="D35" s="63"/>
      <c r="E35" s="82"/>
      <c r="G35" s="63"/>
    </row>
    <row r="36" spans="4:7" ht="14.4" customHeight="1" x14ac:dyDescent="0.25">
      <c r="D36" s="63"/>
      <c r="E36" s="82"/>
      <c r="G36" s="63"/>
    </row>
    <row r="37" spans="4:7" ht="14.4" customHeight="1" x14ac:dyDescent="0.25">
      <c r="D37" s="63"/>
      <c r="E37" s="82"/>
      <c r="G37" s="63"/>
    </row>
    <row r="38" spans="4:7" ht="14.4" customHeight="1" x14ac:dyDescent="0.25">
      <c r="D38" s="63"/>
      <c r="E38" s="82"/>
      <c r="G38" s="63"/>
    </row>
    <row r="39" spans="4:7" ht="14.4" customHeight="1" x14ac:dyDescent="0.25">
      <c r="D39" s="63"/>
      <c r="E39" s="82"/>
      <c r="G39" s="63"/>
    </row>
    <row r="40" spans="4:7" ht="14.4" customHeight="1" x14ac:dyDescent="0.25">
      <c r="D40" s="63"/>
      <c r="E40" s="82"/>
      <c r="G40" s="63"/>
    </row>
    <row r="41" spans="4:7" ht="14.4" customHeight="1" x14ac:dyDescent="0.25">
      <c r="D41" s="63"/>
      <c r="E41" s="82"/>
      <c r="G41" s="63"/>
    </row>
    <row r="42" spans="4:7" ht="14.4" customHeight="1" x14ac:dyDescent="0.25">
      <c r="D42" s="63"/>
      <c r="E42" s="82"/>
      <c r="G42" s="63"/>
    </row>
    <row r="43" spans="4:7" ht="14.4" customHeight="1" x14ac:dyDescent="0.25">
      <c r="D43" s="63"/>
      <c r="E43" s="82"/>
      <c r="G43" s="63"/>
    </row>
    <row r="44" spans="4:7" ht="14.4" customHeight="1" x14ac:dyDescent="0.25">
      <c r="D44" s="63"/>
      <c r="E44" s="82"/>
      <c r="G44" s="63"/>
    </row>
    <row r="45" spans="4:7" ht="14.4" customHeight="1" x14ac:dyDescent="0.25">
      <c r="D45" s="63"/>
      <c r="E45" s="82"/>
      <c r="G45" s="63"/>
    </row>
    <row r="46" spans="4:7" ht="14.4" customHeight="1" x14ac:dyDescent="0.25">
      <c r="D46" s="63"/>
      <c r="E46" s="82"/>
      <c r="G46" s="63"/>
    </row>
    <row r="47" spans="4:7" ht="14.4" customHeight="1" x14ac:dyDescent="0.25">
      <c r="D47" s="63"/>
      <c r="E47" s="82"/>
      <c r="G47" s="63"/>
    </row>
    <row r="48" spans="4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141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1:D2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0.36595500000000003</v>
      </c>
      <c r="C4" s="57" t="s">
        <v>36</v>
      </c>
      <c r="D4" s="86">
        <v>6.3935000000000004</v>
      </c>
      <c r="E4" s="57" t="s">
        <v>41</v>
      </c>
      <c r="F4" s="85">
        <v>1.0662</v>
      </c>
      <c r="G4" s="57" t="s">
        <v>42</v>
      </c>
      <c r="H4" s="85">
        <v>0.194109</v>
      </c>
      <c r="I4" s="57"/>
      <c r="J4" s="87"/>
    </row>
    <row r="5" spans="1:10" ht="15.75" customHeight="1" x14ac:dyDescent="0.25">
      <c r="A5" s="57" t="s">
        <v>62</v>
      </c>
      <c r="B5" s="85">
        <v>0.94230500000000006</v>
      </c>
      <c r="C5" s="57" t="s">
        <v>63</v>
      </c>
      <c r="D5" s="86">
        <v>1.2211000000000001</v>
      </c>
      <c r="E5" s="57" t="s">
        <v>64</v>
      </c>
      <c r="F5" s="86">
        <v>7.9452999999999996</v>
      </c>
      <c r="G5" s="57" t="s">
        <v>65</v>
      </c>
      <c r="H5" s="85">
        <v>0.32289700000000005</v>
      </c>
      <c r="I5" s="57"/>
      <c r="J5" s="87"/>
    </row>
    <row r="6" spans="1:10" ht="15" customHeight="1" x14ac:dyDescent="0.25">
      <c r="A6" s="57" t="s">
        <v>66</v>
      </c>
      <c r="B6" s="85">
        <v>0.40273699999999996</v>
      </c>
      <c r="C6" s="57" t="s">
        <v>39</v>
      </c>
      <c r="D6" s="88">
        <v>7.5600000000000001E-2</v>
      </c>
      <c r="E6" s="57" t="s">
        <v>67</v>
      </c>
      <c r="F6" s="86">
        <v>9.8299999999999998E-2</v>
      </c>
      <c r="G6" s="57" t="s">
        <v>45</v>
      </c>
      <c r="H6" s="85">
        <v>4.2521000000000003E-2</v>
      </c>
      <c r="I6" s="57"/>
      <c r="J6" s="87"/>
    </row>
    <row r="7" spans="1:10" ht="14.25" customHeight="1" x14ac:dyDescent="0.25">
      <c r="A7" s="57" t="s">
        <v>38</v>
      </c>
      <c r="B7" s="88">
        <v>0.37225371342636915</v>
      </c>
      <c r="C7" s="57" t="s">
        <v>68</v>
      </c>
      <c r="D7" s="88">
        <v>0</v>
      </c>
      <c r="E7" s="57" t="s">
        <v>69</v>
      </c>
      <c r="F7" s="86">
        <v>9.2600000000000002E-2</v>
      </c>
      <c r="G7" s="57" t="s">
        <v>70</v>
      </c>
      <c r="H7" s="85">
        <v>2.7227000000000001E-2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8.7300000000000003E-2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19.1310190194</v>
      </c>
      <c r="C12" s="57" t="s">
        <v>78</v>
      </c>
      <c r="D12" s="88">
        <v>12.173392038800001</v>
      </c>
      <c r="E12" s="144" t="s">
        <v>79</v>
      </c>
      <c r="F12" s="117"/>
      <c r="G12" s="117"/>
      <c r="H12" s="145">
        <v>12.9789699321</v>
      </c>
      <c r="I12" s="117"/>
      <c r="J12" s="117"/>
    </row>
    <row r="13" spans="1:10" ht="14.25" customHeight="1" x14ac:dyDescent="0.25">
      <c r="A13" s="57" t="s">
        <v>80</v>
      </c>
      <c r="B13" s="91">
        <v>1.8811195911</v>
      </c>
      <c r="C13" s="57" t="s">
        <v>81</v>
      </c>
      <c r="D13" s="88">
        <v>10.2526347254</v>
      </c>
      <c r="E13" s="144" t="s">
        <v>82</v>
      </c>
      <c r="F13" s="117"/>
      <c r="G13" s="117"/>
      <c r="H13" s="145">
        <v>13.498627513499999</v>
      </c>
      <c r="I13" s="117"/>
      <c r="J13" s="117"/>
    </row>
    <row r="14" spans="1:10" ht="14.25" customHeight="1" x14ac:dyDescent="0.25">
      <c r="A14" s="57" t="s">
        <v>83</v>
      </c>
      <c r="B14" s="91">
        <v>4.7890488489999994</v>
      </c>
      <c r="C14" s="57" t="s">
        <v>84</v>
      </c>
      <c r="D14" s="88">
        <v>9.8104233327999992</v>
      </c>
      <c r="E14" s="144" t="s">
        <v>85</v>
      </c>
      <c r="F14" s="117"/>
      <c r="G14" s="117"/>
      <c r="H14" s="145">
        <v>26.477597445600001</v>
      </c>
      <c r="I14" s="117"/>
      <c r="J14" s="117"/>
    </row>
    <row r="15" spans="1:10" ht="14.25" customHeight="1" x14ac:dyDescent="0.25">
      <c r="A15" s="57" t="s">
        <v>86</v>
      </c>
      <c r="B15" s="91">
        <v>4.0499996327999996</v>
      </c>
      <c r="C15" s="57" t="s">
        <v>87</v>
      </c>
      <c r="D15" s="88">
        <v>0</v>
      </c>
      <c r="E15" s="144" t="s">
        <v>88</v>
      </c>
      <c r="F15" s="117"/>
      <c r="G15" s="117"/>
      <c r="H15" s="145">
        <v>29.045142041199998</v>
      </c>
      <c r="I15" s="117"/>
      <c r="J15" s="117"/>
    </row>
    <row r="16" spans="1:10" ht="14.25" customHeight="1" x14ac:dyDescent="0.25">
      <c r="A16" s="57" t="s">
        <v>89</v>
      </c>
      <c r="B16" s="91">
        <v>0</v>
      </c>
      <c r="C16" s="57" t="s">
        <v>90</v>
      </c>
      <c r="D16" s="88">
        <v>0.1853121566</v>
      </c>
      <c r="E16" s="144" t="s">
        <v>91</v>
      </c>
      <c r="F16" s="117"/>
      <c r="G16" s="117"/>
      <c r="H16" s="145">
        <v>18.8589233161</v>
      </c>
      <c r="I16" s="117"/>
      <c r="J16" s="117"/>
    </row>
    <row r="17" spans="1:10" ht="14.25" customHeight="1" x14ac:dyDescent="0.25">
      <c r="A17" s="57" t="s">
        <v>92</v>
      </c>
      <c r="B17" s="91">
        <v>0.2697847531</v>
      </c>
      <c r="C17" s="57" t="s">
        <v>93</v>
      </c>
      <c r="D17" s="88">
        <v>-1.2346249199999999E-2</v>
      </c>
      <c r="E17" s="144" t="s">
        <v>94</v>
      </c>
      <c r="F17" s="117"/>
      <c r="G17" s="117"/>
      <c r="H17" s="145">
        <v>48.554736556400002</v>
      </c>
      <c r="I17" s="117"/>
      <c r="J17" s="117"/>
    </row>
    <row r="18" spans="1:10" ht="14.25" customHeight="1" x14ac:dyDescent="0.25">
      <c r="A18" s="57" t="s">
        <v>95</v>
      </c>
      <c r="B18" s="91">
        <v>143.3603768557</v>
      </c>
      <c r="C18" s="57" t="s">
        <v>96</v>
      </c>
      <c r="D18" s="88">
        <v>3.9307573133999996</v>
      </c>
      <c r="E18" s="144" t="s">
        <v>97</v>
      </c>
      <c r="F18" s="117"/>
      <c r="G18" s="117"/>
      <c r="H18" s="145">
        <v>-22.077139110799997</v>
      </c>
      <c r="I18" s="117"/>
      <c r="J18" s="117"/>
    </row>
    <row r="19" spans="1:10" ht="14.25" customHeight="1" x14ac:dyDescent="0.25">
      <c r="A19" s="57" t="s">
        <v>98</v>
      </c>
      <c r="B19" s="91">
        <v>0</v>
      </c>
      <c r="C19" s="57" t="s">
        <v>99</v>
      </c>
      <c r="D19" s="88">
        <v>3.9669652269000002</v>
      </c>
      <c r="E19" s="144" t="s">
        <v>100</v>
      </c>
      <c r="F19" s="117"/>
      <c r="G19" s="117"/>
      <c r="H19" s="145">
        <v>-0.54569305159999992</v>
      </c>
      <c r="I19" s="117"/>
      <c r="J19" s="117"/>
    </row>
    <row r="20" spans="1:10" ht="27" customHeight="1" x14ac:dyDescent="0.25">
      <c r="A20" s="57" t="s">
        <v>101</v>
      </c>
      <c r="B20" s="91">
        <v>3.21</v>
      </c>
      <c r="C20" s="57" t="s">
        <v>43</v>
      </c>
      <c r="D20" s="88">
        <v>3.4868799031000002</v>
      </c>
      <c r="E20" s="144" t="s">
        <v>102</v>
      </c>
      <c r="F20" s="117"/>
      <c r="G20" s="117"/>
      <c r="H20" s="145">
        <v>15.1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2</v>
      </c>
      <c r="I21" s="117"/>
      <c r="J21" s="117"/>
    </row>
    <row r="22" spans="1:10" ht="14.25" customHeight="1" x14ac:dyDescent="0.25">
      <c r="A22" s="57" t="s">
        <v>105</v>
      </c>
      <c r="B22" s="91">
        <v>14.561</v>
      </c>
      <c r="C22" s="57"/>
      <c r="D22" s="92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57" t="s">
        <v>107</v>
      </c>
      <c r="B23" s="91">
        <v>14.9169865656</v>
      </c>
      <c r="C23" s="57"/>
      <c r="D23" s="92"/>
      <c r="E23" s="144" t="s">
        <v>108</v>
      </c>
      <c r="F23" s="117"/>
      <c r="G23" s="117"/>
      <c r="H23" s="145">
        <v>17.100000000000001</v>
      </c>
      <c r="I23" s="117"/>
      <c r="J23" s="117"/>
    </row>
    <row r="24" spans="1:10" ht="14.25" customHeight="1" x14ac:dyDescent="0.25">
      <c r="A24" s="57" t="s">
        <v>109</v>
      </c>
      <c r="B24" s="91">
        <v>52.463487239599999</v>
      </c>
      <c r="C24" s="93"/>
      <c r="D24" s="90"/>
      <c r="E24" s="144" t="s">
        <v>110</v>
      </c>
      <c r="F24" s="117"/>
      <c r="G24" s="117"/>
      <c r="H24" s="145">
        <v>3.7490000000000001</v>
      </c>
      <c r="I24" s="117"/>
      <c r="J24" s="117"/>
    </row>
    <row r="25" spans="1:10" ht="14.25" customHeight="1" x14ac:dyDescent="0.25">
      <c r="A25" s="57" t="s">
        <v>111</v>
      </c>
      <c r="B25" s="91">
        <v>90.896889616100012</v>
      </c>
      <c r="C25" s="93"/>
      <c r="D25" s="90"/>
      <c r="E25" s="144" t="s">
        <v>112</v>
      </c>
      <c r="F25" s="117"/>
      <c r="G25" s="117"/>
      <c r="H25" s="145">
        <v>5.4589903239000002</v>
      </c>
      <c r="I25" s="117"/>
      <c r="J25" s="117"/>
    </row>
    <row r="26" spans="1:10" ht="14.25" customHeight="1" x14ac:dyDescent="0.25">
      <c r="A26" s="94" t="s">
        <v>113</v>
      </c>
      <c r="B26" s="91">
        <v>143.3603768557</v>
      </c>
      <c r="C26" s="93"/>
      <c r="D26" s="90"/>
      <c r="E26" s="144" t="s">
        <v>114</v>
      </c>
      <c r="F26" s="117"/>
      <c r="G26" s="117"/>
      <c r="H26" s="145">
        <v>11.641009676099999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142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196</v>
      </c>
      <c r="C2" s="43" t="s">
        <v>143</v>
      </c>
      <c r="D2" s="43" t="s">
        <v>205</v>
      </c>
      <c r="E2" s="43" t="s">
        <v>206</v>
      </c>
      <c r="F2" s="43" t="s">
        <v>207</v>
      </c>
      <c r="G2" s="43" t="s">
        <v>208</v>
      </c>
      <c r="H2" s="43" t="s">
        <v>209</v>
      </c>
      <c r="I2" s="43" t="s">
        <v>210</v>
      </c>
      <c r="J2" s="43" t="s">
        <v>211</v>
      </c>
    </row>
    <row r="3" spans="1:10" x14ac:dyDescent="0.25">
      <c r="A3" s="54" t="s">
        <v>24</v>
      </c>
      <c r="B3" s="96" t="s">
        <v>25</v>
      </c>
      <c r="C3" s="97" t="s">
        <v>144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197</v>
      </c>
      <c r="C4" s="97" t="s">
        <v>144</v>
      </c>
      <c r="D4" s="98" t="s">
        <v>197</v>
      </c>
      <c r="E4" s="98" t="s">
        <v>197</v>
      </c>
      <c r="F4" s="98" t="s">
        <v>197</v>
      </c>
      <c r="G4" s="98" t="s">
        <v>197</v>
      </c>
      <c r="H4" s="98" t="s">
        <v>197</v>
      </c>
      <c r="I4" s="98" t="s">
        <v>197</v>
      </c>
      <c r="J4" s="98" t="s">
        <v>197</v>
      </c>
    </row>
    <row r="5" spans="1:10" s="7" customFormat="1" x14ac:dyDescent="0.25">
      <c r="A5" s="9" t="s">
        <v>29</v>
      </c>
      <c r="B5" s="99" t="s">
        <v>30</v>
      </c>
      <c r="C5" s="97" t="s">
        <v>144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143.3603768557</v>
      </c>
      <c r="C6" s="97">
        <v>341.10174883142855</v>
      </c>
      <c r="D6" s="100">
        <v>526.46748590109996</v>
      </c>
      <c r="E6" s="100">
        <v>149.79160809000001</v>
      </c>
      <c r="F6" s="100">
        <v>324.42599049739999</v>
      </c>
      <c r="G6" s="100">
        <v>300.36078722270003</v>
      </c>
      <c r="H6" s="100">
        <v>145.43915470389999</v>
      </c>
      <c r="I6" s="100">
        <v>823.03781546919993</v>
      </c>
      <c r="J6" s="100">
        <v>118.1893999357</v>
      </c>
    </row>
    <row r="7" spans="1:10" x14ac:dyDescent="0.25">
      <c r="A7" s="54" t="s">
        <v>34</v>
      </c>
      <c r="B7" s="44">
        <v>0.36595500000000003</v>
      </c>
      <c r="C7" s="97">
        <v>0.52496471428571434</v>
      </c>
      <c r="D7" s="44">
        <v>0.57127600000000001</v>
      </c>
      <c r="E7" s="44">
        <v>0.438164</v>
      </c>
      <c r="F7" s="44">
        <v>0.51557500000000001</v>
      </c>
      <c r="G7" s="44">
        <v>0.53523799999999999</v>
      </c>
      <c r="H7" s="44">
        <v>0.46425899999999998</v>
      </c>
      <c r="I7" s="44">
        <v>0.61487700000000001</v>
      </c>
      <c r="J7" s="44">
        <v>0.53536399999999995</v>
      </c>
    </row>
    <row r="8" spans="1:10" x14ac:dyDescent="0.25">
      <c r="A8" s="54" t="s">
        <v>36</v>
      </c>
      <c r="B8" s="100">
        <v>6.3935000000000004</v>
      </c>
      <c r="C8" s="97">
        <v>5.3682428571428575</v>
      </c>
      <c r="D8" s="100">
        <v>3.0510000000000002</v>
      </c>
      <c r="E8" s="100">
        <v>8.7484999999999999</v>
      </c>
      <c r="F8" s="100">
        <v>4.8160999999999996</v>
      </c>
      <c r="G8" s="100">
        <v>7.4047999999999998</v>
      </c>
      <c r="H8" s="100">
        <v>6.8339999999999996</v>
      </c>
      <c r="I8" s="100">
        <v>3.9702999999999999</v>
      </c>
      <c r="J8" s="100">
        <v>2.7530000000000001</v>
      </c>
    </row>
    <row r="9" spans="1:10" x14ac:dyDescent="0.25">
      <c r="A9" s="54" t="s">
        <v>38</v>
      </c>
      <c r="B9" s="96">
        <v>0.37225371342636915</v>
      </c>
      <c r="C9" s="97">
        <v>0.71141114817091977</v>
      </c>
      <c r="D9" s="96">
        <v>0.83395311623200619</v>
      </c>
      <c r="E9" s="96">
        <v>0.65500214656199562</v>
      </c>
      <c r="F9" s="96">
        <v>0.70522129322538907</v>
      </c>
      <c r="G9" s="96">
        <v>0.7919934619537341</v>
      </c>
      <c r="H9" s="96">
        <v>0.30223983232533697</v>
      </c>
      <c r="I9" s="96">
        <v>1.1804570419514775</v>
      </c>
      <c r="J9" s="96">
        <v>0.51101114494649835</v>
      </c>
    </row>
    <row r="10" spans="1:10" ht="21.6" customHeight="1" x14ac:dyDescent="0.25">
      <c r="A10" s="54" t="s">
        <v>39</v>
      </c>
      <c r="B10" s="100">
        <v>7.5600000000000001E-2</v>
      </c>
      <c r="C10" s="97">
        <v>4.009999999999999E-2</v>
      </c>
      <c r="D10" s="100">
        <v>3.6600000000000001E-2</v>
      </c>
      <c r="E10" s="100">
        <v>0.10780000000000001</v>
      </c>
      <c r="F10" s="100">
        <v>1.55E-2</v>
      </c>
      <c r="G10" s="100">
        <v>1.11E-2</v>
      </c>
      <c r="H10" s="100">
        <v>4.4999999999999998E-2</v>
      </c>
      <c r="I10" s="100">
        <v>3.32E-2</v>
      </c>
      <c r="J10" s="100">
        <v>3.15E-2</v>
      </c>
    </row>
    <row r="11" spans="1:10" x14ac:dyDescent="0.25">
      <c r="A11" s="54" t="s">
        <v>40</v>
      </c>
      <c r="B11" s="100">
        <v>12.173392038800001</v>
      </c>
      <c r="C11" s="97">
        <v>21.862503326899997</v>
      </c>
      <c r="D11" s="100">
        <v>26.494411077399999</v>
      </c>
      <c r="E11" s="100">
        <v>7.1358362148000003</v>
      </c>
      <c r="F11" s="100">
        <v>22.3439095373</v>
      </c>
      <c r="G11" s="100">
        <v>4.9806957407999999</v>
      </c>
      <c r="H11" s="100">
        <v>6.3530226104</v>
      </c>
      <c r="I11" s="100">
        <v>80.369074749700005</v>
      </c>
      <c r="J11" s="100">
        <v>5.3605733578999999</v>
      </c>
    </row>
    <row r="12" spans="1:10" s="7" customFormat="1" x14ac:dyDescent="0.25">
      <c r="A12" s="9" t="s">
        <v>41</v>
      </c>
      <c r="B12" s="45">
        <v>1.0662</v>
      </c>
      <c r="C12" s="97">
        <v>0.88521428571428573</v>
      </c>
      <c r="D12" s="45">
        <v>0.68400000000000005</v>
      </c>
      <c r="E12" s="45">
        <v>0.87849999999999995</v>
      </c>
      <c r="F12" s="45">
        <v>0.68629999999999991</v>
      </c>
      <c r="G12" s="45">
        <v>1.29</v>
      </c>
      <c r="H12" s="45">
        <v>1.3662000000000001</v>
      </c>
      <c r="I12" s="45">
        <v>0.75070000000000003</v>
      </c>
      <c r="J12" s="45">
        <v>0.54079999999999995</v>
      </c>
    </row>
    <row r="13" spans="1:10" s="7" customFormat="1" x14ac:dyDescent="0.25">
      <c r="A13" s="9" t="s">
        <v>42</v>
      </c>
      <c r="B13" s="45">
        <v>0.194109</v>
      </c>
      <c r="C13" s="97">
        <v>0.19114185714285714</v>
      </c>
      <c r="D13" s="45">
        <v>0.15387700000000001</v>
      </c>
      <c r="E13" s="45">
        <v>0.295738</v>
      </c>
      <c r="F13" s="45">
        <v>6.8945999999999993E-2</v>
      </c>
      <c r="G13" s="45">
        <v>0.20236499999999999</v>
      </c>
      <c r="H13" s="45">
        <v>0.16954799999999998</v>
      </c>
      <c r="I13" s="45">
        <v>0.27232600000000001</v>
      </c>
      <c r="J13" s="45">
        <v>0.17519300000000002</v>
      </c>
    </row>
    <row r="14" spans="1:10" s="7" customFormat="1" x14ac:dyDescent="0.25">
      <c r="A14" s="9" t="s">
        <v>43</v>
      </c>
      <c r="B14" s="101">
        <v>3.4868799031000002</v>
      </c>
      <c r="C14" s="97">
        <v>3.6818444483142856</v>
      </c>
      <c r="D14" s="101">
        <v>4.4131057475000004</v>
      </c>
      <c r="E14" s="101">
        <v>4.1255668070000002</v>
      </c>
      <c r="F14" s="101">
        <v>1.4810444319999998</v>
      </c>
      <c r="G14" s="101">
        <v>1.8004329631</v>
      </c>
      <c r="H14" s="101">
        <v>2.8670876275000001</v>
      </c>
      <c r="I14" s="101">
        <v>9.4321893708999998</v>
      </c>
      <c r="J14" s="101">
        <v>1.6534841902000001</v>
      </c>
    </row>
    <row r="15" spans="1:10" x14ac:dyDescent="0.25">
      <c r="A15" s="54" t="s">
        <v>45</v>
      </c>
      <c r="B15" s="44">
        <v>4.2521000000000003E-2</v>
      </c>
      <c r="C15" s="97">
        <v>2.9143000000000002E-2</v>
      </c>
      <c r="D15" s="44">
        <v>1.9833E-2</v>
      </c>
      <c r="E15" s="44">
        <v>5.3230000000000006E-2</v>
      </c>
      <c r="F15" s="44">
        <v>1.2516000000000001E-2</v>
      </c>
      <c r="G15" s="44">
        <v>1.2942E-2</v>
      </c>
      <c r="H15" s="44">
        <v>3.7471000000000004E-2</v>
      </c>
      <c r="I15" s="44">
        <v>3.3591999999999997E-2</v>
      </c>
      <c r="J15" s="44">
        <v>3.4417000000000003E-2</v>
      </c>
    </row>
    <row r="16" spans="1:10" s="7" customFormat="1" ht="25.8" customHeight="1" x14ac:dyDescent="0.25">
      <c r="A16" s="9" t="s">
        <v>46</v>
      </c>
      <c r="B16" s="101">
        <v>-22.077139110799997</v>
      </c>
      <c r="C16" s="97">
        <v>-17.278062708485713</v>
      </c>
      <c r="D16" s="101">
        <v>-31.023461654200002</v>
      </c>
      <c r="E16" s="101">
        <v>-2.3576413325000001</v>
      </c>
      <c r="F16" s="101">
        <v>1.7986979231</v>
      </c>
      <c r="G16" s="101">
        <v>6.3499999909000007</v>
      </c>
      <c r="H16" s="101">
        <v>-2.905755772</v>
      </c>
      <c r="I16" s="101">
        <v>-82.679671197700003</v>
      </c>
      <c r="J16" s="101">
        <v>-10.128606917000001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145</v>
      </c>
      <c r="B1" s="121"/>
      <c r="C1" s="121"/>
      <c r="D1" s="121"/>
      <c r="E1" s="121"/>
      <c r="F1" s="121"/>
    </row>
    <row r="2" spans="1:6" x14ac:dyDescent="0.25">
      <c r="A2" s="51" t="s">
        <v>146</v>
      </c>
      <c r="B2" s="50" t="s">
        <v>147</v>
      </c>
      <c r="C2" s="50" t="s">
        <v>148</v>
      </c>
      <c r="D2" s="50" t="s">
        <v>149</v>
      </c>
      <c r="E2" s="50" t="s">
        <v>133</v>
      </c>
      <c r="F2" s="50" t="s">
        <v>150</v>
      </c>
    </row>
    <row r="3" spans="1:6" ht="48" customHeight="1" x14ac:dyDescent="0.25">
      <c r="A3" s="103">
        <v>43301</v>
      </c>
      <c r="B3" s="52" t="s">
        <v>151</v>
      </c>
      <c r="C3" s="104" t="s">
        <v>152</v>
      </c>
      <c r="D3" s="104"/>
      <c r="E3" s="52" t="s">
        <v>153</v>
      </c>
      <c r="F3" s="104" t="s">
        <v>154</v>
      </c>
    </row>
    <row r="4" spans="1:6" ht="49.5" customHeight="1" x14ac:dyDescent="0.25">
      <c r="A4" s="103">
        <v>43278</v>
      </c>
      <c r="B4" s="52" t="s">
        <v>155</v>
      </c>
      <c r="C4" s="104" t="s">
        <v>156</v>
      </c>
      <c r="D4" s="104"/>
      <c r="E4" s="52" t="s">
        <v>153</v>
      </c>
      <c r="F4" s="104" t="s">
        <v>157</v>
      </c>
    </row>
    <row r="5" spans="1:6" ht="57" x14ac:dyDescent="0.25">
      <c r="A5" s="103">
        <v>43277</v>
      </c>
      <c r="B5" s="52" t="s">
        <v>158</v>
      </c>
      <c r="C5" s="104" t="s">
        <v>152</v>
      </c>
      <c r="D5" s="104"/>
      <c r="E5" s="52" t="s">
        <v>136</v>
      </c>
      <c r="F5" s="104" t="s">
        <v>159</v>
      </c>
    </row>
    <row r="6" spans="1:6" ht="45.6" x14ac:dyDescent="0.25">
      <c r="A6" s="103">
        <v>43271</v>
      </c>
      <c r="B6" s="52" t="s">
        <v>160</v>
      </c>
      <c r="C6" s="104" t="s">
        <v>152</v>
      </c>
      <c r="D6" s="104"/>
      <c r="E6" s="52" t="s">
        <v>161</v>
      </c>
      <c r="F6" s="104" t="s">
        <v>162</v>
      </c>
    </row>
    <row r="7" spans="1:6" ht="79.8" x14ac:dyDescent="0.25">
      <c r="A7" s="103">
        <v>43270</v>
      </c>
      <c r="B7" s="52" t="s">
        <v>163</v>
      </c>
      <c r="C7" s="104" t="s">
        <v>156</v>
      </c>
      <c r="D7" s="104"/>
      <c r="E7" s="52" t="s">
        <v>164</v>
      </c>
      <c r="F7" s="104" t="s">
        <v>165</v>
      </c>
    </row>
    <row r="8" spans="1:6" ht="57" x14ac:dyDescent="0.25">
      <c r="A8" s="103">
        <v>43243</v>
      </c>
      <c r="B8" s="52" t="s">
        <v>166</v>
      </c>
      <c r="C8" s="104" t="s">
        <v>152</v>
      </c>
      <c r="D8" s="104"/>
      <c r="E8" s="52" t="s">
        <v>136</v>
      </c>
      <c r="F8" s="104" t="s">
        <v>167</v>
      </c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4" spans="1:6" x14ac:dyDescent="0.25">
      <c r="A24" s="140" t="s">
        <v>168</v>
      </c>
      <c r="B24" s="140"/>
      <c r="C24" s="140"/>
      <c r="D24" s="140"/>
      <c r="E24" s="140"/>
      <c r="F24" s="140"/>
    </row>
    <row r="25" spans="1:6" x14ac:dyDescent="0.25">
      <c r="A25" s="83" t="s">
        <v>146</v>
      </c>
      <c r="B25" s="83" t="s">
        <v>147</v>
      </c>
      <c r="C25" s="83" t="s">
        <v>169</v>
      </c>
      <c r="D25" s="83" t="s">
        <v>170</v>
      </c>
      <c r="E25" s="83" t="s">
        <v>133</v>
      </c>
      <c r="F25" s="83" t="s">
        <v>150</v>
      </c>
    </row>
  </sheetData>
  <mergeCells count="2">
    <mergeCell ref="A1:F1"/>
    <mergeCell ref="A24:F24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171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172</v>
      </c>
      <c r="B2" s="55" t="s">
        <v>173</v>
      </c>
      <c r="C2" s="55" t="s">
        <v>174</v>
      </c>
      <c r="D2" s="55" t="s">
        <v>175</v>
      </c>
      <c r="E2" s="55" t="s">
        <v>176</v>
      </c>
      <c r="F2" s="55" t="s">
        <v>177</v>
      </c>
      <c r="G2" s="55" t="s">
        <v>178</v>
      </c>
      <c r="H2" s="55" t="s">
        <v>16</v>
      </c>
      <c r="I2" s="55" t="s">
        <v>179</v>
      </c>
      <c r="J2" s="55" t="s">
        <v>180</v>
      </c>
      <c r="K2" s="55" t="s">
        <v>181</v>
      </c>
      <c r="L2" s="55" t="s">
        <v>182</v>
      </c>
      <c r="M2" s="55" t="s">
        <v>19</v>
      </c>
      <c r="N2" s="55" t="s">
        <v>183</v>
      </c>
      <c r="O2" s="3"/>
      <c r="P2" s="107" t="str">
        <f ca="1">Q2</f>
        <v>2019-04-08</v>
      </c>
      <c r="Q2" s="1" t="str">
        <f ca="1">[1]!td(R2-1)</f>
        <v>2019-04-08</v>
      </c>
      <c r="R2" s="3">
        <f ca="1">TODAY()</f>
        <v>43564</v>
      </c>
    </row>
    <row r="3" spans="1:18" ht="15.75" customHeight="1" x14ac:dyDescent="0.25">
      <c r="A3" s="108" t="str">
        <f>[1]!b_info_name(L3)</f>
        <v>19肥西建投MTN001</v>
      </c>
      <c r="B3" s="2" t="str">
        <f>[1]!b_issue_firstissue(L3)</f>
        <v>2019-04-10</v>
      </c>
      <c r="C3" s="108">
        <f>[1]!b_info_term(L3)</f>
        <v>5</v>
      </c>
      <c r="D3" s="109" t="str">
        <f>[1]!issuerrating(L3)</f>
        <v>AA</v>
      </c>
      <c r="E3" s="109" t="str">
        <f>[1]!b_info_creditrating(L3)</f>
        <v>AA</v>
      </c>
      <c r="F3" s="108" t="str">
        <f>[1]!b_rate_creditratingagency(L3)</f>
        <v>东方金诚国际信用评估有限公司</v>
      </c>
      <c r="G3" s="110">
        <f>[1]!b_agency_guarantor(L3)</f>
        <v>0</v>
      </c>
      <c r="H3" s="111" t="s">
        <v>184</v>
      </c>
      <c r="I3" s="65"/>
      <c r="J3" s="112" t="s">
        <v>184</v>
      </c>
      <c r="K3" s="113"/>
      <c r="L3" s="41" t="str">
        <f>公式页!A2</f>
        <v>q19040813.IB</v>
      </c>
      <c r="M3" s="111" t="s">
        <v>184</v>
      </c>
      <c r="N3" s="108" t="str">
        <f>[1]!b_agency_leadunderwriter(L3)</f>
        <v>交通银行股份有限公司</v>
      </c>
      <c r="P3" s="106" t="str">
        <f t="shared" ref="P3:P29" ca="1" si="0">$P$2</f>
        <v>2019-04-08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3.6494</v>
      </c>
      <c r="K4" s="113">
        <f>K3</f>
        <v>0</v>
      </c>
      <c r="L4" s="4" t="s">
        <v>185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2019-04-08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2019-04-08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2019-04-08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2019-04-08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2019-04-08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2019-04-08</v>
      </c>
    </row>
    <row r="10" spans="1:18" x14ac:dyDescent="0.25">
      <c r="P10" s="106" t="str">
        <f t="shared" ca="1" si="0"/>
        <v>2019-04-08</v>
      </c>
    </row>
    <row r="11" spans="1:18" x14ac:dyDescent="0.25">
      <c r="P11" s="106" t="str">
        <f t="shared" ca="1" si="0"/>
        <v>2019-04-08</v>
      </c>
    </row>
    <row r="12" spans="1:18" x14ac:dyDescent="0.25">
      <c r="A12" s="147" t="s">
        <v>186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2019-04-08</v>
      </c>
    </row>
    <row r="13" spans="1:18" s="1" customFormat="1" ht="43.2" customHeight="1" x14ac:dyDescent="0.25">
      <c r="A13" s="55" t="s">
        <v>172</v>
      </c>
      <c r="B13" s="55" t="s">
        <v>173</v>
      </c>
      <c r="C13" s="55" t="s">
        <v>174</v>
      </c>
      <c r="D13" s="55" t="s">
        <v>175</v>
      </c>
      <c r="E13" s="55" t="s">
        <v>176</v>
      </c>
      <c r="F13" s="55" t="s">
        <v>177</v>
      </c>
      <c r="G13" s="55" t="s">
        <v>178</v>
      </c>
      <c r="H13" s="55" t="s">
        <v>16</v>
      </c>
      <c r="I13" s="55" t="s">
        <v>179</v>
      </c>
      <c r="J13" s="55" t="s">
        <v>180</v>
      </c>
      <c r="K13" s="55" t="s">
        <v>181</v>
      </c>
      <c r="L13" s="55" t="s">
        <v>182</v>
      </c>
      <c r="M13" s="55" t="s">
        <v>19</v>
      </c>
      <c r="N13" s="55" t="s">
        <v>183</v>
      </c>
      <c r="P13" s="106" t="str">
        <f t="shared" ca="1" si="0"/>
        <v>2019-04-08</v>
      </c>
    </row>
    <row r="14" spans="1:18" ht="15.75" customHeight="1" x14ac:dyDescent="0.25">
      <c r="A14" s="108" t="str">
        <f>[1]!b_info_name(L14)</f>
        <v>19肥西建投MTN001</v>
      </c>
      <c r="B14" s="2" t="str">
        <f>[1]!b_issue_firstissue(L14)</f>
        <v>2019-04-10</v>
      </c>
      <c r="C14" s="108">
        <f>[1]!b_info_term(L14)</f>
        <v>5</v>
      </c>
      <c r="D14" s="109" t="str">
        <f>[1]!issuerrating(L14)</f>
        <v>AA</v>
      </c>
      <c r="E14" s="109" t="str">
        <f>[1]!b_info_creditrating(L14)</f>
        <v>AA</v>
      </c>
      <c r="F14" s="108" t="str">
        <f>[1]!b_rate_creditratingagency(L14)</f>
        <v>东方金诚国际信用评估有限公司</v>
      </c>
      <c r="G14" s="110">
        <f>[1]!b_agency_guarantor(L14)</f>
        <v>0</v>
      </c>
      <c r="H14" s="111" t="s">
        <v>184</v>
      </c>
      <c r="I14" s="65"/>
      <c r="J14" s="112" t="s">
        <v>184</v>
      </c>
      <c r="K14" s="113">
        <f>K3</f>
        <v>0</v>
      </c>
      <c r="L14" s="42" t="str">
        <f>L3</f>
        <v>q19040813.IB</v>
      </c>
      <c r="M14" s="111" t="s">
        <v>184</v>
      </c>
      <c r="N14" s="108" t="str">
        <f>[1]!b_agency_leadunderwriter(L14)</f>
        <v>交通银行股份有限公司</v>
      </c>
      <c r="P14" s="106" t="str">
        <f t="shared" ca="1" si="0"/>
        <v>2019-04-08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187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2019-04-08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188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2019-04-08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189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2019-04-08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190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2019-04-08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191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2019-04-08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192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2019-04-08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193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2019-04-08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194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2019-04-08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195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2019-04-08</v>
      </c>
    </row>
    <row r="24" spans="1:16" x14ac:dyDescent="0.25">
      <c r="P24" s="106" t="str">
        <f t="shared" ca="1" si="0"/>
        <v>2019-04-08</v>
      </c>
    </row>
    <row r="25" spans="1:16" x14ac:dyDescent="0.25">
      <c r="P25" s="106" t="str">
        <f t="shared" ca="1" si="0"/>
        <v>2019-04-08</v>
      </c>
    </row>
    <row r="26" spans="1:16" x14ac:dyDescent="0.25">
      <c r="P26" s="106" t="str">
        <f t="shared" ca="1" si="0"/>
        <v>2019-04-08</v>
      </c>
    </row>
    <row r="27" spans="1:16" x14ac:dyDescent="0.25">
      <c r="P27" s="106" t="str">
        <f t="shared" ca="1" si="0"/>
        <v>2019-04-08</v>
      </c>
    </row>
    <row r="28" spans="1:16" x14ac:dyDescent="0.25">
      <c r="P28" s="106" t="str">
        <f t="shared" ca="1" si="0"/>
        <v>2019-04-08</v>
      </c>
    </row>
    <row r="29" spans="1:16" x14ac:dyDescent="0.25">
      <c r="P29" s="106" t="str">
        <f t="shared" ca="1" si="0"/>
        <v>2019-04-08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2019-04-09T09:00:56Z</dcterms:modified>
</cp:coreProperties>
</file>