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BDB89A81-A6D2-43B7-B787-FDAB328AC9C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H23" i="6"/>
  <c r="E22" i="6"/>
  <c r="M21" i="6"/>
  <c r="B21" i="6"/>
  <c r="G20" i="6"/>
  <c r="O19" i="6"/>
  <c r="D19" i="6"/>
  <c r="A18" i="6"/>
  <c r="F17" i="6"/>
  <c r="N16" i="6"/>
  <c r="C16" i="6"/>
  <c r="H15" i="6"/>
  <c r="C14" i="6"/>
  <c r="N9" i="6"/>
  <c r="E9" i="6"/>
  <c r="B8" i="6"/>
  <c r="G7" i="6"/>
  <c r="N6" i="6"/>
  <c r="G6" i="6"/>
  <c r="N5" i="6"/>
  <c r="E5" i="6"/>
  <c r="B4" i="6"/>
  <c r="D3" i="6"/>
  <c r="M141" i="1"/>
  <c r="M139" i="1"/>
  <c r="M137" i="1"/>
  <c r="M22" i="6"/>
  <c r="G21" i="6"/>
  <c r="D20" i="6"/>
  <c r="A19" i="6"/>
  <c r="N17" i="6"/>
  <c r="H16" i="6"/>
  <c r="E15" i="6"/>
  <c r="D9" i="6"/>
  <c r="F8" i="6"/>
  <c r="F7" i="6"/>
  <c r="D6" i="6"/>
  <c r="D5" i="6"/>
  <c r="F4" i="6"/>
  <c r="Q2" i="6"/>
  <c r="M140" i="1"/>
  <c r="M136" i="1"/>
  <c r="M134" i="1"/>
  <c r="O132" i="1"/>
  <c r="S112" i="1"/>
  <c r="S111" i="1"/>
  <c r="S110" i="1"/>
  <c r="D109" i="1"/>
  <c r="P103" i="1"/>
  <c r="J103" i="1"/>
  <c r="C102" i="1"/>
  <c r="N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23" i="6"/>
  <c r="F21" i="6"/>
  <c r="C20" i="6"/>
  <c r="M17" i="6"/>
  <c r="E23" i="6"/>
  <c r="O20" i="6"/>
  <c r="F18" i="6"/>
  <c r="G16" i="6"/>
  <c r="A8" i="6"/>
  <c r="M6" i="6"/>
  <c r="A4" i="6"/>
  <c r="S136" i="1"/>
  <c r="S133" i="1"/>
  <c r="O131" i="1"/>
  <c r="M130" i="1"/>
  <c r="S128" i="1"/>
  <c r="M127" i="1"/>
  <c r="D112" i="1"/>
  <c r="D111" i="1"/>
  <c r="S109" i="1"/>
  <c r="L103" i="1"/>
  <c r="R101" i="1"/>
  <c r="L101" i="1"/>
  <c r="C101" i="1"/>
  <c r="N100" i="1"/>
  <c r="F100" i="1"/>
  <c r="R99" i="1"/>
  <c r="L99" i="1"/>
  <c r="D99" i="1"/>
  <c r="P98" i="1"/>
  <c r="G98" i="1"/>
  <c r="B98" i="1"/>
  <c r="N97" i="1"/>
  <c r="E97" i="1"/>
  <c r="Q96" i="1"/>
  <c r="L96" i="1"/>
  <c r="C96" i="1"/>
  <c r="D95" i="1"/>
  <c r="E94" i="1"/>
  <c r="E93" i="1"/>
  <c r="F92" i="1"/>
  <c r="G91" i="1"/>
  <c r="G90" i="1"/>
  <c r="B90" i="1"/>
  <c r="C89" i="1"/>
  <c r="C88" i="1"/>
  <c r="D87" i="1"/>
  <c r="E86" i="1"/>
  <c r="E85" i="1"/>
  <c r="F84" i="1"/>
  <c r="G83" i="1"/>
  <c r="G82" i="1"/>
  <c r="B82" i="1"/>
  <c r="C81" i="1"/>
  <c r="C80" i="1"/>
  <c r="D79" i="1"/>
  <c r="E78" i="1"/>
  <c r="E77" i="1"/>
  <c r="F76" i="1"/>
  <c r="G75" i="1"/>
  <c r="G74" i="1"/>
  <c r="B74" i="1"/>
  <c r="C73" i="1"/>
  <c r="C72" i="1"/>
  <c r="D71" i="1"/>
  <c r="E70" i="1"/>
  <c r="E69" i="1"/>
  <c r="F68" i="1"/>
  <c r="G67" i="1"/>
  <c r="G66" i="1"/>
  <c r="B66" i="1"/>
  <c r="C65" i="1"/>
  <c r="C64" i="1"/>
  <c r="D63" i="1"/>
  <c r="E62" i="1"/>
  <c r="E61" i="1"/>
  <c r="F60" i="1"/>
  <c r="G59" i="1"/>
  <c r="G58" i="1"/>
  <c r="B58" i="1"/>
  <c r="C57" i="1"/>
  <c r="C56" i="1"/>
  <c r="D55" i="1"/>
  <c r="E54" i="1"/>
  <c r="E53" i="1"/>
  <c r="F52" i="1"/>
  <c r="G51" i="1"/>
  <c r="G50" i="1"/>
  <c r="B50" i="1"/>
  <c r="C49" i="1"/>
  <c r="C48" i="1"/>
  <c r="D47" i="1"/>
  <c r="E46" i="1"/>
  <c r="E45" i="1"/>
  <c r="F44" i="1"/>
  <c r="G43" i="1"/>
  <c r="G42" i="1"/>
  <c r="B42" i="1"/>
  <c r="C41" i="1"/>
  <c r="C40" i="1"/>
  <c r="D39" i="1"/>
  <c r="E38" i="1"/>
  <c r="E37" i="1"/>
  <c r="F36" i="1"/>
  <c r="G35" i="1"/>
  <c r="G34" i="1"/>
  <c r="B34" i="1"/>
  <c r="C33" i="1"/>
  <c r="C32" i="1"/>
  <c r="D31" i="1"/>
  <c r="E30" i="1"/>
  <c r="P29" i="1"/>
  <c r="J29" i="1"/>
  <c r="C29" i="1"/>
  <c r="N28" i="1"/>
  <c r="F28" i="1"/>
  <c r="R27" i="1"/>
  <c r="L27" i="1"/>
  <c r="D27" i="1"/>
  <c r="P26" i="1"/>
  <c r="G26" i="1"/>
  <c r="B26" i="1"/>
  <c r="N25" i="1"/>
  <c r="E25" i="1"/>
  <c r="Q24" i="1"/>
  <c r="L24" i="1"/>
  <c r="C24" i="1"/>
  <c r="O23" i="1"/>
  <c r="G23" i="1"/>
  <c r="E22" i="1"/>
  <c r="P21" i="1"/>
  <c r="J21" i="1"/>
  <c r="C21" i="1"/>
  <c r="N20" i="1"/>
  <c r="F20" i="1"/>
  <c r="R19" i="1"/>
  <c r="L19" i="1"/>
  <c r="D19" i="1"/>
  <c r="E18" i="1"/>
  <c r="P17" i="1"/>
  <c r="J17" i="1"/>
  <c r="C17" i="1"/>
  <c r="D16" i="1"/>
  <c r="P15" i="1"/>
  <c r="J15" i="1"/>
  <c r="B15" i="1"/>
  <c r="C14" i="1"/>
  <c r="B10" i="1"/>
  <c r="B7" i="1"/>
  <c r="B4" i="1"/>
  <c r="D23" i="6"/>
  <c r="N20" i="6"/>
  <c r="E18" i="6"/>
  <c r="G14" i="6"/>
  <c r="A9" i="6"/>
  <c r="M7" i="6"/>
  <c r="A5" i="6"/>
  <c r="S140" i="1"/>
  <c r="O135" i="1"/>
  <c r="O133" i="1"/>
  <c r="M131" i="1"/>
  <c r="S129" i="1"/>
  <c r="M128" i="1"/>
  <c r="M110" i="1"/>
  <c r="R103" i="1"/>
  <c r="G102" i="1"/>
  <c r="Q101" i="1"/>
  <c r="G101" i="1"/>
  <c r="R100" i="1"/>
  <c r="M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F50" i="1"/>
  <c r="G49" i="1"/>
  <c r="G48" i="1"/>
  <c r="B48" i="1"/>
  <c r="C47" i="1"/>
  <c r="C46" i="1"/>
  <c r="D45" i="1"/>
  <c r="E44" i="1"/>
  <c r="E43" i="1"/>
  <c r="F42" i="1"/>
  <c r="G41" i="1"/>
  <c r="G40" i="1"/>
  <c r="B40" i="1"/>
  <c r="C39" i="1"/>
  <c r="C38" i="1"/>
  <c r="D37" i="1"/>
  <c r="E36" i="1"/>
  <c r="E35" i="1"/>
  <c r="F34" i="1"/>
  <c r="G33" i="1"/>
  <c r="G32" i="1"/>
  <c r="B32" i="1"/>
  <c r="C31" i="1"/>
  <c r="C30" i="1"/>
  <c r="O29" i="1"/>
  <c r="G29" i="1"/>
  <c r="R28" i="1"/>
  <c r="M28" i="1"/>
  <c r="E28" i="1"/>
  <c r="P27" i="1"/>
  <c r="J27" i="1"/>
  <c r="C27" i="1"/>
  <c r="N26" i="1"/>
  <c r="F26" i="1"/>
  <c r="R25" i="1"/>
  <c r="L25" i="1"/>
  <c r="D25" i="1"/>
  <c r="P24" i="1"/>
  <c r="G24" i="1"/>
  <c r="B24" i="1"/>
  <c r="N23" i="1"/>
  <c r="E23" i="1"/>
  <c r="C22" i="1"/>
  <c r="O21" i="1"/>
  <c r="G21" i="1"/>
  <c r="R20" i="1"/>
  <c r="M20" i="1"/>
  <c r="E20" i="1"/>
  <c r="P19" i="1"/>
  <c r="J19" i="1"/>
  <c r="C19" i="1"/>
  <c r="C18" i="1"/>
  <c r="O17" i="1"/>
  <c r="G17" i="1"/>
  <c r="J16" i="1"/>
  <c r="C16" i="1"/>
  <c r="O15" i="1"/>
  <c r="F15" i="1"/>
  <c r="G14" i="1"/>
  <c r="B14" i="1"/>
  <c r="B9" i="1"/>
  <c r="B6" i="1"/>
  <c r="B22" i="6"/>
  <c r="C17" i="6"/>
  <c r="O15" i="6"/>
  <c r="C6" i="6"/>
  <c r="C3" i="6"/>
  <c r="S138" i="1"/>
  <c r="M135" i="1"/>
  <c r="S132" i="1"/>
  <c r="S130" i="1"/>
  <c r="O129" i="1"/>
  <c r="M123" i="1"/>
  <c r="F113" i="1"/>
  <c r="F109" i="1"/>
  <c r="O103" i="1"/>
  <c r="E102" i="1"/>
  <c r="P101" i="1"/>
  <c r="E101" i="1"/>
  <c r="Q100" i="1"/>
  <c r="L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G30" i="1"/>
  <c r="B30" i="1"/>
  <c r="N29" i="1"/>
  <c r="E29" i="1"/>
  <c r="Q28" i="1"/>
  <c r="L28" i="1"/>
  <c r="C28" i="1"/>
  <c r="O27" i="1"/>
  <c r="G27" i="1"/>
  <c r="R26" i="1"/>
  <c r="M26" i="1"/>
  <c r="A22" i="6"/>
  <c r="O130" i="1"/>
  <c r="D101" i="1"/>
  <c r="N99" i="1"/>
  <c r="C98" i="1"/>
  <c r="M96" i="1"/>
  <c r="G93" i="1"/>
  <c r="C90" i="1"/>
  <c r="F86" i="1"/>
  <c r="C83" i="1"/>
  <c r="E79" i="1"/>
  <c r="B76" i="1"/>
  <c r="E72" i="1"/>
  <c r="G68" i="1"/>
  <c r="D65" i="1"/>
  <c r="G61" i="1"/>
  <c r="C58" i="1"/>
  <c r="F54" i="1"/>
  <c r="C51" i="1"/>
  <c r="E47" i="1"/>
  <c r="B44" i="1"/>
  <c r="E40" i="1"/>
  <c r="G36" i="1"/>
  <c r="D33" i="1"/>
  <c r="R29" i="1"/>
  <c r="G28" i="1"/>
  <c r="Q26" i="1"/>
  <c r="P25" i="1"/>
  <c r="C25" i="1"/>
  <c r="F24" i="1"/>
  <c r="L23" i="1"/>
  <c r="B22" i="1"/>
  <c r="E21" i="1"/>
  <c r="L20" i="1"/>
  <c r="O19" i="1"/>
  <c r="G18" i="1"/>
  <c r="N17" i="1"/>
  <c r="G16" i="1"/>
  <c r="M15" i="1"/>
  <c r="F14" i="1"/>
  <c r="F8" i="1"/>
  <c r="H19" i="6"/>
  <c r="C7" i="6"/>
  <c r="M138" i="1"/>
  <c r="F111" i="1"/>
  <c r="N103" i="1"/>
  <c r="P100" i="1"/>
  <c r="E99" i="1"/>
  <c r="O97" i="1"/>
  <c r="E96" i="1"/>
  <c r="G92" i="1"/>
  <c r="D89" i="1"/>
  <c r="G85" i="1"/>
  <c r="C82" i="1"/>
  <c r="F78" i="1"/>
  <c r="C75" i="1"/>
  <c r="E71" i="1"/>
  <c r="B68" i="1"/>
  <c r="E64" i="1"/>
  <c r="G60" i="1"/>
  <c r="D57" i="1"/>
  <c r="G53" i="1"/>
  <c r="C50" i="1"/>
  <c r="F46" i="1"/>
  <c r="C43" i="1"/>
  <c r="E39" i="1"/>
  <c r="B36" i="1"/>
  <c r="E32" i="1"/>
  <c r="L29" i="1"/>
  <c r="B28" i="1"/>
  <c r="L26" i="1"/>
  <c r="O25" i="1"/>
  <c r="R24" i="1"/>
  <c r="E24" i="1"/>
  <c r="J23" i="1"/>
  <c r="R21" i="1"/>
  <c r="D21" i="1"/>
  <c r="G20" i="1"/>
  <c r="N19" i="1"/>
  <c r="F18" i="1"/>
  <c r="L17" i="1"/>
  <c r="F16" i="1"/>
  <c r="L15" i="1"/>
  <c r="D14" i="1"/>
  <c r="B8" i="1"/>
  <c r="B17" i="6"/>
  <c r="S134" i="1"/>
  <c r="O127" i="1"/>
  <c r="D110" i="1"/>
  <c r="G100" i="1"/>
  <c r="G97" i="1"/>
  <c r="E95" i="1"/>
  <c r="E88" i="1"/>
  <c r="D81" i="1"/>
  <c r="C74" i="1"/>
  <c r="E63" i="1"/>
  <c r="E56" i="1"/>
  <c r="D49" i="1"/>
  <c r="C42" i="1"/>
  <c r="C35" i="1"/>
  <c r="E31" i="1"/>
  <c r="N27" i="1"/>
  <c r="N24" i="1"/>
  <c r="D23" i="1"/>
  <c r="G22" i="1"/>
  <c r="Q20" i="1"/>
  <c r="G19" i="1"/>
  <c r="E17" i="1"/>
  <c r="E15" i="1"/>
  <c r="E5" i="1"/>
  <c r="D15" i="6"/>
  <c r="M132" i="1"/>
  <c r="E87" i="1"/>
  <c r="E80" i="1"/>
  <c r="D73" i="1"/>
  <c r="C66" i="1"/>
  <c r="C59" i="1"/>
  <c r="E55" i="1"/>
  <c r="E48" i="1"/>
  <c r="D41" i="1"/>
  <c r="C34" i="1"/>
  <c r="P28" i="1"/>
  <c r="G25" i="1"/>
  <c r="P23" i="1"/>
  <c r="C23" i="1"/>
  <c r="P20" i="1"/>
  <c r="E19" i="1"/>
  <c r="D17" i="1"/>
  <c r="D15" i="1"/>
  <c r="E4" i="1"/>
  <c r="D102" i="1"/>
  <c r="Q98" i="1"/>
  <c r="B92" i="1"/>
  <c r="G84" i="1"/>
  <c r="G77" i="1"/>
  <c r="F70" i="1"/>
  <c r="C67" i="1"/>
  <c r="B60" i="1"/>
  <c r="G52" i="1"/>
  <c r="G45" i="1"/>
  <c r="F38" i="1"/>
  <c r="D29" i="1"/>
  <c r="E26" i="1"/>
  <c r="J25" i="1"/>
  <c r="R23" i="1"/>
  <c r="N21" i="1"/>
  <c r="C20" i="1"/>
  <c r="B18" i="1"/>
  <c r="B16" i="1"/>
  <c r="B11" i="1"/>
  <c r="M101" i="1"/>
  <c r="B100" i="1"/>
  <c r="L98" i="1"/>
  <c r="R96" i="1"/>
  <c r="F94" i="1"/>
  <c r="C91" i="1"/>
  <c r="B84" i="1"/>
  <c r="G76" i="1"/>
  <c r="G69" i="1"/>
  <c r="F62" i="1"/>
  <c r="B52" i="1"/>
  <c r="G44" i="1"/>
  <c r="G37" i="1"/>
  <c r="F30" i="1"/>
  <c r="E27" i="1"/>
  <c r="C26" i="1"/>
  <c r="M24" i="1"/>
  <c r="F22" i="1"/>
  <c r="L21" i="1"/>
  <c r="B20" i="1"/>
  <c r="R17" i="1"/>
  <c r="Q15" i="1"/>
  <c r="F10" i="1"/>
  <c r="R22" i="1" l="1"/>
  <c r="B122" i="1"/>
  <c r="D117" i="1"/>
  <c r="H124" i="1"/>
  <c r="B128" i="1"/>
  <c r="M22" i="1"/>
  <c r="D120" i="1"/>
  <c r="N22" i="1"/>
  <c r="D119" i="1"/>
  <c r="H120" i="1"/>
  <c r="H122" i="1"/>
  <c r="B125" i="1"/>
  <c r="H128" i="1"/>
  <c r="P22" i="1"/>
  <c r="B110" i="1"/>
  <c r="B118" i="1"/>
  <c r="H119" i="1"/>
  <c r="B121" i="1"/>
  <c r="D123" i="1"/>
  <c r="D125" i="1"/>
  <c r="H130" i="1"/>
  <c r="L22" i="1"/>
  <c r="Q22" i="1"/>
  <c r="H109" i="1"/>
  <c r="B117" i="1"/>
  <c r="H118" i="1"/>
  <c r="B120" i="1"/>
  <c r="D121" i="1"/>
  <c r="H123" i="1"/>
  <c r="H126" i="1"/>
  <c r="J22" i="1"/>
  <c r="O22" i="1"/>
  <c r="H110" i="1"/>
  <c r="H111" i="1"/>
  <c r="H112" i="1"/>
  <c r="D122" i="1"/>
  <c r="B124" i="1"/>
  <c r="B126" i="1"/>
  <c r="B130" i="1"/>
  <c r="P2" i="6"/>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22" i="6"/>
  <c r="P14" i="6"/>
  <c r="P23" i="6"/>
  <c r="P13" i="6"/>
  <c r="P18" i="6"/>
  <c r="P15" i="6"/>
  <c r="P12" i="6"/>
  <c r="J23" i="6"/>
  <c r="J5" i="6"/>
  <c r="J18" i="6"/>
  <c r="J21" i="6"/>
  <c r="J6" i="6"/>
  <c r="J19" i="6"/>
  <c r="J15" i="6"/>
  <c r="J9" i="6"/>
  <c r="J22" i="6"/>
  <c r="J16" i="6"/>
  <c r="J8" i="6"/>
  <c r="J20" i="6"/>
  <c r="J7" i="6"/>
  <c r="J17" i="6"/>
</calcChain>
</file>

<file path=xl/sharedStrings.xml><?xml version="1.0" encoding="utf-8"?>
<sst xmlns="http://schemas.openxmlformats.org/spreadsheetml/2006/main" count="562" uniqueCount="255">
  <si>
    <t>q19040806.IB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</si>
  <si>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</si>
  <si>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</si>
  <si>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</si>
  <si>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</si>
  <si>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</si>
  <si>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</si>
  <si>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</si>
  <si>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</si>
  <si>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</si>
  <si>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</si>
  <si>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</si>
  <si>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</si>
  <si>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</si>
  <si>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</si>
  <si>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</si>
  <si>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</si>
  <si>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</si>
  <si>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</si>
  <si>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</si>
  <si>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</si>
  <si>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</si>
  <si>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</si>
  <si>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101454035.IB</t>
  </si>
  <si>
    <t>主体级别</t>
  </si>
  <si>
    <t>AAA</t>
  </si>
  <si>
    <t>101366003.IB</t>
  </si>
  <si>
    <t>*选择性黏贴</t>
  </si>
  <si>
    <t>1182393.IB</t>
  </si>
  <si>
    <t>数据年度</t>
  </si>
  <si>
    <t>2017年</t>
  </si>
  <si>
    <t>011479001.IB</t>
  </si>
  <si>
    <t>总资产</t>
  </si>
  <si>
    <t>0982137.IB</t>
  </si>
  <si>
    <t>负债率</t>
  </si>
  <si>
    <t>1282239.IB</t>
  </si>
  <si>
    <t>流动比率</t>
  </si>
  <si>
    <t>1080073.IB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</si>
  <si>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</si>
  <si>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</si>
  <si>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</si>
  <si>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</si>
  <si>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</si>
  <si>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</si>
  <si>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</si>
  <si>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</si>
  <si>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</si>
  <si>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</si>
  <si>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</si>
  <si>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</si>
  <si>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</si>
  <si>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</si>
  <si>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</si>
  <si>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</si>
  <si>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</si>
  <si>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</si>
  <si>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</si>
  <si>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</si>
  <si>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</si>
  <si>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</si>
  <si>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</si>
  <si>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</si>
  <si>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</si>
  <si>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</si>
  <si>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</si>
  <si>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</si>
  <si>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</si>
  <si>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</si>
  <si>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</si>
  <si>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</si>
  <si>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</si>
  <si>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</si>
  <si>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</si>
  <si>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</si>
  <si>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</si>
  <si>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</si>
  <si>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</si>
  <si>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</si>
  <si>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</si>
  <si>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</si>
  <si>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</si>
  <si>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</si>
  <si>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</si>
  <si>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</si>
  <si>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</si>
  <si>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</si>
  <si>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</si>
  <si>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</si>
  <si>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</si>
  <si>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</si>
  <si>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</si>
  <si>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</si>
  <si>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</si>
  <si>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</si>
  <si>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</si>
  <si>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</si>
  <si>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</si>
  <si>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</si>
  <si>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</si>
  <si>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</si>
  <si>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</si>
  <si>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</si>
  <si>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</si>
  <si>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</si>
  <si>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</si>
  <si>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</si>
  <si>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</si>
  <si>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</si>
  <si>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</si>
  <si>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</si>
  <si>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</si>
  <si>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</si>
  <si>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</si>
  <si>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</si>
  <si>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</si>
  <si>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</si>
  <si>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</si>
  <si>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</si>
  <si>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</si>
  <si>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</si>
  <si>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</si>
  <si>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101900219.IB</t>
  </si>
  <si>
    <t>20190221</t>
  </si>
  <si>
    <t>19贵州高速MTN001</t>
  </si>
  <si>
    <t>101801488.IB</t>
  </si>
  <si>
    <t>20181212</t>
  </si>
  <si>
    <t>18贵州高速MTN002</t>
  </si>
  <si>
    <t>101800960.IB</t>
  </si>
  <si>
    <t>20180827</t>
  </si>
  <si>
    <t>18贵州高速MTN001</t>
  </si>
  <si>
    <t>101756045.IB</t>
  </si>
  <si>
    <t>20171121</t>
  </si>
  <si>
    <t>17贵州高速MTN002</t>
  </si>
  <si>
    <t>101756035.IB</t>
  </si>
  <si>
    <t>20170925</t>
  </si>
  <si>
    <t>17贵州高速MTN001</t>
  </si>
  <si>
    <t>101760013.IB</t>
  </si>
  <si>
    <t>20170314</t>
  </si>
  <si>
    <t>17贵州高投MTN001</t>
  </si>
  <si>
    <t>136634.SH</t>
  </si>
  <si>
    <t>20160812</t>
  </si>
  <si>
    <t>16黔高速</t>
  </si>
  <si>
    <t>101651031.IB</t>
  </si>
  <si>
    <t>20160606</t>
  </si>
  <si>
    <t>16贵州高速MTN001</t>
  </si>
  <si>
    <t>031661010.IB</t>
  </si>
  <si>
    <t>20160317</t>
  </si>
  <si>
    <t>16贵州高速PPN001</t>
  </si>
  <si>
    <t>135270.SH</t>
  </si>
  <si>
    <t>20160309</t>
  </si>
  <si>
    <t>16黔高01</t>
  </si>
  <si>
    <t>041660011.IB</t>
  </si>
  <si>
    <t>20160223</t>
  </si>
  <si>
    <t>16贵州高速CP001</t>
  </si>
  <si>
    <t>041560053.IB</t>
  </si>
  <si>
    <t>20150619</t>
  </si>
  <si>
    <t>15贵州高速CP001</t>
  </si>
  <si>
    <t>101456082.IB</t>
  </si>
  <si>
    <t>20141201</t>
  </si>
  <si>
    <t>14贵州高速MTN001(5+2年期)</t>
  </si>
  <si>
    <t>031390424.IB</t>
  </si>
  <si>
    <t>20131211</t>
  </si>
  <si>
    <t>13贵州高速PPN002</t>
  </si>
  <si>
    <t>031390209.IB</t>
  </si>
  <si>
    <t>20130618</t>
  </si>
  <si>
    <t>13贵州高速PPN001</t>
  </si>
  <si>
    <t>1380036.IB</t>
  </si>
  <si>
    <t>20130125</t>
  </si>
  <si>
    <t>13贵州高速债</t>
  </si>
  <si>
    <t>历史主体评级</t>
  </si>
  <si>
    <t>发布日期</t>
  </si>
  <si>
    <t>主体资信级别</t>
  </si>
  <si>
    <t>评级展望</t>
  </si>
  <si>
    <t>评级机构</t>
  </si>
  <si>
    <t>20190326</t>
  </si>
  <si>
    <t>稳定</t>
  </si>
  <si>
    <t>上海新世纪资信评估投资服务有限公司</t>
  </si>
  <si>
    <t>20181228</t>
  </si>
  <si>
    <t>20181012</t>
  </si>
  <si>
    <t>20180813</t>
  </si>
  <si>
    <t>20180622</t>
  </si>
  <si>
    <t>20171115</t>
  </si>
  <si>
    <t>20170623</t>
  </si>
  <si>
    <t>20170523</t>
  </si>
  <si>
    <t>20160712</t>
  </si>
  <si>
    <t>AA+</t>
  </si>
  <si>
    <t>20160628</t>
  </si>
  <si>
    <t>20151216</t>
  </si>
  <si>
    <t>20151015</t>
  </si>
  <si>
    <t>20150617</t>
  </si>
  <si>
    <t>20141023</t>
  </si>
  <si>
    <t>20140822</t>
  </si>
  <si>
    <t>20140627</t>
  </si>
  <si>
    <t>20130628</t>
  </si>
  <si>
    <t>AA</t>
  </si>
  <si>
    <t>20120628</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</si>
  <si>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</si>
  <si>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</si>
  <si>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</si>
  <si>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</si>
  <si>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</si>
  <si>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</si>
  <si>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</si>
  <si>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</si>
  <si>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</si>
  <si>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</si>
  <si>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吉林省高速公路集团有限公司</t>
  </si>
  <si>
    <t>AA+稳定上调至AAA稳定</t>
  </si>
  <si>
    <t>联合资信评估有限公司</t>
  </si>
  <si>
    <t>公司是吉林省最主要的高速公路投资运营企业，持续获得政府的大力支持。目前公司拥有的高速公路里程已占吉林省高速高路总通车里程的90%以上，区域垄断优势明显。吉林省已建成的一级公路，在陆续竣工验收之后，将陆续注入吉高集团。此外，公司融资渠道畅通。</t>
  </si>
  <si>
    <t>山西省交通开发投资集团有限公司</t>
  </si>
  <si>
    <t>AA稳定上调至AA+稳定</t>
  </si>
  <si>
    <t>山西省经济回暖，全省私家车保有量保持持续较快增长，公路客、货周转量提升，公司外部经营环境得到改善；公司收购忻阜、忻环高速，使得公司收费路产规模提升，控、参股路段车流量增长，公司收入和盈利能力大幅提升</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</si>
  <si>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</si>
  <si>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</si>
  <si>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</si>
  <si>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</si>
  <si>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</si>
  <si>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</si>
  <si>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</si>
  <si>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</si>
  <si>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</si>
  <si>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</si>
  <si>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</si>
  <si>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</si>
  <si>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</si>
  <si>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</si>
  <si>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</si>
  <si>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</si>
  <si>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</si>
  <si>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</si>
  <si>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</si>
  <si>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</si>
  <si>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</si>
  <si>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</si>
  <si>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</si>
  <si>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</si>
  <si>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</si>
  <si>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</si>
  <si>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</si>
  <si>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</si>
  <si>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贵州高速公路集团有限公司</t>
  </si>
  <si>
    <t>地方国有企业</t>
  </si>
  <si>
    <t>工业--运输--交通基础设施--公路与铁路</t>
  </si>
  <si>
    <t>贵州省贵阳市云岩区北京路310号</t>
  </si>
  <si>
    <t>公司隶属于贵州省交通厅直接管理。作为在贵州省内专门从事高速公路规划、建设、经营和管理的国有特大型企业，随着投融资体制改革的全面深化，公司为完善贵州省交通基础设施的配置状况以及经济社会的持续、快速发展做出了突出贡献。目前公司承担着贵州省内所有国家级高速公路的建设任务以及大部分省级高速公路的建设任务。在贵州省已通车高速公路中，公司拥有绝大部分路段经营权，在全省高速公路行业中始终处于绝对领先地位。截至2011年末，公司建成高速公路通车里程达1,726公里，占全省高速公路通车里程的92.5%。</t>
  </si>
  <si>
    <t>贵州省交通运输厅</t>
  </si>
  <si>
    <t/>
  </si>
  <si>
    <t>A-1</t>
  </si>
  <si>
    <t>陕西省交通建设集团公司</t>
  </si>
  <si>
    <t>湖北省联合发展投资集团有限公司</t>
  </si>
  <si>
    <t>浙江省交通投资集团有限公司</t>
  </si>
  <si>
    <t>陕西省高速公路建设集团公司</t>
  </si>
  <si>
    <t>山东高速股份有限公司</t>
  </si>
  <si>
    <t>广东省高速公路有限公司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</si>
</sst>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贵州高速公路集团有限公司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工业--运输--交通基础设施--公路与铁路</v>
      </c>
      <c r="C5" s="117"/>
      <c r="D5" s="57" t="s">
        <v>5</v>
      </c>
      <c r="E5" s="116" t="str">
        <f>[1]!b_issuer_regaddress(A2)</f>
        <v>贵州省贵阳市云岩区北京路310号</v>
      </c>
      <c r="F5" s="117"/>
      <c r="G5" s="117"/>
    </row>
    <row r="6" spans="1:20" s="17" customFormat="1" ht="81" customHeight="1" x14ac:dyDescent="0.25">
      <c r="A6" s="57" t="s">
        <v>6</v>
      </c>
      <c r="B6" s="118" t="str">
        <f>[1]!s_info_briefing(A2)</f>
        <v>公司隶属于贵州省交通厅直接管理。作为在贵州省内专门从事高速公路规划、建设、经营和管理的国有特大型企业，随着投融资体制改革的全面深化，公司为完善贵州省交通基础设施的配置状况以及经济社会的持续、快速发展做出了突出贡献。目前公司承担着贵州省内所有国家级高速公路的建设任务以及大部分省级高速公路的建设任务。在贵州省已通车高速公路中，公司拥有绝大部分路段经营权，在全省高速公路行业中始终处于绝对领先地位。截至2011年末，公司建成高速公路通车里程达1,726公里，占全省高速公路通车里程的92.5%。</v>
      </c>
      <c r="C6" s="117"/>
      <c r="D6" s="117"/>
      <c r="E6" s="117"/>
      <c r="F6" s="117"/>
      <c r="G6" s="117"/>
    </row>
    <row r="7" spans="1:20" s="17" customFormat="1" x14ac:dyDescent="0.25">
      <c r="A7" s="58" t="s">
        <v>7</v>
      </c>
      <c r="B7" s="119" t="str">
        <f>[1]!b_issuer_shareholder(A2,"",1)</f>
        <v>贵州省交通运输厅</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q19040806.IB</v>
      </c>
      <c r="K14" s="26"/>
      <c r="L14" s="27" t="str">
        <f>T15</f>
        <v>101454035.IB</v>
      </c>
      <c r="M14" s="27" t="str">
        <f>T16</f>
        <v>101366003.IB</v>
      </c>
      <c r="N14" s="27" t="str">
        <f>T17</f>
        <v>1182393.IB</v>
      </c>
      <c r="O14" s="27" t="str">
        <f>T18</f>
        <v>011479001.IB</v>
      </c>
      <c r="P14" s="27" t="str">
        <f>T19</f>
        <v>0982137.IB</v>
      </c>
      <c r="Q14" s="27" t="str">
        <f>T20</f>
        <v>1282239.IB</v>
      </c>
      <c r="R14" s="5" t="str">
        <f>T21</f>
        <v>1080073.IB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贵州高速公路集团有限公司</v>
      </c>
      <c r="K15" s="135"/>
      <c r="L15" s="8" t="str">
        <f>[1]!b_info_issuer(L14)</f>
        <v>陕西省交通建设集团公司</v>
      </c>
      <c r="M15" s="8" t="str">
        <f>[1]!b_info_issuer(M14)</f>
        <v>湖北省联合发展投资集团有限公司</v>
      </c>
      <c r="N15" s="8" t="str">
        <f>[1]!b_info_issuer(N14)</f>
        <v>吉林省高速公路集团有限公司</v>
      </c>
      <c r="O15" s="8" t="str">
        <f>[1]!b_info_issuer(O14)</f>
        <v>浙江省交通投资集团有限公司</v>
      </c>
      <c r="P15" s="8" t="str">
        <f>[1]!b_info_issuer(P14)</f>
        <v>陕西省高速公路建设集团公司</v>
      </c>
      <c r="Q15" s="8" t="str">
        <f>[1]!b_info_issuer(Q14)</f>
        <v>山东高速股份有限公司</v>
      </c>
      <c r="R15" s="8" t="str">
        <f>[1]!b_info_issuer(R14)</f>
        <v>广东省高速公路有限公司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3431.1216295882</v>
      </c>
      <c r="K19" s="121"/>
      <c r="L19" s="67">
        <f>[1]!b_stm07_bs(L14,74,L13,1)/100000000</f>
        <v>2669.9402399471001</v>
      </c>
      <c r="M19" s="67">
        <f>[1]!b_stm07_bs(M14,74,M13,1)/100000000</f>
        <v>1808.5911681942002</v>
      </c>
      <c r="N19" s="67">
        <f>[1]!b_stm07_bs(N14,74,N13,1)/100000000</f>
        <v>1484.2766824392002</v>
      </c>
      <c r="O19" s="67">
        <f>[1]!b_stm07_bs(O14,74,O13,1)/100000000</f>
        <v>3272.6002539569999</v>
      </c>
      <c r="P19" s="67">
        <f>[1]!b_stm07_bs(P14,74,P13,1)/100000000</f>
        <v>2003.1884358423999</v>
      </c>
      <c r="Q19" s="67">
        <f>[1]!b_stm07_bs(Q14,74,Q13,1)/100000000</f>
        <v>508.3921654989</v>
      </c>
      <c r="R19" s="67">
        <f>[1]!b_stm07_bs(R14,74,R13,1)/100000000</f>
        <v>1288.5851383183001</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0.71843299999999999</v>
      </c>
      <c r="K20" s="121"/>
      <c r="L20" s="10">
        <f>[1]!s_fa_debttoassets(L14,L13)/100</f>
        <v>0.7068859999999999</v>
      </c>
      <c r="M20" s="10">
        <f>[1]!s_fa_debttoassets(M14,M13)/100</f>
        <v>0.69077500000000003</v>
      </c>
      <c r="N20" s="10">
        <f>[1]!s_fa_debttoassets(N14,N13)/100</f>
        <v>0.34442700000000004</v>
      </c>
      <c r="O20" s="10">
        <f>[1]!s_fa_debttoassets(O14,O13)/100</f>
        <v>0.658308</v>
      </c>
      <c r="P20" s="10">
        <f>[1]!s_fa_debttoassets(P14,P13)/100</f>
        <v>0.74518399999999996</v>
      </c>
      <c r="Q20" s="10">
        <f>[1]!s_fa_debttoassets(Q14,Q13)/100</f>
        <v>0.46754499999999999</v>
      </c>
      <c r="R20" s="10">
        <f>[1]!s_fa_debttoassets(R14,R13)/100</f>
        <v>0.75356800000000002</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1.2527999999999999</v>
      </c>
      <c r="K21" s="121"/>
      <c r="L21" s="67">
        <f>[1]!s_fa_current(L14,L13)</f>
        <v>0.46550000000000002</v>
      </c>
      <c r="M21" s="67">
        <f>[1]!s_fa_current(M14,M13)</f>
        <v>2.2774000000000001</v>
      </c>
      <c r="N21" s="67">
        <f>[1]!s_fa_current(N14,N13)</f>
        <v>4.0532000000000004</v>
      </c>
      <c r="O21" s="67">
        <f>[1]!s_fa_current(O14,O13)</f>
        <v>1.3048</v>
      </c>
      <c r="P21" s="67">
        <f>[1]!s_fa_current(P14,P13)</f>
        <v>0.4229</v>
      </c>
      <c r="Q21" s="67">
        <f>[1]!s_fa_current(Q14,Q13)</f>
        <v>1.7305999999999999</v>
      </c>
      <c r="R21" s="67">
        <f>[1]!s_fa_current(R14,R13)</f>
        <v>0.41749999999999998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2.2485809261935734</v>
      </c>
      <c r="K22" s="121"/>
      <c r="L22" s="65">
        <f>(公式页!L96+公式页!L97+公式页!L98+公式页!L99+公式页!L100+公式页!L101)/公式页!L103</f>
        <v>2.2058532848723154</v>
      </c>
      <c r="M22" s="65">
        <f t="shared" ref="M22:R22" si="0">(M96+M97+M98+M99+M100+M101)/M103</f>
        <v>1.6148359363253348</v>
      </c>
      <c r="N22" s="65">
        <f t="shared" si="0"/>
        <v>0.36091122480117876</v>
      </c>
      <c r="O22" s="65">
        <f t="shared" si="0"/>
        <v>0.98420966880059968</v>
      </c>
      <c r="P22" s="65">
        <f t="shared" si="0"/>
        <v>2.7019139594419048</v>
      </c>
      <c r="Q22" s="65">
        <f t="shared" si="0"/>
        <v>0.74827629326159106</v>
      </c>
      <c r="R22" s="65">
        <f t="shared" si="0"/>
        <v>2.6693685456441179</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3.0700000000000002E-2</v>
      </c>
      <c r="K23" s="121"/>
      <c r="L23" s="67">
        <f>[1]!s_fa_ebitdatodebt(L14,L13)</f>
        <v>3.3599999999999998E-2</v>
      </c>
      <c r="M23" s="67">
        <f>[1]!s_fa_ebitdatodebt(M14,M13)</f>
        <v>3.9300000000000002E-2</v>
      </c>
      <c r="N23" s="67">
        <f>[1]!s_fa_ebitdatodebt(N14,N13)</f>
        <v>0.128</v>
      </c>
      <c r="O23" s="67">
        <f>[1]!s_fa_ebitdatodebt(O14,O13)</f>
        <v>9.3899999999999997E-2</v>
      </c>
      <c r="P23" s="67">
        <f>[1]!s_fa_ebitdatodebt(P14,P13)</f>
        <v>4.4400000000000002E-2</v>
      </c>
      <c r="Q23" s="67">
        <f>[1]!s_fa_ebitdatodebt(Q14,Q13)</f>
        <v>0.24399999999999999</v>
      </c>
      <c r="R23" s="67">
        <f>[1]!s_fa_ebitdatodebt(R14,R13)</f>
        <v>8.3599999999999994E-2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145.9052064146</v>
      </c>
      <c r="K24" s="121"/>
      <c r="L24" s="67">
        <f>[1]!b_stm07_is(L14,9,L13,1)/100000000</f>
        <v>101.7057244631</v>
      </c>
      <c r="M24" s="67">
        <f>[1]!b_stm07_is(M14,9,M13,1)/100000000</f>
        <v>139.39241630480001</v>
      </c>
      <c r="N24" s="67">
        <f>[1]!b_stm07_is(N14,9,N13,1)/100000000</f>
        <v>14.161337555399999</v>
      </c>
      <c r="O24" s="67">
        <f>[1]!b_stm07_is(O14,9,O13,1)/100000000</f>
        <v>1068.4841406221001</v>
      </c>
      <c r="P24" s="67">
        <f>[1]!b_stm07_is(P14,9,P13,1)/100000000</f>
        <v>126.7515883391</v>
      </c>
      <c r="Q24" s="67">
        <f>[1]!b_stm07_is(Q14,9,Q13,1)/100000000</f>
        <v>73.7953137919</v>
      </c>
      <c r="R24" s="67">
        <f>[1]!b_stm07_is(R14,9,R13,1)/100000000</f>
        <v>96.073667365000006</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1.2036</v>
      </c>
      <c r="K25" s="121"/>
      <c r="L25" s="11">
        <f>[1]!s_fa_salescashintoor(L14,L13)%</f>
        <v>1.0642</v>
      </c>
      <c r="M25" s="11">
        <f>[1]!s_fa_salescashintoor(M14,M13)%</f>
        <v>1.4423999999999999</v>
      </c>
      <c r="N25" s="11">
        <f>[1]!s_fa_salescashintoor(N14,N13)%</f>
        <v>1.0169999999999999</v>
      </c>
      <c r="O25" s="11">
        <f>[1]!s_fa_salescashintoor(O14,O13)%</f>
        <v>1.0507</v>
      </c>
      <c r="P25" s="11">
        <f>[1]!s_fa_salescashintoor(P14,P13)%</f>
        <v>0.88180000000000003</v>
      </c>
      <c r="Q25" s="11">
        <f>[1]!s_fa_salescashintoor(Q14,Q13)%</f>
        <v>1.0341</v>
      </c>
      <c r="R25" s="11">
        <f>[1]!s_fa_salescashintoor(R14,R13)%</f>
        <v>1.0147999999999999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0.51454999999999995</v>
      </c>
      <c r="K26" s="121"/>
      <c r="L26" s="11">
        <f>[1]!s_fa_grossprofitmargin(L14,L13)%</f>
        <v>0.64467799999999997</v>
      </c>
      <c r="M26" s="11">
        <f>[1]!s_fa_grossprofitmargin(M14,M13)%</f>
        <v>0.25825399999999998</v>
      </c>
      <c r="N26" s="11">
        <f>[1]!s_fa_grossprofitmargin(N14,N13)%</f>
        <v>-0.54925600000000008</v>
      </c>
      <c r="O26" s="11">
        <f>[1]!s_fa_grossprofitmargin(O14,O13)%</f>
        <v>0.13802500000000001</v>
      </c>
      <c r="P26" s="11">
        <f>[1]!s_fa_grossprofitmargin(P14,P13)%</f>
        <v>0.57781199999999999</v>
      </c>
      <c r="Q26" s="11">
        <f>[1]!s_fa_grossprofitmargin(Q14,Q13)%</f>
        <v>0.56755299999999997</v>
      </c>
      <c r="R26" s="11">
        <f>[1]!s_fa_grossprofitmargin(R14,R13)%</f>
        <v>0.346972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4.2321067417</v>
      </c>
      <c r="K27" s="121"/>
      <c r="L27" s="68">
        <f>[1]!b_stm07_is(L14,60,L13,1)/100000000</f>
        <v>2.5351370013999999</v>
      </c>
      <c r="M27" s="68">
        <f>[1]!b_stm07_is(M14,60,M13,1)/100000000</f>
        <v>8.9836128812999991</v>
      </c>
      <c r="N27" s="68">
        <f>[1]!b_stm07_is(N14,60,N13,1)/100000000</f>
        <v>33.454782049999999</v>
      </c>
      <c r="O27" s="68">
        <f>[1]!b_stm07_is(O14,60,O13,1)/100000000</f>
        <v>71.5308289309</v>
      </c>
      <c r="P27" s="68">
        <f>[1]!b_stm07_is(P14,60,P13,1)/100000000</f>
        <v>1.3759172698</v>
      </c>
      <c r="Q27" s="68">
        <f>[1]!b_stm07_is(Q14,60,Q13,1)/100000000</f>
        <v>28.768481784599999</v>
      </c>
      <c r="R27" s="68">
        <f>[1]!b_stm07_is(R14,60,R13,1)/100000000</f>
        <v>3.5020375989999999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3.8679999999999999E-3</v>
      </c>
      <c r="K28" s="121"/>
      <c r="L28" s="10">
        <f>[1]!s_fa_roe(L14,L13)%</f>
        <v>2.9210000000000004E-3</v>
      </c>
      <c r="M28" s="10">
        <f>[1]!s_fa_roe(M14,M13)%</f>
        <v>9.9400000000000009E-4</v>
      </c>
      <c r="N28" s="10">
        <f>[1]!s_fa_roe(N14,N13)%</f>
        <v>3.8610000000000005E-2</v>
      </c>
      <c r="O28" s="10">
        <f>[1]!s_fa_roe(O14,O13)%</f>
        <v>5.8415000000000002E-2</v>
      </c>
      <c r="P28" s="10">
        <f>[1]!s_fa_roe(P14,P13)%</f>
        <v>2.2070000000000002E-3</v>
      </c>
      <c r="Q28" s="10">
        <f>[1]!s_fa_roe(Q14,Q13)%</f>
        <v>0.10263299999999999</v>
      </c>
      <c r="R28" s="10">
        <f>[1]!s_fa_roe(R14,R13)%</f>
        <v>7.254E-3</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100.4215641329</v>
      </c>
      <c r="K29" s="121"/>
      <c r="L29" s="68">
        <f>[1]!b_stm07_cs(L14,39,L13,1)/100000000</f>
        <v>77.613972108699997</v>
      </c>
      <c r="M29" s="68">
        <f>[1]!b_stm07_cs(M14,39,M13,1)/100000000</f>
        <v>-63.020127415600001</v>
      </c>
      <c r="N29" s="68">
        <f>[1]!b_stm07_cs(N14,39,N13,1)/100000000</f>
        <v>18.079373460399999</v>
      </c>
      <c r="O29" s="68">
        <f>[1]!b_stm07_cs(O14,39,O13,1)/100000000</f>
        <v>-55.875874513500001</v>
      </c>
      <c r="P29" s="68">
        <f>[1]!b_stm07_cs(P14,39,P13,1)/100000000</f>
        <v>79.279864450900007</v>
      </c>
      <c r="Q29" s="68">
        <f>[1]!b_stm07_cs(Q14,39,Q13,1)/100000000</f>
        <v>34.7377594011</v>
      </c>
      <c r="R29" s="68">
        <f>[1]!b_stm07_cs(R14,39,R13,1)/100000000</f>
        <v>72.117625042299991</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18488582680</v>
      </c>
      <c r="K96" s="70"/>
      <c r="L96" s="70">
        <f>[1]!b_stm07_bs(L14,75,L13,1)</f>
        <v>2500000000</v>
      </c>
      <c r="M96" s="70">
        <f>[1]!b_stm07_bs(M14,75,M13,1)</f>
        <v>9409326000</v>
      </c>
      <c r="N96" s="70">
        <f>[1]!b_stm07_bs(N14,75,N13,1)</f>
        <v>1694600359.28</v>
      </c>
      <c r="O96" s="70">
        <f>[1]!b_stm07_bs(O14,75,O13,1)</f>
        <v>7586710834.1199999</v>
      </c>
      <c r="P96" s="70">
        <f>[1]!b_stm07_bs(P14,75,P13,1)</f>
        <v>2400000000</v>
      </c>
      <c r="Q96" s="70">
        <f>[1]!b_stm07_bs(Q14,75,Q13,1)</f>
        <v>2400000000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691388301.05999994</v>
      </c>
      <c r="K97" s="70"/>
      <c r="L97" s="70">
        <f>[1]!b_stm07_bs(L14,82,L13,1)</f>
        <v>590685428.33000004</v>
      </c>
      <c r="M97" s="70">
        <f>[1]!b_stm07_bs(M14,82,M13,1)</f>
        <v>75068902.540000007</v>
      </c>
      <c r="N97" s="70">
        <f>[1]!b_stm07_bs(N14,82,N13,1)</f>
        <v>226180500.25</v>
      </c>
      <c r="O97" s="70">
        <f>[1]!b_stm07_bs(O14,82,O13,1)</f>
        <v>870724774.20000005</v>
      </c>
      <c r="P97" s="70">
        <f>[1]!b_stm07_bs(P14,82,P13,1)</f>
        <v>0</v>
      </c>
      <c r="Q97" s="70">
        <f>[1]!b_stm07_bs(Q14,82,Q13,1)</f>
        <v>80006601.769999996</v>
      </c>
      <c r="R97" s="70">
        <f>[1]!b_stm07_bs(R14,82,R13,1)</f>
        <v>587627960.78999996</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3268199983.8200002</v>
      </c>
      <c r="K98" s="70"/>
      <c r="L98" s="70">
        <f>[1]!b_stm07_bs(L14,88,L13,1)</f>
        <v>16650615073</v>
      </c>
      <c r="M98" s="70">
        <f>[1]!b_stm07_bs(M14,88,M13,1)</f>
        <v>17280837607.060001</v>
      </c>
      <c r="N98" s="70">
        <f>[1]!b_stm07_bs(N14,88,N13,1)</f>
        <v>3830000000</v>
      </c>
      <c r="O98" s="70">
        <f>[1]!b_stm07_bs(O14,88,O13,1)</f>
        <v>5852406446.8000002</v>
      </c>
      <c r="P98" s="70">
        <f>[1]!b_stm07_bs(P14,88,P13,1)</f>
        <v>15919970665.030001</v>
      </c>
      <c r="Q98" s="70">
        <f>[1]!b_stm07_bs(Q14,88,Q13,1)</f>
        <v>701814852.79999995</v>
      </c>
      <c r="R98" s="70">
        <f>[1]!b_stm07_bs(R14,88,R13,1)</f>
        <v>2243655140.1799998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173689668969.48001</v>
      </c>
      <c r="K100" s="70"/>
      <c r="L100" s="70">
        <f>[1]!b_stm07_bs(L14,94,L13,1)</f>
        <v>138107400784.73999</v>
      </c>
      <c r="M100" s="70">
        <f>[1]!b_stm07_bs(M14,94,M13,1)</f>
        <v>52628481484.349998</v>
      </c>
      <c r="N100" s="70">
        <f>[1]!b_stm07_bs(N14,94,N13,1)</f>
        <v>16367732544.73</v>
      </c>
      <c r="O100" s="70">
        <f>[1]!b_stm07_bs(O14,94,O13,1)</f>
        <v>78980798319.25</v>
      </c>
      <c r="P100" s="70">
        <f>[1]!b_stm07_bs(P14,94,P13,1)</f>
        <v>106597846348.53999</v>
      </c>
      <c r="Q100" s="70">
        <f>[1]!b_stm07_bs(Q14,94,Q13,1)</f>
        <v>15074614247.780001</v>
      </c>
      <c r="R100" s="70">
        <f>[1]!b_stm07_bs(R14,94,R13,1)</f>
        <v>73434211355.910004</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21095328323.869999</v>
      </c>
      <c r="K101" s="70"/>
      <c r="L101" s="70">
        <f>[1]!b_stm07_bs(L14,95,L13,1)</f>
        <v>14780633600</v>
      </c>
      <c r="M101" s="70">
        <f>[1]!b_stm07_bs(M14,95,M13,1)</f>
        <v>10917918880.629999</v>
      </c>
      <c r="N101" s="70">
        <f>[1]!b_stm07_bs(N14,95,N13,1)</f>
        <v>13000000000</v>
      </c>
      <c r="O101" s="70">
        <f>[1]!b_stm07_bs(O14,95,O13,1)</f>
        <v>16765830661.629999</v>
      </c>
      <c r="P101" s="70">
        <f>[1]!b_stm07_bs(P14,95,P13,1)</f>
        <v>13000000000</v>
      </c>
      <c r="Q101" s="70">
        <f>[1]!b_stm07_bs(Q14,95,Q13,1)</f>
        <v>1999087671</v>
      </c>
      <c r="R101" s="70">
        <f>[1]!b_stm07_bs(R14,95,R13,1)</f>
        <v>8500000000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96609006030.289993</v>
      </c>
      <c r="K103" s="70"/>
      <c r="L103" s="70">
        <f>[1]!b_stm07_bs(L14,141,L13,1)</f>
        <v>78259663083.649994</v>
      </c>
      <c r="M103" s="70">
        <f>[1]!b_stm07_bs(M14,141,M13,1)</f>
        <v>55926197109.589996</v>
      </c>
      <c r="N103" s="70">
        <f>[1]!b_stm07_bs(N14,141,N13,1)</f>
        <v>97305129325.380005</v>
      </c>
      <c r="O103" s="70">
        <f>[1]!b_stm07_bs(O14,141,O13,1)</f>
        <v>111822180298.35001</v>
      </c>
      <c r="P103" s="70">
        <f>[1]!b_stm07_bs(P14,141,P13,1)</f>
        <v>51044488863.760002</v>
      </c>
      <c r="Q103" s="70">
        <f>[1]!b_stm07_bs(Q14,141,Q13,1)</f>
        <v>27069577849.459999</v>
      </c>
      <c r="R103" s="70">
        <f>[1]!b_stm07_bs(R14,141,R13,1)</f>
        <v>31754886224.009998</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q19040806.IB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0.71843299999999999</v>
      </c>
      <c r="C109" s="54" t="s">
        <v>36</v>
      </c>
      <c r="D109" s="71">
        <f>[1]!s_fa_current(A2,B2)</f>
        <v>1.2527999999999999</v>
      </c>
      <c r="E109" s="54" t="s">
        <v>41</v>
      </c>
      <c r="F109" s="72">
        <f>[1]!s_fa_salescashintoor(A2,B2)/100</f>
        <v>1.2036</v>
      </c>
      <c r="G109" s="54" t="s">
        <v>42</v>
      </c>
      <c r="H109" s="12">
        <f>S109/100</f>
        <v>0.51454999999999995</v>
      </c>
      <c r="I109" s="54"/>
      <c r="J109" s="16"/>
      <c r="K109" s="25"/>
      <c r="L109" s="34" t="s">
        <v>61</v>
      </c>
      <c r="M109" s="73">
        <f>[1]!s_fa_debttoassets(A2,B2)</f>
        <v>71.843299999999999</v>
      </c>
      <c r="N109" s="54" t="s">
        <v>36</v>
      </c>
      <c r="O109" s="35"/>
      <c r="P109" s="54" t="s">
        <v>41</v>
      </c>
      <c r="Q109" s="35"/>
      <c r="R109" s="54" t="s">
        <v>42</v>
      </c>
      <c r="S109" s="74">
        <f>[1]!s_fa_grossprofitmargin(A2,B2)</f>
        <v>51.454999999999998</v>
      </c>
    </row>
    <row r="110" spans="1:19" ht="15.75" customHeight="1" x14ac:dyDescent="0.25">
      <c r="A110" s="54" t="s">
        <v>62</v>
      </c>
      <c r="B110" s="12">
        <f>M110/100</f>
        <v>0.151672</v>
      </c>
      <c r="C110" s="54" t="s">
        <v>63</v>
      </c>
      <c r="D110" s="72">
        <f>[1]!s_fa_quick(A2,B2)</f>
        <v>1.0847</v>
      </c>
      <c r="E110" s="54" t="s">
        <v>64</v>
      </c>
      <c r="F110" s="71">
        <f>[1]!s_fa_arturn(A2,B2)</f>
        <v>6.3745000000000003</v>
      </c>
      <c r="G110" s="54" t="s">
        <v>65</v>
      </c>
      <c r="H110" s="12">
        <f>S110/100</f>
        <v>3.3923000000000002E-2</v>
      </c>
      <c r="I110" s="54"/>
      <c r="J110" s="16"/>
      <c r="L110" s="54" t="s">
        <v>62</v>
      </c>
      <c r="M110" s="73">
        <f>[1]!s_fa_catoassets(A2,B2)</f>
        <v>15.167199999999999</v>
      </c>
      <c r="N110" s="54" t="s">
        <v>63</v>
      </c>
      <c r="O110" s="35"/>
      <c r="P110" s="54" t="s">
        <v>64</v>
      </c>
      <c r="Q110" s="72"/>
      <c r="R110" s="54" t="s">
        <v>65</v>
      </c>
      <c r="S110" s="74">
        <f>[1]!s_fa_optogr(A2,B2)</f>
        <v>3.3923000000000001</v>
      </c>
    </row>
    <row r="111" spans="1:19" ht="15" customHeight="1" x14ac:dyDescent="0.25">
      <c r="A111" s="54" t="s">
        <v>66</v>
      </c>
      <c r="B111" s="12">
        <f>M111/100</f>
        <v>0.16852</v>
      </c>
      <c r="C111" s="54" t="s">
        <v>39</v>
      </c>
      <c r="D111" s="72">
        <f>[1]!s_fa_ebitdatodebt(A2,B2)</f>
        <v>3.0700000000000002E-2</v>
      </c>
      <c r="E111" s="54" t="s">
        <v>67</v>
      </c>
      <c r="F111" s="71">
        <f>[1]!s_fa_invturn(A2,B2)</f>
        <v>1.0963000000000001</v>
      </c>
      <c r="G111" s="54" t="s">
        <v>45</v>
      </c>
      <c r="H111" s="12">
        <f>S111/100</f>
        <v>3.8679999999999999E-3</v>
      </c>
      <c r="I111" s="54"/>
      <c r="J111" s="16"/>
      <c r="L111" s="54" t="s">
        <v>66</v>
      </c>
      <c r="M111" s="73">
        <f>[1]!s_fa_currentdebttodebt(A2,B2)</f>
        <v>16.852</v>
      </c>
      <c r="N111" s="54" t="s">
        <v>39</v>
      </c>
      <c r="O111" s="35"/>
      <c r="P111" s="54" t="s">
        <v>67</v>
      </c>
      <c r="Q111" s="35"/>
      <c r="R111" s="54" t="s">
        <v>45</v>
      </c>
      <c r="S111" s="74">
        <f>[1]!s_fa_roe(A2,B2)</f>
        <v>0.38679999999999998</v>
      </c>
    </row>
    <row r="112" spans="1:19" ht="14.25" customHeight="1" x14ac:dyDescent="0.25">
      <c r="A112" s="54" t="s">
        <v>38</v>
      </c>
      <c r="B112" s="75">
        <f>(M116+M117+M118+M119+M120+M121)/M123</f>
        <v>2.2485809261935734</v>
      </c>
      <c r="C112" s="54" t="s">
        <v>68</v>
      </c>
      <c r="D112" s="72">
        <f>[1]!s_fa_ebittointerest(A2,B2)</f>
        <v>1.0766</v>
      </c>
      <c r="E112" s="54" t="s">
        <v>69</v>
      </c>
      <c r="F112" s="71">
        <f>[1]!s_fa_caturn(A2,B2)</f>
        <v>0.29110000000000003</v>
      </c>
      <c r="G112" s="54" t="s">
        <v>70</v>
      </c>
      <c r="H112" s="12">
        <f>S112/100</f>
        <v>2.1573000000000002E-2</v>
      </c>
      <c r="I112" s="54"/>
      <c r="J112" s="16"/>
      <c r="L112" s="54" t="s">
        <v>38</v>
      </c>
      <c r="M112" s="76"/>
      <c r="N112" s="54" t="s">
        <v>68</v>
      </c>
      <c r="O112" s="35"/>
      <c r="P112" s="54" t="s">
        <v>69</v>
      </c>
      <c r="Q112" s="35"/>
      <c r="R112" s="54" t="s">
        <v>70</v>
      </c>
      <c r="S112" s="74">
        <f>[1]!s_fa_roa2(A2,B2)</f>
        <v>2.1573000000000002</v>
      </c>
    </row>
    <row r="113" spans="1:21" x14ac:dyDescent="0.25">
      <c r="A113" s="30"/>
      <c r="B113" s="31"/>
      <c r="C113" s="30"/>
      <c r="D113" s="32"/>
      <c r="E113" s="30" t="s">
        <v>71</v>
      </c>
      <c r="F113" s="77">
        <f>[1]!s_fa_dupont_faturnover(A2,B2)</f>
        <v>4.36E-2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18488582680</v>
      </c>
    </row>
    <row r="117" spans="1:21" ht="14.25" customHeight="1" x14ac:dyDescent="0.25">
      <c r="A117" s="54" t="s">
        <v>77</v>
      </c>
      <c r="B117" s="72">
        <f t="shared" ref="B117:B131" si="1">M127/100000000</f>
        <v>282.28148589759996</v>
      </c>
      <c r="C117" s="54" t="s">
        <v>78</v>
      </c>
      <c r="D117" s="75">
        <f t="shared" ref="D117:D125" si="2">O127/100000000</f>
        <v>145.9052064146</v>
      </c>
      <c r="E117" s="128" t="s">
        <v>79</v>
      </c>
      <c r="F117" s="121"/>
      <c r="G117" s="121"/>
      <c r="H117" s="129">
        <f t="shared" ref="H117:H131" si="3">S127/100000000</f>
        <v>175.61603976700002</v>
      </c>
      <c r="I117" s="121"/>
      <c r="J117" s="121"/>
      <c r="L117" s="17" t="s">
        <v>48</v>
      </c>
      <c r="M117" s="70">
        <f>[1]!b_stm07_bs(K107,82,L107,1)</f>
        <v>691388301.05999994</v>
      </c>
    </row>
    <row r="118" spans="1:21" ht="14.25" customHeight="1" x14ac:dyDescent="0.25">
      <c r="A118" s="54" t="s">
        <v>80</v>
      </c>
      <c r="B118" s="72">
        <f t="shared" si="1"/>
        <v>18.674352271700002</v>
      </c>
      <c r="C118" s="54" t="s">
        <v>81</v>
      </c>
      <c r="D118" s="75">
        <f t="shared" si="2"/>
        <v>146.3839266727</v>
      </c>
      <c r="E118" s="128" t="s">
        <v>82</v>
      </c>
      <c r="F118" s="121"/>
      <c r="G118" s="121"/>
      <c r="H118" s="129">
        <f t="shared" si="3"/>
        <v>191.48622817900002</v>
      </c>
      <c r="I118" s="121"/>
      <c r="J118" s="121"/>
      <c r="L118" s="17" t="s">
        <v>49</v>
      </c>
      <c r="M118" s="70">
        <f>[1]!b_stm07_bs(K107,88,L107,1)</f>
        <v>3268199983.8200002</v>
      </c>
    </row>
    <row r="119" spans="1:21" ht="14.25" customHeight="1" x14ac:dyDescent="0.25">
      <c r="A119" s="54" t="s">
        <v>83</v>
      </c>
      <c r="B119" s="72">
        <f t="shared" si="1"/>
        <v>55.316751589399999</v>
      </c>
      <c r="C119" s="54" t="s">
        <v>84</v>
      </c>
      <c r="D119" s="75">
        <f t="shared" si="2"/>
        <v>70.829733903999994</v>
      </c>
      <c r="E119" s="128" t="s">
        <v>85</v>
      </c>
      <c r="F119" s="121"/>
      <c r="G119" s="121"/>
      <c r="H119" s="130">
        <f t="shared" si="3"/>
        <v>367.10237704239995</v>
      </c>
      <c r="I119" s="121"/>
      <c r="J119" s="121"/>
      <c r="L119" s="17" t="s">
        <v>50</v>
      </c>
      <c r="M119" s="70">
        <f>[1]!b_stm07_bs(K107,147,L107,1)</f>
        <v>0</v>
      </c>
    </row>
    <row r="120" spans="1:21" ht="14.25" customHeight="1" x14ac:dyDescent="0.25">
      <c r="A120" s="54" t="s">
        <v>86</v>
      </c>
      <c r="B120" s="72">
        <f t="shared" si="1"/>
        <v>1541.4682841885999</v>
      </c>
      <c r="C120" s="54" t="s">
        <v>87</v>
      </c>
      <c r="D120" s="75">
        <f t="shared" si="2"/>
        <v>0.99337269159999997</v>
      </c>
      <c r="E120" s="128" t="s">
        <v>88</v>
      </c>
      <c r="F120" s="121"/>
      <c r="G120" s="121"/>
      <c r="H120" s="129">
        <f t="shared" si="3"/>
        <v>82.111089578199994</v>
      </c>
      <c r="I120" s="121"/>
      <c r="J120" s="121"/>
      <c r="L120" s="17" t="s">
        <v>51</v>
      </c>
      <c r="M120" s="70">
        <f>[1]!b_stm07_bs(K107,94,L107,1)</f>
        <v>173689668969.48001</v>
      </c>
    </row>
    <row r="121" spans="1:21" ht="14.25" customHeight="1" x14ac:dyDescent="0.25">
      <c r="A121" s="54" t="s">
        <v>89</v>
      </c>
      <c r="B121" s="72">
        <f t="shared" si="1"/>
        <v>1103.7172179858999</v>
      </c>
      <c r="C121" s="54" t="s">
        <v>90</v>
      </c>
      <c r="D121" s="75">
        <f t="shared" si="2"/>
        <v>4.5144234077999998</v>
      </c>
      <c r="E121" s="128" t="s">
        <v>91</v>
      </c>
      <c r="F121" s="121"/>
      <c r="G121" s="121"/>
      <c r="H121" s="129">
        <f t="shared" si="3"/>
        <v>166.9443997324</v>
      </c>
      <c r="I121" s="121"/>
      <c r="J121" s="121"/>
      <c r="L121" s="17" t="s">
        <v>52</v>
      </c>
      <c r="M121" s="70">
        <f>[1]!b_stm07_bs(K107,95,L107,1)</f>
        <v>21095328323.869999</v>
      </c>
    </row>
    <row r="122" spans="1:21" ht="14.25" customHeight="1" x14ac:dyDescent="0.25">
      <c r="A122" s="54" t="s">
        <v>92</v>
      </c>
      <c r="B122" s="72">
        <f t="shared" si="1"/>
        <v>0.87885296189999995</v>
      </c>
      <c r="C122" s="54" t="s">
        <v>93</v>
      </c>
      <c r="D122" s="75">
        <f t="shared" si="2"/>
        <v>68.780185940199999</v>
      </c>
      <c r="E122" s="128" t="s">
        <v>94</v>
      </c>
      <c r="F122" s="121"/>
      <c r="G122" s="121"/>
      <c r="H122" s="130">
        <f t="shared" si="3"/>
        <v>266.68081290949999</v>
      </c>
      <c r="I122" s="121"/>
      <c r="J122" s="121"/>
      <c r="L122" s="17"/>
      <c r="M122" s="17"/>
    </row>
    <row r="123" spans="1:21" ht="14.25" customHeight="1" x14ac:dyDescent="0.25">
      <c r="A123" s="54" t="s">
        <v>95</v>
      </c>
      <c r="B123" s="78">
        <f t="shared" si="1"/>
        <v>3431.1216295882</v>
      </c>
      <c r="C123" s="54" t="s">
        <v>96</v>
      </c>
      <c r="D123" s="75">
        <f t="shared" si="2"/>
        <v>4.9495770358</v>
      </c>
      <c r="E123" s="128" t="s">
        <v>97</v>
      </c>
      <c r="F123" s="121"/>
      <c r="G123" s="121"/>
      <c r="H123" s="130">
        <f t="shared" si="3"/>
        <v>100.4215641329</v>
      </c>
      <c r="I123" s="121"/>
      <c r="J123" s="121"/>
      <c r="L123" s="17" t="s">
        <v>53</v>
      </c>
      <c r="M123" s="70">
        <f>[1]!b_stm07_bs(K107,141,L107,1)</f>
        <v>96609006030.289993</v>
      </c>
    </row>
    <row r="124" spans="1:21" ht="14.25" customHeight="1" x14ac:dyDescent="0.25">
      <c r="A124" s="54" t="s">
        <v>98</v>
      </c>
      <c r="B124" s="72">
        <f t="shared" si="1"/>
        <v>184.88582679999999</v>
      </c>
      <c r="C124" s="54" t="s">
        <v>99</v>
      </c>
      <c r="D124" s="75">
        <f t="shared" si="2"/>
        <v>5.1367311027999998</v>
      </c>
      <c r="E124" s="128" t="s">
        <v>100</v>
      </c>
      <c r="F124" s="121"/>
      <c r="G124" s="121"/>
      <c r="H124" s="130">
        <f t="shared" si="3"/>
        <v>-206.34101413240001</v>
      </c>
      <c r="I124" s="121"/>
      <c r="J124" s="121"/>
      <c r="L124" s="17"/>
      <c r="M124" s="17"/>
    </row>
    <row r="125" spans="1:21" ht="27" customHeight="1" x14ac:dyDescent="0.25">
      <c r="A125" s="54" t="s">
        <v>101</v>
      </c>
      <c r="B125" s="72">
        <f t="shared" si="1"/>
        <v>32.681999838199999</v>
      </c>
      <c r="C125" s="54" t="s">
        <v>43</v>
      </c>
      <c r="D125" s="75">
        <f t="shared" si="2"/>
        <v>4.2321067417</v>
      </c>
      <c r="E125" s="128" t="s">
        <v>102</v>
      </c>
      <c r="F125" s="121"/>
      <c r="G125" s="121"/>
      <c r="H125" s="129">
        <f t="shared" si="3"/>
        <v>85.268291050900004</v>
      </c>
      <c r="I125" s="121"/>
      <c r="J125" s="121"/>
      <c r="L125" s="17"/>
      <c r="M125" s="17"/>
    </row>
    <row r="126" spans="1:21" ht="16.5" customHeight="1" x14ac:dyDescent="0.25">
      <c r="A126" s="54" t="s">
        <v>103</v>
      </c>
      <c r="B126" s="72">
        <f t="shared" si="1"/>
        <v>0</v>
      </c>
      <c r="C126" s="54"/>
      <c r="D126" s="79"/>
      <c r="E126" s="128" t="s">
        <v>104</v>
      </c>
      <c r="F126" s="121"/>
      <c r="G126" s="121"/>
      <c r="H126" s="129">
        <f t="shared" si="3"/>
        <v>457.86887999999999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1736.8966896948002</v>
      </c>
      <c r="C127" s="54"/>
      <c r="D127" s="79"/>
      <c r="E127" s="128" t="s">
        <v>106</v>
      </c>
      <c r="F127" s="121"/>
      <c r="G127" s="121"/>
      <c r="H127" s="129">
        <f t="shared" si="3"/>
        <v>29.95</v>
      </c>
      <c r="I127" s="121"/>
      <c r="J127" s="121"/>
      <c r="L127" s="54" t="s">
        <v>77</v>
      </c>
      <c r="M127" s="74">
        <f>[1]!b_stm07_bs(K107,9,L107,1)</f>
        <v>28228148589.759998</v>
      </c>
      <c r="N127" s="54" t="s">
        <v>78</v>
      </c>
      <c r="O127" s="74">
        <f>[1]!b_stm07_is(K107,83,L107,1)</f>
        <v>14590520641.459999</v>
      </c>
      <c r="P127" s="128" t="s">
        <v>79</v>
      </c>
      <c r="Q127" s="121"/>
      <c r="R127" s="121"/>
      <c r="S127" s="133">
        <f>[1]!b_stm07_cs(K107,9,L107,1)</f>
        <v>17561603976.700001</v>
      </c>
      <c r="T127" s="132"/>
      <c r="U127" s="132"/>
    </row>
    <row r="128" spans="1:21" ht="14.25" customHeight="1" x14ac:dyDescent="0.25">
      <c r="A128" s="54" t="s">
        <v>107</v>
      </c>
      <c r="B128" s="72">
        <f t="shared" si="1"/>
        <v>210.95328323869998</v>
      </c>
      <c r="C128" s="54"/>
      <c r="D128" s="79"/>
      <c r="E128" s="128" t="s">
        <v>108</v>
      </c>
      <c r="F128" s="121"/>
      <c r="G128" s="121"/>
      <c r="H128" s="130">
        <f t="shared" si="3"/>
        <v>628.35724413849994</v>
      </c>
      <c r="I128" s="121"/>
      <c r="J128" s="121"/>
      <c r="L128" s="54" t="s">
        <v>80</v>
      </c>
      <c r="M128" s="74">
        <f>[1]!b_stm07_bs(K107,12,L107,1)</f>
        <v>1867435227.1700001</v>
      </c>
      <c r="N128" s="54" t="s">
        <v>81</v>
      </c>
      <c r="O128" s="74">
        <f>[1]!b_stm07_is(K107,84,L107,1)</f>
        <v>14638392667.27</v>
      </c>
      <c r="P128" s="128" t="s">
        <v>82</v>
      </c>
      <c r="Q128" s="121"/>
      <c r="R128" s="121"/>
      <c r="S128" s="133">
        <f>[1]!b_stm07_cs(K107,11,L107,1)</f>
        <v>19148622817.900002</v>
      </c>
      <c r="T128" s="132"/>
      <c r="U128" s="132"/>
    </row>
    <row r="129" spans="1:21" ht="14.25" customHeight="1" x14ac:dyDescent="0.25">
      <c r="A129" s="54" t="s">
        <v>109</v>
      </c>
      <c r="B129" s="78">
        <f t="shared" si="1"/>
        <v>2465.0315692853001</v>
      </c>
      <c r="C129" s="14"/>
      <c r="D129" s="13"/>
      <c r="E129" s="128" t="s">
        <v>110</v>
      </c>
      <c r="F129" s="121"/>
      <c r="G129" s="121"/>
      <c r="H129" s="129">
        <f t="shared" si="3"/>
        <v>373.51584961650002</v>
      </c>
      <c r="I129" s="121"/>
      <c r="J129" s="121"/>
      <c r="L129" s="54" t="s">
        <v>83</v>
      </c>
      <c r="M129" s="74">
        <f>[1]!b_stm07_bs(K107,13,L107,1)</f>
        <v>5531675158.9399996</v>
      </c>
      <c r="N129" s="54" t="s">
        <v>84</v>
      </c>
      <c r="O129" s="74">
        <f>[1]!b_stm07_is(K107,10,L107,1)</f>
        <v>7082973390.3999996</v>
      </c>
      <c r="P129" s="128" t="s">
        <v>85</v>
      </c>
      <c r="Q129" s="121"/>
      <c r="R129" s="121"/>
      <c r="S129" s="134">
        <f>[1]!b_stm07_cs(K107,25,L107,1)</f>
        <v>36710237704.239998</v>
      </c>
      <c r="T129" s="132"/>
      <c r="U129" s="132"/>
    </row>
    <row r="130" spans="1:21" ht="14.25" customHeight="1" x14ac:dyDescent="0.25">
      <c r="A130" s="54" t="s">
        <v>111</v>
      </c>
      <c r="B130" s="78">
        <f t="shared" si="1"/>
        <v>966.09006030289993</v>
      </c>
      <c r="C130" s="14"/>
      <c r="D130" s="13"/>
      <c r="E130" s="128" t="s">
        <v>112</v>
      </c>
      <c r="F130" s="121"/>
      <c r="G130" s="121"/>
      <c r="H130" s="129">
        <f t="shared" si="3"/>
        <v>498.30823001819999</v>
      </c>
      <c r="I130" s="121"/>
      <c r="J130" s="121"/>
      <c r="L130" s="54" t="s">
        <v>86</v>
      </c>
      <c r="M130" s="74">
        <f>[1]!b_stm07_bs(K107,31,L107,1)</f>
        <v>154146828418.85999</v>
      </c>
      <c r="N130" s="54" t="s">
        <v>87</v>
      </c>
      <c r="O130" s="74">
        <f>[1]!b_stm07_is(K107,12,L107,1)</f>
        <v>99337269.159999996</v>
      </c>
      <c r="P130" s="128" t="s">
        <v>88</v>
      </c>
      <c r="Q130" s="121"/>
      <c r="R130" s="121"/>
      <c r="S130" s="133">
        <f>[1]!b_stm07_cs(K107,26,L107,1)</f>
        <v>8211108957.8199997</v>
      </c>
      <c r="T130" s="132"/>
      <c r="U130" s="132"/>
    </row>
    <row r="131" spans="1:21" ht="14.25" customHeight="1" x14ac:dyDescent="0.25">
      <c r="A131" s="15" t="s">
        <v>113</v>
      </c>
      <c r="B131" s="78">
        <f t="shared" si="1"/>
        <v>3431.1216295882</v>
      </c>
      <c r="C131" s="14"/>
      <c r="D131" s="13"/>
      <c r="E131" s="128" t="s">
        <v>114</v>
      </c>
      <c r="F131" s="121"/>
      <c r="G131" s="121"/>
      <c r="H131" s="130">
        <f t="shared" si="3"/>
        <v>130.0490141203</v>
      </c>
      <c r="I131" s="121"/>
      <c r="J131" s="121"/>
      <c r="L131" s="54" t="s">
        <v>89</v>
      </c>
      <c r="M131" s="74">
        <f>[1]!b_stm07_bs(K107,33,L107,1)</f>
        <v>110371721798.59</v>
      </c>
      <c r="N131" s="54" t="s">
        <v>90</v>
      </c>
      <c r="O131" s="74">
        <f>[1]!b_stm07_is(K107,13,L107,1)</f>
        <v>451442340.77999997</v>
      </c>
      <c r="P131" s="128" t="s">
        <v>91</v>
      </c>
      <c r="Q131" s="121"/>
      <c r="R131" s="121"/>
      <c r="S131" s="133">
        <f>[1]!b_stm07_cs(K107,29,L107,1)</f>
        <v>16694439973.24</v>
      </c>
      <c r="T131" s="132"/>
      <c r="U131" s="132"/>
    </row>
    <row r="132" spans="1:21" x14ac:dyDescent="0.25">
      <c r="L132" s="54" t="s">
        <v>92</v>
      </c>
      <c r="M132" s="74">
        <f>[1]!b_stm07_bs(K107,37,L107,1)</f>
        <v>87885296.189999998</v>
      </c>
      <c r="N132" s="54" t="s">
        <v>93</v>
      </c>
      <c r="O132" s="74">
        <f>[1]!b_stm07_is(K107,14,L107,1)</f>
        <v>6878018594.0200005</v>
      </c>
      <c r="P132" s="128" t="s">
        <v>94</v>
      </c>
      <c r="Q132" s="121"/>
      <c r="R132" s="121"/>
      <c r="S132" s="134">
        <f>[1]!b_stm07_cs(K107,37,L107,1)</f>
        <v>26668081290.950001</v>
      </c>
      <c r="T132" s="132"/>
      <c r="U132" s="132"/>
    </row>
    <row r="133" spans="1:21" x14ac:dyDescent="0.25">
      <c r="L133" s="54" t="s">
        <v>95</v>
      </c>
      <c r="M133" s="80">
        <f>[1]!b_stm07_bs(K107,74,L107,1)</f>
        <v>343112162958.82001</v>
      </c>
      <c r="N133" s="54" t="s">
        <v>96</v>
      </c>
      <c r="O133" s="74">
        <f>[1]!b_stm07_is(K107,48,L107,1)</f>
        <v>494957703.57999998</v>
      </c>
      <c r="P133" s="128" t="s">
        <v>97</v>
      </c>
      <c r="Q133" s="121"/>
      <c r="R133" s="121"/>
      <c r="S133" s="134">
        <f>[1]!b_stm07_cs(K107,39,L107,1)</f>
        <v>10042156413.290001</v>
      </c>
      <c r="T133" s="132"/>
      <c r="U133" s="132"/>
    </row>
    <row r="134" spans="1:21" x14ac:dyDescent="0.25">
      <c r="L134" s="54" t="s">
        <v>98</v>
      </c>
      <c r="M134" s="74">
        <f>[1]!b_stm07_bs(K107,75,L107,1)</f>
        <v>18488582680</v>
      </c>
      <c r="N134" s="54" t="s">
        <v>99</v>
      </c>
      <c r="O134" s="74">
        <f>[1]!b_stm07_is(K107,55,L107,1)</f>
        <v>513673110.27999997</v>
      </c>
      <c r="P134" s="128" t="s">
        <v>100</v>
      </c>
      <c r="Q134" s="121"/>
      <c r="R134" s="121"/>
      <c r="S134" s="134">
        <f>[1]!b_stm07_cs(K107,59,L107,1)</f>
        <v>-20634101413.240002</v>
      </c>
      <c r="T134" s="132"/>
      <c r="U134" s="132"/>
    </row>
    <row r="135" spans="1:21" ht="32.4" customHeight="1" x14ac:dyDescent="0.25">
      <c r="L135" s="54" t="s">
        <v>101</v>
      </c>
      <c r="M135" s="74">
        <f>[1]!b_stm07_bs(K107,88,L107,1)</f>
        <v>3268199983.8200002</v>
      </c>
      <c r="N135" s="54" t="s">
        <v>43</v>
      </c>
      <c r="O135" s="74">
        <f>[1]!b_stm07_is(K107,60,L107,1)</f>
        <v>423210674.17000002</v>
      </c>
      <c r="P135" s="128" t="s">
        <v>102</v>
      </c>
      <c r="Q135" s="121"/>
      <c r="R135" s="121"/>
      <c r="S135" s="133">
        <f>[1]!b_stm07_cs(K107,60,L107,1)</f>
        <v>8526829105.0900002</v>
      </c>
      <c r="T135" s="132"/>
      <c r="U135" s="132"/>
    </row>
    <row r="136" spans="1:21" ht="21.6" customHeight="1" x14ac:dyDescent="0.25">
      <c r="L136" s="54" t="s">
        <v>103</v>
      </c>
      <c r="M136" s="74">
        <f>[1]!b_stm07_bs(K107,147,L107,1)</f>
        <v>0</v>
      </c>
      <c r="N136" s="54"/>
      <c r="O136" s="79"/>
      <c r="P136" s="128" t="s">
        <v>104</v>
      </c>
      <c r="Q136" s="121"/>
      <c r="R136" s="121"/>
      <c r="S136" s="133">
        <f>[1]!b_stm07_cs(K107,61,L107,1)</f>
        <v>45786888000</v>
      </c>
      <c r="T136" s="132"/>
      <c r="U136" s="132"/>
    </row>
    <row r="137" spans="1:21" x14ac:dyDescent="0.25">
      <c r="L137" s="54" t="s">
        <v>105</v>
      </c>
      <c r="M137" s="74">
        <f>[1]!b_stm07_bs(K107,94,L107,1)</f>
        <v>173689668969.48001</v>
      </c>
      <c r="N137" s="54"/>
      <c r="O137" s="79"/>
      <c r="P137" s="128" t="s">
        <v>106</v>
      </c>
      <c r="Q137" s="121"/>
      <c r="R137" s="121"/>
      <c r="S137" s="133">
        <f>[1]!b_stm07_cs(K107,63,L107,1)</f>
        <v>2995000000</v>
      </c>
      <c r="T137" s="132"/>
      <c r="U137" s="132"/>
    </row>
    <row r="138" spans="1:21" x14ac:dyDescent="0.25">
      <c r="L138" s="54" t="s">
        <v>107</v>
      </c>
      <c r="M138" s="74">
        <f>[1]!b_stm07_bs(K107,95,L107,1)</f>
        <v>21095328323.869999</v>
      </c>
      <c r="N138" s="54"/>
      <c r="O138" s="79"/>
      <c r="P138" s="128" t="s">
        <v>108</v>
      </c>
      <c r="Q138" s="121"/>
      <c r="R138" s="121"/>
      <c r="S138" s="134">
        <f>[1]!b_stm07_cs(K107,68,L107,1)</f>
        <v>62835724413.849998</v>
      </c>
      <c r="T138" s="132"/>
      <c r="U138" s="132"/>
    </row>
    <row r="139" spans="1:21" x14ac:dyDescent="0.25">
      <c r="L139" s="54" t="s">
        <v>109</v>
      </c>
      <c r="M139" s="80">
        <f>[1]!b_stm07_bs(K107,128,L107,1)</f>
        <v>246503156928.53</v>
      </c>
      <c r="N139" s="14"/>
      <c r="O139" s="13"/>
      <c r="P139" s="128" t="s">
        <v>110</v>
      </c>
      <c r="Q139" s="121"/>
      <c r="R139" s="121"/>
      <c r="S139" s="133">
        <f>[1]!b_stm07_cs(K107,69,L107,1)</f>
        <v>37351584961.650002</v>
      </c>
      <c r="T139" s="132"/>
      <c r="U139" s="132"/>
    </row>
    <row r="140" spans="1:21" ht="21.6" customHeight="1" x14ac:dyDescent="0.25">
      <c r="L140" s="54" t="s">
        <v>111</v>
      </c>
      <c r="M140" s="80">
        <f>[1]!b_stm07_bs(K107,141,L107,1)</f>
        <v>96609006030.289993</v>
      </c>
      <c r="N140" s="14"/>
      <c r="O140" s="13"/>
      <c r="P140" s="128" t="s">
        <v>112</v>
      </c>
      <c r="Q140" s="121"/>
      <c r="R140" s="121"/>
      <c r="S140" s="133">
        <f>[1]!b_stm07_cs(K107,75,L107,1)</f>
        <v>49830823001.82</v>
      </c>
      <c r="T140" s="132"/>
      <c r="U140" s="132"/>
    </row>
    <row r="141" spans="1:21" ht="21.6" customHeight="1" x14ac:dyDescent="0.25">
      <c r="L141" s="15" t="s">
        <v>113</v>
      </c>
      <c r="M141" s="80">
        <f>[1]!b_stm07_bs(K107,145,L107,1)</f>
        <v>343112162958.82001</v>
      </c>
      <c r="N141" s="14"/>
      <c r="O141" s="13"/>
      <c r="P141" s="128" t="s">
        <v>114</v>
      </c>
      <c r="Q141" s="121"/>
      <c r="R141" s="121"/>
      <c r="S141" s="134">
        <f>[1]!b_stm07_cs(K107,77,L107,1)</f>
        <v>13004901412.030001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241</v>
      </c>
      <c r="C2" s="117"/>
      <c r="D2" s="57" t="s">
        <v>3</v>
      </c>
      <c r="E2" s="116" t="s">
        <v>242</v>
      </c>
      <c r="F2" s="117"/>
      <c r="G2" s="117"/>
    </row>
    <row r="3" spans="1:12" ht="14.25" customHeight="1" x14ac:dyDescent="0.25">
      <c r="A3" s="57" t="s">
        <v>4</v>
      </c>
      <c r="B3" s="116" t="s">
        <v>243</v>
      </c>
      <c r="C3" s="117"/>
      <c r="D3" s="57" t="s">
        <v>5</v>
      </c>
      <c r="E3" s="116" t="s">
        <v>244</v>
      </c>
      <c r="F3" s="117"/>
      <c r="G3" s="117"/>
    </row>
    <row r="4" spans="1:12" ht="113.25" customHeight="1" x14ac:dyDescent="0.25">
      <c r="A4" s="57" t="s">
        <v>6</v>
      </c>
      <c r="B4" s="118" t="s">
        <v>245</v>
      </c>
      <c r="C4" s="117"/>
      <c r="D4" s="117"/>
      <c r="E4" s="117"/>
      <c r="F4" s="117"/>
      <c r="G4" s="117"/>
    </row>
    <row r="5" spans="1:12" ht="14.4" x14ac:dyDescent="0.25">
      <c r="A5" s="81" t="s">
        <v>115</v>
      </c>
      <c r="B5" s="137" t="s">
        <v>246</v>
      </c>
      <c r="C5" s="117"/>
      <c r="D5" s="117"/>
      <c r="E5" s="117"/>
      <c r="F5" s="138">
        <v>1</v>
      </c>
      <c r="G5" s="117"/>
    </row>
    <row r="6" spans="1:12" ht="11.25" customHeight="1" x14ac:dyDescent="0.25">
      <c r="A6" s="81" t="s">
        <v>116</v>
      </c>
      <c r="B6" s="137" t="s">
        <v>247</v>
      </c>
      <c r="C6" s="117"/>
      <c r="D6" s="117"/>
      <c r="E6" s="117"/>
      <c r="F6" s="138" t="s">
        <v>247</v>
      </c>
      <c r="G6" s="117"/>
    </row>
    <row r="7" spans="1:12" ht="11.25" customHeight="1" x14ac:dyDescent="0.25">
      <c r="A7" s="81" t="s">
        <v>117</v>
      </c>
      <c r="B7" s="137" t="s">
        <v>247</v>
      </c>
      <c r="C7" s="117"/>
      <c r="D7" s="117"/>
      <c r="E7" s="117"/>
      <c r="F7" s="138" t="s">
        <v>247</v>
      </c>
      <c r="G7" s="117"/>
    </row>
    <row r="8" spans="1:12" ht="11.25" customHeight="1" x14ac:dyDescent="0.25">
      <c r="A8" s="81" t="s">
        <v>118</v>
      </c>
      <c r="B8" s="137" t="s">
        <v>247</v>
      </c>
      <c r="C8" s="117"/>
      <c r="D8" s="117"/>
      <c r="E8" s="117"/>
      <c r="F8" s="138" t="s">
        <v>247</v>
      </c>
      <c r="G8" s="117"/>
    </row>
    <row r="9" spans="1:12" ht="11.25" customHeight="1" x14ac:dyDescent="0.25">
      <c r="A9" s="81" t="s">
        <v>119</v>
      </c>
      <c r="B9" s="137" t="s">
        <v>247</v>
      </c>
      <c r="C9" s="117"/>
      <c r="D9" s="117"/>
      <c r="E9" s="117"/>
      <c r="F9" s="138" t="s">
        <v>247</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5</v>
      </c>
      <c r="E13" s="63">
        <v>2.882191780821918</v>
      </c>
      <c r="F13" s="64" t="s">
        <v>25</v>
      </c>
      <c r="G13" s="63">
        <v>12</v>
      </c>
    </row>
    <row r="14" spans="1:12" ht="14.4" customHeight="1" x14ac:dyDescent="0.25">
      <c r="A14" t="s">
        <v>124</v>
      </c>
      <c r="B14" t="s">
        <v>125</v>
      </c>
      <c r="C14" t="s">
        <v>126</v>
      </c>
      <c r="D14" s="63">
        <v>4.3</v>
      </c>
      <c r="E14" s="82">
        <v>2.6821917808219178</v>
      </c>
      <c r="F14" t="s">
        <v>25</v>
      </c>
      <c r="G14" s="63">
        <v>10</v>
      </c>
    </row>
    <row r="15" spans="1:12" ht="14.4" customHeight="1" x14ac:dyDescent="0.25">
      <c r="A15" t="s">
        <v>127</v>
      </c>
      <c r="B15" t="s">
        <v>128</v>
      </c>
      <c r="C15" t="s">
        <v>129</v>
      </c>
      <c r="D15" s="63">
        <v>4.8899999999999997</v>
      </c>
      <c r="E15" s="82">
        <v>2.3890410958904109</v>
      </c>
      <c r="F15" t="s">
        <v>25</v>
      </c>
      <c r="G15" s="63">
        <v>20</v>
      </c>
    </row>
    <row r="16" spans="1:12" ht="14.4" customHeight="1" x14ac:dyDescent="0.25">
      <c r="A16" t="s">
        <v>130</v>
      </c>
      <c r="B16" t="s">
        <v>131</v>
      </c>
      <c r="C16" t="s">
        <v>132</v>
      </c>
      <c r="D16" s="63">
        <v>5.4</v>
      </c>
      <c r="E16" s="82">
        <v>1.6246575342465754</v>
      </c>
      <c r="F16" t="s">
        <v>25</v>
      </c>
      <c r="G16" s="63">
        <v>10</v>
      </c>
    </row>
    <row r="17" spans="1:7" ht="14.4" customHeight="1" x14ac:dyDescent="0.25">
      <c r="A17" t="s">
        <v>133</v>
      </c>
      <c r="B17" t="s">
        <v>134</v>
      </c>
      <c r="C17" t="s">
        <v>135</v>
      </c>
      <c r="D17" s="63">
        <v>4.8</v>
      </c>
      <c r="E17" s="82">
        <v>1.4684931506849315</v>
      </c>
      <c r="F17" t="s">
        <v>25</v>
      </c>
      <c r="G17" s="63">
        <v>15</v>
      </c>
    </row>
    <row r="18" spans="1:7" ht="14.4" customHeight="1" x14ac:dyDescent="0.25">
      <c r="A18" t="s">
        <v>136</v>
      </c>
      <c r="B18" t="s">
        <v>137</v>
      </c>
      <c r="C18" t="s">
        <v>138</v>
      </c>
      <c r="D18" s="63">
        <v>5.39</v>
      </c>
      <c r="E18" s="82">
        <v>2.9316939890710385</v>
      </c>
      <c r="F18" t="s">
        <v>25</v>
      </c>
      <c r="G18" s="63">
        <v>5</v>
      </c>
    </row>
    <row r="19" spans="1:7" ht="14.4" customHeight="1" x14ac:dyDescent="0.25">
      <c r="A19" t="s">
        <v>139</v>
      </c>
      <c r="B19" t="s">
        <v>140</v>
      </c>
      <c r="C19" t="s">
        <v>141</v>
      </c>
      <c r="D19" s="63">
        <v>3.46</v>
      </c>
      <c r="E19" s="82">
        <v>4.3506849315068497</v>
      </c>
      <c r="F19" t="s">
        <v>25</v>
      </c>
      <c r="G19" s="63">
        <v>20</v>
      </c>
    </row>
    <row r="20" spans="1:7" ht="14.4" customHeight="1" x14ac:dyDescent="0.25">
      <c r="A20" t="s">
        <v>142</v>
      </c>
      <c r="B20" t="s">
        <v>143</v>
      </c>
      <c r="C20" t="s">
        <v>144</v>
      </c>
      <c r="D20" s="63">
        <v>4.5999999999999996</v>
      </c>
      <c r="E20" s="82">
        <v>2.1643835616438354</v>
      </c>
      <c r="F20" t="s">
        <v>25</v>
      </c>
      <c r="G20" s="63">
        <v>40</v>
      </c>
    </row>
    <row r="21" spans="1:7" ht="14.4" customHeight="1" x14ac:dyDescent="0.25">
      <c r="A21" t="s">
        <v>145</v>
      </c>
      <c r="B21" t="s">
        <v>146</v>
      </c>
      <c r="C21" t="s">
        <v>147</v>
      </c>
      <c r="D21" s="63">
        <v>4.3499999999999996</v>
      </c>
      <c r="E21" s="82">
        <v>1.9398907103825138</v>
      </c>
      <c r="F21">
        <v>0</v>
      </c>
      <c r="G21" s="63">
        <v>8</v>
      </c>
    </row>
    <row r="22" spans="1:7" ht="14.4" customHeight="1" x14ac:dyDescent="0.25">
      <c r="A22" t="s">
        <v>148</v>
      </c>
      <c r="B22" t="s">
        <v>149</v>
      </c>
      <c r="C22" t="s">
        <v>150</v>
      </c>
      <c r="D22" s="63">
        <v>4.18</v>
      </c>
      <c r="E22" s="82">
        <v>1.9153005464480874</v>
      </c>
      <c r="F22">
        <v>0</v>
      </c>
      <c r="G22" s="63">
        <v>20</v>
      </c>
    </row>
    <row r="23" spans="1:7" ht="14.4" customHeight="1" x14ac:dyDescent="0.25">
      <c r="A23" t="s">
        <v>151</v>
      </c>
      <c r="B23" t="s">
        <v>152</v>
      </c>
      <c r="C23" t="s">
        <v>153</v>
      </c>
      <c r="D23" s="63">
        <v>2.89</v>
      </c>
      <c r="E23" s="82">
        <v>0</v>
      </c>
      <c r="F23" t="s">
        <v>248</v>
      </c>
      <c r="G23" s="63">
        <v>30</v>
      </c>
    </row>
    <row r="24" spans="1:7" ht="14.4" customHeight="1" x14ac:dyDescent="0.25">
      <c r="A24" t="s">
        <v>154</v>
      </c>
      <c r="B24" t="s">
        <v>155</v>
      </c>
      <c r="C24" t="s">
        <v>156</v>
      </c>
      <c r="D24" s="63">
        <v>4.5</v>
      </c>
      <c r="E24" s="82">
        <v>0</v>
      </c>
      <c r="F24" t="s">
        <v>248</v>
      </c>
      <c r="G24" s="63">
        <v>30</v>
      </c>
    </row>
    <row r="25" spans="1:7" ht="14.4" customHeight="1" x14ac:dyDescent="0.25">
      <c r="A25" t="s">
        <v>157</v>
      </c>
      <c r="B25" t="s">
        <v>158</v>
      </c>
      <c r="C25" t="s">
        <v>159</v>
      </c>
      <c r="D25" s="63">
        <v>5.98</v>
      </c>
      <c r="E25" s="82">
        <v>2.6493150684931508</v>
      </c>
      <c r="F25" t="s">
        <v>25</v>
      </c>
      <c r="G25" s="63">
        <v>40</v>
      </c>
    </row>
    <row r="26" spans="1:7" ht="14.4" customHeight="1" x14ac:dyDescent="0.25">
      <c r="A26" t="s">
        <v>160</v>
      </c>
      <c r="B26" t="s">
        <v>161</v>
      </c>
      <c r="C26" t="s">
        <v>162</v>
      </c>
      <c r="D26" s="63">
        <v>7.5</v>
      </c>
      <c r="E26" s="82">
        <v>0</v>
      </c>
      <c r="F26">
        <v>0</v>
      </c>
      <c r="G26" s="63">
        <v>20</v>
      </c>
    </row>
    <row r="27" spans="1:7" ht="14.4" customHeight="1" x14ac:dyDescent="0.25">
      <c r="A27" t="s">
        <v>163</v>
      </c>
      <c r="B27" t="s">
        <v>164</v>
      </c>
      <c r="C27" t="s">
        <v>165</v>
      </c>
      <c r="D27" s="63">
        <v>6.1</v>
      </c>
      <c r="E27" s="82">
        <v>0</v>
      </c>
      <c r="F27">
        <v>0</v>
      </c>
      <c r="G27" s="63">
        <v>20</v>
      </c>
    </row>
    <row r="28" spans="1:7" ht="14.4" customHeight="1" x14ac:dyDescent="0.25">
      <c r="A28" t="s">
        <v>166</v>
      </c>
      <c r="B28" t="s">
        <v>167</v>
      </c>
      <c r="C28" t="s">
        <v>168</v>
      </c>
      <c r="D28" s="63">
        <v>6.9</v>
      </c>
      <c r="E28" s="82">
        <v>0.79726027397260268</v>
      </c>
      <c r="F28" t="s">
        <v>25</v>
      </c>
      <c r="G28" s="63">
        <v>20</v>
      </c>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1:7" ht="14.4" customHeight="1" x14ac:dyDescent="0.25">
      <c r="D33" s="63"/>
      <c r="E33" s="82"/>
      <c r="G33" s="63"/>
    </row>
    <row r="34" spans="1:7" ht="14.4" customHeight="1" x14ac:dyDescent="0.25">
      <c r="A34" s="140" t="s">
        <v>169</v>
      </c>
      <c r="B34" s="140"/>
      <c r="C34" s="140"/>
      <c r="D34" s="140"/>
      <c r="E34" s="82"/>
      <c r="G34" s="63"/>
    </row>
    <row r="35" spans="1:7" ht="14.4" customHeight="1" x14ac:dyDescent="0.25">
      <c r="A35" s="83" t="s">
        <v>170</v>
      </c>
      <c r="B35" s="83" t="s">
        <v>171</v>
      </c>
      <c r="C35" s="83" t="s">
        <v>172</v>
      </c>
      <c r="D35" s="84" t="s">
        <v>173</v>
      </c>
      <c r="E35" s="82"/>
      <c r="G35" s="63"/>
    </row>
    <row r="36" spans="1:7" ht="14.4" customHeight="1" x14ac:dyDescent="0.25">
      <c r="A36" t="s">
        <v>174</v>
      </c>
      <c r="B36" t="s">
        <v>25</v>
      </c>
      <c r="C36" t="s">
        <v>175</v>
      </c>
      <c r="D36" s="63" t="s">
        <v>176</v>
      </c>
      <c r="E36" s="82"/>
      <c r="G36" s="63"/>
    </row>
    <row r="37" spans="1:7" ht="14.4" customHeight="1" x14ac:dyDescent="0.25">
      <c r="A37" t="s">
        <v>177</v>
      </c>
      <c r="B37" t="s">
        <v>25</v>
      </c>
      <c r="C37" t="s">
        <v>175</v>
      </c>
      <c r="D37" s="63" t="s">
        <v>176</v>
      </c>
      <c r="E37" s="82"/>
      <c r="G37" s="63"/>
    </row>
    <row r="38" spans="1:7" ht="14.4" customHeight="1" x14ac:dyDescent="0.25">
      <c r="A38" t="s">
        <v>178</v>
      </c>
      <c r="B38" t="s">
        <v>25</v>
      </c>
      <c r="C38" t="s">
        <v>175</v>
      </c>
      <c r="D38" s="63" t="s">
        <v>176</v>
      </c>
      <c r="E38" s="82"/>
      <c r="G38" s="63"/>
    </row>
    <row r="39" spans="1:7" ht="14.4" customHeight="1" x14ac:dyDescent="0.25">
      <c r="A39" t="s">
        <v>179</v>
      </c>
      <c r="B39" t="s">
        <v>25</v>
      </c>
      <c r="C39" t="s">
        <v>175</v>
      </c>
      <c r="D39" s="63" t="s">
        <v>176</v>
      </c>
      <c r="E39" s="82"/>
      <c r="G39" s="63"/>
    </row>
    <row r="40" spans="1:7" ht="14.4" customHeight="1" x14ac:dyDescent="0.25">
      <c r="A40" t="s">
        <v>180</v>
      </c>
      <c r="B40" t="s">
        <v>25</v>
      </c>
      <c r="C40" t="s">
        <v>175</v>
      </c>
      <c r="D40" s="63" t="s">
        <v>176</v>
      </c>
      <c r="E40" s="82"/>
      <c r="G40" s="63"/>
    </row>
    <row r="41" spans="1:7" ht="14.4" customHeight="1" x14ac:dyDescent="0.25">
      <c r="A41" t="s">
        <v>181</v>
      </c>
      <c r="B41" t="s">
        <v>25</v>
      </c>
      <c r="C41" t="s">
        <v>175</v>
      </c>
      <c r="D41" s="63" t="s">
        <v>176</v>
      </c>
      <c r="E41" s="82"/>
      <c r="G41" s="63"/>
    </row>
    <row r="42" spans="1:7" ht="14.4" customHeight="1" x14ac:dyDescent="0.25">
      <c r="A42" t="s">
        <v>182</v>
      </c>
      <c r="B42" t="s">
        <v>25</v>
      </c>
      <c r="C42" t="s">
        <v>175</v>
      </c>
      <c r="D42" s="63" t="s">
        <v>176</v>
      </c>
      <c r="E42" s="82"/>
      <c r="G42" s="63"/>
    </row>
    <row r="43" spans="1:7" ht="14.4" customHeight="1" x14ac:dyDescent="0.25">
      <c r="A43" t="s">
        <v>183</v>
      </c>
      <c r="B43" t="s">
        <v>25</v>
      </c>
      <c r="C43" t="s">
        <v>175</v>
      </c>
      <c r="D43" s="63" t="s">
        <v>176</v>
      </c>
      <c r="E43" s="82"/>
      <c r="G43" s="63"/>
    </row>
    <row r="44" spans="1:7" ht="14.4" customHeight="1" x14ac:dyDescent="0.25">
      <c r="A44" t="s">
        <v>184</v>
      </c>
      <c r="B44" t="s">
        <v>185</v>
      </c>
      <c r="C44" t="s">
        <v>175</v>
      </c>
      <c r="D44" s="63" t="s">
        <v>176</v>
      </c>
      <c r="E44" s="82"/>
      <c r="G44" s="63"/>
    </row>
    <row r="45" spans="1:7" ht="14.4" customHeight="1" x14ac:dyDescent="0.25">
      <c r="A45" t="s">
        <v>186</v>
      </c>
      <c r="B45" t="s">
        <v>185</v>
      </c>
      <c r="C45" t="s">
        <v>175</v>
      </c>
      <c r="D45" s="63" t="s">
        <v>176</v>
      </c>
      <c r="E45" s="82"/>
      <c r="G45" s="63"/>
    </row>
    <row r="46" spans="1:7" ht="14.4" customHeight="1" x14ac:dyDescent="0.25">
      <c r="A46" t="s">
        <v>187</v>
      </c>
      <c r="B46" t="s">
        <v>185</v>
      </c>
      <c r="C46" t="s">
        <v>175</v>
      </c>
      <c r="D46" s="63" t="s">
        <v>176</v>
      </c>
      <c r="E46" s="82"/>
      <c r="G46" s="63"/>
    </row>
    <row r="47" spans="1:7" ht="14.4" customHeight="1" x14ac:dyDescent="0.25">
      <c r="A47" t="s">
        <v>188</v>
      </c>
      <c r="B47" t="s">
        <v>185</v>
      </c>
      <c r="C47" t="s">
        <v>175</v>
      </c>
      <c r="D47" s="63" t="s">
        <v>176</v>
      </c>
      <c r="E47" s="82"/>
      <c r="G47" s="63"/>
    </row>
    <row r="48" spans="1:7" ht="14.4" customHeight="1" x14ac:dyDescent="0.25">
      <c r="A48" t="s">
        <v>189</v>
      </c>
      <c r="B48" t="s">
        <v>185</v>
      </c>
      <c r="C48" t="s">
        <v>175</v>
      </c>
      <c r="D48" s="63" t="s">
        <v>176</v>
      </c>
      <c r="E48" s="82"/>
      <c r="G48" s="63"/>
    </row>
    <row r="49" spans="1:7" ht="14.4" customHeight="1" x14ac:dyDescent="0.25">
      <c r="A49" t="s">
        <v>190</v>
      </c>
      <c r="B49" t="s">
        <v>185</v>
      </c>
      <c r="C49" t="s">
        <v>175</v>
      </c>
      <c r="D49" s="63" t="s">
        <v>176</v>
      </c>
      <c r="E49" s="82"/>
      <c r="G49" s="63"/>
    </row>
    <row r="50" spans="1:7" ht="14.4" customHeight="1" x14ac:dyDescent="0.25">
      <c r="A50" t="s">
        <v>191</v>
      </c>
      <c r="B50" t="s">
        <v>185</v>
      </c>
      <c r="C50" t="s">
        <v>175</v>
      </c>
      <c r="D50" s="63" t="s">
        <v>176</v>
      </c>
      <c r="E50" s="82"/>
      <c r="G50" s="63"/>
    </row>
    <row r="51" spans="1:7" ht="14.4" customHeight="1" x14ac:dyDescent="0.25">
      <c r="A51" t="s">
        <v>192</v>
      </c>
      <c r="B51" t="s">
        <v>185</v>
      </c>
      <c r="C51" t="s">
        <v>175</v>
      </c>
      <c r="D51" s="63" t="s">
        <v>176</v>
      </c>
      <c r="E51" s="82"/>
      <c r="G51" s="63"/>
    </row>
    <row r="52" spans="1:7" ht="14.4" customHeight="1" x14ac:dyDescent="0.25">
      <c r="A52" t="s">
        <v>193</v>
      </c>
      <c r="B52" t="s">
        <v>194</v>
      </c>
      <c r="C52" t="s">
        <v>175</v>
      </c>
      <c r="D52" s="63" t="s">
        <v>176</v>
      </c>
      <c r="E52" s="82"/>
      <c r="G52" s="63"/>
    </row>
    <row r="53" spans="1:7" ht="14.4" customHeight="1" x14ac:dyDescent="0.25">
      <c r="A53" t="s">
        <v>195</v>
      </c>
      <c r="B53" t="s">
        <v>194</v>
      </c>
      <c r="C53" t="s">
        <v>175</v>
      </c>
      <c r="D53" s="63" t="s">
        <v>176</v>
      </c>
      <c r="E53" s="82"/>
      <c r="G53" s="63"/>
    </row>
    <row r="54" spans="1:7" ht="14.4" customHeight="1" x14ac:dyDescent="0.25">
      <c r="D54" s="63"/>
      <c r="E54" s="82"/>
      <c r="G54" s="63"/>
    </row>
    <row r="55" spans="1:7" ht="14.4" customHeight="1" x14ac:dyDescent="0.25">
      <c r="D55" s="63"/>
      <c r="E55" s="82"/>
      <c r="G55" s="63"/>
    </row>
    <row r="56" spans="1:7" ht="14.4" customHeight="1" x14ac:dyDescent="0.25">
      <c r="D56" s="63"/>
      <c r="E56" s="82"/>
      <c r="G56" s="63"/>
    </row>
    <row r="57" spans="1:7" ht="14.4" customHeight="1" x14ac:dyDescent="0.25">
      <c r="D57" s="63"/>
      <c r="E57" s="82"/>
      <c r="G57" s="63"/>
    </row>
    <row r="58" spans="1:7" ht="14.4" customHeight="1" x14ac:dyDescent="0.25">
      <c r="D58" s="63"/>
      <c r="E58" s="82"/>
      <c r="G58" s="63"/>
    </row>
    <row r="59" spans="1:7" ht="14.4" customHeight="1" x14ac:dyDescent="0.25">
      <c r="D59" s="63"/>
      <c r="E59" s="82"/>
      <c r="G59" s="63"/>
    </row>
    <row r="60" spans="1:7" ht="14.4" customHeight="1" x14ac:dyDescent="0.25">
      <c r="D60" s="63"/>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196</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34:D3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0.71843299999999999</v>
      </c>
      <c r="C4" s="57" t="s">
        <v>36</v>
      </c>
      <c r="D4" s="86">
        <v>1.2527999999999999</v>
      </c>
      <c r="E4" s="57" t="s">
        <v>41</v>
      </c>
      <c r="F4" s="85">
        <v>1.2036</v>
      </c>
      <c r="G4" s="57" t="s">
        <v>42</v>
      </c>
      <c r="H4" s="85">
        <v>0.51454999999999995</v>
      </c>
      <c r="I4" s="57"/>
      <c r="J4" s="87"/>
    </row>
    <row r="5" spans="1:10" ht="15.75" customHeight="1" x14ac:dyDescent="0.25">
      <c r="A5" s="57" t="s">
        <v>62</v>
      </c>
      <c r="B5" s="85">
        <v>0.151672</v>
      </c>
      <c r="C5" s="57" t="s">
        <v>63</v>
      </c>
      <c r="D5" s="86">
        <v>1.0847</v>
      </c>
      <c r="E5" s="57" t="s">
        <v>64</v>
      </c>
      <c r="F5" s="86">
        <v>6.3745000000000003</v>
      </c>
      <c r="G5" s="57" t="s">
        <v>65</v>
      </c>
      <c r="H5" s="85">
        <v>3.3923000000000002E-2</v>
      </c>
      <c r="I5" s="57"/>
      <c r="J5" s="87"/>
    </row>
    <row r="6" spans="1:10" ht="15" customHeight="1" x14ac:dyDescent="0.25">
      <c r="A6" s="57" t="s">
        <v>66</v>
      </c>
      <c r="B6" s="85">
        <v>0.16852</v>
      </c>
      <c r="C6" s="57" t="s">
        <v>39</v>
      </c>
      <c r="D6" s="88">
        <v>3.0700000000000002E-2</v>
      </c>
      <c r="E6" s="57" t="s">
        <v>67</v>
      </c>
      <c r="F6" s="86">
        <v>1.0963000000000001</v>
      </c>
      <c r="G6" s="57" t="s">
        <v>45</v>
      </c>
      <c r="H6" s="85">
        <v>3.8679999999999999E-3</v>
      </c>
      <c r="I6" s="57"/>
      <c r="J6" s="87"/>
    </row>
    <row r="7" spans="1:10" ht="14.25" customHeight="1" x14ac:dyDescent="0.25">
      <c r="A7" s="57" t="s">
        <v>38</v>
      </c>
      <c r="B7" s="88">
        <v>2.2485809261935734</v>
      </c>
      <c r="C7" s="57" t="s">
        <v>68</v>
      </c>
      <c r="D7" s="88">
        <v>1.0766</v>
      </c>
      <c r="E7" s="57" t="s">
        <v>69</v>
      </c>
      <c r="F7" s="86">
        <v>0.29110000000000003</v>
      </c>
      <c r="G7" s="57" t="s">
        <v>70</v>
      </c>
      <c r="H7" s="85">
        <v>2.1573000000000002E-2</v>
      </c>
      <c r="I7" s="57"/>
      <c r="J7" s="87"/>
    </row>
    <row r="8" spans="1:10" x14ac:dyDescent="0.25">
      <c r="A8" s="57"/>
      <c r="B8" s="89"/>
      <c r="C8" s="57"/>
      <c r="D8" s="90"/>
      <c r="E8" s="57" t="s">
        <v>71</v>
      </c>
      <c r="F8" s="86">
        <v>4.36E-2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282.28148589759996</v>
      </c>
      <c r="C12" s="57" t="s">
        <v>78</v>
      </c>
      <c r="D12" s="88">
        <v>145.9052064146</v>
      </c>
      <c r="E12" s="144" t="s">
        <v>79</v>
      </c>
      <c r="F12" s="117"/>
      <c r="G12" s="117"/>
      <c r="H12" s="145">
        <v>175.61603976700002</v>
      </c>
      <c r="I12" s="117"/>
      <c r="J12" s="117"/>
    </row>
    <row r="13" spans="1:10" ht="14.25" customHeight="1" x14ac:dyDescent="0.25">
      <c r="A13" s="57" t="s">
        <v>80</v>
      </c>
      <c r="B13" s="91">
        <v>18.674352271700002</v>
      </c>
      <c r="C13" s="57" t="s">
        <v>81</v>
      </c>
      <c r="D13" s="88">
        <v>146.3839266727</v>
      </c>
      <c r="E13" s="144" t="s">
        <v>82</v>
      </c>
      <c r="F13" s="117"/>
      <c r="G13" s="117"/>
      <c r="H13" s="145">
        <v>191.48622817900002</v>
      </c>
      <c r="I13" s="117"/>
      <c r="J13" s="117"/>
    </row>
    <row r="14" spans="1:10" ht="14.25" customHeight="1" x14ac:dyDescent="0.25">
      <c r="A14" s="57" t="s">
        <v>83</v>
      </c>
      <c r="B14" s="91">
        <v>55.316751589399999</v>
      </c>
      <c r="C14" s="57" t="s">
        <v>84</v>
      </c>
      <c r="D14" s="88">
        <v>70.829733903999994</v>
      </c>
      <c r="E14" s="144" t="s">
        <v>85</v>
      </c>
      <c r="F14" s="117"/>
      <c r="G14" s="117"/>
      <c r="H14" s="145">
        <v>367.10237704239995</v>
      </c>
      <c r="I14" s="117"/>
      <c r="J14" s="117"/>
    </row>
    <row r="15" spans="1:10" ht="14.25" customHeight="1" x14ac:dyDescent="0.25">
      <c r="A15" s="57" t="s">
        <v>86</v>
      </c>
      <c r="B15" s="91">
        <v>1541.4682841885999</v>
      </c>
      <c r="C15" s="57" t="s">
        <v>87</v>
      </c>
      <c r="D15" s="88">
        <v>0.99337269159999997</v>
      </c>
      <c r="E15" s="144" t="s">
        <v>88</v>
      </c>
      <c r="F15" s="117"/>
      <c r="G15" s="117"/>
      <c r="H15" s="145">
        <v>82.111089578199994</v>
      </c>
      <c r="I15" s="117"/>
      <c r="J15" s="117"/>
    </row>
    <row r="16" spans="1:10" ht="14.25" customHeight="1" x14ac:dyDescent="0.25">
      <c r="A16" s="57" t="s">
        <v>89</v>
      </c>
      <c r="B16" s="91">
        <v>1103.7172179858999</v>
      </c>
      <c r="C16" s="57" t="s">
        <v>90</v>
      </c>
      <c r="D16" s="88">
        <v>4.5144234077999998</v>
      </c>
      <c r="E16" s="144" t="s">
        <v>91</v>
      </c>
      <c r="F16" s="117"/>
      <c r="G16" s="117"/>
      <c r="H16" s="145">
        <v>166.9443997324</v>
      </c>
      <c r="I16" s="117"/>
      <c r="J16" s="117"/>
    </row>
    <row r="17" spans="1:10" ht="14.25" customHeight="1" x14ac:dyDescent="0.25">
      <c r="A17" s="57" t="s">
        <v>92</v>
      </c>
      <c r="B17" s="91">
        <v>0.87885296189999995</v>
      </c>
      <c r="C17" s="57" t="s">
        <v>93</v>
      </c>
      <c r="D17" s="88">
        <v>68.780185940199999</v>
      </c>
      <c r="E17" s="144" t="s">
        <v>94</v>
      </c>
      <c r="F17" s="117"/>
      <c r="G17" s="117"/>
      <c r="H17" s="145">
        <v>266.68081290949999</v>
      </c>
      <c r="I17" s="117"/>
      <c r="J17" s="117"/>
    </row>
    <row r="18" spans="1:10" ht="14.25" customHeight="1" x14ac:dyDescent="0.25">
      <c r="A18" s="57" t="s">
        <v>95</v>
      </c>
      <c r="B18" s="91">
        <v>3431.1216295882</v>
      </c>
      <c r="C18" s="57" t="s">
        <v>96</v>
      </c>
      <c r="D18" s="88">
        <v>4.9495770358</v>
      </c>
      <c r="E18" s="144" t="s">
        <v>97</v>
      </c>
      <c r="F18" s="117"/>
      <c r="G18" s="117"/>
      <c r="H18" s="145">
        <v>100.4215641329</v>
      </c>
      <c r="I18" s="117"/>
      <c r="J18" s="117"/>
    </row>
    <row r="19" spans="1:10" ht="14.25" customHeight="1" x14ac:dyDescent="0.25">
      <c r="A19" s="57" t="s">
        <v>98</v>
      </c>
      <c r="B19" s="91">
        <v>184.88582679999999</v>
      </c>
      <c r="C19" s="57" t="s">
        <v>99</v>
      </c>
      <c r="D19" s="88">
        <v>5.1367311027999998</v>
      </c>
      <c r="E19" s="144" t="s">
        <v>100</v>
      </c>
      <c r="F19" s="117"/>
      <c r="G19" s="117"/>
      <c r="H19" s="145">
        <v>-206.34101413240001</v>
      </c>
      <c r="I19" s="117"/>
      <c r="J19" s="117"/>
    </row>
    <row r="20" spans="1:10" ht="27" customHeight="1" x14ac:dyDescent="0.25">
      <c r="A20" s="57" t="s">
        <v>101</v>
      </c>
      <c r="B20" s="91">
        <v>32.681999838199999</v>
      </c>
      <c r="C20" s="57" t="s">
        <v>43</v>
      </c>
      <c r="D20" s="88">
        <v>4.2321067417</v>
      </c>
      <c r="E20" s="144" t="s">
        <v>102</v>
      </c>
      <c r="F20" s="117"/>
      <c r="G20" s="117"/>
      <c r="H20" s="145">
        <v>85.268291050900004</v>
      </c>
      <c r="I20" s="117"/>
      <c r="J20" s="117"/>
    </row>
    <row r="21" spans="1:10" ht="16.5" customHeight="1" x14ac:dyDescent="0.25">
      <c r="A21" s="57" t="s">
        <v>103</v>
      </c>
      <c r="B21" s="91">
        <v>0</v>
      </c>
      <c r="C21" s="57"/>
      <c r="D21" s="92"/>
      <c r="E21" s="144" t="s">
        <v>104</v>
      </c>
      <c r="F21" s="117"/>
      <c r="G21" s="117"/>
      <c r="H21" s="145">
        <v>457.86887999999999</v>
      </c>
      <c r="I21" s="117"/>
      <c r="J21" s="117"/>
    </row>
    <row r="22" spans="1:10" ht="14.25" customHeight="1" x14ac:dyDescent="0.25">
      <c r="A22" s="57" t="s">
        <v>105</v>
      </c>
      <c r="B22" s="91">
        <v>1736.8966896948002</v>
      </c>
      <c r="C22" s="57"/>
      <c r="D22" s="92"/>
      <c r="E22" s="144" t="s">
        <v>106</v>
      </c>
      <c r="F22" s="117"/>
      <c r="G22" s="117"/>
      <c r="H22" s="145">
        <v>29.95</v>
      </c>
      <c r="I22" s="117"/>
      <c r="J22" s="117"/>
    </row>
    <row r="23" spans="1:10" ht="14.25" customHeight="1" x14ac:dyDescent="0.25">
      <c r="A23" s="57" t="s">
        <v>107</v>
      </c>
      <c r="B23" s="91">
        <v>210.95328323869998</v>
      </c>
      <c r="C23" s="57"/>
      <c r="D23" s="92"/>
      <c r="E23" s="144" t="s">
        <v>108</v>
      </c>
      <c r="F23" s="117"/>
      <c r="G23" s="117"/>
      <c r="H23" s="145">
        <v>628.35724413849994</v>
      </c>
      <c r="I23" s="117"/>
      <c r="J23" s="117"/>
    </row>
    <row r="24" spans="1:10" ht="14.25" customHeight="1" x14ac:dyDescent="0.25">
      <c r="A24" s="57" t="s">
        <v>109</v>
      </c>
      <c r="B24" s="91">
        <v>2465.0315692853001</v>
      </c>
      <c r="C24" s="93"/>
      <c r="D24" s="90"/>
      <c r="E24" s="144" t="s">
        <v>110</v>
      </c>
      <c r="F24" s="117"/>
      <c r="G24" s="117"/>
      <c r="H24" s="145">
        <v>373.51584961650002</v>
      </c>
      <c r="I24" s="117"/>
      <c r="J24" s="117"/>
    </row>
    <row r="25" spans="1:10" ht="14.25" customHeight="1" x14ac:dyDescent="0.25">
      <c r="A25" s="57" t="s">
        <v>111</v>
      </c>
      <c r="B25" s="91">
        <v>966.09006030289993</v>
      </c>
      <c r="C25" s="93"/>
      <c r="D25" s="90"/>
      <c r="E25" s="144" t="s">
        <v>112</v>
      </c>
      <c r="F25" s="117"/>
      <c r="G25" s="117"/>
      <c r="H25" s="145">
        <v>498.30823001819999</v>
      </c>
      <c r="I25" s="117"/>
      <c r="J25" s="117"/>
    </row>
    <row r="26" spans="1:10" ht="14.25" customHeight="1" x14ac:dyDescent="0.25">
      <c r="A26" s="94" t="s">
        <v>113</v>
      </c>
      <c r="B26" s="91">
        <v>3431.1216295882</v>
      </c>
      <c r="C26" s="93"/>
      <c r="D26" s="90"/>
      <c r="E26" s="144" t="s">
        <v>114</v>
      </c>
      <c r="F26" s="117"/>
      <c r="G26" s="117"/>
      <c r="H26" s="145">
        <v>130.0490141203</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197</v>
      </c>
      <c r="B1" s="121"/>
      <c r="C1" s="121"/>
      <c r="D1" s="121"/>
      <c r="E1" s="121"/>
      <c r="F1" s="121"/>
      <c r="G1" s="121"/>
      <c r="H1" s="121"/>
      <c r="I1" s="121"/>
    </row>
    <row r="2" spans="1:10" ht="46.5" customHeight="1" x14ac:dyDescent="0.25">
      <c r="A2" s="54" t="s">
        <v>22</v>
      </c>
      <c r="B2" s="43" t="s">
        <v>241</v>
      </c>
      <c r="C2" s="43" t="s">
        <v>198</v>
      </c>
      <c r="D2" s="43" t="s">
        <v>249</v>
      </c>
      <c r="E2" s="43" t="s">
        <v>250</v>
      </c>
      <c r="F2" s="43" t="s">
        <v>206</v>
      </c>
      <c r="G2" s="43" t="s">
        <v>251</v>
      </c>
      <c r="H2" s="43" t="s">
        <v>252</v>
      </c>
      <c r="I2" s="43" t="s">
        <v>253</v>
      </c>
      <c r="J2" s="43" t="s">
        <v>254</v>
      </c>
    </row>
    <row r="3" spans="1:10" x14ac:dyDescent="0.25">
      <c r="A3" s="54" t="s">
        <v>24</v>
      </c>
      <c r="B3" s="96" t="s">
        <v>25</v>
      </c>
      <c r="C3" s="97" t="s">
        <v>199</v>
      </c>
      <c r="D3" s="96" t="s">
        <v>25</v>
      </c>
      <c r="E3" s="96" t="s">
        <v>25</v>
      </c>
      <c r="F3" s="96" t="s">
        <v>25</v>
      </c>
      <c r="G3" s="96" t="s">
        <v>25</v>
      </c>
      <c r="H3" s="96" t="s">
        <v>25</v>
      </c>
      <c r="I3" s="96" t="s">
        <v>25</v>
      </c>
      <c r="J3" s="96" t="s">
        <v>25</v>
      </c>
    </row>
    <row r="4" spans="1:10" s="7" customFormat="1" ht="21.6" x14ac:dyDescent="0.25">
      <c r="A4" s="9" t="s">
        <v>3</v>
      </c>
      <c r="B4" s="98" t="s">
        <v>242</v>
      </c>
      <c r="C4" s="97" t="s">
        <v>199</v>
      </c>
      <c r="D4" s="98" t="s">
        <v>242</v>
      </c>
      <c r="E4" s="98" t="s">
        <v>242</v>
      </c>
      <c r="F4" s="98" t="s">
        <v>242</v>
      </c>
      <c r="G4" s="98" t="s">
        <v>242</v>
      </c>
      <c r="H4" s="98" t="s">
        <v>242</v>
      </c>
      <c r="I4" s="98" t="s">
        <v>242</v>
      </c>
      <c r="J4" s="98" t="s">
        <v>242</v>
      </c>
    </row>
    <row r="5" spans="1:10" s="7" customFormat="1" x14ac:dyDescent="0.25">
      <c r="A5" s="9" t="s">
        <v>29</v>
      </c>
      <c r="B5" s="99" t="s">
        <v>30</v>
      </c>
      <c r="C5" s="97" t="s">
        <v>199</v>
      </c>
      <c r="D5" s="99" t="s">
        <v>30</v>
      </c>
      <c r="E5" s="99" t="s">
        <v>30</v>
      </c>
      <c r="F5" s="99" t="s">
        <v>30</v>
      </c>
      <c r="G5" s="99" t="s">
        <v>30</v>
      </c>
      <c r="H5" s="99" t="s">
        <v>30</v>
      </c>
      <c r="I5" s="99" t="s">
        <v>30</v>
      </c>
      <c r="J5" s="99" t="s">
        <v>30</v>
      </c>
    </row>
    <row r="6" spans="1:10" x14ac:dyDescent="0.25">
      <c r="A6" s="54" t="s">
        <v>32</v>
      </c>
      <c r="B6" s="100">
        <v>3431.1216295882</v>
      </c>
      <c r="C6" s="97">
        <v>1862.2248691710142</v>
      </c>
      <c r="D6" s="100">
        <v>2669.9402399471001</v>
      </c>
      <c r="E6" s="100">
        <v>1808.5911681942002</v>
      </c>
      <c r="F6" s="100">
        <v>1484.2766824392002</v>
      </c>
      <c r="G6" s="100">
        <v>3272.6002539569999</v>
      </c>
      <c r="H6" s="100">
        <v>2003.1884358423999</v>
      </c>
      <c r="I6" s="100">
        <v>508.3921654989</v>
      </c>
      <c r="J6" s="100">
        <v>1288.5851383183001</v>
      </c>
    </row>
    <row r="7" spans="1:10" x14ac:dyDescent="0.25">
      <c r="A7" s="54" t="s">
        <v>34</v>
      </c>
      <c r="B7" s="44">
        <v>0.71843299999999999</v>
      </c>
      <c r="C7" s="97">
        <v>0.62381328571428563</v>
      </c>
      <c r="D7" s="44">
        <v>0.7068859999999999</v>
      </c>
      <c r="E7" s="44">
        <v>0.69077500000000003</v>
      </c>
      <c r="F7" s="44">
        <v>0.34442700000000004</v>
      </c>
      <c r="G7" s="44">
        <v>0.658308</v>
      </c>
      <c r="H7" s="44">
        <v>0.74518399999999996</v>
      </c>
      <c r="I7" s="44">
        <v>0.46754499999999999</v>
      </c>
      <c r="J7" s="44">
        <v>0.75356800000000002</v>
      </c>
    </row>
    <row r="8" spans="1:10" x14ac:dyDescent="0.25">
      <c r="A8" s="54" t="s">
        <v>36</v>
      </c>
      <c r="B8" s="100">
        <v>1.2527999999999999</v>
      </c>
      <c r="C8" s="97">
        <v>1.5245571428571429</v>
      </c>
      <c r="D8" s="100">
        <v>0.46550000000000002</v>
      </c>
      <c r="E8" s="100">
        <v>2.2774000000000001</v>
      </c>
      <c r="F8" s="100">
        <v>4.0532000000000004</v>
      </c>
      <c r="G8" s="100">
        <v>1.3048</v>
      </c>
      <c r="H8" s="100">
        <v>0.4229</v>
      </c>
      <c r="I8" s="100">
        <v>1.7305999999999999</v>
      </c>
      <c r="J8" s="100">
        <v>0.41749999999999998</v>
      </c>
    </row>
    <row r="9" spans="1:10" x14ac:dyDescent="0.25">
      <c r="A9" s="54" t="s">
        <v>38</v>
      </c>
      <c r="B9" s="96">
        <v>2.2485809261935734</v>
      </c>
      <c r="C9" s="97">
        <v>1.612195559021006</v>
      </c>
      <c r="D9" s="96">
        <v>2.2058532848723154</v>
      </c>
      <c r="E9" s="96">
        <v>1.6148359363253348</v>
      </c>
      <c r="F9" s="96">
        <v>0.36091122480117876</v>
      </c>
      <c r="G9" s="96">
        <v>0.98420966880059968</v>
      </c>
      <c r="H9" s="96">
        <v>2.7019139594419048</v>
      </c>
      <c r="I9" s="96">
        <v>0.74827629326159106</v>
      </c>
      <c r="J9" s="96">
        <v>2.6693685456441179</v>
      </c>
    </row>
    <row r="10" spans="1:10" ht="21.6" customHeight="1" x14ac:dyDescent="0.25">
      <c r="A10" s="54" t="s">
        <v>39</v>
      </c>
      <c r="B10" s="100">
        <v>3.0700000000000002E-2</v>
      </c>
      <c r="C10" s="97">
        <v>9.5257142857142846E-2</v>
      </c>
      <c r="D10" s="100">
        <v>3.3599999999999998E-2</v>
      </c>
      <c r="E10" s="100">
        <v>3.9300000000000002E-2</v>
      </c>
      <c r="F10" s="100">
        <v>0.128</v>
      </c>
      <c r="G10" s="100">
        <v>9.3899999999999997E-2</v>
      </c>
      <c r="H10" s="100">
        <v>4.4400000000000002E-2</v>
      </c>
      <c r="I10" s="100">
        <v>0.24399999999999999</v>
      </c>
      <c r="J10" s="100">
        <v>8.3599999999999994E-2</v>
      </c>
    </row>
    <row r="11" spans="1:10" x14ac:dyDescent="0.25">
      <c r="A11" s="54" t="s">
        <v>40</v>
      </c>
      <c r="B11" s="100">
        <v>145.9052064146</v>
      </c>
      <c r="C11" s="97">
        <v>231.48059834877145</v>
      </c>
      <c r="D11" s="100">
        <v>101.7057244631</v>
      </c>
      <c r="E11" s="100">
        <v>139.39241630480001</v>
      </c>
      <c r="F11" s="100">
        <v>14.161337555399999</v>
      </c>
      <c r="G11" s="100">
        <v>1068.4841406221001</v>
      </c>
      <c r="H11" s="100">
        <v>126.7515883391</v>
      </c>
      <c r="I11" s="100">
        <v>73.7953137919</v>
      </c>
      <c r="J11" s="100">
        <v>96.073667365000006</v>
      </c>
    </row>
    <row r="12" spans="1:10" s="7" customFormat="1" x14ac:dyDescent="0.25">
      <c r="A12" s="9" t="s">
        <v>41</v>
      </c>
      <c r="B12" s="45">
        <v>1.2036</v>
      </c>
      <c r="C12" s="97">
        <v>1.0721428571428571</v>
      </c>
      <c r="D12" s="45">
        <v>1.0642</v>
      </c>
      <c r="E12" s="45">
        <v>1.4423999999999999</v>
      </c>
      <c r="F12" s="45">
        <v>1.0169999999999999</v>
      </c>
      <c r="G12" s="45">
        <v>1.0507</v>
      </c>
      <c r="H12" s="45">
        <v>0.88180000000000003</v>
      </c>
      <c r="I12" s="45">
        <v>1.0341</v>
      </c>
      <c r="J12" s="45">
        <v>1.0147999999999999</v>
      </c>
    </row>
    <row r="13" spans="1:10" s="7" customFormat="1" x14ac:dyDescent="0.25">
      <c r="A13" s="9" t="s">
        <v>42</v>
      </c>
      <c r="B13" s="45">
        <v>0.51454999999999995</v>
      </c>
      <c r="C13" s="97">
        <v>0.28343400000000002</v>
      </c>
      <c r="D13" s="45">
        <v>0.64467799999999997</v>
      </c>
      <c r="E13" s="45">
        <v>0.25825399999999998</v>
      </c>
      <c r="F13" s="45">
        <v>-0.54925600000000008</v>
      </c>
      <c r="G13" s="45">
        <v>0.13802500000000001</v>
      </c>
      <c r="H13" s="45">
        <v>0.57781199999999999</v>
      </c>
      <c r="I13" s="45">
        <v>0.56755299999999997</v>
      </c>
      <c r="J13" s="45">
        <v>0.346972</v>
      </c>
    </row>
    <row r="14" spans="1:10" s="7" customFormat="1" x14ac:dyDescent="0.25">
      <c r="A14" s="9" t="s">
        <v>43</v>
      </c>
      <c r="B14" s="101">
        <v>4.2321067417</v>
      </c>
      <c r="C14" s="97">
        <v>21.450113931000001</v>
      </c>
      <c r="D14" s="101">
        <v>2.5351370013999999</v>
      </c>
      <c r="E14" s="101">
        <v>8.9836128812999991</v>
      </c>
      <c r="F14" s="101">
        <v>33.454782049999999</v>
      </c>
      <c r="G14" s="101">
        <v>71.5308289309</v>
      </c>
      <c r="H14" s="101">
        <v>1.3759172698</v>
      </c>
      <c r="I14" s="101">
        <v>28.768481784599999</v>
      </c>
      <c r="J14" s="101">
        <v>3.5020375989999999</v>
      </c>
    </row>
    <row r="15" spans="1:10" x14ac:dyDescent="0.25">
      <c r="A15" s="54" t="s">
        <v>45</v>
      </c>
      <c r="B15" s="44">
        <v>3.8679999999999999E-3</v>
      </c>
      <c r="C15" s="97">
        <v>3.0433428571428573E-2</v>
      </c>
      <c r="D15" s="44">
        <v>2.9210000000000004E-3</v>
      </c>
      <c r="E15" s="44">
        <v>9.9400000000000009E-4</v>
      </c>
      <c r="F15" s="44">
        <v>3.8610000000000005E-2</v>
      </c>
      <c r="G15" s="44">
        <v>5.8415000000000002E-2</v>
      </c>
      <c r="H15" s="44">
        <v>2.2070000000000002E-3</v>
      </c>
      <c r="I15" s="44">
        <v>0.10263299999999999</v>
      </c>
      <c r="J15" s="44">
        <v>7.254E-3</v>
      </c>
    </row>
    <row r="16" spans="1:10" s="7" customFormat="1" ht="25.8" customHeight="1" x14ac:dyDescent="0.25">
      <c r="A16" s="9" t="s">
        <v>46</v>
      </c>
      <c r="B16" s="101">
        <v>100.4215641329</v>
      </c>
      <c r="C16" s="97">
        <v>23.276084647757141</v>
      </c>
      <c r="D16" s="101">
        <v>77.613972108699997</v>
      </c>
      <c r="E16" s="101">
        <v>-63.020127415600001</v>
      </c>
      <c r="F16" s="101">
        <v>18.079373460399999</v>
      </c>
      <c r="G16" s="101">
        <v>-55.875874513500001</v>
      </c>
      <c r="H16" s="101">
        <v>79.279864450900007</v>
      </c>
      <c r="I16" s="101">
        <v>34.7377594011</v>
      </c>
      <c r="J16" s="101">
        <v>72.117625042299991</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200</v>
      </c>
      <c r="B1" s="121"/>
      <c r="C1" s="121"/>
      <c r="D1" s="121"/>
      <c r="E1" s="121"/>
      <c r="F1" s="121"/>
    </row>
    <row r="2" spans="1:6" x14ac:dyDescent="0.25">
      <c r="A2" s="51" t="s">
        <v>201</v>
      </c>
      <c r="B2" s="50" t="s">
        <v>202</v>
      </c>
      <c r="C2" s="50" t="s">
        <v>203</v>
      </c>
      <c r="D2" s="50" t="s">
        <v>204</v>
      </c>
      <c r="E2" s="50" t="s">
        <v>173</v>
      </c>
      <c r="F2" s="50" t="s">
        <v>205</v>
      </c>
    </row>
    <row r="3" spans="1:6" ht="48" customHeight="1" x14ac:dyDescent="0.25">
      <c r="A3" s="103">
        <v>43452</v>
      </c>
      <c r="B3" s="52" t="s">
        <v>206</v>
      </c>
      <c r="C3" s="104" t="s">
        <v>207</v>
      </c>
      <c r="D3" s="104"/>
      <c r="E3" s="52" t="s">
        <v>208</v>
      </c>
      <c r="F3" s="104" t="s">
        <v>209</v>
      </c>
    </row>
    <row r="4" spans="1:6" ht="49.5" customHeight="1" x14ac:dyDescent="0.25">
      <c r="A4" s="103">
        <v>43276</v>
      </c>
      <c r="B4" s="52" t="s">
        <v>210</v>
      </c>
      <c r="C4" s="104" t="s">
        <v>211</v>
      </c>
      <c r="D4" s="104"/>
      <c r="E4" s="52" t="s">
        <v>208</v>
      </c>
      <c r="F4" s="104" t="s">
        <v>212</v>
      </c>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0" spans="1:6" x14ac:dyDescent="0.25">
      <c r="A20" s="140" t="s">
        <v>213</v>
      </c>
      <c r="B20" s="140"/>
      <c r="C20" s="140"/>
      <c r="D20" s="140"/>
      <c r="E20" s="140"/>
      <c r="F20" s="140"/>
    </row>
    <row r="21" spans="1:6" x14ac:dyDescent="0.25">
      <c r="A21" s="83" t="s">
        <v>201</v>
      </c>
      <c r="B21" s="83" t="s">
        <v>202</v>
      </c>
      <c r="C21" s="83" t="s">
        <v>214</v>
      </c>
      <c r="D21" s="83" t="s">
        <v>215</v>
      </c>
      <c r="E21" s="83" t="s">
        <v>173</v>
      </c>
      <c r="F21" s="83" t="s">
        <v>205</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216</v>
      </c>
      <c r="B1" s="121"/>
      <c r="C1" s="121"/>
      <c r="D1" s="121"/>
      <c r="E1" s="121"/>
      <c r="F1" s="121"/>
      <c r="G1" s="121"/>
      <c r="H1" s="121"/>
      <c r="I1" s="121"/>
      <c r="J1" s="121"/>
      <c r="K1" s="121"/>
      <c r="L1" s="121"/>
      <c r="M1" s="121"/>
      <c r="N1" s="121"/>
    </row>
    <row r="2" spans="1:18" s="1" customFormat="1" ht="25.5" customHeight="1" x14ac:dyDescent="0.25">
      <c r="A2" s="55" t="s">
        <v>217</v>
      </c>
      <c r="B2" s="55" t="s">
        <v>218</v>
      </c>
      <c r="C2" s="55" t="s">
        <v>219</v>
      </c>
      <c r="D2" s="55" t="s">
        <v>220</v>
      </c>
      <c r="E2" s="55" t="s">
        <v>221</v>
      </c>
      <c r="F2" s="55" t="s">
        <v>222</v>
      </c>
      <c r="G2" s="55" t="s">
        <v>223</v>
      </c>
      <c r="H2" s="55" t="s">
        <v>16</v>
      </c>
      <c r="I2" s="55" t="s">
        <v>224</v>
      </c>
      <c r="J2" s="55" t="s">
        <v>225</v>
      </c>
      <c r="K2" s="55" t="s">
        <v>226</v>
      </c>
      <c r="L2" s="55" t="s">
        <v>227</v>
      </c>
      <c r="M2" s="55" t="s">
        <v>19</v>
      </c>
      <c r="N2" s="55" t="s">
        <v>228</v>
      </c>
      <c r="O2" s="3"/>
      <c r="P2" s="107" t="str">
        <f ca="1">Q2</f>
        <v>2019-04-08</v>
      </c>
      <c r="Q2" s="1" t="str">
        <f ca="1">[1]!td(R2-1)</f>
        <v>2019-04-08</v>
      </c>
      <c r="R2" s="3">
        <f ca="1">TODAY()</f>
        <v>43564</v>
      </c>
    </row>
    <row r="3" spans="1:18" ht="15.75" customHeight="1" x14ac:dyDescent="0.25">
      <c r="A3" s="108" t="str">
        <f>[1]!b_info_name(L3)</f>
        <v>19贵州高速MTN002</v>
      </c>
      <c r="B3" s="2" t="str">
        <f>[1]!b_issue_firstissue(L3)</f>
        <v>2019-04-10</v>
      </c>
      <c r="C3" s="108">
        <f>[1]!b_info_term(L3)</f>
        <v>3</v>
      </c>
      <c r="D3" s="109" t="str">
        <f>[1]!issuerrating(L3)</f>
        <v>AAA</v>
      </c>
      <c r="E3" s="109" t="str">
        <f>[1]!b_info_creditrating(L3)</f>
        <v>AAA</v>
      </c>
      <c r="F3" s="108" t="str">
        <f>[1]!b_rate_creditratingagency(L3)</f>
        <v>上海新世纪资信评估投资服务有限公司</v>
      </c>
      <c r="G3" s="110">
        <f>[1]!b_agency_guarantor(L3)</f>
        <v>0</v>
      </c>
      <c r="H3" s="111" t="s">
        <v>229</v>
      </c>
      <c r="I3" s="65"/>
      <c r="J3" s="112" t="s">
        <v>229</v>
      </c>
      <c r="K3" s="113"/>
      <c r="L3" s="41" t="str">
        <f>公式页!A2</f>
        <v>q19040806.IB</v>
      </c>
      <c r="M3" s="111" t="s">
        <v>229</v>
      </c>
      <c r="N3" s="108" t="str">
        <f>[1]!b_agency_leadunderwriter(L3)</f>
        <v>国家开发银行</v>
      </c>
      <c r="P3" s="106" t="str">
        <f t="shared" ref="P3:P29" ca="1" si="0">$P$2</f>
        <v>2019-04-08</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3.6494</v>
      </c>
      <c r="K4" s="113">
        <f>K3</f>
        <v>0</v>
      </c>
      <c r="L4" s="4" t="s">
        <v>230</v>
      </c>
      <c r="M4" s="111">
        <f>[1]!b_info_issueamount(L4)/100000000</f>
        <v>5</v>
      </c>
      <c r="N4" s="108" t="str">
        <f>[1]!b_agency_leadunderwriter(L4)</f>
        <v>上海浦东发展银行股份有限公司,中国国际金融股份有限公司</v>
      </c>
      <c r="P4" s="106" t="str">
        <f t="shared" ca="1" si="0"/>
        <v>2019-04-08</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2019-04-08</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2019-04-08</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2019-04-08</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2019-04-08</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2019-04-08</v>
      </c>
    </row>
    <row r="10" spans="1:18" x14ac:dyDescent="0.25">
      <c r="P10" s="106" t="str">
        <f t="shared" ca="1" si="0"/>
        <v>2019-04-08</v>
      </c>
    </row>
    <row r="11" spans="1:18" x14ac:dyDescent="0.25">
      <c r="P11" s="106" t="str">
        <f t="shared" ca="1" si="0"/>
        <v>2019-04-08</v>
      </c>
    </row>
    <row r="12" spans="1:18" x14ac:dyDescent="0.25">
      <c r="A12" s="147" t="s">
        <v>231</v>
      </c>
      <c r="B12" s="121"/>
      <c r="C12" s="121"/>
      <c r="D12" s="121"/>
      <c r="E12" s="121"/>
      <c r="F12" s="121"/>
      <c r="G12" s="121"/>
      <c r="H12" s="121"/>
      <c r="I12" s="121"/>
      <c r="J12" s="121"/>
      <c r="K12" s="121"/>
      <c r="L12" s="121"/>
      <c r="M12" s="121"/>
      <c r="N12" s="121"/>
      <c r="P12" s="106" t="str">
        <f t="shared" ca="1" si="0"/>
        <v>2019-04-08</v>
      </c>
    </row>
    <row r="13" spans="1:18" s="1" customFormat="1" ht="43.2" customHeight="1" x14ac:dyDescent="0.25">
      <c r="A13" s="55" t="s">
        <v>217</v>
      </c>
      <c r="B13" s="55" t="s">
        <v>218</v>
      </c>
      <c r="C13" s="55" t="s">
        <v>219</v>
      </c>
      <c r="D13" s="55" t="s">
        <v>220</v>
      </c>
      <c r="E13" s="55" t="s">
        <v>221</v>
      </c>
      <c r="F13" s="55" t="s">
        <v>222</v>
      </c>
      <c r="G13" s="55" t="s">
        <v>223</v>
      </c>
      <c r="H13" s="55" t="s">
        <v>16</v>
      </c>
      <c r="I13" s="55" t="s">
        <v>224</v>
      </c>
      <c r="J13" s="55" t="s">
        <v>225</v>
      </c>
      <c r="K13" s="55" t="s">
        <v>226</v>
      </c>
      <c r="L13" s="55" t="s">
        <v>227</v>
      </c>
      <c r="M13" s="55" t="s">
        <v>19</v>
      </c>
      <c r="N13" s="55" t="s">
        <v>228</v>
      </c>
      <c r="P13" s="106" t="str">
        <f t="shared" ca="1" si="0"/>
        <v>2019-04-08</v>
      </c>
    </row>
    <row r="14" spans="1:18" ht="15.75" customHeight="1" x14ac:dyDescent="0.25">
      <c r="A14" s="108" t="str">
        <f>[1]!b_info_name(L14)</f>
        <v>19贵州高速MTN002</v>
      </c>
      <c r="B14" s="2" t="str">
        <f>[1]!b_issue_firstissue(L14)</f>
        <v>2019-04-10</v>
      </c>
      <c r="C14" s="108">
        <f>[1]!b_info_term(L14)</f>
        <v>3</v>
      </c>
      <c r="D14" s="109" t="str">
        <f>[1]!issuerrating(L14)</f>
        <v>AAA</v>
      </c>
      <c r="E14" s="109" t="str">
        <f>[1]!b_info_creditrating(L14)</f>
        <v>AAA</v>
      </c>
      <c r="F14" s="108" t="str">
        <f>[1]!b_rate_creditratingagency(L14)</f>
        <v>上海新世纪资信评估投资服务有限公司</v>
      </c>
      <c r="G14" s="110">
        <f>[1]!b_agency_guarantor(L14)</f>
        <v>0</v>
      </c>
      <c r="H14" s="111" t="s">
        <v>229</v>
      </c>
      <c r="I14" s="65"/>
      <c r="J14" s="112" t="s">
        <v>229</v>
      </c>
      <c r="K14" s="113">
        <f>K3</f>
        <v>0</v>
      </c>
      <c r="L14" s="42" t="str">
        <f>L3</f>
        <v>q19040806.IB</v>
      </c>
      <c r="M14" s="111" t="s">
        <v>229</v>
      </c>
      <c r="N14" s="108" t="str">
        <f>[1]!b_agency_leadunderwriter(L14)</f>
        <v>国家开发银行</v>
      </c>
      <c r="P14" s="106" t="str">
        <f t="shared" ca="1" si="0"/>
        <v>2019-04-08</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232</v>
      </c>
      <c r="M15" s="111">
        <f>[1]!b_info_issueamount(L15)/100000000</f>
        <v>5</v>
      </c>
      <c r="N15" s="108" t="str">
        <f>[1]!b_agency_leadunderwriter(L15)</f>
        <v>招商银行股份有限公司</v>
      </c>
      <c r="O15" t="str">
        <f>[1]!b_issuer_windindustry(L15,4)</f>
        <v>西药</v>
      </c>
      <c r="P15" s="106" t="str">
        <f t="shared" ca="1" si="0"/>
        <v>2019-04-08</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233</v>
      </c>
      <c r="M16" s="111">
        <f>[1]!b_info_issueamount(L16)/100000000</f>
        <v>6</v>
      </c>
      <c r="N16" s="108" t="str">
        <f>[1]!b_agency_leadunderwriter(L16)</f>
        <v>北京银行股份有限公司</v>
      </c>
      <c r="O16" t="str">
        <f>[1]!b_issuer_windindustry(L16,4)</f>
        <v>化肥与农用化工</v>
      </c>
      <c r="P16" s="106" t="str">
        <f t="shared" ca="1" si="0"/>
        <v>2019-04-08</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234</v>
      </c>
      <c r="M17" s="111">
        <f>[1]!b_info_issueamount(L17)/100000000</f>
        <v>3.5</v>
      </c>
      <c r="N17" s="108" t="str">
        <f>[1]!b_agency_leadunderwriter(L17)</f>
        <v>华夏银行股份有限公司</v>
      </c>
      <c r="O17" t="str">
        <f>[1]!b_issuer_windindustry(L17,4)</f>
        <v>食品加工与肉类</v>
      </c>
      <c r="P17" s="106" t="str">
        <f t="shared" ca="1" si="0"/>
        <v>2019-04-08</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235</v>
      </c>
      <c r="M18" s="111">
        <f>[1]!b_info_issueamount(L18)/100000000</f>
        <v>3</v>
      </c>
      <c r="N18" s="108" t="str">
        <f>[1]!b_agency_leadunderwriter(L18)</f>
        <v>兴业银行股份有限公司</v>
      </c>
      <c r="O18" t="str">
        <f>[1]!b_issuer_windindustry(L18,4)</f>
        <v>工业机械</v>
      </c>
      <c r="P18" s="106" t="str">
        <f t="shared" ca="1" si="0"/>
        <v>2019-04-08</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236</v>
      </c>
      <c r="M19" s="111">
        <f>[1]!b_info_issueamount(L19)/100000000</f>
        <v>3</v>
      </c>
      <c r="N19" s="108" t="str">
        <f>[1]!b_agency_leadunderwriter(L19)</f>
        <v>中国银行股份有限公司</v>
      </c>
      <c r="O19" t="str">
        <f>[1]!b_issuer_windindustry(L19,4)</f>
        <v>半导体产品</v>
      </c>
      <c r="P19" s="106" t="str">
        <f t="shared" ca="1" si="0"/>
        <v>2019-04-08</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237</v>
      </c>
      <c r="M20" s="111">
        <f>[1]!b_info_issueamount(L20)/100000000</f>
        <v>5</v>
      </c>
      <c r="N20" s="108" t="str">
        <f>[1]!b_agency_leadunderwriter(L20)</f>
        <v>中国银行股份有限公司</v>
      </c>
      <c r="O20" t="str">
        <f>[1]!b_issuer_windindustry(L20,4)</f>
        <v>医疗保健用品</v>
      </c>
      <c r="P20" s="106" t="str">
        <f t="shared" ca="1" si="0"/>
        <v>2019-04-08</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238</v>
      </c>
      <c r="M21" s="111">
        <f>[1]!b_info_issueamount(L21)/100000000</f>
        <v>2</v>
      </c>
      <c r="N21" s="108" t="str">
        <f>[1]!b_agency_leadunderwriter(L21)</f>
        <v>中国银行股份有限公司</v>
      </c>
      <c r="O21" t="str">
        <f>[1]!b_issuer_windindustry(L21,4)</f>
        <v>食品加工与肉类</v>
      </c>
      <c r="P21" s="106" t="str">
        <f t="shared" ca="1" si="0"/>
        <v>2019-04-08</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239</v>
      </c>
      <c r="M22" s="111">
        <f>[1]!b_info_issueamount(L22)/100000000</f>
        <v>4</v>
      </c>
      <c r="N22" s="108" t="str">
        <f>[1]!b_agency_leadunderwriter(L22)</f>
        <v>中国工商银行股份有限公司</v>
      </c>
      <c r="O22" t="str">
        <f>[1]!b_issuer_windindustry(L22,4)</f>
        <v>酒店、度假村与豪华游轮</v>
      </c>
      <c r="P22" s="106" t="str">
        <f t="shared" ca="1" si="0"/>
        <v>2019-04-08</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240</v>
      </c>
      <c r="M23" s="111">
        <f>[1]!b_info_issueamount(L23)/100000000</f>
        <v>4</v>
      </c>
      <c r="N23" s="108" t="str">
        <f>[1]!b_agency_leadunderwriter(L23)</f>
        <v>中国银行股份有限公司</v>
      </c>
      <c r="O23" t="str">
        <f>[1]!b_issuer_windindustry(L23,4)</f>
        <v>金属非金属</v>
      </c>
      <c r="P23" s="106" t="str">
        <f t="shared" ca="1" si="0"/>
        <v>2019-04-08</v>
      </c>
    </row>
    <row r="24" spans="1:16" x14ac:dyDescent="0.25">
      <c r="P24" s="106" t="str">
        <f t="shared" ca="1" si="0"/>
        <v>2019-04-08</v>
      </c>
    </row>
    <row r="25" spans="1:16" x14ac:dyDescent="0.25">
      <c r="P25" s="106" t="str">
        <f t="shared" ca="1" si="0"/>
        <v>2019-04-08</v>
      </c>
    </row>
    <row r="26" spans="1:16" x14ac:dyDescent="0.25">
      <c r="P26" s="106" t="str">
        <f t="shared" ca="1" si="0"/>
        <v>2019-04-08</v>
      </c>
    </row>
    <row r="27" spans="1:16" x14ac:dyDescent="0.25">
      <c r="P27" s="106" t="str">
        <f t="shared" ca="1" si="0"/>
        <v>2019-04-08</v>
      </c>
    </row>
    <row r="28" spans="1:16" x14ac:dyDescent="0.25">
      <c r="P28" s="106" t="str">
        <f t="shared" ca="1" si="0"/>
        <v>2019-04-08</v>
      </c>
    </row>
    <row r="29" spans="1:16" x14ac:dyDescent="0.25">
      <c r="P29" s="106"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2019-04-09T08:59:32Z</dcterms:modified>
</cp:coreProperties>
</file>