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1新券信评\"/>
    </mc:Choice>
  </mc:AlternateContent>
  <xr:revisionPtr revIDLastSave="0" documentId="13_ncr:1_{275E47DD-BD23-4DC7-8B66-4A89AB26EDED}"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M21" i="6"/>
  <c r="G20" i="6"/>
  <c r="D19" i="6"/>
  <c r="A18" i="6"/>
  <c r="N16" i="6"/>
  <c r="H15" i="6"/>
  <c r="G14" i="6"/>
  <c r="E8" i="6"/>
  <c r="B7" i="6"/>
  <c r="H6" i="6"/>
  <c r="H5" i="6"/>
  <c r="E4" i="6"/>
  <c r="G3" i="6"/>
  <c r="M140" i="1"/>
  <c r="M138" i="1"/>
  <c r="M136" i="1"/>
  <c r="S134" i="1"/>
  <c r="O133" i="1"/>
  <c r="M132" i="1"/>
  <c r="M130" i="1"/>
  <c r="O129" i="1"/>
  <c r="S128" i="1"/>
  <c r="O23" i="6"/>
  <c r="F21" i="6"/>
  <c r="C20" i="6"/>
  <c r="M17" i="6"/>
  <c r="G16" i="6"/>
  <c r="D15" i="6"/>
  <c r="C14" i="6"/>
  <c r="H9" i="6"/>
  <c r="B8" i="6"/>
  <c r="G7" i="6"/>
  <c r="N6" i="6"/>
  <c r="G6" i="6"/>
  <c r="N5" i="6"/>
  <c r="E5" i="6"/>
  <c r="B4" i="6"/>
  <c r="D3" i="6"/>
  <c r="S141" i="1"/>
  <c r="S139" i="1"/>
  <c r="S137" i="1"/>
  <c r="S135" i="1"/>
  <c r="O134" i="1"/>
  <c r="M133" i="1"/>
  <c r="S131" i="1"/>
  <c r="M129" i="1"/>
  <c r="O128" i="1"/>
  <c r="S127" i="1"/>
  <c r="M121" i="1"/>
  <c r="M120" i="1"/>
  <c r="M119" i="1"/>
  <c r="M118" i="1"/>
  <c r="M117" i="1"/>
  <c r="H23" i="6"/>
  <c r="E22" i="6"/>
  <c r="B21" i="6"/>
  <c r="O19" i="6"/>
  <c r="F17" i="6"/>
  <c r="C16" i="6"/>
  <c r="D9" i="6"/>
  <c r="A8" i="6"/>
  <c r="F7" i="6"/>
  <c r="M6" i="6"/>
  <c r="D6" i="6"/>
  <c r="D5" i="6"/>
  <c r="A4" i="6"/>
  <c r="C3" i="6"/>
  <c r="M141" i="1"/>
  <c r="M139" i="1"/>
  <c r="M137" i="1"/>
  <c r="O135" i="1"/>
  <c r="M134" i="1"/>
  <c r="S132" i="1"/>
  <c r="O131" i="1"/>
  <c r="S130" i="1"/>
  <c r="M128" i="1"/>
  <c r="O127" i="1"/>
  <c r="D23" i="6"/>
  <c r="E18" i="6"/>
  <c r="N9" i="6"/>
  <c r="F8" i="6"/>
  <c r="A5" i="6"/>
  <c r="Q2" i="6"/>
  <c r="S136" i="1"/>
  <c r="M131"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A22" i="6"/>
  <c r="B17" i="6"/>
  <c r="M7" i="6"/>
  <c r="C6" i="6"/>
  <c r="M135" i="1"/>
  <c r="O130" i="1"/>
  <c r="M127" i="1"/>
  <c r="M123"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N20" i="6"/>
  <c r="O15" i="6"/>
  <c r="A9" i="6"/>
  <c r="F4" i="6"/>
  <c r="S140" i="1"/>
  <c r="S133" i="1"/>
  <c r="S129"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H19" i="6"/>
  <c r="S138" i="1"/>
  <c r="S110" i="1"/>
  <c r="R101" i="1"/>
  <c r="P100" i="1"/>
  <c r="N99" i="1"/>
  <c r="L98" i="1"/>
  <c r="G97" i="1"/>
  <c r="E96" i="1"/>
  <c r="G93" i="1"/>
  <c r="C91" i="1"/>
  <c r="E88" i="1"/>
  <c r="G85" i="1"/>
  <c r="C83" i="1"/>
  <c r="E80" i="1"/>
  <c r="G77" i="1"/>
  <c r="C75" i="1"/>
  <c r="E72" i="1"/>
  <c r="G69" i="1"/>
  <c r="C67" i="1"/>
  <c r="E64" i="1"/>
  <c r="G61" i="1"/>
  <c r="C59" i="1"/>
  <c r="B58" i="1"/>
  <c r="C57" i="1"/>
  <c r="D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E102" i="1"/>
  <c r="R99" i="1"/>
  <c r="N97" i="1"/>
  <c r="E94" i="1"/>
  <c r="C89" i="1"/>
  <c r="C81" i="1"/>
  <c r="G75" i="1"/>
  <c r="G67" i="1"/>
  <c r="G59" i="1"/>
  <c r="E56" i="1"/>
  <c r="D54" i="1"/>
  <c r="B53" i="1"/>
  <c r="B51" i="1"/>
  <c r="B49" i="1"/>
  <c r="B47" i="1"/>
  <c r="B45" i="1"/>
  <c r="B43" i="1"/>
  <c r="D40" i="1"/>
  <c r="D38" i="1"/>
  <c r="D36" i="1"/>
  <c r="D34" i="1"/>
  <c r="B33" i="1"/>
  <c r="F31" i="1"/>
  <c r="Q29" i="1"/>
  <c r="O28" i="1"/>
  <c r="Q27" i="1"/>
  <c r="B27" i="1"/>
  <c r="D26" i="1"/>
  <c r="F25" i="1"/>
  <c r="O24" i="1"/>
  <c r="Q23" i="1"/>
  <c r="D22" i="1"/>
  <c r="F21" i="1"/>
  <c r="J20" i="1"/>
  <c r="M19" i="1"/>
  <c r="Q17" i="1"/>
  <c r="F17" i="1"/>
  <c r="J16" i="1"/>
  <c r="M15" i="1"/>
  <c r="B11" i="1"/>
  <c r="B7" i="1"/>
  <c r="C7" i="6"/>
  <c r="O132" i="1"/>
  <c r="F113" i="1"/>
  <c r="D110" i="1"/>
  <c r="P103" i="1"/>
  <c r="N101" i="1"/>
  <c r="L100" i="1"/>
  <c r="G99" i="1"/>
  <c r="E98" i="1"/>
  <c r="C97" i="1"/>
  <c r="G95" i="1"/>
  <c r="C93" i="1"/>
  <c r="E90" i="1"/>
  <c r="G87" i="1"/>
  <c r="C85" i="1"/>
  <c r="E82" i="1"/>
  <c r="G79" i="1"/>
  <c r="C77" i="1"/>
  <c r="E74" i="1"/>
  <c r="G71" i="1"/>
  <c r="C69" i="1"/>
  <c r="E66" i="1"/>
  <c r="G63" i="1"/>
  <c r="C61" i="1"/>
  <c r="B59" i="1"/>
  <c r="G57" i="1"/>
  <c r="B57"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O15" i="1"/>
  <c r="J15" i="1"/>
  <c r="D15" i="1"/>
  <c r="F14" i="1"/>
  <c r="B14" i="1"/>
  <c r="B10" i="1"/>
  <c r="B8" i="1"/>
  <c r="E5" i="1"/>
  <c r="G91" i="1"/>
  <c r="G83" i="1"/>
  <c r="C73" i="1"/>
  <c r="C65" i="1"/>
  <c r="D58" i="1"/>
  <c r="F55" i="1"/>
  <c r="F53" i="1"/>
  <c r="F51" i="1"/>
  <c r="F49" i="1"/>
  <c r="F47" i="1"/>
  <c r="F45" i="1"/>
  <c r="F43" i="1"/>
  <c r="F41" i="1"/>
  <c r="F39" i="1"/>
  <c r="F37" i="1"/>
  <c r="F35" i="1"/>
  <c r="F33" i="1"/>
  <c r="D32" i="1"/>
  <c r="D30" i="1"/>
  <c r="F29" i="1"/>
  <c r="J28" i="1"/>
  <c r="M27" i="1"/>
  <c r="O26" i="1"/>
  <c r="Q25" i="1"/>
  <c r="B25" i="1"/>
  <c r="D24" i="1"/>
  <c r="F23" i="1"/>
  <c r="M21" i="1"/>
  <c r="B21" i="1"/>
  <c r="D20" i="1"/>
  <c r="F19" i="1"/>
  <c r="D18" i="1"/>
  <c r="B17" i="1"/>
  <c r="D16" i="1"/>
  <c r="F15" i="1"/>
  <c r="D112" i="1"/>
  <c r="L103" i="1"/>
  <c r="G101" i="1"/>
  <c r="E100" i="1"/>
  <c r="C99" i="1"/>
  <c r="R97" i="1"/>
  <c r="P96" i="1"/>
  <c r="C95" i="1"/>
  <c r="E92" i="1"/>
  <c r="G89" i="1"/>
  <c r="C87" i="1"/>
  <c r="E84" i="1"/>
  <c r="G81" i="1"/>
  <c r="C79" i="1"/>
  <c r="E76" i="1"/>
  <c r="G73" i="1"/>
  <c r="C71" i="1"/>
  <c r="E68" i="1"/>
  <c r="G65" i="1"/>
  <c r="C63" i="1"/>
  <c r="E60" i="1"/>
  <c r="E58" i="1"/>
  <c r="F57" i="1"/>
  <c r="F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11" i="1"/>
  <c r="F9" i="1"/>
  <c r="F7" i="1"/>
  <c r="B5" i="1"/>
  <c r="C101" i="1"/>
  <c r="P98" i="1"/>
  <c r="L96" i="1"/>
  <c r="E86" i="1"/>
  <c r="E78" i="1"/>
  <c r="E70" i="1"/>
  <c r="E62" i="1"/>
  <c r="D57" i="1"/>
  <c r="B55" i="1"/>
  <c r="D52" i="1"/>
  <c r="D50" i="1"/>
  <c r="D48" i="1"/>
  <c r="D46" i="1"/>
  <c r="D44" i="1"/>
  <c r="D42" i="1"/>
  <c r="B41" i="1"/>
  <c r="B39" i="1"/>
  <c r="B37" i="1"/>
  <c r="B35" i="1"/>
  <c r="B31" i="1"/>
  <c r="M29" i="1"/>
  <c r="B29" i="1"/>
  <c r="D28" i="1"/>
  <c r="F27" i="1"/>
  <c r="J26" i="1"/>
  <c r="M25" i="1"/>
  <c r="J24" i="1"/>
  <c r="M23" i="1"/>
  <c r="B23" i="1"/>
  <c r="Q21" i="1"/>
  <c r="O20" i="1"/>
  <c r="Q19" i="1"/>
  <c r="B19" i="1"/>
  <c r="M17" i="1"/>
  <c r="O16" i="1"/>
  <c r="Q15" i="1"/>
  <c r="B15" i="1"/>
  <c r="D14" i="1"/>
  <c r="B9" i="1"/>
  <c r="E4" i="1"/>
  <c r="L22" i="1" l="1"/>
  <c r="P22" i="1"/>
  <c r="D122" i="1"/>
  <c r="H110" i="1"/>
  <c r="H128" i="1"/>
  <c r="M22" i="1"/>
  <c r="Q22" i="1"/>
  <c r="B109" i="1"/>
  <c r="B111" i="1"/>
  <c r="B112" i="1"/>
  <c r="H119" i="1"/>
  <c r="H123" i="1"/>
  <c r="H130" i="1"/>
  <c r="N22" i="1"/>
  <c r="R22" i="1"/>
  <c r="H109" i="1"/>
  <c r="H111" i="1"/>
  <c r="B117" i="1"/>
  <c r="D120" i="1"/>
  <c r="B125" i="1"/>
  <c r="J22" i="1"/>
  <c r="O22" i="1"/>
  <c r="B110" i="1"/>
  <c r="H112" i="1"/>
  <c r="B121" i="1"/>
  <c r="H126" i="1"/>
  <c r="P2" i="6"/>
  <c r="D117" i="1"/>
  <c r="B118" i="1"/>
  <c r="H120" i="1"/>
  <c r="D121" i="1"/>
  <c r="H122" i="1"/>
  <c r="B124" i="1"/>
  <c r="D125" i="1"/>
  <c r="B127" i="1"/>
  <c r="B129" i="1"/>
  <c r="B131" i="1"/>
  <c r="H117" i="1"/>
  <c r="D118" i="1"/>
  <c r="B119" i="1"/>
  <c r="H121" i="1"/>
  <c r="B123" i="1"/>
  <c r="D124" i="1"/>
  <c r="H125" i="1"/>
  <c r="H127" i="1"/>
  <c r="H129" i="1"/>
  <c r="H131" i="1"/>
  <c r="H118" i="1"/>
  <c r="D119" i="1"/>
  <c r="B120" i="1"/>
  <c r="B122" i="1"/>
  <c r="D123" i="1"/>
  <c r="H124" i="1"/>
  <c r="B126" i="1"/>
  <c r="B128" i="1"/>
  <c r="B130" i="1"/>
  <c r="J4" i="6"/>
  <c r="P29" i="6" l="1"/>
  <c r="P25" i="6"/>
  <c r="P21" i="6"/>
  <c r="P17" i="6"/>
  <c r="P11" i="6"/>
  <c r="P7" i="6"/>
  <c r="P3" i="6"/>
  <c r="P28" i="6"/>
  <c r="P24" i="6"/>
  <c r="P20" i="6"/>
  <c r="P16" i="6"/>
  <c r="P10" i="6"/>
  <c r="P6" i="6"/>
  <c r="P27" i="6"/>
  <c r="P23" i="6"/>
  <c r="P19" i="6"/>
  <c r="P15" i="6"/>
  <c r="P13" i="6"/>
  <c r="P9" i="6"/>
  <c r="P26" i="6"/>
  <c r="P22" i="6"/>
  <c r="P8" i="6"/>
  <c r="P5" i="6"/>
  <c r="P4" i="6"/>
  <c r="P18" i="6"/>
  <c r="P14" i="6"/>
  <c r="P12" i="6"/>
  <c r="J23" i="6"/>
  <c r="J5" i="6"/>
  <c r="J18" i="6"/>
  <c r="J7" i="6"/>
  <c r="J17" i="6"/>
  <c r="J20" i="6"/>
  <c r="J19" i="6"/>
  <c r="J21" i="6"/>
  <c r="J6" i="6"/>
  <c r="J8" i="6"/>
  <c r="J9" i="6"/>
  <c r="J22" i="6"/>
  <c r="J15" i="6"/>
  <c r="J16" i="6"/>
</calcChain>
</file>

<file path=xl/sharedStrings.xml><?xml version="1.0" encoding="utf-8"?>
<sst xmlns="http://schemas.openxmlformats.org/spreadsheetml/2006/main" count="888" uniqueCount="429">
  <si>
    <t>d19041007.IB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</si>
  <si>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</si>
  <si>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</si>
  <si>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</si>
  <si>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</si>
  <si>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</si>
  <si>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</si>
  <si>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</si>
  <si>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</si>
  <si>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</si>
  <si>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</si>
  <si>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</si>
  <si>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</si>
  <si>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</si>
  <si>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</si>
  <si>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</si>
  <si>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</si>
  <si>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</si>
  <si>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</si>
  <si>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</si>
  <si>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</si>
  <si>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</si>
  <si>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</si>
  <si>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</si>
  <si>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</si>
  <si>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</si>
  <si>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</si>
  <si>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</si>
  <si>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</si>
  <si>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</si>
  <si>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</si>
  <si>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</si>
  <si>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</si>
  <si>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</si>
  <si>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</si>
  <si>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</si>
  <si>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</si>
  <si>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</si>
  <si>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</si>
  <si>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</si>
  <si>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</si>
  <si>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</si>
  <si>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</si>
  <si>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</si>
  <si>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</si>
  <si>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</si>
  <si>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</si>
  <si>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</si>
  <si>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</si>
  <si>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</si>
  <si>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</si>
  <si>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</si>
  <si>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</si>
  <si>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</si>
  <si>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</si>
  <si>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</si>
  <si>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</si>
  <si>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</si>
  <si>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</si>
  <si>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</si>
  <si>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</si>
  <si>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</si>
  <si>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</si>
  <si>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</si>
  <si>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</si>
  <si>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</si>
  <si>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</si>
  <si>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</si>
  <si>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</si>
  <si>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</si>
  <si>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</si>
  <si>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</si>
  <si>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</si>
  <si>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</si>
  <si>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</si>
  <si>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</si>
  <si>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</si>
  <si>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</si>
  <si>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</si>
  <si>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</si>
  <si>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</si>
  <si>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</si>
  <si>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</si>
  <si>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</si>
  <si>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</si>
  <si>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</si>
  <si>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</si>
  <si>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</si>
  <si>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</si>
  <si>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</si>
  <si>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</si>
  <si>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</si>
  <si>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</si>
  <si>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</si>
  <si>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</si>
  <si>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</si>
  <si>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</si>
  <si>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</si>
  <si>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</si>
  <si>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</si>
  <si>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</si>
  <si>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</si>
  <si>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</si>
  <si>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</si>
  <si>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</si>
  <si>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</si>
  <si>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</si>
  <si>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</si>
  <si>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</si>
  <si>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</si>
  <si>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</si>
  <si>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</si>
  <si>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</si>
  <si>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101801383.IB</t>
  </si>
  <si>
    <t>20181122</t>
  </si>
  <si>
    <t>18五矿MTN002</t>
  </si>
  <si>
    <t>101800970.IB</t>
  </si>
  <si>
    <t>20180828</t>
  </si>
  <si>
    <t>18五矿MTN001</t>
  </si>
  <si>
    <t>011800475.IB</t>
  </si>
  <si>
    <t>20180316</t>
  </si>
  <si>
    <t>18五矿SCP001</t>
  </si>
  <si>
    <t>011699473.IB</t>
  </si>
  <si>
    <t>20160316</t>
  </si>
  <si>
    <t>16五矿集SCP003</t>
  </si>
  <si>
    <t>011699356.IB</t>
  </si>
  <si>
    <t>20160304</t>
  </si>
  <si>
    <t>16五矿集SCP002</t>
  </si>
  <si>
    <t>011699117.IB</t>
  </si>
  <si>
    <t>20160119</t>
  </si>
  <si>
    <t>16五矿集SCP001</t>
  </si>
  <si>
    <t>011533015.IB</t>
  </si>
  <si>
    <t>20151210</t>
  </si>
  <si>
    <t>15五矿SCP015</t>
  </si>
  <si>
    <t>011533014.IB</t>
  </si>
  <si>
    <t>20151203</t>
  </si>
  <si>
    <t>15五矿SCP014</t>
  </si>
  <si>
    <t>011533013.IB</t>
  </si>
  <si>
    <t>20151126</t>
  </si>
  <si>
    <t>15五矿SCP013</t>
  </si>
  <si>
    <t>011533012.IB</t>
  </si>
  <si>
    <t>20151028</t>
  </si>
  <si>
    <t>15五矿SCP012</t>
  </si>
  <si>
    <t>011533011.IB</t>
  </si>
  <si>
    <t>20151020</t>
  </si>
  <si>
    <t>15五矿SCP011</t>
  </si>
  <si>
    <t>011533010.IB</t>
  </si>
  <si>
    <t>20150915</t>
  </si>
  <si>
    <t>15五矿SCP010</t>
  </si>
  <si>
    <t>011533009.IB</t>
  </si>
  <si>
    <t>20150907</t>
  </si>
  <si>
    <t>15五矿SCP009</t>
  </si>
  <si>
    <t>011533008.IB</t>
  </si>
  <si>
    <t>20150617</t>
  </si>
  <si>
    <t>15五矿SCP008</t>
  </si>
  <si>
    <t>011599331.IB</t>
  </si>
  <si>
    <t>20150608</t>
  </si>
  <si>
    <t>15五矿SCP007</t>
  </si>
  <si>
    <t>011533006.IB</t>
  </si>
  <si>
    <t>20150602</t>
  </si>
  <si>
    <t>15五矿SCP006</t>
  </si>
  <si>
    <t>011533005.IB</t>
  </si>
  <si>
    <t>20150427</t>
  </si>
  <si>
    <t>15五矿SCP005</t>
  </si>
  <si>
    <t>011533004.IB</t>
  </si>
  <si>
    <t>20150420</t>
  </si>
  <si>
    <t>15五矿SCP004</t>
  </si>
  <si>
    <t>011533003.IB</t>
  </si>
  <si>
    <t>20150409</t>
  </si>
  <si>
    <t>15五矿SCP003</t>
  </si>
  <si>
    <t>011533002.IB</t>
  </si>
  <si>
    <t>20150331</t>
  </si>
  <si>
    <t>15五矿SCP002</t>
  </si>
  <si>
    <t>011533001.IB</t>
  </si>
  <si>
    <t>20150313</t>
  </si>
  <si>
    <t>15五矿SCP001</t>
  </si>
  <si>
    <t>011433011.IB</t>
  </si>
  <si>
    <t>20141105</t>
  </si>
  <si>
    <t>14五矿SCP011</t>
  </si>
  <si>
    <t>011433010.IB</t>
  </si>
  <si>
    <t>20141024</t>
  </si>
  <si>
    <t>14五矿SCP010</t>
  </si>
  <si>
    <t>011433009.IB</t>
  </si>
  <si>
    <t>20141011</t>
  </si>
  <si>
    <t>14五矿SCP009</t>
  </si>
  <si>
    <t>011433008.IB</t>
  </si>
  <si>
    <t>20140801</t>
  </si>
  <si>
    <t>14五矿SCP008</t>
  </si>
  <si>
    <t>011433007.IB</t>
  </si>
  <si>
    <t>20140722</t>
  </si>
  <si>
    <t>14五矿SCP007</t>
  </si>
  <si>
    <t>011433006.IB</t>
  </si>
  <si>
    <t>20140618</t>
  </si>
  <si>
    <t>14五矿SCP006</t>
  </si>
  <si>
    <t>011433005.IB</t>
  </si>
  <si>
    <t>20140611</t>
  </si>
  <si>
    <t>14五矿SCP005</t>
  </si>
  <si>
    <t>011433004.IB</t>
  </si>
  <si>
    <t>20140319</t>
  </si>
  <si>
    <t>14五矿SCP004</t>
  </si>
  <si>
    <t>011433003.IB</t>
  </si>
  <si>
    <t>20140306</t>
  </si>
  <si>
    <t>14五矿SCP003</t>
  </si>
  <si>
    <t>011433002.IB</t>
  </si>
  <si>
    <t>20140219</t>
  </si>
  <si>
    <t>14五矿SCP002</t>
  </si>
  <si>
    <t>011433001.IB</t>
  </si>
  <si>
    <t>20140124</t>
  </si>
  <si>
    <t>14五矿SCP001</t>
  </si>
  <si>
    <t>011333008.IB</t>
  </si>
  <si>
    <t>20131021</t>
  </si>
  <si>
    <t>13五矿SCP008</t>
  </si>
  <si>
    <t>011333007.IB</t>
  </si>
  <si>
    <t>20130515</t>
  </si>
  <si>
    <t>13五矿SCP007</t>
  </si>
  <si>
    <t>011333006.IB</t>
  </si>
  <si>
    <t>20130502</t>
  </si>
  <si>
    <t>13五矿SCP006</t>
  </si>
  <si>
    <t>011333005.IB</t>
  </si>
  <si>
    <t>20130415</t>
  </si>
  <si>
    <t>13五矿SCP005</t>
  </si>
  <si>
    <t>011333004.IB</t>
  </si>
  <si>
    <t>20130321</t>
  </si>
  <si>
    <t>13五矿SCP004</t>
  </si>
  <si>
    <t>011333003.IB</t>
  </si>
  <si>
    <t>20130222</t>
  </si>
  <si>
    <t>13五矿SCP003</t>
  </si>
  <si>
    <t>011333002.IB</t>
  </si>
  <si>
    <t>20130205</t>
  </si>
  <si>
    <t>13五矿SCP002</t>
  </si>
  <si>
    <t>011333001.IB</t>
  </si>
  <si>
    <t>20130129</t>
  </si>
  <si>
    <t>13五矿SCP001</t>
  </si>
  <si>
    <t>011233006.IB</t>
  </si>
  <si>
    <t>20121115</t>
  </si>
  <si>
    <t>12五矿SCP006</t>
  </si>
  <si>
    <t>011233005.IB</t>
  </si>
  <si>
    <t>20121107</t>
  </si>
  <si>
    <t>12五矿SCP005</t>
  </si>
  <si>
    <t>011233004.IB</t>
  </si>
  <si>
    <t>20121024</t>
  </si>
  <si>
    <t>12五矿SCP004</t>
  </si>
  <si>
    <t>011233003.IB</t>
  </si>
  <si>
    <t>20121010</t>
  </si>
  <si>
    <t>12五矿SCP003</t>
  </si>
  <si>
    <t>011233002.IB</t>
  </si>
  <si>
    <t>20120830</t>
  </si>
  <si>
    <t>12五矿SCP002</t>
  </si>
  <si>
    <t>011233001.IB</t>
  </si>
  <si>
    <t>20120823</t>
  </si>
  <si>
    <t>12五矿SCP001</t>
  </si>
  <si>
    <t>031201001.IB</t>
  </si>
  <si>
    <t>20120515</t>
  </si>
  <si>
    <t>12五矿PPN001</t>
  </si>
  <si>
    <t>041261005.IB</t>
  </si>
  <si>
    <t>20120208</t>
  </si>
  <si>
    <t>12五矿CP001</t>
  </si>
  <si>
    <t>1182311.IB</t>
  </si>
  <si>
    <t>20111108</t>
  </si>
  <si>
    <t>11五矿MTN1</t>
  </si>
  <si>
    <t>1182312.IB</t>
  </si>
  <si>
    <t>11五矿MTN2</t>
  </si>
  <si>
    <t>031101001.IB</t>
  </si>
  <si>
    <t>20110503</t>
  </si>
  <si>
    <t>11五矿PPN001</t>
  </si>
  <si>
    <t>1181078.IB</t>
  </si>
  <si>
    <t>20110303</t>
  </si>
  <si>
    <t>11五矿CP01</t>
  </si>
  <si>
    <t>1181079.IB</t>
  </si>
  <si>
    <t>11五矿CP02</t>
  </si>
  <si>
    <t>1082165.IB</t>
  </si>
  <si>
    <t>20100917</t>
  </si>
  <si>
    <t>10五矿MTN2</t>
  </si>
  <si>
    <t>1081094.IB</t>
  </si>
  <si>
    <t>20100326</t>
  </si>
  <si>
    <t>10五矿CP01</t>
  </si>
  <si>
    <t>1082041.IB</t>
  </si>
  <si>
    <t>20100317</t>
  </si>
  <si>
    <t>10五矿MTN1</t>
  </si>
  <si>
    <t>0981194.IB</t>
  </si>
  <si>
    <t>20091015</t>
  </si>
  <si>
    <t>09五矿CP01</t>
  </si>
  <si>
    <t>0982135.IB</t>
  </si>
  <si>
    <t>20090927</t>
  </si>
  <si>
    <t>09五矿MTN2</t>
  </si>
  <si>
    <t>0982046.IB</t>
  </si>
  <si>
    <t>20090410</t>
  </si>
  <si>
    <t>09五矿MTN1</t>
  </si>
  <si>
    <t>0882035.IB</t>
  </si>
  <si>
    <t>20081223</t>
  </si>
  <si>
    <t>08五矿MTN3</t>
  </si>
  <si>
    <t>0882014.IB</t>
  </si>
  <si>
    <t>20080529</t>
  </si>
  <si>
    <t>08五矿MTN2</t>
  </si>
  <si>
    <t>0882001.IB</t>
  </si>
  <si>
    <t>20080422</t>
  </si>
  <si>
    <t>08五矿MTN1</t>
  </si>
  <si>
    <t>0881029.IB</t>
  </si>
  <si>
    <t>20080201</t>
  </si>
  <si>
    <t>08五矿CP01</t>
  </si>
  <si>
    <t>0781223.IB</t>
  </si>
  <si>
    <t>20071101</t>
  </si>
  <si>
    <t>07五矿CP01</t>
  </si>
  <si>
    <t>0681123.IB</t>
  </si>
  <si>
    <t>20060720</t>
  </si>
  <si>
    <t>06五矿CP01</t>
  </si>
  <si>
    <t>0581067.IB</t>
  </si>
  <si>
    <t>20051129</t>
  </si>
  <si>
    <t>05五矿CP03</t>
  </si>
  <si>
    <t>0581007.IB</t>
  </si>
  <si>
    <t>20050526</t>
  </si>
  <si>
    <t>05五矿CP02</t>
  </si>
  <si>
    <t>0581006.IB</t>
  </si>
  <si>
    <t>05五矿CP01</t>
  </si>
  <si>
    <t>历史主体评级</t>
  </si>
  <si>
    <t>发布日期</t>
  </si>
  <si>
    <t>主体资信级别</t>
  </si>
  <si>
    <t>评级展望</t>
  </si>
  <si>
    <t>评级机构</t>
  </si>
  <si>
    <t>20181107</t>
  </si>
  <si>
    <t>AAA</t>
  </si>
  <si>
    <t>稳定</t>
  </si>
  <si>
    <t>中诚信国际信用评级有限责任公司</t>
  </si>
  <si>
    <t>20180710</t>
  </si>
  <si>
    <t>20180628</t>
  </si>
  <si>
    <t>20180428</t>
  </si>
  <si>
    <t>20180305</t>
  </si>
  <si>
    <t>Baa1</t>
  </si>
  <si>
    <t>穆迪公司</t>
  </si>
  <si>
    <t>20171031</t>
  </si>
  <si>
    <t>20170925</t>
  </si>
  <si>
    <t>20170718</t>
  </si>
  <si>
    <t>20170418</t>
  </si>
  <si>
    <t>负面</t>
  </si>
  <si>
    <t>20160728</t>
  </si>
  <si>
    <t>20160516</t>
  </si>
  <si>
    <t>20150716</t>
  </si>
  <si>
    <t>A3</t>
  </si>
  <si>
    <t>20150710</t>
  </si>
  <si>
    <t>20140711</t>
  </si>
  <si>
    <t>20130726</t>
  </si>
  <si>
    <t>20121228</t>
  </si>
  <si>
    <t>20111226</t>
  </si>
  <si>
    <t>20111024</t>
  </si>
  <si>
    <t>20111017</t>
  </si>
  <si>
    <t>20110901</t>
  </si>
  <si>
    <t>20110214</t>
  </si>
  <si>
    <t>20100804</t>
  </si>
  <si>
    <t>20100525</t>
  </si>
  <si>
    <t>20100212</t>
  </si>
  <si>
    <t>20100211</t>
  </si>
  <si>
    <t>20090714</t>
  </si>
  <si>
    <t>20090703</t>
  </si>
  <si>
    <t>20090313</t>
  </si>
  <si>
    <t>20081210</t>
  </si>
  <si>
    <t>20081208</t>
  </si>
  <si>
    <t>20080528</t>
  </si>
  <si>
    <t>20080513</t>
  </si>
  <si>
    <t>--</t>
  </si>
  <si>
    <t>20080415</t>
  </si>
  <si>
    <t>20070824</t>
  </si>
  <si>
    <t>20050525</t>
  </si>
  <si>
    <t>20050517</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</si>
  <si>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</si>
  <si>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</si>
  <si>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</si>
  <si>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</si>
  <si>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</si>
  <si>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</si>
  <si>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</si>
  <si>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</si>
  <si>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</si>
  <si>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</si>
  <si>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</si>
  <si>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</si>
  <si>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</si>
  <si>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</si>
  <si>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</si>
  <si>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</si>
  <si>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</si>
  <si>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</si>
  <si>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</si>
  <si>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</si>
  <si>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</si>
  <si>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</si>
  <si>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</si>
  <si>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</si>
  <si>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</si>
  <si>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</si>
  <si>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</si>
  <si>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</si>
  <si>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</si>
  <si>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</si>
  <si>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</si>
  <si>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</si>
  <si>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</si>
  <si>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</si>
  <si>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</si>
  <si>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</si>
  <si>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</si>
  <si>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</si>
  <si>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</si>
  <si>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</si>
  <si>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</si>
  <si>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</si>
  <si>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</si>
  <si>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</si>
  <si>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</si>
  <si>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</si>
  <si>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</si>
  <si>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</si>
  <si>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</si>
  <si>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</si>
  <si>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</si>
  <si>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</si>
  <si>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</si>
  <si>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</si>
  <si>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</si>
  <si>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</si>
  <si>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</si>
  <si>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中国五矿集团有限公司</t>
  </si>
  <si>
    <t>中央国有企业</t>
  </si>
  <si>
    <t>工业--资本货物--贸易公司与工业品经销商Ⅲ--贸易公司与工业品经销商</t>
  </si>
  <si>
    <t>北京市海淀区三里河路五号</t>
  </si>
  <si>
    <t>中国五矿是国务院国资委监管的53家国有重要骨干企业之一，在美国《财富》杂志公布2012年度世界500强排行榜单中，中国五矿以545.09亿美元的营业收入排名第169位，在同时公布的全球增长速度最快企业排名中，中国五矿以营业收入45.1%的增幅名列第34位，在金属行业排名中，中国五矿排名第4位，超过新日铁和宝钢，排名仅次于安塞乐-米塔尔、蒂森克虏伯、浦项制铁。中国五矿曾长期作为国家金属矿产品进出口的主渠道，根据海关总署公布的数据，2013年3月底，中国五矿共有29个品种进入海关进出口商品排名前20位，有4个品种在海关进出口排名中居全国首位。出口排名首位的3种商品分别是氟石块(粉)、碳化钨、氧化锑；进口排名首位的1个商品是钨铁。另外，还有9个品种进入海关进出口排名全国前5位,其中出口商品4个，分别是仲钨酸铵、碳化硅、氧化钨、钨粉；进口商品5个，分别是锰矿砂、氧化镍、锡及锡合金、锌矿砂、铬矿砂。</t>
  </si>
  <si>
    <t>国务院国有资产监督管理委员会</t>
  </si>
  <si>
    <t/>
  </si>
  <si>
    <t>A-1</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</si>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</sst>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中国五矿集团有限公司</v>
      </c>
      <c r="C4" s="120"/>
      <c r="D4" s="57" t="s">
        <v>3</v>
      </c>
      <c r="E4" s="119" t="str">
        <f>[1]!s_info_nature(A2)</f>
        <v>中央国有企业</v>
      </c>
      <c r="F4" s="120"/>
      <c r="G4" s="120"/>
      <c r="H4" s="19"/>
    </row>
    <row r="5" spans="1:20" s="17" customFormat="1" ht="14.25" customHeight="1" x14ac:dyDescent="0.25">
      <c r="A5" s="57" t="s">
        <v>4</v>
      </c>
      <c r="B5" s="119" t="str">
        <f>[1]!b_issuer_windindustry(A2,9)</f>
        <v>工业--资本货物--贸易公司与工业品经销商Ⅲ--贸易公司与工业品经销商</v>
      </c>
      <c r="C5" s="120"/>
      <c r="D5" s="57" t="s">
        <v>5</v>
      </c>
      <c r="E5" s="119" t="str">
        <f>[1]!b_issuer_regaddress(A2)</f>
        <v>北京市海淀区三里河路五号</v>
      </c>
      <c r="F5" s="120"/>
      <c r="G5" s="120"/>
    </row>
    <row r="6" spans="1:20" s="17" customFormat="1" ht="81" customHeight="1" x14ac:dyDescent="0.25">
      <c r="A6" s="57" t="s">
        <v>6</v>
      </c>
      <c r="B6" s="121" t="str">
        <f>[1]!s_info_briefing(A2)</f>
        <v>中国五矿是国务院国资委监管的53家国有重要骨干企业之一，在美国《财富》杂志公布2012年度世界500强排行榜单中，中国五矿以545.09亿美元的营业收入排名第169位，在同时公布的全球增长速度最快企业排名中，中国五矿以营业收入45.1%的增幅名列第34位，在金属行业排名中，中国五矿排名第4位，超过新日铁和宝钢，排名仅次于安塞乐-米塔尔、蒂森克虏伯、浦项制铁。中国五矿曾长期作为国家金属矿产品进出口的主渠道，根据海关总署公布的数据，2013年3月底，中国五矿共有29个品种进入海关进出口商品排名前20位，有4个品种在海关进出口排名中居全国首位。出口排名首位的3种商品分别是氟石块(粉)、碳化钨、氧化锑；进口排名首位的1个商品是钨铁。另外，还有9个品种进入海关进出口排名全国前5位,其中出口商品4个，分别是仲钨酸铵、碳化硅、氧化钨、钨粉；进口商品5个，分别是锰矿砂、氧化镍、锡及锡合金、锌矿砂、铬矿砂。</v>
      </c>
      <c r="C6" s="120"/>
      <c r="D6" s="120"/>
      <c r="E6" s="120"/>
      <c r="F6" s="120"/>
      <c r="G6" s="120"/>
    </row>
    <row r="7" spans="1:20" s="17" customFormat="1" x14ac:dyDescent="0.25">
      <c r="A7" s="59" t="s">
        <v>7</v>
      </c>
      <c r="B7" s="122" t="str">
        <f>[1]!b_issuer_shareholder(A2,"",1)</f>
        <v>国务院国有资产监督管理委员会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d19041007.IB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中国五矿集团有限公司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中央国有企业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8552.7190284543994</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0.81722899999999998</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1.0866</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2.307019565321772</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5.3400000000000003E-2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4896.0013922170001</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1.0062</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0.128021</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59.033233102899999</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-4.1041000000000001E-2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340.933109457</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130962058727.72</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2433885558.6700001</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49899464739.949997</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126698782181.69</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50637287028.510002</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156319211010.35001</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d19041007.IB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0.81722899999999998</v>
      </c>
      <c r="C109" s="54" t="s">
        <v>29</v>
      </c>
      <c r="D109" s="72">
        <f>[1]!s_fa_current(A2,B2)</f>
        <v>1.0866</v>
      </c>
      <c r="E109" s="54" t="s">
        <v>33</v>
      </c>
      <c r="F109" s="73">
        <f>[1]!s_fa_salescashintoor(A2,B2)/100</f>
        <v>1.0062</v>
      </c>
      <c r="G109" s="54" t="s">
        <v>34</v>
      </c>
      <c r="H109" s="12">
        <f>S109/100</f>
        <v>0.128021</v>
      </c>
      <c r="I109" s="54"/>
      <c r="J109" s="16"/>
      <c r="K109" s="25"/>
      <c r="L109" s="34" t="s">
        <v>53</v>
      </c>
      <c r="M109" s="74">
        <f>[1]!s_fa_debttoassets(A2,B2)</f>
        <v>81.722899999999996</v>
      </c>
      <c r="N109" s="54" t="s">
        <v>29</v>
      </c>
      <c r="O109" s="35"/>
      <c r="P109" s="54" t="s">
        <v>33</v>
      </c>
      <c r="Q109" s="35"/>
      <c r="R109" s="54" t="s">
        <v>34</v>
      </c>
      <c r="S109" s="75">
        <f>[1]!s_fa_grossprofitmargin(A2,B2)</f>
        <v>12.802099999999999</v>
      </c>
    </row>
    <row r="110" spans="1:19" ht="15.75" customHeight="1" x14ac:dyDescent="0.25">
      <c r="A110" s="54" t="s">
        <v>54</v>
      </c>
      <c r="B110" s="12">
        <f>M110/100</f>
        <v>0.61762399999999995</v>
      </c>
      <c r="C110" s="54" t="s">
        <v>55</v>
      </c>
      <c r="D110" s="73">
        <f>[1]!s_fa_quick(A2,B2)</f>
        <v>0.71740000000000004</v>
      </c>
      <c r="E110" s="54" t="s">
        <v>56</v>
      </c>
      <c r="F110" s="72">
        <f>[1]!s_fa_arturn(A2,B2)</f>
        <v>5.7697000000000003</v>
      </c>
      <c r="G110" s="54" t="s">
        <v>57</v>
      </c>
      <c r="H110" s="12">
        <f>S110/100</f>
        <v>2.5356999999999998E-2</v>
      </c>
      <c r="I110" s="54"/>
      <c r="J110" s="16"/>
      <c r="L110" s="54" t="s">
        <v>54</v>
      </c>
      <c r="M110" s="74">
        <f>[1]!s_fa_catoassets(A2,B2)</f>
        <v>61.7624</v>
      </c>
      <c r="N110" s="54" t="s">
        <v>55</v>
      </c>
      <c r="O110" s="35"/>
      <c r="P110" s="54" t="s">
        <v>56</v>
      </c>
      <c r="Q110" s="73"/>
      <c r="R110" s="54" t="s">
        <v>57</v>
      </c>
      <c r="S110" s="75">
        <f>[1]!s_fa_optogr(A2,B2)</f>
        <v>2.5356999999999998</v>
      </c>
    </row>
    <row r="111" spans="1:19" ht="15" customHeight="1" x14ac:dyDescent="0.25">
      <c r="A111" s="54" t="s">
        <v>58</v>
      </c>
      <c r="B111" s="12">
        <f>M111/100</f>
        <v>0.69552000000000003</v>
      </c>
      <c r="C111" s="54" t="s">
        <v>31</v>
      </c>
      <c r="D111" s="73">
        <f>[1]!s_fa_ebitdatodebt(A2,B2)</f>
        <v>5.3400000000000003E-2</v>
      </c>
      <c r="E111" s="54" t="s">
        <v>59</v>
      </c>
      <c r="F111" s="72">
        <f>[1]!s_fa_invturn(A2,B2)</f>
        <v>2.3563000000000001</v>
      </c>
      <c r="G111" s="54" t="s">
        <v>37</v>
      </c>
      <c r="H111" s="12">
        <f>S111/100</f>
        <v>-4.1041000000000001E-2</v>
      </c>
      <c r="I111" s="54"/>
      <c r="J111" s="16"/>
      <c r="L111" s="54" t="s">
        <v>58</v>
      </c>
      <c r="M111" s="74">
        <f>[1]!s_fa_currentdebttodebt(A2,B2)</f>
        <v>69.552000000000007</v>
      </c>
      <c r="N111" s="54" t="s">
        <v>31</v>
      </c>
      <c r="O111" s="35"/>
      <c r="P111" s="54" t="s">
        <v>59</v>
      </c>
      <c r="Q111" s="35"/>
      <c r="R111" s="54" t="s">
        <v>37</v>
      </c>
      <c r="S111" s="75">
        <f>[1]!s_fa_roe(A2,B2)</f>
        <v>-4.1040999999999999</v>
      </c>
    </row>
    <row r="112" spans="1:19" ht="14.25" customHeight="1" x14ac:dyDescent="0.25">
      <c r="A112" s="54" t="s">
        <v>30</v>
      </c>
      <c r="B112" s="76">
        <f>(M116+M117+M118+M119+M120+M121)/M123</f>
        <v>2.307019565321772</v>
      </c>
      <c r="C112" s="54" t="s">
        <v>60</v>
      </c>
      <c r="D112" s="73">
        <f>[1]!s_fa_ebittointerest(A2,B2)</f>
        <v>2.0219999999999998</v>
      </c>
      <c r="E112" s="54" t="s">
        <v>61</v>
      </c>
      <c r="F112" s="72">
        <f>[1]!s_fa_caturn(A2,B2)</f>
        <v>0.97319999999999995</v>
      </c>
      <c r="G112" s="54" t="s">
        <v>62</v>
      </c>
      <c r="H112" s="12">
        <f>S112/100</f>
        <v>2.9693000000000001E-2</v>
      </c>
      <c r="I112" s="54"/>
      <c r="J112" s="16"/>
      <c r="L112" s="54" t="s">
        <v>30</v>
      </c>
      <c r="M112" s="77"/>
      <c r="N112" s="54" t="s">
        <v>60</v>
      </c>
      <c r="O112" s="35"/>
      <c r="P112" s="54" t="s">
        <v>61</v>
      </c>
      <c r="Q112" s="35"/>
      <c r="R112" s="54" t="s">
        <v>62</v>
      </c>
      <c r="S112" s="75">
        <f>[1]!s_fa_roa2(A2,B2)</f>
        <v>2.9693000000000001</v>
      </c>
    </row>
    <row r="113" spans="1:21" x14ac:dyDescent="0.25">
      <c r="A113" s="30"/>
      <c r="B113" s="31"/>
      <c r="C113" s="30"/>
      <c r="D113" s="32"/>
      <c r="E113" s="30" t="s">
        <v>63</v>
      </c>
      <c r="F113" s="78">
        <f>[1]!s_fa_dupont_faturnover(A2,B2)</f>
        <v>0.6109</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130962058727.72</v>
      </c>
    </row>
    <row r="117" spans="1:21" ht="14.25" customHeight="1" x14ac:dyDescent="0.25">
      <c r="A117" s="54" t="s">
        <v>69</v>
      </c>
      <c r="B117" s="73">
        <f t="shared" ref="B117:B131" si="1">M127/100000000</f>
        <v>960.66753752</v>
      </c>
      <c r="C117" s="54" t="s">
        <v>70</v>
      </c>
      <c r="D117" s="76">
        <f t="shared" ref="D117:D125" si="2">O127/100000000</f>
        <v>4933.6087274131996</v>
      </c>
      <c r="E117" s="131" t="s">
        <v>71</v>
      </c>
      <c r="F117" s="124"/>
      <c r="G117" s="124"/>
      <c r="H117" s="132">
        <f t="shared" ref="H117:H131" si="3">S127/100000000</f>
        <v>4926.5800403298999</v>
      </c>
      <c r="I117" s="124"/>
      <c r="J117" s="124"/>
      <c r="L117" s="17" t="s">
        <v>40</v>
      </c>
      <c r="M117" s="71">
        <f>[1]!b_stm07_bs(K107,82,L107,1)</f>
        <v>2433885558.6700001</v>
      </c>
    </row>
    <row r="118" spans="1:21" ht="14.25" customHeight="1" x14ac:dyDescent="0.25">
      <c r="A118" s="54" t="s">
        <v>72</v>
      </c>
      <c r="B118" s="73">
        <f t="shared" si="1"/>
        <v>856.23726403070009</v>
      </c>
      <c r="C118" s="54" t="s">
        <v>73</v>
      </c>
      <c r="D118" s="76">
        <f t="shared" si="2"/>
        <v>4869.7206088478006</v>
      </c>
      <c r="E118" s="131" t="s">
        <v>74</v>
      </c>
      <c r="F118" s="124"/>
      <c r="G118" s="124"/>
      <c r="H118" s="132">
        <f t="shared" si="3"/>
        <v>235.880698147</v>
      </c>
      <c r="I118" s="124"/>
      <c r="J118" s="124"/>
      <c r="L118" s="17" t="s">
        <v>41</v>
      </c>
      <c r="M118" s="71">
        <f>[1]!b_stm07_bs(K107,88,L107,1)</f>
        <v>49899464739.949997</v>
      </c>
    </row>
    <row r="119" spans="1:21" ht="14.25" customHeight="1" x14ac:dyDescent="0.25">
      <c r="A119" s="54" t="s">
        <v>75</v>
      </c>
      <c r="B119" s="73">
        <f t="shared" si="1"/>
        <v>557.27083927540002</v>
      </c>
      <c r="C119" s="54" t="s">
        <v>76</v>
      </c>
      <c r="D119" s="76">
        <f t="shared" si="2"/>
        <v>4269.2093534782998</v>
      </c>
      <c r="E119" s="131" t="s">
        <v>77</v>
      </c>
      <c r="F119" s="124"/>
      <c r="G119" s="124"/>
      <c r="H119" s="133">
        <f t="shared" si="3"/>
        <v>5295.2582328415001</v>
      </c>
      <c r="I119" s="124"/>
      <c r="J119" s="124"/>
      <c r="L119" s="17" t="s">
        <v>42</v>
      </c>
      <c r="M119" s="71">
        <f>[1]!b_stm07_bs(K107,147,L107,1)</f>
        <v>0</v>
      </c>
    </row>
    <row r="120" spans="1:21" ht="14.25" customHeight="1" x14ac:dyDescent="0.25">
      <c r="A120" s="54" t="s">
        <v>78</v>
      </c>
      <c r="B120" s="73">
        <f t="shared" si="1"/>
        <v>1238.3543783575999</v>
      </c>
      <c r="C120" s="54" t="s">
        <v>79</v>
      </c>
      <c r="D120" s="76">
        <f t="shared" si="2"/>
        <v>50.490135532899998</v>
      </c>
      <c r="E120" s="131" t="s">
        <v>80</v>
      </c>
      <c r="F120" s="124"/>
      <c r="G120" s="124"/>
      <c r="H120" s="132">
        <f t="shared" si="3"/>
        <v>4038.0450306407001</v>
      </c>
      <c r="I120" s="124"/>
      <c r="J120" s="124"/>
      <c r="L120" s="17" t="s">
        <v>43</v>
      </c>
      <c r="M120" s="71">
        <f>[1]!b_stm07_bs(K107,94,L107,1)</f>
        <v>126698782181.69</v>
      </c>
    </row>
    <row r="121" spans="1:21" ht="14.25" customHeight="1" x14ac:dyDescent="0.25">
      <c r="A121" s="54" t="s">
        <v>81</v>
      </c>
      <c r="B121" s="73">
        <f t="shared" si="1"/>
        <v>148.39605916709999</v>
      </c>
      <c r="C121" s="54" t="s">
        <v>82</v>
      </c>
      <c r="D121" s="76">
        <f t="shared" si="2"/>
        <v>238.00391685950001</v>
      </c>
      <c r="E121" s="131" t="s">
        <v>83</v>
      </c>
      <c r="F121" s="124"/>
      <c r="G121" s="124"/>
      <c r="H121" s="132">
        <f t="shared" si="3"/>
        <v>389.59635519709997</v>
      </c>
      <c r="I121" s="124"/>
      <c r="J121" s="124"/>
      <c r="L121" s="17" t="s">
        <v>44</v>
      </c>
      <c r="M121" s="71">
        <f>[1]!b_stm07_bs(K107,95,L107,1)</f>
        <v>50637287028.510002</v>
      </c>
    </row>
    <row r="122" spans="1:21" ht="14.25" customHeight="1" x14ac:dyDescent="0.25">
      <c r="A122" s="54" t="s">
        <v>84</v>
      </c>
      <c r="B122" s="73">
        <f t="shared" si="1"/>
        <v>388.36710566889997</v>
      </c>
      <c r="C122" s="54" t="s">
        <v>85</v>
      </c>
      <c r="D122" s="76">
        <f t="shared" si="2"/>
        <v>126.13993005659999</v>
      </c>
      <c r="E122" s="131" t="s">
        <v>86</v>
      </c>
      <c r="F122" s="124"/>
      <c r="G122" s="124"/>
      <c r="H122" s="133">
        <f t="shared" si="3"/>
        <v>4954.3251233845003</v>
      </c>
      <c r="I122" s="124"/>
      <c r="J122" s="124"/>
      <c r="L122" s="17"/>
      <c r="M122" s="17"/>
    </row>
    <row r="123" spans="1:21" ht="14.25" customHeight="1" x14ac:dyDescent="0.25">
      <c r="A123" s="54" t="s">
        <v>87</v>
      </c>
      <c r="B123" s="79">
        <f t="shared" si="1"/>
        <v>8552.7190284543994</v>
      </c>
      <c r="C123" s="54" t="s">
        <v>88</v>
      </c>
      <c r="D123" s="76">
        <f t="shared" si="2"/>
        <v>125.10074831850001</v>
      </c>
      <c r="E123" s="131" t="s">
        <v>89</v>
      </c>
      <c r="F123" s="124"/>
      <c r="G123" s="124"/>
      <c r="H123" s="133">
        <f t="shared" si="3"/>
        <v>340.933109457</v>
      </c>
      <c r="I123" s="124"/>
      <c r="J123" s="124"/>
      <c r="L123" s="17" t="s">
        <v>45</v>
      </c>
      <c r="M123" s="71">
        <f>[1]!b_stm07_bs(K107,141,L107,1)</f>
        <v>156319211010.35001</v>
      </c>
    </row>
    <row r="124" spans="1:21" ht="14.25" customHeight="1" x14ac:dyDescent="0.25">
      <c r="A124" s="54" t="s">
        <v>90</v>
      </c>
      <c r="B124" s="73">
        <f t="shared" si="1"/>
        <v>1309.6205872772</v>
      </c>
      <c r="C124" s="54" t="s">
        <v>91</v>
      </c>
      <c r="D124" s="76">
        <f t="shared" si="2"/>
        <v>121.19815165899999</v>
      </c>
      <c r="E124" s="131" t="s">
        <v>92</v>
      </c>
      <c r="F124" s="124"/>
      <c r="G124" s="124"/>
      <c r="H124" s="133">
        <f t="shared" si="3"/>
        <v>-261.90872325160001</v>
      </c>
      <c r="I124" s="124"/>
      <c r="J124" s="124"/>
      <c r="L124" s="17"/>
      <c r="M124" s="17"/>
    </row>
    <row r="125" spans="1:21" ht="27" customHeight="1" x14ac:dyDescent="0.25">
      <c r="A125" s="54" t="s">
        <v>93</v>
      </c>
      <c r="B125" s="73">
        <f t="shared" si="1"/>
        <v>498.99464739949997</v>
      </c>
      <c r="C125" s="54" t="s">
        <v>35</v>
      </c>
      <c r="D125" s="76">
        <f t="shared" si="2"/>
        <v>59.033233102899999</v>
      </c>
      <c r="E125" s="131" t="s">
        <v>94</v>
      </c>
      <c r="F125" s="124"/>
      <c r="G125" s="124"/>
      <c r="H125" s="132">
        <f t="shared" si="3"/>
        <v>341.49928911270001</v>
      </c>
      <c r="I125" s="124"/>
      <c r="J125" s="124"/>
      <c r="L125" s="17"/>
      <c r="M125" s="17"/>
    </row>
    <row r="126" spans="1:21" ht="16.5" customHeight="1" x14ac:dyDescent="0.25">
      <c r="A126" s="54" t="s">
        <v>95</v>
      </c>
      <c r="B126" s="73">
        <f t="shared" si="1"/>
        <v>0</v>
      </c>
      <c r="C126" s="54"/>
      <c r="D126" s="80"/>
      <c r="E126" s="131" t="s">
        <v>96</v>
      </c>
      <c r="F126" s="124"/>
      <c r="G126" s="124"/>
      <c r="H126" s="132">
        <f t="shared" si="3"/>
        <v>2181.3791128569001</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1266.9878218169001</v>
      </c>
      <c r="C127" s="54"/>
      <c r="D127" s="80"/>
      <c r="E127" s="131" t="s">
        <v>98</v>
      </c>
      <c r="F127" s="124"/>
      <c r="G127" s="124"/>
      <c r="H127" s="132">
        <f t="shared" si="3"/>
        <v>0</v>
      </c>
      <c r="I127" s="124"/>
      <c r="J127" s="124"/>
      <c r="L127" s="54" t="s">
        <v>69</v>
      </c>
      <c r="M127" s="75">
        <f>[1]!b_stm07_bs(K107,9,L107,1)</f>
        <v>96066753752</v>
      </c>
      <c r="N127" s="54" t="s">
        <v>70</v>
      </c>
      <c r="O127" s="75">
        <f>[1]!b_stm07_is(K107,83,L107,1)</f>
        <v>493360872741.32001</v>
      </c>
      <c r="P127" s="131" t="s">
        <v>71</v>
      </c>
      <c r="Q127" s="124"/>
      <c r="R127" s="124"/>
      <c r="S127" s="136">
        <f>[1]!b_stm07_cs(K107,9,L107,1)</f>
        <v>492658004032.98999</v>
      </c>
      <c r="T127" s="135"/>
      <c r="U127" s="135"/>
    </row>
    <row r="128" spans="1:21" ht="14.25" customHeight="1" x14ac:dyDescent="0.25">
      <c r="A128" s="54" t="s">
        <v>99</v>
      </c>
      <c r="B128" s="73">
        <f t="shared" si="1"/>
        <v>506.37287028510002</v>
      </c>
      <c r="C128" s="54"/>
      <c r="D128" s="80"/>
      <c r="E128" s="131" t="s">
        <v>100</v>
      </c>
      <c r="F128" s="124"/>
      <c r="G128" s="124"/>
      <c r="H128" s="133">
        <f t="shared" si="3"/>
        <v>2607.8938196150002</v>
      </c>
      <c r="I128" s="124"/>
      <c r="J128" s="124"/>
      <c r="L128" s="54" t="s">
        <v>72</v>
      </c>
      <c r="M128" s="75">
        <f>[1]!b_stm07_bs(K107,12,L107,1)</f>
        <v>85623726403.070007</v>
      </c>
      <c r="N128" s="54" t="s">
        <v>73</v>
      </c>
      <c r="O128" s="75">
        <f>[1]!b_stm07_is(K107,84,L107,1)</f>
        <v>486972060884.78003</v>
      </c>
      <c r="P128" s="131" t="s">
        <v>74</v>
      </c>
      <c r="Q128" s="124"/>
      <c r="R128" s="124"/>
      <c r="S128" s="136">
        <f>[1]!b_stm07_cs(K107,11,L107,1)</f>
        <v>23588069814.700001</v>
      </c>
      <c r="T128" s="135"/>
      <c r="U128" s="135"/>
    </row>
    <row r="129" spans="1:21" ht="14.25" customHeight="1" x14ac:dyDescent="0.25">
      <c r="A129" s="54" t="s">
        <v>101</v>
      </c>
      <c r="B129" s="79">
        <f t="shared" si="1"/>
        <v>6989.5269183508999</v>
      </c>
      <c r="C129" s="14"/>
      <c r="D129" s="13"/>
      <c r="E129" s="131" t="s">
        <v>102</v>
      </c>
      <c r="F129" s="124"/>
      <c r="G129" s="124"/>
      <c r="H129" s="132">
        <f t="shared" si="3"/>
        <v>2392.1766728905</v>
      </c>
      <c r="I129" s="124"/>
      <c r="J129" s="124"/>
      <c r="L129" s="54" t="s">
        <v>75</v>
      </c>
      <c r="M129" s="75">
        <f>[1]!b_stm07_bs(K107,13,L107,1)</f>
        <v>55727083927.540001</v>
      </c>
      <c r="N129" s="54" t="s">
        <v>76</v>
      </c>
      <c r="O129" s="75">
        <f>[1]!b_stm07_is(K107,10,L107,1)</f>
        <v>426920935347.83002</v>
      </c>
      <c r="P129" s="131" t="s">
        <v>77</v>
      </c>
      <c r="Q129" s="124"/>
      <c r="R129" s="124"/>
      <c r="S129" s="137">
        <f>[1]!b_stm07_cs(K107,25,L107,1)</f>
        <v>529525823284.15002</v>
      </c>
      <c r="T129" s="135"/>
      <c r="U129" s="135"/>
    </row>
    <row r="130" spans="1:21" ht="14.25" customHeight="1" x14ac:dyDescent="0.25">
      <c r="A130" s="54" t="s">
        <v>103</v>
      </c>
      <c r="B130" s="79">
        <f t="shared" si="1"/>
        <v>1563.1921101035</v>
      </c>
      <c r="C130" s="14"/>
      <c r="D130" s="13"/>
      <c r="E130" s="131" t="s">
        <v>104</v>
      </c>
      <c r="F130" s="124"/>
      <c r="G130" s="124"/>
      <c r="H130" s="132">
        <f t="shared" si="3"/>
        <v>2695.5121232873003</v>
      </c>
      <c r="I130" s="124"/>
      <c r="J130" s="124"/>
      <c r="L130" s="54" t="s">
        <v>78</v>
      </c>
      <c r="M130" s="75">
        <f>[1]!b_stm07_bs(K107,31,L107,1)</f>
        <v>123835437835.75999</v>
      </c>
      <c r="N130" s="54" t="s">
        <v>79</v>
      </c>
      <c r="O130" s="75">
        <f>[1]!b_stm07_is(K107,12,L107,1)</f>
        <v>5049013553.29</v>
      </c>
      <c r="P130" s="131" t="s">
        <v>80</v>
      </c>
      <c r="Q130" s="124"/>
      <c r="R130" s="124"/>
      <c r="S130" s="136">
        <f>[1]!b_stm07_cs(K107,26,L107,1)</f>
        <v>403804503064.07001</v>
      </c>
      <c r="T130" s="135"/>
      <c r="U130" s="135"/>
    </row>
    <row r="131" spans="1:21" ht="14.25" customHeight="1" x14ac:dyDescent="0.25">
      <c r="A131" s="15" t="s">
        <v>105</v>
      </c>
      <c r="B131" s="79">
        <f t="shared" si="1"/>
        <v>8552.7190284543994</v>
      </c>
      <c r="C131" s="14"/>
      <c r="D131" s="13"/>
      <c r="E131" s="131" t="s">
        <v>106</v>
      </c>
      <c r="F131" s="124"/>
      <c r="G131" s="124"/>
      <c r="H131" s="133">
        <f t="shared" si="3"/>
        <v>-87.618303672300001</v>
      </c>
      <c r="I131" s="124"/>
      <c r="J131" s="124"/>
      <c r="L131" s="54" t="s">
        <v>81</v>
      </c>
      <c r="M131" s="75">
        <f>[1]!b_stm07_bs(K107,33,L107,1)</f>
        <v>14839605916.709999</v>
      </c>
      <c r="N131" s="54" t="s">
        <v>82</v>
      </c>
      <c r="O131" s="75">
        <f>[1]!b_stm07_is(K107,13,L107,1)</f>
        <v>23800391685.950001</v>
      </c>
      <c r="P131" s="131" t="s">
        <v>83</v>
      </c>
      <c r="Q131" s="124"/>
      <c r="R131" s="124"/>
      <c r="S131" s="136">
        <f>[1]!b_stm07_cs(K107,29,L107,1)</f>
        <v>38959635519.709999</v>
      </c>
      <c r="T131" s="135"/>
      <c r="U131" s="135"/>
    </row>
    <row r="132" spans="1:21" x14ac:dyDescent="0.25">
      <c r="L132" s="54" t="s">
        <v>84</v>
      </c>
      <c r="M132" s="75">
        <f>[1]!b_stm07_bs(K107,37,L107,1)</f>
        <v>38836710566.889999</v>
      </c>
      <c r="N132" s="54" t="s">
        <v>85</v>
      </c>
      <c r="O132" s="75">
        <f>[1]!b_stm07_is(K107,14,L107,1)</f>
        <v>12613993005.66</v>
      </c>
      <c r="P132" s="131" t="s">
        <v>86</v>
      </c>
      <c r="Q132" s="124"/>
      <c r="R132" s="124"/>
      <c r="S132" s="137">
        <f>[1]!b_stm07_cs(K107,37,L107,1)</f>
        <v>495432512338.45001</v>
      </c>
      <c r="T132" s="135"/>
      <c r="U132" s="135"/>
    </row>
    <row r="133" spans="1:21" x14ac:dyDescent="0.25">
      <c r="L133" s="54" t="s">
        <v>87</v>
      </c>
      <c r="M133" s="81">
        <f>[1]!b_stm07_bs(K107,74,L107,1)</f>
        <v>855271902845.43994</v>
      </c>
      <c r="N133" s="54" t="s">
        <v>88</v>
      </c>
      <c r="O133" s="75">
        <f>[1]!b_stm07_is(K107,48,L107,1)</f>
        <v>12510074831.85</v>
      </c>
      <c r="P133" s="131" t="s">
        <v>89</v>
      </c>
      <c r="Q133" s="124"/>
      <c r="R133" s="124"/>
      <c r="S133" s="137">
        <f>[1]!b_stm07_cs(K107,39,L107,1)</f>
        <v>34093310945.700001</v>
      </c>
      <c r="T133" s="135"/>
      <c r="U133" s="135"/>
    </row>
    <row r="134" spans="1:21" x14ac:dyDescent="0.25">
      <c r="L134" s="54" t="s">
        <v>90</v>
      </c>
      <c r="M134" s="75">
        <f>[1]!b_stm07_bs(K107,75,L107,1)</f>
        <v>130962058727.72</v>
      </c>
      <c r="N134" s="54" t="s">
        <v>91</v>
      </c>
      <c r="O134" s="75">
        <f>[1]!b_stm07_is(K107,55,L107,1)</f>
        <v>12119815165.9</v>
      </c>
      <c r="P134" s="131" t="s">
        <v>92</v>
      </c>
      <c r="Q134" s="124"/>
      <c r="R134" s="124"/>
      <c r="S134" s="137">
        <f>[1]!b_stm07_cs(K107,59,L107,1)</f>
        <v>-26190872325.16</v>
      </c>
      <c r="T134" s="135"/>
      <c r="U134" s="135"/>
    </row>
    <row r="135" spans="1:21" ht="32.4" customHeight="1" x14ac:dyDescent="0.25">
      <c r="L135" s="54" t="s">
        <v>93</v>
      </c>
      <c r="M135" s="75">
        <f>[1]!b_stm07_bs(K107,88,L107,1)</f>
        <v>49899464739.949997</v>
      </c>
      <c r="N135" s="54" t="s">
        <v>35</v>
      </c>
      <c r="O135" s="75">
        <f>[1]!b_stm07_is(K107,60,L107,1)</f>
        <v>5903323310.29</v>
      </c>
      <c r="P135" s="131" t="s">
        <v>94</v>
      </c>
      <c r="Q135" s="124"/>
      <c r="R135" s="124"/>
      <c r="S135" s="136">
        <f>[1]!b_stm07_cs(K107,60,L107,1)</f>
        <v>34149928911.27</v>
      </c>
      <c r="T135" s="135"/>
      <c r="U135" s="135"/>
    </row>
    <row r="136" spans="1:21" ht="21.6" customHeight="1" x14ac:dyDescent="0.25">
      <c r="L136" s="54" t="s">
        <v>95</v>
      </c>
      <c r="M136" s="75">
        <f>[1]!b_stm07_bs(K107,147,L107,1)</f>
        <v>0</v>
      </c>
      <c r="N136" s="54"/>
      <c r="O136" s="80"/>
      <c r="P136" s="131" t="s">
        <v>96</v>
      </c>
      <c r="Q136" s="124"/>
      <c r="R136" s="124"/>
      <c r="S136" s="136">
        <f>[1]!b_stm07_cs(K107,61,L107,1)</f>
        <v>218137911285.69</v>
      </c>
      <c r="T136" s="135"/>
      <c r="U136" s="135"/>
    </row>
    <row r="137" spans="1:21" x14ac:dyDescent="0.25">
      <c r="L137" s="54" t="s">
        <v>97</v>
      </c>
      <c r="M137" s="75">
        <f>[1]!b_stm07_bs(K107,94,L107,1)</f>
        <v>126698782181.69</v>
      </c>
      <c r="N137" s="54"/>
      <c r="O137" s="80"/>
      <c r="P137" s="131" t="s">
        <v>98</v>
      </c>
      <c r="Q137" s="124"/>
      <c r="R137" s="124"/>
      <c r="S137" s="136">
        <f>[1]!b_stm07_cs(K107,63,L107,1)</f>
        <v>0</v>
      </c>
      <c r="T137" s="135"/>
      <c r="U137" s="135"/>
    </row>
    <row r="138" spans="1:21" x14ac:dyDescent="0.25">
      <c r="L138" s="54" t="s">
        <v>99</v>
      </c>
      <c r="M138" s="75">
        <f>[1]!b_stm07_bs(K107,95,L107,1)</f>
        <v>50637287028.510002</v>
      </c>
      <c r="N138" s="54"/>
      <c r="O138" s="80"/>
      <c r="P138" s="131" t="s">
        <v>100</v>
      </c>
      <c r="Q138" s="124"/>
      <c r="R138" s="124"/>
      <c r="S138" s="137">
        <f>[1]!b_stm07_cs(K107,68,L107,1)</f>
        <v>260789381961.5</v>
      </c>
      <c r="T138" s="135"/>
      <c r="U138" s="135"/>
    </row>
    <row r="139" spans="1:21" x14ac:dyDescent="0.25">
      <c r="L139" s="54" t="s">
        <v>101</v>
      </c>
      <c r="M139" s="81">
        <f>[1]!b_stm07_bs(K107,128,L107,1)</f>
        <v>698952691835.08997</v>
      </c>
      <c r="N139" s="14"/>
      <c r="O139" s="13"/>
      <c r="P139" s="131" t="s">
        <v>102</v>
      </c>
      <c r="Q139" s="124"/>
      <c r="R139" s="124"/>
      <c r="S139" s="136">
        <f>[1]!b_stm07_cs(K107,69,L107,1)</f>
        <v>239217667289.04999</v>
      </c>
      <c r="T139" s="135"/>
      <c r="U139" s="135"/>
    </row>
    <row r="140" spans="1:21" ht="21.6" customHeight="1" x14ac:dyDescent="0.25">
      <c r="L140" s="54" t="s">
        <v>103</v>
      </c>
      <c r="M140" s="81">
        <f>[1]!b_stm07_bs(K107,141,L107,1)</f>
        <v>156319211010.35001</v>
      </c>
      <c r="N140" s="14"/>
      <c r="O140" s="13"/>
      <c r="P140" s="131" t="s">
        <v>104</v>
      </c>
      <c r="Q140" s="124"/>
      <c r="R140" s="124"/>
      <c r="S140" s="136">
        <f>[1]!b_stm07_cs(K107,75,L107,1)</f>
        <v>269551212328.73001</v>
      </c>
      <c r="T140" s="135"/>
      <c r="U140" s="135"/>
    </row>
    <row r="141" spans="1:21" ht="21.6" customHeight="1" x14ac:dyDescent="0.25">
      <c r="L141" s="15" t="s">
        <v>105</v>
      </c>
      <c r="M141" s="81">
        <f>[1]!b_stm07_bs(K107,145,L107,1)</f>
        <v>855271902845.43994</v>
      </c>
      <c r="N141" s="14"/>
      <c r="O141" s="13"/>
      <c r="P141" s="131" t="s">
        <v>106</v>
      </c>
      <c r="Q141" s="124"/>
      <c r="R141" s="124"/>
      <c r="S141" s="137">
        <f>[1]!b_stm07_cs(K107,77,L107,1)</f>
        <v>-8761830367.2299995</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420</v>
      </c>
      <c r="C2" s="120"/>
      <c r="D2" s="57" t="s">
        <v>3</v>
      </c>
      <c r="E2" s="119" t="s">
        <v>421</v>
      </c>
      <c r="F2" s="120"/>
      <c r="G2" s="120"/>
    </row>
    <row r="3" spans="1:12" ht="14.25" customHeight="1" x14ac:dyDescent="0.25">
      <c r="A3" s="57" t="s">
        <v>4</v>
      </c>
      <c r="B3" s="119" t="s">
        <v>422</v>
      </c>
      <c r="C3" s="120"/>
      <c r="D3" s="57" t="s">
        <v>5</v>
      </c>
      <c r="E3" s="119" t="s">
        <v>423</v>
      </c>
      <c r="F3" s="120"/>
      <c r="G3" s="120"/>
    </row>
    <row r="4" spans="1:12" ht="113.25" customHeight="1" x14ac:dyDescent="0.25">
      <c r="A4" s="57" t="s">
        <v>6</v>
      </c>
      <c r="B4" s="121" t="s">
        <v>424</v>
      </c>
      <c r="C4" s="120"/>
      <c r="D4" s="120"/>
      <c r="E4" s="120"/>
      <c r="F4" s="120"/>
      <c r="G4" s="120"/>
    </row>
    <row r="5" spans="1:12" ht="14.4" x14ac:dyDescent="0.25">
      <c r="A5" s="82" t="s">
        <v>107</v>
      </c>
      <c r="B5" s="140" t="s">
        <v>425</v>
      </c>
      <c r="C5" s="120"/>
      <c r="D5" s="120"/>
      <c r="E5" s="120"/>
      <c r="F5" s="141">
        <v>1</v>
      </c>
      <c r="G5" s="120"/>
    </row>
    <row r="6" spans="1:12" ht="11.25" customHeight="1" x14ac:dyDescent="0.25">
      <c r="A6" s="82" t="s">
        <v>108</v>
      </c>
      <c r="B6" s="140" t="s">
        <v>426</v>
      </c>
      <c r="C6" s="120"/>
      <c r="D6" s="120"/>
      <c r="E6" s="120"/>
      <c r="F6" s="141" t="s">
        <v>426</v>
      </c>
      <c r="G6" s="120"/>
    </row>
    <row r="7" spans="1:12" ht="11.25" customHeight="1" x14ac:dyDescent="0.25">
      <c r="A7" s="82" t="s">
        <v>109</v>
      </c>
      <c r="B7" s="140" t="s">
        <v>426</v>
      </c>
      <c r="C7" s="120"/>
      <c r="D7" s="120"/>
      <c r="E7" s="120"/>
      <c r="F7" s="141" t="s">
        <v>426</v>
      </c>
      <c r="G7" s="120"/>
    </row>
    <row r="8" spans="1:12" ht="11.25" customHeight="1" x14ac:dyDescent="0.25">
      <c r="A8" s="82" t="s">
        <v>110</v>
      </c>
      <c r="B8" s="140" t="s">
        <v>426</v>
      </c>
      <c r="C8" s="120"/>
      <c r="D8" s="120"/>
      <c r="E8" s="120"/>
      <c r="F8" s="141" t="s">
        <v>426</v>
      </c>
      <c r="G8" s="120"/>
    </row>
    <row r="9" spans="1:12" ht="11.25" customHeight="1" x14ac:dyDescent="0.25">
      <c r="A9" s="82" t="s">
        <v>111</v>
      </c>
      <c r="B9" s="140" t="s">
        <v>426</v>
      </c>
      <c r="C9" s="120"/>
      <c r="D9" s="120"/>
      <c r="E9" s="120"/>
      <c r="F9" s="141" t="s">
        <v>426</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4.66</v>
      </c>
      <c r="E13" s="64">
        <v>2.6301369863013697</v>
      </c>
      <c r="F13" s="65" t="s">
        <v>320</v>
      </c>
      <c r="G13" s="64">
        <v>15</v>
      </c>
    </row>
    <row r="14" spans="1:12" ht="14.4" customHeight="1" x14ac:dyDescent="0.25">
      <c r="A14" t="s">
        <v>116</v>
      </c>
      <c r="B14" t="s">
        <v>117</v>
      </c>
      <c r="C14" t="s">
        <v>118</v>
      </c>
      <c r="D14" s="64">
        <v>5.6</v>
      </c>
      <c r="E14" s="83">
        <v>2.3890410958904109</v>
      </c>
      <c r="F14" t="s">
        <v>320</v>
      </c>
      <c r="G14" s="64">
        <v>30</v>
      </c>
    </row>
    <row r="15" spans="1:12" ht="14.4" customHeight="1" x14ac:dyDescent="0.25">
      <c r="A15" t="s">
        <v>119</v>
      </c>
      <c r="B15" t="s">
        <v>120</v>
      </c>
      <c r="C15" t="s">
        <v>121</v>
      </c>
      <c r="D15" s="64">
        <v>4.5999999999999996</v>
      </c>
      <c r="E15" s="83">
        <v>0</v>
      </c>
      <c r="F15">
        <v>0</v>
      </c>
      <c r="G15" s="64">
        <v>15</v>
      </c>
    </row>
    <row r="16" spans="1:12" ht="14.4" customHeight="1" x14ac:dyDescent="0.25">
      <c r="A16" t="s">
        <v>122</v>
      </c>
      <c r="B16" t="s">
        <v>123</v>
      </c>
      <c r="C16" t="s">
        <v>124</v>
      </c>
      <c r="D16" s="64">
        <v>2.75</v>
      </c>
      <c r="E16" s="83">
        <v>0</v>
      </c>
      <c r="F16">
        <v>0</v>
      </c>
      <c r="G16" s="64">
        <v>30</v>
      </c>
    </row>
    <row r="17" spans="1:7" ht="14.4" customHeight="1" x14ac:dyDescent="0.25">
      <c r="A17" t="s">
        <v>125</v>
      </c>
      <c r="B17" t="s">
        <v>126</v>
      </c>
      <c r="C17" t="s">
        <v>127</v>
      </c>
      <c r="D17" s="64">
        <v>2.77</v>
      </c>
      <c r="E17" s="83">
        <v>0</v>
      </c>
      <c r="F17">
        <v>0</v>
      </c>
      <c r="G17" s="64">
        <v>30</v>
      </c>
    </row>
    <row r="18" spans="1:7" ht="14.4" customHeight="1" x14ac:dyDescent="0.25">
      <c r="A18" t="s">
        <v>128</v>
      </c>
      <c r="B18" t="s">
        <v>129</v>
      </c>
      <c r="C18" t="s">
        <v>130</v>
      </c>
      <c r="D18" s="64">
        <v>3.05</v>
      </c>
      <c r="E18" s="83">
        <v>0</v>
      </c>
      <c r="F18">
        <v>0</v>
      </c>
      <c r="G18" s="64">
        <v>15</v>
      </c>
    </row>
    <row r="19" spans="1:7" ht="14.4" customHeight="1" x14ac:dyDescent="0.25">
      <c r="A19" t="s">
        <v>131</v>
      </c>
      <c r="B19" t="s">
        <v>132</v>
      </c>
      <c r="C19" t="s">
        <v>133</v>
      </c>
      <c r="D19" s="64">
        <v>3.19</v>
      </c>
      <c r="E19" s="83">
        <v>0</v>
      </c>
      <c r="F19">
        <v>0</v>
      </c>
      <c r="G19" s="64">
        <v>15</v>
      </c>
    </row>
    <row r="20" spans="1:7" ht="14.4" customHeight="1" x14ac:dyDescent="0.25">
      <c r="A20" t="s">
        <v>134</v>
      </c>
      <c r="B20" t="s">
        <v>135</v>
      </c>
      <c r="C20" t="s">
        <v>136</v>
      </c>
      <c r="D20" s="64">
        <v>3.35</v>
      </c>
      <c r="E20" s="83">
        <v>0</v>
      </c>
      <c r="F20">
        <v>0</v>
      </c>
      <c r="G20" s="64">
        <v>15</v>
      </c>
    </row>
    <row r="21" spans="1:7" ht="14.4" customHeight="1" x14ac:dyDescent="0.25">
      <c r="A21" t="s">
        <v>137</v>
      </c>
      <c r="B21" t="s">
        <v>138</v>
      </c>
      <c r="C21" t="s">
        <v>139</v>
      </c>
      <c r="D21" s="64">
        <v>3.45</v>
      </c>
      <c r="E21" s="83">
        <v>0</v>
      </c>
      <c r="F21">
        <v>0</v>
      </c>
      <c r="G21" s="64">
        <v>15</v>
      </c>
    </row>
    <row r="22" spans="1:7" ht="14.4" customHeight="1" x14ac:dyDescent="0.25">
      <c r="A22" t="s">
        <v>140</v>
      </c>
      <c r="B22" t="s">
        <v>141</v>
      </c>
      <c r="C22" t="s">
        <v>142</v>
      </c>
      <c r="D22" s="64">
        <v>3.09</v>
      </c>
      <c r="E22" s="83">
        <v>0</v>
      </c>
      <c r="F22">
        <v>0</v>
      </c>
      <c r="G22" s="64">
        <v>20</v>
      </c>
    </row>
    <row r="23" spans="1:7" ht="14.4" customHeight="1" x14ac:dyDescent="0.25">
      <c r="A23" t="s">
        <v>143</v>
      </c>
      <c r="B23" t="s">
        <v>144</v>
      </c>
      <c r="C23" t="s">
        <v>145</v>
      </c>
      <c r="D23" s="64">
        <v>3.35</v>
      </c>
      <c r="E23" s="83">
        <v>0</v>
      </c>
      <c r="F23">
        <v>0</v>
      </c>
      <c r="G23" s="64">
        <v>20</v>
      </c>
    </row>
    <row r="24" spans="1:7" ht="14.4" customHeight="1" x14ac:dyDescent="0.25">
      <c r="A24" t="s">
        <v>146</v>
      </c>
      <c r="B24" t="s">
        <v>147</v>
      </c>
      <c r="C24" t="s">
        <v>148</v>
      </c>
      <c r="D24" s="64">
        <v>3.35</v>
      </c>
      <c r="E24" s="83">
        <v>0</v>
      </c>
      <c r="F24">
        <v>0</v>
      </c>
      <c r="G24" s="64">
        <v>20</v>
      </c>
    </row>
    <row r="25" spans="1:7" ht="14.4" customHeight="1" x14ac:dyDescent="0.25">
      <c r="A25" t="s">
        <v>149</v>
      </c>
      <c r="B25" t="s">
        <v>150</v>
      </c>
      <c r="C25" t="s">
        <v>151</v>
      </c>
      <c r="D25" s="64">
        <v>3.39</v>
      </c>
      <c r="E25" s="83">
        <v>0</v>
      </c>
      <c r="F25">
        <v>0</v>
      </c>
      <c r="G25" s="64">
        <v>20</v>
      </c>
    </row>
    <row r="26" spans="1:7" ht="14.4" customHeight="1" x14ac:dyDescent="0.25">
      <c r="A26" t="s">
        <v>152</v>
      </c>
      <c r="B26" t="s">
        <v>153</v>
      </c>
      <c r="C26" t="s">
        <v>154</v>
      </c>
      <c r="D26" s="64">
        <v>3.63</v>
      </c>
      <c r="E26" s="83">
        <v>0</v>
      </c>
      <c r="F26">
        <v>0</v>
      </c>
      <c r="G26" s="64">
        <v>20</v>
      </c>
    </row>
    <row r="27" spans="1:7" ht="14.4" customHeight="1" x14ac:dyDescent="0.25">
      <c r="A27" t="s">
        <v>155</v>
      </c>
      <c r="B27" t="s">
        <v>156</v>
      </c>
      <c r="C27" t="s">
        <v>157</v>
      </c>
      <c r="D27" s="64">
        <v>3.57</v>
      </c>
      <c r="E27" s="83">
        <v>0</v>
      </c>
      <c r="F27">
        <v>0</v>
      </c>
      <c r="G27" s="64">
        <v>20</v>
      </c>
    </row>
    <row r="28" spans="1:7" ht="14.4" customHeight="1" x14ac:dyDescent="0.25">
      <c r="A28" t="s">
        <v>158</v>
      </c>
      <c r="B28" t="s">
        <v>159</v>
      </c>
      <c r="C28" t="s">
        <v>160</v>
      </c>
      <c r="D28" s="64">
        <v>3.49</v>
      </c>
      <c r="E28" s="83">
        <v>0</v>
      </c>
      <c r="F28">
        <v>0</v>
      </c>
      <c r="G28" s="64">
        <v>20</v>
      </c>
    </row>
    <row r="29" spans="1:7" ht="14.4" customHeight="1" x14ac:dyDescent="0.25">
      <c r="A29" t="s">
        <v>161</v>
      </c>
      <c r="B29" t="s">
        <v>162</v>
      </c>
      <c r="C29" t="s">
        <v>163</v>
      </c>
      <c r="D29" s="64">
        <v>4.1399999999999997</v>
      </c>
      <c r="E29" s="83">
        <v>0</v>
      </c>
      <c r="F29">
        <v>0</v>
      </c>
      <c r="G29" s="64">
        <v>20</v>
      </c>
    </row>
    <row r="30" spans="1:7" ht="14.4" customHeight="1" x14ac:dyDescent="0.25">
      <c r="A30" t="s">
        <v>164</v>
      </c>
      <c r="B30" t="s">
        <v>165</v>
      </c>
      <c r="C30" t="s">
        <v>166</v>
      </c>
      <c r="D30" s="64">
        <v>4.3</v>
      </c>
      <c r="E30" s="83">
        <v>0</v>
      </c>
      <c r="F30">
        <v>0</v>
      </c>
      <c r="G30" s="64">
        <v>20</v>
      </c>
    </row>
    <row r="31" spans="1:7" ht="14.4" customHeight="1" x14ac:dyDescent="0.25">
      <c r="A31" t="s">
        <v>167</v>
      </c>
      <c r="B31" t="s">
        <v>168</v>
      </c>
      <c r="C31" t="s">
        <v>169</v>
      </c>
      <c r="D31" s="64">
        <v>4.78</v>
      </c>
      <c r="E31" s="83">
        <v>0</v>
      </c>
      <c r="F31">
        <v>0</v>
      </c>
      <c r="G31" s="64">
        <v>20</v>
      </c>
    </row>
    <row r="32" spans="1:7" ht="14.4" customHeight="1" x14ac:dyDescent="0.25">
      <c r="A32" t="s">
        <v>170</v>
      </c>
      <c r="B32" t="s">
        <v>171</v>
      </c>
      <c r="C32" t="s">
        <v>172</v>
      </c>
      <c r="D32" s="64">
        <v>4.8499999999999996</v>
      </c>
      <c r="E32" s="83">
        <v>0</v>
      </c>
      <c r="F32">
        <v>0</v>
      </c>
      <c r="G32" s="64">
        <v>20</v>
      </c>
    </row>
    <row r="33" spans="1:7" ht="14.4" customHeight="1" x14ac:dyDescent="0.25">
      <c r="A33" t="s">
        <v>173</v>
      </c>
      <c r="B33" t="s">
        <v>174</v>
      </c>
      <c r="C33" t="s">
        <v>175</v>
      </c>
      <c r="D33" s="64">
        <v>4.8</v>
      </c>
      <c r="E33" s="83">
        <v>0</v>
      </c>
      <c r="F33">
        <v>0</v>
      </c>
      <c r="G33" s="64">
        <v>20</v>
      </c>
    </row>
    <row r="34" spans="1:7" ht="14.4" customHeight="1" x14ac:dyDescent="0.25">
      <c r="A34" t="s">
        <v>176</v>
      </c>
      <c r="B34" t="s">
        <v>177</v>
      </c>
      <c r="C34" t="s">
        <v>178</v>
      </c>
      <c r="D34" s="64">
        <v>4.05</v>
      </c>
      <c r="E34" s="83">
        <v>0</v>
      </c>
      <c r="F34">
        <v>0</v>
      </c>
      <c r="G34" s="64">
        <v>30</v>
      </c>
    </row>
    <row r="35" spans="1:7" ht="14.4" customHeight="1" x14ac:dyDescent="0.25">
      <c r="A35" t="s">
        <v>179</v>
      </c>
      <c r="B35" t="s">
        <v>180</v>
      </c>
      <c r="C35" t="s">
        <v>181</v>
      </c>
      <c r="D35" s="64">
        <v>4.3499999999999996</v>
      </c>
      <c r="E35" s="83">
        <v>0</v>
      </c>
      <c r="F35">
        <v>0</v>
      </c>
      <c r="G35" s="64">
        <v>20</v>
      </c>
    </row>
    <row r="36" spans="1:7" ht="14.4" customHeight="1" x14ac:dyDescent="0.25">
      <c r="A36" t="s">
        <v>182</v>
      </c>
      <c r="B36" t="s">
        <v>183</v>
      </c>
      <c r="C36" t="s">
        <v>184</v>
      </c>
      <c r="D36" s="64">
        <v>4.6500000000000004</v>
      </c>
      <c r="E36" s="83">
        <v>0</v>
      </c>
      <c r="F36">
        <v>0</v>
      </c>
      <c r="G36" s="64">
        <v>30</v>
      </c>
    </row>
    <row r="37" spans="1:7" ht="14.4" customHeight="1" x14ac:dyDescent="0.25">
      <c r="A37" t="s">
        <v>185</v>
      </c>
      <c r="B37" t="s">
        <v>186</v>
      </c>
      <c r="C37" t="s">
        <v>187</v>
      </c>
      <c r="D37" s="64">
        <v>4.72</v>
      </c>
      <c r="E37" s="83">
        <v>0</v>
      </c>
      <c r="F37">
        <v>0</v>
      </c>
      <c r="G37" s="64">
        <v>30</v>
      </c>
    </row>
    <row r="38" spans="1:7" ht="14.4" customHeight="1" x14ac:dyDescent="0.25">
      <c r="A38" t="s">
        <v>188</v>
      </c>
      <c r="B38" t="s">
        <v>189</v>
      </c>
      <c r="C38" t="s">
        <v>190</v>
      </c>
      <c r="D38" s="64">
        <v>4.9000000000000004</v>
      </c>
      <c r="E38" s="83">
        <v>0</v>
      </c>
      <c r="F38">
        <v>0</v>
      </c>
      <c r="G38" s="64">
        <v>30</v>
      </c>
    </row>
    <row r="39" spans="1:7" ht="14.4" customHeight="1" x14ac:dyDescent="0.25">
      <c r="A39" t="s">
        <v>191</v>
      </c>
      <c r="B39" t="s">
        <v>192</v>
      </c>
      <c r="C39" t="s">
        <v>193</v>
      </c>
      <c r="D39" s="64">
        <v>5</v>
      </c>
      <c r="E39" s="83">
        <v>0</v>
      </c>
      <c r="F39">
        <v>0</v>
      </c>
      <c r="G39" s="64">
        <v>20</v>
      </c>
    </row>
    <row r="40" spans="1:7" ht="14.4" customHeight="1" x14ac:dyDescent="0.25">
      <c r="A40" t="s">
        <v>194</v>
      </c>
      <c r="B40" t="s">
        <v>195</v>
      </c>
      <c r="C40" t="s">
        <v>196</v>
      </c>
      <c r="D40" s="64">
        <v>4.7300000000000004</v>
      </c>
      <c r="E40" s="83">
        <v>0</v>
      </c>
      <c r="F40">
        <v>0</v>
      </c>
      <c r="G40" s="64">
        <v>30</v>
      </c>
    </row>
    <row r="41" spans="1:7" ht="14.4" customHeight="1" x14ac:dyDescent="0.25">
      <c r="A41" t="s">
        <v>197</v>
      </c>
      <c r="B41" t="s">
        <v>198</v>
      </c>
      <c r="C41" t="s">
        <v>199</v>
      </c>
      <c r="D41" s="64">
        <v>5.19</v>
      </c>
      <c r="E41" s="83">
        <v>0</v>
      </c>
      <c r="F41">
        <v>0</v>
      </c>
      <c r="G41" s="64">
        <v>30</v>
      </c>
    </row>
    <row r="42" spans="1:7" ht="14.4" customHeight="1" x14ac:dyDescent="0.25">
      <c r="A42" t="s">
        <v>200</v>
      </c>
      <c r="B42" t="s">
        <v>201</v>
      </c>
      <c r="C42" t="s">
        <v>202</v>
      </c>
      <c r="D42" s="64">
        <v>5.0999999999999996</v>
      </c>
      <c r="E42" s="83">
        <v>0</v>
      </c>
      <c r="F42">
        <v>0</v>
      </c>
      <c r="G42" s="64">
        <v>30</v>
      </c>
    </row>
    <row r="43" spans="1:7" ht="14.4" customHeight="1" x14ac:dyDescent="0.25">
      <c r="A43" t="s">
        <v>203</v>
      </c>
      <c r="B43" t="s">
        <v>204</v>
      </c>
      <c r="C43" t="s">
        <v>205</v>
      </c>
      <c r="D43" s="64">
        <v>5.45</v>
      </c>
      <c r="E43" s="83">
        <v>0</v>
      </c>
      <c r="F43">
        <v>0</v>
      </c>
      <c r="G43" s="64">
        <v>30</v>
      </c>
    </row>
    <row r="44" spans="1:7" ht="14.4" customHeight="1" x14ac:dyDescent="0.25">
      <c r="A44" t="s">
        <v>206</v>
      </c>
      <c r="B44" t="s">
        <v>207</v>
      </c>
      <c r="C44" t="s">
        <v>208</v>
      </c>
      <c r="D44" s="64">
        <v>5.7</v>
      </c>
      <c r="E44" s="83">
        <v>0</v>
      </c>
      <c r="F44">
        <v>0</v>
      </c>
      <c r="G44" s="64">
        <v>30</v>
      </c>
    </row>
    <row r="45" spans="1:7" ht="14.4" customHeight="1" x14ac:dyDescent="0.25">
      <c r="A45" t="s">
        <v>209</v>
      </c>
      <c r="B45" t="s">
        <v>210</v>
      </c>
      <c r="C45" t="s">
        <v>211</v>
      </c>
      <c r="D45" s="64">
        <v>5.2</v>
      </c>
      <c r="E45" s="83">
        <v>0</v>
      </c>
      <c r="F45">
        <v>0</v>
      </c>
      <c r="G45" s="64">
        <v>30</v>
      </c>
    </row>
    <row r="46" spans="1:7" ht="14.4" customHeight="1" x14ac:dyDescent="0.25">
      <c r="A46" t="s">
        <v>212</v>
      </c>
      <c r="B46" t="s">
        <v>213</v>
      </c>
      <c r="C46" t="s">
        <v>214</v>
      </c>
      <c r="D46" s="64">
        <v>3.75</v>
      </c>
      <c r="E46" s="83">
        <v>0</v>
      </c>
      <c r="F46">
        <v>0</v>
      </c>
      <c r="G46" s="64">
        <v>20</v>
      </c>
    </row>
    <row r="47" spans="1:7" ht="14.4" customHeight="1" x14ac:dyDescent="0.25">
      <c r="A47" t="s">
        <v>215</v>
      </c>
      <c r="B47" t="s">
        <v>216</v>
      </c>
      <c r="C47" t="s">
        <v>217</v>
      </c>
      <c r="D47" s="64">
        <v>3.85</v>
      </c>
      <c r="E47" s="83">
        <v>0</v>
      </c>
      <c r="F47">
        <v>0</v>
      </c>
      <c r="G47" s="64">
        <v>20</v>
      </c>
    </row>
    <row r="48" spans="1:7" ht="14.4" customHeight="1" x14ac:dyDescent="0.25">
      <c r="A48" t="s">
        <v>218</v>
      </c>
      <c r="B48" t="s">
        <v>219</v>
      </c>
      <c r="C48" t="s">
        <v>220</v>
      </c>
      <c r="D48" s="64">
        <v>3.7</v>
      </c>
      <c r="E48" s="83">
        <v>0</v>
      </c>
      <c r="F48">
        <v>0</v>
      </c>
      <c r="G48" s="64">
        <v>20</v>
      </c>
    </row>
    <row r="49" spans="1:7" ht="14.4" customHeight="1" x14ac:dyDescent="0.25">
      <c r="A49" t="s">
        <v>221</v>
      </c>
      <c r="B49" t="s">
        <v>222</v>
      </c>
      <c r="C49" t="s">
        <v>223</v>
      </c>
      <c r="D49" s="64">
        <v>3.85</v>
      </c>
      <c r="E49" s="83">
        <v>0</v>
      </c>
      <c r="F49">
        <v>0</v>
      </c>
      <c r="G49" s="64">
        <v>20</v>
      </c>
    </row>
    <row r="50" spans="1:7" ht="14.4" customHeight="1" x14ac:dyDescent="0.25">
      <c r="A50" t="s">
        <v>224</v>
      </c>
      <c r="B50" t="s">
        <v>225</v>
      </c>
      <c r="C50" t="s">
        <v>226</v>
      </c>
      <c r="D50" s="64">
        <v>3.85</v>
      </c>
      <c r="E50" s="83">
        <v>0</v>
      </c>
      <c r="F50">
        <v>0</v>
      </c>
      <c r="G50" s="64">
        <v>20</v>
      </c>
    </row>
    <row r="51" spans="1:7" ht="14.4" customHeight="1" x14ac:dyDescent="0.25">
      <c r="A51" t="s">
        <v>227</v>
      </c>
      <c r="B51" t="s">
        <v>228</v>
      </c>
      <c r="C51" t="s">
        <v>229</v>
      </c>
      <c r="D51" s="64">
        <v>3.95</v>
      </c>
      <c r="E51" s="83">
        <v>0</v>
      </c>
      <c r="F51">
        <v>0</v>
      </c>
      <c r="G51" s="64">
        <v>20</v>
      </c>
    </row>
    <row r="52" spans="1:7" ht="14.4" customHeight="1" x14ac:dyDescent="0.25">
      <c r="A52" t="s">
        <v>230</v>
      </c>
      <c r="B52" t="s">
        <v>231</v>
      </c>
      <c r="C52" t="s">
        <v>232</v>
      </c>
      <c r="D52" s="64">
        <v>4</v>
      </c>
      <c r="E52" s="83">
        <v>0</v>
      </c>
      <c r="F52">
        <v>0</v>
      </c>
      <c r="G52" s="64">
        <v>20</v>
      </c>
    </row>
    <row r="53" spans="1:7" ht="14.4" customHeight="1" x14ac:dyDescent="0.25">
      <c r="A53" t="s">
        <v>233</v>
      </c>
      <c r="B53" t="s">
        <v>234</v>
      </c>
      <c r="C53" t="s">
        <v>235</v>
      </c>
      <c r="D53" s="64">
        <v>4.1500000000000004</v>
      </c>
      <c r="E53" s="83">
        <v>0</v>
      </c>
      <c r="F53">
        <v>0</v>
      </c>
      <c r="G53" s="64">
        <v>20</v>
      </c>
    </row>
    <row r="54" spans="1:7" ht="14.4" customHeight="1" x14ac:dyDescent="0.25">
      <c r="A54" t="s">
        <v>236</v>
      </c>
      <c r="B54" t="s">
        <v>237</v>
      </c>
      <c r="C54" t="s">
        <v>238</v>
      </c>
      <c r="D54" s="64">
        <v>4.09</v>
      </c>
      <c r="E54" s="83">
        <v>0</v>
      </c>
      <c r="F54">
        <v>0</v>
      </c>
      <c r="G54" s="64">
        <v>20</v>
      </c>
    </row>
    <row r="55" spans="1:7" ht="14.4" customHeight="1" x14ac:dyDescent="0.25">
      <c r="A55" t="s">
        <v>239</v>
      </c>
      <c r="B55" t="s">
        <v>240</v>
      </c>
      <c r="C55" t="s">
        <v>241</v>
      </c>
      <c r="D55" s="64">
        <v>4.05</v>
      </c>
      <c r="E55" s="83">
        <v>0</v>
      </c>
      <c r="F55">
        <v>0</v>
      </c>
      <c r="G55" s="64">
        <v>20</v>
      </c>
    </row>
    <row r="56" spans="1:7" ht="14.4" customHeight="1" x14ac:dyDescent="0.25">
      <c r="A56" t="s">
        <v>242</v>
      </c>
      <c r="B56" t="s">
        <v>243</v>
      </c>
      <c r="C56" t="s">
        <v>244</v>
      </c>
      <c r="D56" s="64">
        <v>4.2</v>
      </c>
      <c r="E56" s="83">
        <v>0</v>
      </c>
      <c r="F56">
        <v>0</v>
      </c>
      <c r="G56" s="64">
        <v>20</v>
      </c>
    </row>
    <row r="57" spans="1:7" ht="14.4" customHeight="1" x14ac:dyDescent="0.25">
      <c r="A57" t="s">
        <v>245</v>
      </c>
      <c r="B57" t="s">
        <v>246</v>
      </c>
      <c r="C57" t="s">
        <v>247</v>
      </c>
      <c r="D57" s="64">
        <v>3.98</v>
      </c>
      <c r="E57" s="83">
        <v>0</v>
      </c>
      <c r="F57">
        <v>0</v>
      </c>
      <c r="G57" s="64">
        <v>20</v>
      </c>
    </row>
    <row r="58" spans="1:7" ht="14.4" customHeight="1" x14ac:dyDescent="0.25">
      <c r="A58" t="s">
        <v>248</v>
      </c>
      <c r="B58" t="s">
        <v>249</v>
      </c>
      <c r="C58" t="s">
        <v>250</v>
      </c>
      <c r="D58" s="64">
        <v>3.84</v>
      </c>
      <c r="E58" s="83">
        <v>0</v>
      </c>
      <c r="F58">
        <v>0</v>
      </c>
      <c r="G58" s="64">
        <v>20</v>
      </c>
    </row>
    <row r="59" spans="1:7" ht="14.4" customHeight="1" x14ac:dyDescent="0.25">
      <c r="A59" t="s">
        <v>251</v>
      </c>
      <c r="B59" t="s">
        <v>252</v>
      </c>
      <c r="C59" t="s">
        <v>253</v>
      </c>
      <c r="D59" s="64">
        <v>5.36</v>
      </c>
      <c r="E59" s="83">
        <v>0</v>
      </c>
      <c r="F59">
        <v>0</v>
      </c>
      <c r="G59" s="64">
        <v>20</v>
      </c>
    </row>
    <row r="60" spans="1:7" ht="14.4" customHeight="1" x14ac:dyDescent="0.25">
      <c r="A60" t="s">
        <v>254</v>
      </c>
      <c r="B60" t="s">
        <v>255</v>
      </c>
      <c r="C60" t="s">
        <v>256</v>
      </c>
      <c r="D60" s="64">
        <v>4.68</v>
      </c>
      <c r="E60" s="83">
        <v>0</v>
      </c>
      <c r="F60" t="s">
        <v>427</v>
      </c>
      <c r="G60" s="64">
        <v>30</v>
      </c>
    </row>
    <row r="61" spans="1:7" ht="14.4" customHeight="1" x14ac:dyDescent="0.25">
      <c r="A61" t="s">
        <v>257</v>
      </c>
      <c r="B61" t="s">
        <v>258</v>
      </c>
      <c r="C61" t="s">
        <v>259</v>
      </c>
      <c r="D61" s="64">
        <v>5.36</v>
      </c>
      <c r="E61" s="83">
        <v>0</v>
      </c>
      <c r="F61" t="s">
        <v>320</v>
      </c>
      <c r="G61" s="64">
        <v>30</v>
      </c>
    </row>
    <row r="62" spans="1:7" ht="14.4" customHeight="1" x14ac:dyDescent="0.25">
      <c r="A62" t="s">
        <v>260</v>
      </c>
      <c r="B62" t="s">
        <v>258</v>
      </c>
      <c r="C62" t="s">
        <v>261</v>
      </c>
      <c r="D62" s="64">
        <v>5.36</v>
      </c>
      <c r="E62" s="83">
        <v>0</v>
      </c>
      <c r="F62" t="s">
        <v>320</v>
      </c>
      <c r="G62" s="64">
        <v>30</v>
      </c>
    </row>
    <row r="63" spans="1:7" ht="14.4" customHeight="1" x14ac:dyDescent="0.25">
      <c r="A63" t="s">
        <v>262</v>
      </c>
      <c r="B63" t="s">
        <v>263</v>
      </c>
      <c r="C63" t="s">
        <v>264</v>
      </c>
      <c r="D63" s="64">
        <v>5.0599999999999996</v>
      </c>
      <c r="E63" s="83">
        <v>0</v>
      </c>
      <c r="F63">
        <v>0</v>
      </c>
      <c r="G63" s="64">
        <v>30</v>
      </c>
    </row>
    <row r="64" spans="1:7" ht="14.4" customHeight="1" x14ac:dyDescent="0.25">
      <c r="A64" t="s">
        <v>265</v>
      </c>
      <c r="B64" t="s">
        <v>266</v>
      </c>
      <c r="C64" t="s">
        <v>267</v>
      </c>
      <c r="D64" s="64">
        <v>4.38</v>
      </c>
      <c r="E64" s="83">
        <v>0</v>
      </c>
      <c r="F64" t="s">
        <v>427</v>
      </c>
      <c r="G64" s="64">
        <v>25</v>
      </c>
    </row>
    <row r="65" spans="1:7" ht="14.4" customHeight="1" x14ac:dyDescent="0.25">
      <c r="A65" t="s">
        <v>268</v>
      </c>
      <c r="B65" t="s">
        <v>266</v>
      </c>
      <c r="C65" t="s">
        <v>269</v>
      </c>
      <c r="D65" s="64">
        <v>4.2</v>
      </c>
      <c r="E65" s="83">
        <v>0</v>
      </c>
      <c r="F65" t="s">
        <v>427</v>
      </c>
      <c r="G65" s="64">
        <v>25</v>
      </c>
    </row>
    <row r="66" spans="1:7" ht="14.4" customHeight="1" x14ac:dyDescent="0.25">
      <c r="A66" t="s">
        <v>270</v>
      </c>
      <c r="B66" t="s">
        <v>271</v>
      </c>
      <c r="C66" t="s">
        <v>272</v>
      </c>
      <c r="D66" s="64">
        <v>3.88</v>
      </c>
      <c r="E66" s="83">
        <v>0</v>
      </c>
      <c r="F66" t="s">
        <v>320</v>
      </c>
      <c r="G66" s="64">
        <v>38</v>
      </c>
    </row>
    <row r="67" spans="1:7" ht="14.4" customHeight="1" x14ac:dyDescent="0.25">
      <c r="A67" t="s">
        <v>273</v>
      </c>
      <c r="B67" t="s">
        <v>274</v>
      </c>
      <c r="C67" t="s">
        <v>275</v>
      </c>
      <c r="D67" s="64">
        <v>2.73</v>
      </c>
      <c r="E67" s="83">
        <v>0</v>
      </c>
      <c r="F67" t="s">
        <v>427</v>
      </c>
      <c r="G67" s="64">
        <v>30</v>
      </c>
    </row>
    <row r="68" spans="1:7" ht="14.4" customHeight="1" x14ac:dyDescent="0.25">
      <c r="A68" t="s">
        <v>276</v>
      </c>
      <c r="B68" t="s">
        <v>277</v>
      </c>
      <c r="C68" t="s">
        <v>278</v>
      </c>
      <c r="D68" s="64">
        <v>4.4800000000000004</v>
      </c>
      <c r="E68" s="83">
        <v>0</v>
      </c>
      <c r="F68" t="s">
        <v>320</v>
      </c>
      <c r="G68" s="64">
        <v>5</v>
      </c>
    </row>
    <row r="69" spans="1:7" ht="14.4" customHeight="1" x14ac:dyDescent="0.25">
      <c r="A69" t="s">
        <v>279</v>
      </c>
      <c r="B69" t="s">
        <v>280</v>
      </c>
      <c r="C69" t="s">
        <v>281</v>
      </c>
      <c r="D69" s="64">
        <v>2.4</v>
      </c>
      <c r="E69" s="83">
        <v>0</v>
      </c>
      <c r="F69" t="s">
        <v>427</v>
      </c>
      <c r="G69" s="64">
        <v>30</v>
      </c>
    </row>
    <row r="70" spans="1:7" ht="14.4" customHeight="1" x14ac:dyDescent="0.25">
      <c r="A70" t="s">
        <v>282</v>
      </c>
      <c r="B70" t="s">
        <v>283</v>
      </c>
      <c r="C70" t="s">
        <v>284</v>
      </c>
      <c r="D70" s="64">
        <v>4.5</v>
      </c>
      <c r="E70" s="83">
        <v>0</v>
      </c>
      <c r="F70" t="s">
        <v>320</v>
      </c>
      <c r="G70" s="64">
        <v>35</v>
      </c>
    </row>
    <row r="71" spans="1:7" ht="14.4" customHeight="1" x14ac:dyDescent="0.25">
      <c r="A71" t="s">
        <v>285</v>
      </c>
      <c r="B71" t="s">
        <v>286</v>
      </c>
      <c r="C71" t="s">
        <v>287</v>
      </c>
      <c r="D71" s="64">
        <v>2.88</v>
      </c>
      <c r="E71" s="83">
        <v>0</v>
      </c>
      <c r="F71" t="s">
        <v>320</v>
      </c>
      <c r="G71" s="64">
        <v>2</v>
      </c>
    </row>
    <row r="72" spans="1:7" ht="14.4" customHeight="1" x14ac:dyDescent="0.25">
      <c r="A72" t="s">
        <v>288</v>
      </c>
      <c r="B72" t="s">
        <v>289</v>
      </c>
      <c r="C72" t="s">
        <v>290</v>
      </c>
      <c r="D72" s="64">
        <v>3.55</v>
      </c>
      <c r="E72" s="83">
        <v>0</v>
      </c>
      <c r="F72" t="s">
        <v>320</v>
      </c>
      <c r="G72" s="64">
        <v>18</v>
      </c>
    </row>
    <row r="73" spans="1:7" ht="14.4" customHeight="1" x14ac:dyDescent="0.25">
      <c r="A73" t="s">
        <v>291</v>
      </c>
      <c r="B73" t="s">
        <v>292</v>
      </c>
      <c r="C73" t="s">
        <v>293</v>
      </c>
      <c r="D73" s="64">
        <v>5.3</v>
      </c>
      <c r="E73" s="83">
        <v>0</v>
      </c>
      <c r="F73" t="s">
        <v>320</v>
      </c>
      <c r="G73" s="64">
        <v>15</v>
      </c>
    </row>
    <row r="74" spans="1:7" ht="14.4" customHeight="1" x14ac:dyDescent="0.25">
      <c r="A74" t="s">
        <v>294</v>
      </c>
      <c r="B74" t="s">
        <v>295</v>
      </c>
      <c r="C74" t="s">
        <v>296</v>
      </c>
      <c r="D74" s="64">
        <v>5.3</v>
      </c>
      <c r="E74" s="83">
        <v>0</v>
      </c>
      <c r="F74" t="s">
        <v>320</v>
      </c>
      <c r="G74" s="64">
        <v>15</v>
      </c>
    </row>
    <row r="75" spans="1:7" ht="14.4" customHeight="1" x14ac:dyDescent="0.25">
      <c r="A75" t="s">
        <v>297</v>
      </c>
      <c r="B75" t="s">
        <v>298</v>
      </c>
      <c r="C75" t="s">
        <v>299</v>
      </c>
      <c r="D75" s="64">
        <v>4.99</v>
      </c>
      <c r="E75" s="83">
        <v>0</v>
      </c>
      <c r="F75" t="s">
        <v>427</v>
      </c>
      <c r="G75" s="64">
        <v>23</v>
      </c>
    </row>
    <row r="76" spans="1:7" ht="14.4" customHeight="1" x14ac:dyDescent="0.25">
      <c r="A76" t="s">
        <v>300</v>
      </c>
      <c r="B76" t="s">
        <v>301</v>
      </c>
      <c r="C76" t="s">
        <v>302</v>
      </c>
      <c r="D76" s="64">
        <v>4.5199999999999996</v>
      </c>
      <c r="E76" s="83">
        <v>0</v>
      </c>
      <c r="F76" t="s">
        <v>427</v>
      </c>
      <c r="G76" s="64">
        <v>20</v>
      </c>
    </row>
    <row r="77" spans="1:7" ht="14.4" customHeight="1" x14ac:dyDescent="0.25">
      <c r="A77" t="s">
        <v>303</v>
      </c>
      <c r="B77" t="s">
        <v>304</v>
      </c>
      <c r="C77" t="s">
        <v>305</v>
      </c>
      <c r="D77" s="64">
        <v>3.45</v>
      </c>
      <c r="E77" s="83">
        <v>0</v>
      </c>
      <c r="F77" t="s">
        <v>427</v>
      </c>
      <c r="G77" s="64">
        <v>11</v>
      </c>
    </row>
    <row r="78" spans="1:7" ht="14.4" customHeight="1" x14ac:dyDescent="0.25">
      <c r="A78" t="s">
        <v>306</v>
      </c>
      <c r="B78" t="s">
        <v>307</v>
      </c>
      <c r="C78" t="s">
        <v>308</v>
      </c>
      <c r="D78" s="64"/>
      <c r="E78" s="83">
        <v>0</v>
      </c>
      <c r="F78" t="s">
        <v>428</v>
      </c>
      <c r="G78" s="64">
        <v>2</v>
      </c>
    </row>
    <row r="79" spans="1:7" ht="14.4" customHeight="1" x14ac:dyDescent="0.25">
      <c r="A79" t="s">
        <v>309</v>
      </c>
      <c r="B79" t="s">
        <v>310</v>
      </c>
      <c r="C79" t="s">
        <v>311</v>
      </c>
      <c r="D79" s="64"/>
      <c r="E79" s="83">
        <v>0</v>
      </c>
      <c r="F79" t="s">
        <v>428</v>
      </c>
      <c r="G79" s="64">
        <v>2</v>
      </c>
    </row>
    <row r="80" spans="1:7" ht="14.4" customHeight="1" x14ac:dyDescent="0.25">
      <c r="A80" t="s">
        <v>312</v>
      </c>
      <c r="B80" t="s">
        <v>310</v>
      </c>
      <c r="C80" t="s">
        <v>313</v>
      </c>
      <c r="D80" s="64"/>
      <c r="E80" s="83">
        <v>0</v>
      </c>
      <c r="F80" t="s">
        <v>428</v>
      </c>
      <c r="G80" s="64">
        <v>15</v>
      </c>
    </row>
    <row r="81" spans="1:7" ht="14.4" customHeight="1" x14ac:dyDescent="0.25">
      <c r="D81" s="64"/>
      <c r="E81" s="83"/>
      <c r="G81" s="64"/>
    </row>
    <row r="82" spans="1:7" ht="14.4" customHeight="1" x14ac:dyDescent="0.25">
      <c r="D82" s="64"/>
      <c r="E82" s="83"/>
      <c r="G82" s="64"/>
    </row>
    <row r="83" spans="1:7" ht="14.4" customHeight="1" x14ac:dyDescent="0.25">
      <c r="D83" s="64"/>
      <c r="E83" s="83"/>
      <c r="G83" s="64"/>
    </row>
    <row r="84" spans="1:7" ht="14.4" customHeight="1" x14ac:dyDescent="0.25">
      <c r="D84" s="64"/>
      <c r="E84" s="83"/>
      <c r="G84" s="64"/>
    </row>
    <row r="85" spans="1:7" ht="14.4" customHeight="1" x14ac:dyDescent="0.25">
      <c r="D85" s="64"/>
      <c r="E85" s="83"/>
      <c r="G85" s="64"/>
    </row>
    <row r="86" spans="1:7" ht="14.4" customHeight="1" x14ac:dyDescent="0.25">
      <c r="A86" s="143" t="s">
        <v>314</v>
      </c>
      <c r="B86" s="143"/>
      <c r="C86" s="143"/>
      <c r="D86" s="143"/>
      <c r="E86" s="83"/>
      <c r="G86" s="64"/>
    </row>
    <row r="87" spans="1:7" ht="14.4" customHeight="1" x14ac:dyDescent="0.25">
      <c r="A87" s="84" t="s">
        <v>315</v>
      </c>
      <c r="B87" s="84" t="s">
        <v>316</v>
      </c>
      <c r="C87" s="84" t="s">
        <v>317</v>
      </c>
      <c r="D87" s="85" t="s">
        <v>318</v>
      </c>
      <c r="E87" s="83"/>
      <c r="G87" s="64"/>
    </row>
    <row r="88" spans="1:7" ht="14.4" customHeight="1" x14ac:dyDescent="0.25">
      <c r="A88" t="s">
        <v>319</v>
      </c>
      <c r="B88" t="s">
        <v>320</v>
      </c>
      <c r="C88" t="s">
        <v>321</v>
      </c>
      <c r="D88" s="64" t="s">
        <v>322</v>
      </c>
      <c r="E88" s="83"/>
      <c r="G88" s="64"/>
    </row>
    <row r="89" spans="1:7" ht="14.4" customHeight="1" x14ac:dyDescent="0.25">
      <c r="A89" t="s">
        <v>323</v>
      </c>
      <c r="B89" t="s">
        <v>320</v>
      </c>
      <c r="C89" t="s">
        <v>321</v>
      </c>
      <c r="D89" s="64" t="s">
        <v>322</v>
      </c>
      <c r="E89" s="83"/>
      <c r="G89" s="64"/>
    </row>
    <row r="90" spans="1:7" ht="14.4" customHeight="1" x14ac:dyDescent="0.25">
      <c r="A90" t="s">
        <v>324</v>
      </c>
      <c r="B90" t="s">
        <v>320</v>
      </c>
      <c r="C90" t="s">
        <v>321</v>
      </c>
      <c r="D90" s="64" t="s">
        <v>322</v>
      </c>
      <c r="E90" s="83"/>
      <c r="G90" s="64"/>
    </row>
    <row r="91" spans="1:7" ht="14.4" customHeight="1" x14ac:dyDescent="0.25">
      <c r="A91" t="s">
        <v>325</v>
      </c>
      <c r="B91" t="s">
        <v>320</v>
      </c>
      <c r="C91" t="s">
        <v>321</v>
      </c>
      <c r="D91" s="64" t="s">
        <v>322</v>
      </c>
      <c r="E91" s="83"/>
      <c r="G91" s="64"/>
    </row>
    <row r="92" spans="1:7" ht="14.4" customHeight="1" x14ac:dyDescent="0.25">
      <c r="A92" t="s">
        <v>326</v>
      </c>
      <c r="B92" t="s">
        <v>327</v>
      </c>
      <c r="C92" t="s">
        <v>321</v>
      </c>
      <c r="D92" s="64" t="s">
        <v>328</v>
      </c>
      <c r="E92" s="83"/>
      <c r="G92" s="64"/>
    </row>
    <row r="93" spans="1:7" ht="14.4" customHeight="1" x14ac:dyDescent="0.25">
      <c r="A93" t="s">
        <v>329</v>
      </c>
      <c r="B93" t="s">
        <v>327</v>
      </c>
      <c r="C93" t="s">
        <v>321</v>
      </c>
      <c r="D93" s="64" t="s">
        <v>328</v>
      </c>
      <c r="E93" s="83"/>
      <c r="G93" s="64"/>
    </row>
    <row r="94" spans="1:7" ht="14.4" customHeight="1" x14ac:dyDescent="0.25">
      <c r="A94" t="s">
        <v>330</v>
      </c>
      <c r="B94" t="s">
        <v>327</v>
      </c>
      <c r="C94" t="s">
        <v>321</v>
      </c>
      <c r="D94" s="64" t="s">
        <v>328</v>
      </c>
      <c r="E94" s="83"/>
      <c r="G94" s="64"/>
    </row>
    <row r="95" spans="1:7" ht="14.4" customHeight="1" x14ac:dyDescent="0.25">
      <c r="A95" t="s">
        <v>331</v>
      </c>
      <c r="B95" t="s">
        <v>320</v>
      </c>
      <c r="C95" t="s">
        <v>321</v>
      </c>
      <c r="D95" s="64" t="s">
        <v>322</v>
      </c>
      <c r="E95" s="83"/>
      <c r="G95" s="64"/>
    </row>
    <row r="96" spans="1:7" ht="14.4" customHeight="1" x14ac:dyDescent="0.25">
      <c r="A96" t="s">
        <v>332</v>
      </c>
      <c r="B96" t="s">
        <v>327</v>
      </c>
      <c r="C96" t="s">
        <v>333</v>
      </c>
      <c r="D96" s="64" t="s">
        <v>328</v>
      </c>
      <c r="E96" s="83"/>
      <c r="G96" s="64"/>
    </row>
    <row r="97" spans="1:7" ht="14.4" customHeight="1" x14ac:dyDescent="0.25">
      <c r="A97" t="s">
        <v>334</v>
      </c>
      <c r="B97" t="s">
        <v>320</v>
      </c>
      <c r="C97" t="s">
        <v>321</v>
      </c>
      <c r="D97" s="64" t="s">
        <v>322</v>
      </c>
      <c r="E97" s="83"/>
      <c r="G97" s="64"/>
    </row>
    <row r="98" spans="1:7" ht="14.4" customHeight="1" x14ac:dyDescent="0.25">
      <c r="A98" t="s">
        <v>335</v>
      </c>
      <c r="B98" t="s">
        <v>327</v>
      </c>
      <c r="C98" t="s">
        <v>333</v>
      </c>
      <c r="D98" s="64" t="s">
        <v>328</v>
      </c>
      <c r="E98" s="83"/>
      <c r="G98" s="64"/>
    </row>
    <row r="99" spans="1:7" ht="14.4" customHeight="1" x14ac:dyDescent="0.25">
      <c r="A99" t="s">
        <v>336</v>
      </c>
      <c r="B99" t="s">
        <v>337</v>
      </c>
      <c r="C99" t="s">
        <v>321</v>
      </c>
      <c r="D99" s="64" t="s">
        <v>328</v>
      </c>
      <c r="E99" s="83"/>
      <c r="G99" s="64"/>
    </row>
    <row r="100" spans="1:7" ht="14.4" customHeight="1" x14ac:dyDescent="0.25">
      <c r="A100" t="s">
        <v>338</v>
      </c>
      <c r="B100" t="s">
        <v>320</v>
      </c>
      <c r="C100" t="s">
        <v>321</v>
      </c>
      <c r="D100" s="64" t="s">
        <v>322</v>
      </c>
      <c r="E100" s="83"/>
      <c r="G100" s="64"/>
    </row>
    <row r="101" spans="1:7" ht="14.4" customHeight="1" x14ac:dyDescent="0.25">
      <c r="A101" t="s">
        <v>339</v>
      </c>
      <c r="B101" t="s">
        <v>320</v>
      </c>
      <c r="C101" t="s">
        <v>321</v>
      </c>
      <c r="D101" s="64" t="s">
        <v>322</v>
      </c>
      <c r="E101" s="83"/>
      <c r="G101" s="64"/>
    </row>
    <row r="102" spans="1:7" ht="14.4" customHeight="1" x14ac:dyDescent="0.25">
      <c r="A102" t="s">
        <v>340</v>
      </c>
      <c r="B102" t="s">
        <v>320</v>
      </c>
      <c r="C102" t="s">
        <v>321</v>
      </c>
      <c r="D102" s="64" t="s">
        <v>322</v>
      </c>
      <c r="E102" s="83"/>
      <c r="G102" s="64"/>
    </row>
    <row r="103" spans="1:7" ht="14.4" customHeight="1" x14ac:dyDescent="0.25">
      <c r="A103" t="s">
        <v>341</v>
      </c>
      <c r="B103" t="s">
        <v>320</v>
      </c>
      <c r="C103" t="s">
        <v>321</v>
      </c>
      <c r="D103" s="64" t="s">
        <v>322</v>
      </c>
      <c r="E103" s="83"/>
      <c r="G103" s="64"/>
    </row>
    <row r="104" spans="1:7" ht="14.4" customHeight="1" x14ac:dyDescent="0.25">
      <c r="A104" t="s">
        <v>342</v>
      </c>
      <c r="B104" t="s">
        <v>320</v>
      </c>
      <c r="C104" t="s">
        <v>321</v>
      </c>
      <c r="D104" s="64" t="s">
        <v>322</v>
      </c>
      <c r="E104" s="83"/>
      <c r="G104" s="64"/>
    </row>
    <row r="105" spans="1:7" ht="14.4" customHeight="1" x14ac:dyDescent="0.25">
      <c r="A105" t="s">
        <v>343</v>
      </c>
      <c r="B105" t="s">
        <v>320</v>
      </c>
      <c r="C105" t="s">
        <v>321</v>
      </c>
      <c r="D105" s="64" t="s">
        <v>322</v>
      </c>
      <c r="E105" s="83"/>
      <c r="G105" s="64"/>
    </row>
    <row r="106" spans="1:7" ht="14.4" customHeight="1" x14ac:dyDescent="0.25">
      <c r="A106" t="s">
        <v>344</v>
      </c>
      <c r="B106" t="s">
        <v>320</v>
      </c>
      <c r="C106" t="s">
        <v>321</v>
      </c>
      <c r="D106" s="64" t="s">
        <v>322</v>
      </c>
      <c r="E106" s="83"/>
      <c r="G106" s="64"/>
    </row>
    <row r="107" spans="1:7" ht="14.4" customHeight="1" x14ac:dyDescent="0.25">
      <c r="A107" t="s">
        <v>345</v>
      </c>
      <c r="B107" t="s">
        <v>320</v>
      </c>
      <c r="C107" t="s">
        <v>321</v>
      </c>
      <c r="D107" s="64" t="s">
        <v>322</v>
      </c>
      <c r="E107" s="83"/>
      <c r="G107" s="64"/>
    </row>
    <row r="108" spans="1:7" ht="14.4" customHeight="1" x14ac:dyDescent="0.25">
      <c r="A108" t="s">
        <v>346</v>
      </c>
      <c r="B108" t="s">
        <v>320</v>
      </c>
      <c r="C108" t="s">
        <v>321</v>
      </c>
      <c r="D108" s="64" t="s">
        <v>322</v>
      </c>
      <c r="E108" s="83"/>
      <c r="G108" s="64"/>
    </row>
    <row r="109" spans="1:7" ht="14.4" customHeight="1" x14ac:dyDescent="0.25">
      <c r="A109" t="s">
        <v>347</v>
      </c>
      <c r="B109" t="s">
        <v>320</v>
      </c>
      <c r="C109" t="s">
        <v>321</v>
      </c>
      <c r="D109" s="64" t="s">
        <v>322</v>
      </c>
      <c r="E109" s="83"/>
      <c r="G109" s="64"/>
    </row>
    <row r="110" spans="1:7" ht="14.4" customHeight="1" x14ac:dyDescent="0.25">
      <c r="A110" t="s">
        <v>348</v>
      </c>
      <c r="B110" t="s">
        <v>320</v>
      </c>
      <c r="C110" t="s">
        <v>321</v>
      </c>
      <c r="D110" s="64" t="s">
        <v>322</v>
      </c>
      <c r="E110" s="83"/>
      <c r="G110" s="64"/>
    </row>
    <row r="111" spans="1:7" ht="14.4" customHeight="1" x14ac:dyDescent="0.25">
      <c r="A111" t="s">
        <v>349</v>
      </c>
      <c r="B111" t="s">
        <v>320</v>
      </c>
      <c r="C111" t="s">
        <v>321</v>
      </c>
      <c r="D111" s="64" t="s">
        <v>322</v>
      </c>
      <c r="E111" s="83"/>
      <c r="G111" s="64"/>
    </row>
    <row r="112" spans="1:7" ht="14.4" customHeight="1" x14ac:dyDescent="0.25">
      <c r="A112" t="s">
        <v>350</v>
      </c>
      <c r="B112" t="s">
        <v>320</v>
      </c>
      <c r="C112" t="s">
        <v>321</v>
      </c>
      <c r="D112" s="64" t="s">
        <v>322</v>
      </c>
      <c r="E112" s="83"/>
      <c r="G112" s="64"/>
    </row>
    <row r="113" spans="1:7" ht="14.4" customHeight="1" x14ac:dyDescent="0.25">
      <c r="A113" t="s">
        <v>351</v>
      </c>
      <c r="B113" t="s">
        <v>320</v>
      </c>
      <c r="C113" t="s">
        <v>321</v>
      </c>
      <c r="D113" s="64" t="s">
        <v>322</v>
      </c>
      <c r="E113" s="83"/>
      <c r="G113" s="64"/>
    </row>
    <row r="114" spans="1:7" ht="14.4" customHeight="1" x14ac:dyDescent="0.25">
      <c r="A114" t="s">
        <v>352</v>
      </c>
      <c r="B114" t="s">
        <v>320</v>
      </c>
      <c r="C114" t="s">
        <v>321</v>
      </c>
      <c r="D114" s="64" t="s">
        <v>322</v>
      </c>
      <c r="E114" s="83"/>
      <c r="G114" s="64"/>
    </row>
    <row r="115" spans="1:7" ht="14.4" customHeight="1" x14ac:dyDescent="0.25">
      <c r="A115" t="s">
        <v>353</v>
      </c>
      <c r="B115" t="s">
        <v>320</v>
      </c>
      <c r="C115" t="s">
        <v>321</v>
      </c>
      <c r="D115" s="64" t="s">
        <v>322</v>
      </c>
      <c r="E115" s="83"/>
      <c r="G115" s="64"/>
    </row>
    <row r="116" spans="1:7" ht="14.4" customHeight="1" x14ac:dyDescent="0.25">
      <c r="A116" t="s">
        <v>354</v>
      </c>
      <c r="B116" t="s">
        <v>320</v>
      </c>
      <c r="C116" t="s">
        <v>321</v>
      </c>
      <c r="D116" s="64" t="s">
        <v>322</v>
      </c>
      <c r="E116" s="83"/>
      <c r="G116" s="64"/>
    </row>
    <row r="117" spans="1:7" ht="14.4" customHeight="1" x14ac:dyDescent="0.25">
      <c r="A117" t="s">
        <v>355</v>
      </c>
      <c r="B117" t="s">
        <v>320</v>
      </c>
      <c r="C117" t="s">
        <v>321</v>
      </c>
      <c r="D117" s="64" t="s">
        <v>322</v>
      </c>
      <c r="E117" s="83"/>
      <c r="G117" s="64"/>
    </row>
    <row r="118" spans="1:7" ht="14.4" customHeight="1" x14ac:dyDescent="0.25">
      <c r="A118" t="s">
        <v>356</v>
      </c>
      <c r="B118" t="s">
        <v>320</v>
      </c>
      <c r="C118" t="s">
        <v>321</v>
      </c>
      <c r="D118" s="64" t="s">
        <v>322</v>
      </c>
      <c r="E118" s="83"/>
      <c r="G118" s="64"/>
    </row>
    <row r="119" spans="1:7" ht="14.4" customHeight="1" x14ac:dyDescent="0.25">
      <c r="A119" t="s">
        <v>357</v>
      </c>
      <c r="B119" t="s">
        <v>320</v>
      </c>
      <c r="C119" t="s">
        <v>358</v>
      </c>
      <c r="D119" s="64" t="s">
        <v>322</v>
      </c>
      <c r="E119" s="83"/>
      <c r="G119" s="64"/>
    </row>
    <row r="120" spans="1:7" ht="14.4" customHeight="1" x14ac:dyDescent="0.25">
      <c r="A120" t="s">
        <v>359</v>
      </c>
      <c r="B120" t="s">
        <v>320</v>
      </c>
      <c r="C120" t="s">
        <v>358</v>
      </c>
      <c r="D120" s="64" t="s">
        <v>322</v>
      </c>
      <c r="E120" s="83"/>
      <c r="G120" s="64"/>
    </row>
    <row r="121" spans="1:7" ht="14.4" customHeight="1" x14ac:dyDescent="0.25">
      <c r="A121" t="s">
        <v>360</v>
      </c>
      <c r="B121" t="s">
        <v>320</v>
      </c>
      <c r="C121" t="s">
        <v>321</v>
      </c>
      <c r="D121" s="64" t="s">
        <v>322</v>
      </c>
      <c r="E121" s="83"/>
      <c r="G121" s="64"/>
    </row>
    <row r="122" spans="1:7" ht="14.4" customHeight="1" x14ac:dyDescent="0.25">
      <c r="A122" t="s">
        <v>361</v>
      </c>
      <c r="B122" t="s">
        <v>320</v>
      </c>
      <c r="C122" t="s">
        <v>358</v>
      </c>
      <c r="D122" s="64" t="s">
        <v>322</v>
      </c>
      <c r="E122" s="83"/>
      <c r="G122" s="64"/>
    </row>
    <row r="123" spans="1:7" ht="14.4" customHeight="1" x14ac:dyDescent="0.25">
      <c r="A123" t="s">
        <v>362</v>
      </c>
      <c r="B123" t="s">
        <v>320</v>
      </c>
      <c r="C123" t="s">
        <v>321</v>
      </c>
      <c r="D123" s="64" t="s">
        <v>322</v>
      </c>
      <c r="E123" s="83"/>
      <c r="G123" s="64"/>
    </row>
    <row r="124" spans="1:7" ht="14.4" customHeight="1" x14ac:dyDescent="0.25">
      <c r="D124" s="64"/>
      <c r="E124" s="83"/>
      <c r="G124" s="64"/>
    </row>
    <row r="125" spans="1:7" ht="14.4" customHeight="1" x14ac:dyDescent="0.25">
      <c r="D125" s="64"/>
      <c r="E125" s="83"/>
      <c r="G125" s="64"/>
    </row>
    <row r="126" spans="1:7" ht="14.4" customHeight="1" x14ac:dyDescent="0.25">
      <c r="D126" s="64"/>
      <c r="E126" s="83"/>
      <c r="G126" s="64"/>
    </row>
    <row r="127" spans="1:7" ht="14.4" customHeight="1" x14ac:dyDescent="0.25">
      <c r="D127" s="64"/>
      <c r="E127" s="83"/>
      <c r="G127" s="64"/>
    </row>
    <row r="128" spans="1: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86:D86"/>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0.81722899999999998</v>
      </c>
      <c r="C4" s="57" t="s">
        <v>29</v>
      </c>
      <c r="D4" s="87">
        <v>1.0866</v>
      </c>
      <c r="E4" s="57" t="s">
        <v>33</v>
      </c>
      <c r="F4" s="86">
        <v>1.0062</v>
      </c>
      <c r="G4" s="57" t="s">
        <v>34</v>
      </c>
      <c r="H4" s="86">
        <v>0.128021</v>
      </c>
      <c r="I4" s="57"/>
      <c r="J4" s="88"/>
    </row>
    <row r="5" spans="1:10" ht="15.75" customHeight="1" x14ac:dyDescent="0.25">
      <c r="A5" s="57" t="s">
        <v>54</v>
      </c>
      <c r="B5" s="86">
        <v>0.61762399999999995</v>
      </c>
      <c r="C5" s="57" t="s">
        <v>55</v>
      </c>
      <c r="D5" s="87">
        <v>0.71740000000000004</v>
      </c>
      <c r="E5" s="57" t="s">
        <v>56</v>
      </c>
      <c r="F5" s="87">
        <v>5.7697000000000003</v>
      </c>
      <c r="G5" s="57" t="s">
        <v>57</v>
      </c>
      <c r="H5" s="86">
        <v>2.5356999999999998E-2</v>
      </c>
      <c r="I5" s="57"/>
      <c r="J5" s="88"/>
    </row>
    <row r="6" spans="1:10" ht="15" customHeight="1" x14ac:dyDescent="0.25">
      <c r="A6" s="57" t="s">
        <v>58</v>
      </c>
      <c r="B6" s="86">
        <v>0.69552000000000003</v>
      </c>
      <c r="C6" s="57" t="s">
        <v>31</v>
      </c>
      <c r="D6" s="89">
        <v>5.3400000000000003E-2</v>
      </c>
      <c r="E6" s="57" t="s">
        <v>59</v>
      </c>
      <c r="F6" s="87">
        <v>2.3563000000000001</v>
      </c>
      <c r="G6" s="57" t="s">
        <v>37</v>
      </c>
      <c r="H6" s="86">
        <v>-4.1041000000000001E-2</v>
      </c>
      <c r="I6" s="57"/>
      <c r="J6" s="88"/>
    </row>
    <row r="7" spans="1:10" ht="14.25" customHeight="1" x14ac:dyDescent="0.25">
      <c r="A7" s="57" t="s">
        <v>30</v>
      </c>
      <c r="B7" s="89">
        <v>2.307019565321772</v>
      </c>
      <c r="C7" s="57" t="s">
        <v>60</v>
      </c>
      <c r="D7" s="89">
        <v>2.0219999999999998</v>
      </c>
      <c r="E7" s="57" t="s">
        <v>61</v>
      </c>
      <c r="F7" s="87">
        <v>0.97319999999999995</v>
      </c>
      <c r="G7" s="57" t="s">
        <v>62</v>
      </c>
      <c r="H7" s="86">
        <v>2.9693000000000001E-2</v>
      </c>
      <c r="I7" s="57"/>
      <c r="J7" s="88"/>
    </row>
    <row r="8" spans="1:10" x14ac:dyDescent="0.25">
      <c r="A8" s="57"/>
      <c r="B8" s="90"/>
      <c r="C8" s="57"/>
      <c r="D8" s="91"/>
      <c r="E8" s="57" t="s">
        <v>63</v>
      </c>
      <c r="F8" s="87">
        <v>0.6109</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960.66753752</v>
      </c>
      <c r="C12" s="57" t="s">
        <v>70</v>
      </c>
      <c r="D12" s="89">
        <v>4933.6087274131996</v>
      </c>
      <c r="E12" s="147" t="s">
        <v>71</v>
      </c>
      <c r="F12" s="120"/>
      <c r="G12" s="120"/>
      <c r="H12" s="148">
        <v>4926.5800403298999</v>
      </c>
      <c r="I12" s="120"/>
      <c r="J12" s="120"/>
    </row>
    <row r="13" spans="1:10" ht="14.25" customHeight="1" x14ac:dyDescent="0.25">
      <c r="A13" s="57" t="s">
        <v>72</v>
      </c>
      <c r="B13" s="92">
        <v>856.23726403070009</v>
      </c>
      <c r="C13" s="57" t="s">
        <v>73</v>
      </c>
      <c r="D13" s="89">
        <v>4869.7206088478006</v>
      </c>
      <c r="E13" s="147" t="s">
        <v>74</v>
      </c>
      <c r="F13" s="120"/>
      <c r="G13" s="120"/>
      <c r="H13" s="148">
        <v>235.880698147</v>
      </c>
      <c r="I13" s="120"/>
      <c r="J13" s="120"/>
    </row>
    <row r="14" spans="1:10" ht="14.25" customHeight="1" x14ac:dyDescent="0.25">
      <c r="A14" s="57" t="s">
        <v>75</v>
      </c>
      <c r="B14" s="92">
        <v>557.27083927540002</v>
      </c>
      <c r="C14" s="57" t="s">
        <v>76</v>
      </c>
      <c r="D14" s="89">
        <v>4269.2093534782998</v>
      </c>
      <c r="E14" s="147" t="s">
        <v>77</v>
      </c>
      <c r="F14" s="120"/>
      <c r="G14" s="120"/>
      <c r="H14" s="148">
        <v>5295.2582328415001</v>
      </c>
      <c r="I14" s="120"/>
      <c r="J14" s="120"/>
    </row>
    <row r="15" spans="1:10" ht="14.25" customHeight="1" x14ac:dyDescent="0.25">
      <c r="A15" s="57" t="s">
        <v>78</v>
      </c>
      <c r="B15" s="92">
        <v>1238.3543783575999</v>
      </c>
      <c r="C15" s="57" t="s">
        <v>79</v>
      </c>
      <c r="D15" s="89">
        <v>50.490135532899998</v>
      </c>
      <c r="E15" s="147" t="s">
        <v>80</v>
      </c>
      <c r="F15" s="120"/>
      <c r="G15" s="120"/>
      <c r="H15" s="148">
        <v>4038.0450306407001</v>
      </c>
      <c r="I15" s="120"/>
      <c r="J15" s="120"/>
    </row>
    <row r="16" spans="1:10" ht="14.25" customHeight="1" x14ac:dyDescent="0.25">
      <c r="A16" s="57" t="s">
        <v>81</v>
      </c>
      <c r="B16" s="92">
        <v>148.39605916709999</v>
      </c>
      <c r="C16" s="57" t="s">
        <v>82</v>
      </c>
      <c r="D16" s="89">
        <v>238.00391685950001</v>
      </c>
      <c r="E16" s="147" t="s">
        <v>83</v>
      </c>
      <c r="F16" s="120"/>
      <c r="G16" s="120"/>
      <c r="H16" s="148">
        <v>389.59635519709997</v>
      </c>
      <c r="I16" s="120"/>
      <c r="J16" s="120"/>
    </row>
    <row r="17" spans="1:10" ht="14.25" customHeight="1" x14ac:dyDescent="0.25">
      <c r="A17" s="57" t="s">
        <v>84</v>
      </c>
      <c r="B17" s="92">
        <v>388.36710566889997</v>
      </c>
      <c r="C17" s="57" t="s">
        <v>85</v>
      </c>
      <c r="D17" s="89">
        <v>126.13993005659999</v>
      </c>
      <c r="E17" s="147" t="s">
        <v>86</v>
      </c>
      <c r="F17" s="120"/>
      <c r="G17" s="120"/>
      <c r="H17" s="148">
        <v>4954.3251233845003</v>
      </c>
      <c r="I17" s="120"/>
      <c r="J17" s="120"/>
    </row>
    <row r="18" spans="1:10" ht="14.25" customHeight="1" x14ac:dyDescent="0.25">
      <c r="A18" s="57" t="s">
        <v>87</v>
      </c>
      <c r="B18" s="92">
        <v>8552.7190284543994</v>
      </c>
      <c r="C18" s="57" t="s">
        <v>88</v>
      </c>
      <c r="D18" s="89">
        <v>125.10074831850001</v>
      </c>
      <c r="E18" s="147" t="s">
        <v>89</v>
      </c>
      <c r="F18" s="120"/>
      <c r="G18" s="120"/>
      <c r="H18" s="148">
        <v>340.933109457</v>
      </c>
      <c r="I18" s="120"/>
      <c r="J18" s="120"/>
    </row>
    <row r="19" spans="1:10" ht="14.25" customHeight="1" x14ac:dyDescent="0.25">
      <c r="A19" s="57" t="s">
        <v>90</v>
      </c>
      <c r="B19" s="92">
        <v>1309.6205872772</v>
      </c>
      <c r="C19" s="57" t="s">
        <v>91</v>
      </c>
      <c r="D19" s="89">
        <v>121.19815165899999</v>
      </c>
      <c r="E19" s="147" t="s">
        <v>92</v>
      </c>
      <c r="F19" s="120"/>
      <c r="G19" s="120"/>
      <c r="H19" s="148">
        <v>-261.90872325160001</v>
      </c>
      <c r="I19" s="120"/>
      <c r="J19" s="120"/>
    </row>
    <row r="20" spans="1:10" ht="27" customHeight="1" x14ac:dyDescent="0.25">
      <c r="A20" s="57" t="s">
        <v>93</v>
      </c>
      <c r="B20" s="92">
        <v>498.99464739949997</v>
      </c>
      <c r="C20" s="57" t="s">
        <v>35</v>
      </c>
      <c r="D20" s="89">
        <v>59.033233102899999</v>
      </c>
      <c r="E20" s="147" t="s">
        <v>94</v>
      </c>
      <c r="F20" s="120"/>
      <c r="G20" s="120"/>
      <c r="H20" s="148">
        <v>341.49928911270001</v>
      </c>
      <c r="I20" s="120"/>
      <c r="J20" s="120"/>
    </row>
    <row r="21" spans="1:10" ht="16.5" customHeight="1" x14ac:dyDescent="0.25">
      <c r="A21" s="57" t="s">
        <v>95</v>
      </c>
      <c r="B21" s="92">
        <v>0</v>
      </c>
      <c r="C21" s="57"/>
      <c r="D21" s="93"/>
      <c r="E21" s="147" t="s">
        <v>96</v>
      </c>
      <c r="F21" s="120"/>
      <c r="G21" s="120"/>
      <c r="H21" s="148">
        <v>2181.3791128569001</v>
      </c>
      <c r="I21" s="120"/>
      <c r="J21" s="120"/>
    </row>
    <row r="22" spans="1:10" ht="14.25" customHeight="1" x14ac:dyDescent="0.25">
      <c r="A22" s="57" t="s">
        <v>97</v>
      </c>
      <c r="B22" s="92">
        <v>1266.9878218169001</v>
      </c>
      <c r="C22" s="57"/>
      <c r="D22" s="93"/>
      <c r="E22" s="147" t="s">
        <v>98</v>
      </c>
      <c r="F22" s="120"/>
      <c r="G22" s="120"/>
      <c r="H22" s="148">
        <v>0</v>
      </c>
      <c r="I22" s="120"/>
      <c r="J22" s="120"/>
    </row>
    <row r="23" spans="1:10" ht="14.25" customHeight="1" x14ac:dyDescent="0.25">
      <c r="A23" s="57" t="s">
        <v>99</v>
      </c>
      <c r="B23" s="92">
        <v>506.37287028510002</v>
      </c>
      <c r="C23" s="57"/>
      <c r="D23" s="93"/>
      <c r="E23" s="147" t="s">
        <v>100</v>
      </c>
      <c r="F23" s="120"/>
      <c r="G23" s="120"/>
      <c r="H23" s="148">
        <v>2607.8938196150002</v>
      </c>
      <c r="I23" s="120"/>
      <c r="J23" s="120"/>
    </row>
    <row r="24" spans="1:10" ht="14.25" customHeight="1" x14ac:dyDescent="0.25">
      <c r="A24" s="57" t="s">
        <v>101</v>
      </c>
      <c r="B24" s="92">
        <v>6989.5269183508999</v>
      </c>
      <c r="C24" s="94"/>
      <c r="D24" s="91"/>
      <c r="E24" s="147" t="s">
        <v>102</v>
      </c>
      <c r="F24" s="120"/>
      <c r="G24" s="120"/>
      <c r="H24" s="148">
        <v>2392.1766728905</v>
      </c>
      <c r="I24" s="120"/>
      <c r="J24" s="120"/>
    </row>
    <row r="25" spans="1:10" ht="14.25" customHeight="1" x14ac:dyDescent="0.25">
      <c r="A25" s="57" t="s">
        <v>103</v>
      </c>
      <c r="B25" s="92">
        <v>1563.1921101035</v>
      </c>
      <c r="C25" s="94"/>
      <c r="D25" s="91"/>
      <c r="E25" s="147" t="s">
        <v>104</v>
      </c>
      <c r="F25" s="120"/>
      <c r="G25" s="120"/>
      <c r="H25" s="148">
        <v>2695.5121232873003</v>
      </c>
      <c r="I25" s="120"/>
      <c r="J25" s="120"/>
    </row>
    <row r="26" spans="1:10" ht="14.25" customHeight="1" x14ac:dyDescent="0.25">
      <c r="A26" s="95" t="s">
        <v>105</v>
      </c>
      <c r="B26" s="92">
        <v>8552.7190284543994</v>
      </c>
      <c r="C26" s="94"/>
      <c r="D26" s="91"/>
      <c r="E26" s="147" t="s">
        <v>106</v>
      </c>
      <c r="F26" s="120"/>
      <c r="G26" s="120"/>
      <c r="H26" s="148">
        <v>-87.618303672300001</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activeCell="B6" sqref="B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363</v>
      </c>
      <c r="B1" s="124"/>
      <c r="C1" s="124"/>
      <c r="D1" s="124"/>
      <c r="E1" s="124"/>
      <c r="F1" s="124"/>
      <c r="G1" s="124"/>
      <c r="H1" s="124"/>
      <c r="I1" s="124"/>
    </row>
    <row r="2" spans="1:10" ht="46.5" customHeight="1" x14ac:dyDescent="0.25">
      <c r="A2" s="54" t="s">
        <v>22</v>
      </c>
      <c r="B2" s="43" t="s">
        <v>420</v>
      </c>
      <c r="C2" s="43" t="s">
        <v>364</v>
      </c>
      <c r="D2" s="43" t="s">
        <v>426</v>
      </c>
      <c r="E2" s="43" t="s">
        <v>426</v>
      </c>
      <c r="F2" s="43" t="s">
        <v>426</v>
      </c>
      <c r="G2" s="43" t="s">
        <v>426</v>
      </c>
      <c r="H2" s="43" t="s">
        <v>426</v>
      </c>
      <c r="I2" s="43" t="s">
        <v>426</v>
      </c>
      <c r="J2" s="43" t="s">
        <v>426</v>
      </c>
    </row>
    <row r="3" spans="1:10" x14ac:dyDescent="0.25">
      <c r="A3" s="54" t="s">
        <v>23</v>
      </c>
      <c r="B3" s="97" t="s">
        <v>320</v>
      </c>
      <c r="C3" s="98" t="s">
        <v>358</v>
      </c>
      <c r="D3" s="97" t="s">
        <v>426</v>
      </c>
      <c r="E3" s="97" t="s">
        <v>426</v>
      </c>
      <c r="F3" s="97" t="s">
        <v>426</v>
      </c>
      <c r="G3" s="97" t="s">
        <v>426</v>
      </c>
      <c r="H3" s="97" t="s">
        <v>426</v>
      </c>
      <c r="I3" s="97" t="s">
        <v>426</v>
      </c>
      <c r="J3" s="97" t="s">
        <v>426</v>
      </c>
    </row>
    <row r="4" spans="1:10" s="7" customFormat="1" ht="21.6" x14ac:dyDescent="0.25">
      <c r="A4" s="9" t="s">
        <v>3</v>
      </c>
      <c r="B4" s="99" t="s">
        <v>421</v>
      </c>
      <c r="C4" s="98" t="s">
        <v>358</v>
      </c>
      <c r="D4" s="99" t="s">
        <v>426</v>
      </c>
      <c r="E4" s="99" t="s">
        <v>426</v>
      </c>
      <c r="F4" s="99" t="s">
        <v>426</v>
      </c>
      <c r="G4" s="99" t="s">
        <v>426</v>
      </c>
      <c r="H4" s="99" t="s">
        <v>426</v>
      </c>
      <c r="I4" s="99" t="s">
        <v>426</v>
      </c>
      <c r="J4" s="99" t="s">
        <v>426</v>
      </c>
    </row>
    <row r="5" spans="1:10" s="7" customFormat="1" x14ac:dyDescent="0.25">
      <c r="A5" s="9" t="s">
        <v>25</v>
      </c>
      <c r="B5" s="100" t="s">
        <v>26</v>
      </c>
      <c r="C5" s="98" t="s">
        <v>358</v>
      </c>
      <c r="D5" s="100" t="s">
        <v>426</v>
      </c>
      <c r="E5" s="100" t="s">
        <v>426</v>
      </c>
      <c r="F5" s="100" t="s">
        <v>426</v>
      </c>
      <c r="G5" s="100" t="s">
        <v>426</v>
      </c>
      <c r="H5" s="100" t="s">
        <v>426</v>
      </c>
      <c r="I5" s="100" t="s">
        <v>426</v>
      </c>
      <c r="J5" s="100" t="s">
        <v>426</v>
      </c>
    </row>
    <row r="6" spans="1:10" x14ac:dyDescent="0.25">
      <c r="A6" s="54" t="s">
        <v>27</v>
      </c>
      <c r="B6" s="101">
        <v>8552.7190284543994</v>
      </c>
      <c r="C6" s="98" t="s">
        <v>358</v>
      </c>
      <c r="D6" s="101" t="s">
        <v>426</v>
      </c>
      <c r="E6" s="101" t="s">
        <v>426</v>
      </c>
      <c r="F6" s="101" t="s">
        <v>426</v>
      </c>
      <c r="G6" s="101" t="s">
        <v>426</v>
      </c>
      <c r="H6" s="101" t="s">
        <v>426</v>
      </c>
      <c r="I6" s="101" t="s">
        <v>426</v>
      </c>
      <c r="J6" s="101" t="s">
        <v>426</v>
      </c>
    </row>
    <row r="7" spans="1:10" x14ac:dyDescent="0.25">
      <c r="A7" s="54" t="s">
        <v>28</v>
      </c>
      <c r="B7" s="44">
        <v>0.81722899999999998</v>
      </c>
      <c r="C7" s="98" t="s">
        <v>358</v>
      </c>
      <c r="D7" s="44" t="s">
        <v>426</v>
      </c>
      <c r="E7" s="44" t="s">
        <v>426</v>
      </c>
      <c r="F7" s="44" t="s">
        <v>426</v>
      </c>
      <c r="G7" s="44" t="s">
        <v>426</v>
      </c>
      <c r="H7" s="44" t="s">
        <v>426</v>
      </c>
      <c r="I7" s="44" t="s">
        <v>426</v>
      </c>
      <c r="J7" s="44" t="s">
        <v>426</v>
      </c>
    </row>
    <row r="8" spans="1:10" x14ac:dyDescent="0.25">
      <c r="A8" s="54" t="s">
        <v>29</v>
      </c>
      <c r="B8" s="101">
        <v>1.0866</v>
      </c>
      <c r="C8" s="98" t="s">
        <v>358</v>
      </c>
      <c r="D8" s="101" t="s">
        <v>426</v>
      </c>
      <c r="E8" s="101" t="s">
        <v>426</v>
      </c>
      <c r="F8" s="101" t="s">
        <v>426</v>
      </c>
      <c r="G8" s="101" t="s">
        <v>426</v>
      </c>
      <c r="H8" s="101" t="s">
        <v>426</v>
      </c>
      <c r="I8" s="101" t="s">
        <v>426</v>
      </c>
      <c r="J8" s="101" t="s">
        <v>426</v>
      </c>
    </row>
    <row r="9" spans="1:10" x14ac:dyDescent="0.25">
      <c r="A9" s="54" t="s">
        <v>30</v>
      </c>
      <c r="B9" s="97">
        <v>2.307019565321772</v>
      </c>
      <c r="C9" s="98" t="s">
        <v>358</v>
      </c>
      <c r="D9" s="97" t="s">
        <v>426</v>
      </c>
      <c r="E9" s="97" t="s">
        <v>426</v>
      </c>
      <c r="F9" s="97" t="s">
        <v>426</v>
      </c>
      <c r="G9" s="97" t="s">
        <v>426</v>
      </c>
      <c r="H9" s="97" t="s">
        <v>426</v>
      </c>
      <c r="I9" s="97" t="s">
        <v>426</v>
      </c>
      <c r="J9" s="97" t="s">
        <v>426</v>
      </c>
    </row>
    <row r="10" spans="1:10" ht="21.6" customHeight="1" x14ac:dyDescent="0.25">
      <c r="A10" s="54" t="s">
        <v>31</v>
      </c>
      <c r="B10" s="101">
        <v>5.3400000000000003E-2</v>
      </c>
      <c r="C10" s="98" t="s">
        <v>358</v>
      </c>
      <c r="D10" s="101" t="s">
        <v>426</v>
      </c>
      <c r="E10" s="101" t="s">
        <v>426</v>
      </c>
      <c r="F10" s="101" t="s">
        <v>426</v>
      </c>
      <c r="G10" s="101" t="s">
        <v>426</v>
      </c>
      <c r="H10" s="101" t="s">
        <v>426</v>
      </c>
      <c r="I10" s="101" t="s">
        <v>426</v>
      </c>
      <c r="J10" s="101" t="s">
        <v>426</v>
      </c>
    </row>
    <row r="11" spans="1:10" x14ac:dyDescent="0.25">
      <c r="A11" s="54" t="s">
        <v>32</v>
      </c>
      <c r="B11" s="101">
        <v>4896.0013922170001</v>
      </c>
      <c r="C11" s="98" t="s">
        <v>358</v>
      </c>
      <c r="D11" s="101" t="s">
        <v>426</v>
      </c>
      <c r="E11" s="101" t="s">
        <v>426</v>
      </c>
      <c r="F11" s="101" t="s">
        <v>426</v>
      </c>
      <c r="G11" s="101" t="s">
        <v>426</v>
      </c>
      <c r="H11" s="101" t="s">
        <v>426</v>
      </c>
      <c r="I11" s="101" t="s">
        <v>426</v>
      </c>
      <c r="J11" s="101" t="s">
        <v>426</v>
      </c>
    </row>
    <row r="12" spans="1:10" s="7" customFormat="1" x14ac:dyDescent="0.25">
      <c r="A12" s="9" t="s">
        <v>33</v>
      </c>
      <c r="B12" s="45">
        <v>1.0062</v>
      </c>
      <c r="C12" s="98" t="s">
        <v>358</v>
      </c>
      <c r="D12" s="45" t="s">
        <v>426</v>
      </c>
      <c r="E12" s="45" t="s">
        <v>426</v>
      </c>
      <c r="F12" s="45" t="s">
        <v>426</v>
      </c>
      <c r="G12" s="45" t="s">
        <v>426</v>
      </c>
      <c r="H12" s="45" t="s">
        <v>426</v>
      </c>
      <c r="I12" s="45" t="s">
        <v>426</v>
      </c>
      <c r="J12" s="45" t="s">
        <v>426</v>
      </c>
    </row>
    <row r="13" spans="1:10" s="7" customFormat="1" x14ac:dyDescent="0.25">
      <c r="A13" s="9" t="s">
        <v>34</v>
      </c>
      <c r="B13" s="45">
        <v>0.128021</v>
      </c>
      <c r="C13" s="98" t="s">
        <v>358</v>
      </c>
      <c r="D13" s="45" t="s">
        <v>426</v>
      </c>
      <c r="E13" s="45" t="s">
        <v>426</v>
      </c>
      <c r="F13" s="45" t="s">
        <v>426</v>
      </c>
      <c r="G13" s="45" t="s">
        <v>426</v>
      </c>
      <c r="H13" s="45" t="s">
        <v>426</v>
      </c>
      <c r="I13" s="45" t="s">
        <v>426</v>
      </c>
      <c r="J13" s="45" t="s">
        <v>426</v>
      </c>
    </row>
    <row r="14" spans="1:10" s="7" customFormat="1" x14ac:dyDescent="0.25">
      <c r="A14" s="9" t="s">
        <v>35</v>
      </c>
      <c r="B14" s="102">
        <v>59.033233102899999</v>
      </c>
      <c r="C14" s="98" t="s">
        <v>358</v>
      </c>
      <c r="D14" s="102" t="s">
        <v>426</v>
      </c>
      <c r="E14" s="102" t="s">
        <v>426</v>
      </c>
      <c r="F14" s="102" t="s">
        <v>426</v>
      </c>
      <c r="G14" s="102" t="s">
        <v>426</v>
      </c>
      <c r="H14" s="102" t="s">
        <v>426</v>
      </c>
      <c r="I14" s="102" t="s">
        <v>426</v>
      </c>
      <c r="J14" s="102" t="s">
        <v>426</v>
      </c>
    </row>
    <row r="15" spans="1:10" x14ac:dyDescent="0.25">
      <c r="A15" s="54" t="s">
        <v>37</v>
      </c>
      <c r="B15" s="44">
        <v>-4.1041000000000001E-2</v>
      </c>
      <c r="C15" s="98" t="s">
        <v>358</v>
      </c>
      <c r="D15" s="44" t="s">
        <v>426</v>
      </c>
      <c r="E15" s="44" t="s">
        <v>426</v>
      </c>
      <c r="F15" s="44" t="s">
        <v>426</v>
      </c>
      <c r="G15" s="44" t="s">
        <v>426</v>
      </c>
      <c r="H15" s="44" t="s">
        <v>426</v>
      </c>
      <c r="I15" s="44" t="s">
        <v>426</v>
      </c>
      <c r="J15" s="44" t="s">
        <v>426</v>
      </c>
    </row>
    <row r="16" spans="1:10" s="7" customFormat="1" ht="25.8" customHeight="1" x14ac:dyDescent="0.25">
      <c r="A16" s="9" t="s">
        <v>38</v>
      </c>
      <c r="B16" s="102">
        <v>340.933109457</v>
      </c>
      <c r="C16" s="98" t="s">
        <v>358</v>
      </c>
      <c r="D16" s="102" t="s">
        <v>426</v>
      </c>
      <c r="E16" s="102" t="s">
        <v>426</v>
      </c>
      <c r="F16" s="102" t="s">
        <v>426</v>
      </c>
      <c r="G16" s="102" t="s">
        <v>426</v>
      </c>
      <c r="H16" s="102" t="s">
        <v>426</v>
      </c>
      <c r="I16" s="102" t="s">
        <v>426</v>
      </c>
      <c r="J16" s="102" t="s">
        <v>426</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365</v>
      </c>
      <c r="B1" s="124"/>
      <c r="C1" s="124"/>
      <c r="D1" s="124"/>
      <c r="E1" s="124"/>
      <c r="F1" s="124"/>
    </row>
    <row r="2" spans="1:6" x14ac:dyDescent="0.25">
      <c r="A2" s="51" t="s">
        <v>366</v>
      </c>
      <c r="B2" s="50" t="s">
        <v>367</v>
      </c>
      <c r="C2" s="50" t="s">
        <v>368</v>
      </c>
      <c r="D2" s="50" t="s">
        <v>369</v>
      </c>
      <c r="E2" s="50" t="s">
        <v>318</v>
      </c>
      <c r="F2" s="50" t="s">
        <v>370</v>
      </c>
    </row>
    <row r="3" spans="1:6" ht="48" customHeight="1" x14ac:dyDescent="0.25">
      <c r="A3" s="104">
        <v>43535</v>
      </c>
      <c r="B3" s="52" t="s">
        <v>371</v>
      </c>
      <c r="C3" s="105" t="s">
        <v>372</v>
      </c>
      <c r="D3" s="105"/>
      <c r="E3" s="52" t="s">
        <v>322</v>
      </c>
      <c r="F3" s="105" t="s">
        <v>373</v>
      </c>
    </row>
    <row r="4" spans="1:6" ht="49.5" customHeight="1" x14ac:dyDescent="0.25">
      <c r="A4" s="104">
        <v>43535</v>
      </c>
      <c r="B4" s="52" t="s">
        <v>374</v>
      </c>
      <c r="C4" s="105" t="s">
        <v>375</v>
      </c>
      <c r="D4" s="105"/>
      <c r="E4" s="52" t="s">
        <v>376</v>
      </c>
      <c r="F4" s="105"/>
    </row>
    <row r="5" spans="1:6" ht="125.4" x14ac:dyDescent="0.25">
      <c r="A5" s="104">
        <v>43438</v>
      </c>
      <c r="B5" s="52" t="s">
        <v>377</v>
      </c>
      <c r="C5" s="105" t="s">
        <v>372</v>
      </c>
      <c r="D5" s="105"/>
      <c r="E5" s="52" t="s">
        <v>378</v>
      </c>
      <c r="F5" s="105" t="s">
        <v>379</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380</v>
      </c>
      <c r="B21" s="143"/>
      <c r="C21" s="143"/>
      <c r="D21" s="143"/>
      <c r="E21" s="143"/>
      <c r="F21" s="143"/>
    </row>
    <row r="22" spans="1:6" x14ac:dyDescent="0.25">
      <c r="A22" s="84" t="s">
        <v>366</v>
      </c>
      <c r="B22" s="84" t="s">
        <v>367</v>
      </c>
      <c r="C22" s="84" t="s">
        <v>381</v>
      </c>
      <c r="D22" s="84" t="s">
        <v>382</v>
      </c>
      <c r="E22" s="84" t="s">
        <v>318</v>
      </c>
      <c r="F22" s="84" t="s">
        <v>370</v>
      </c>
    </row>
    <row r="23" spans="1:6" x14ac:dyDescent="0.25">
      <c r="A23" s="107">
        <v>43497</v>
      </c>
      <c r="B23" s="58" t="s">
        <v>383</v>
      </c>
      <c r="C23" s="108" t="s">
        <v>384</v>
      </c>
      <c r="D23" s="108"/>
      <c r="E23" s="58" t="s">
        <v>385</v>
      </c>
      <c r="F23" s="108" t="s">
        <v>386</v>
      </c>
    </row>
    <row r="24" spans="1:6" x14ac:dyDescent="0.25">
      <c r="A24" s="107">
        <v>43496</v>
      </c>
      <c r="B24" s="58" t="s">
        <v>387</v>
      </c>
      <c r="C24" s="108" t="s">
        <v>388</v>
      </c>
      <c r="D24" s="108"/>
      <c r="E24" s="58" t="s">
        <v>389</v>
      </c>
      <c r="F24" s="108" t="s">
        <v>390</v>
      </c>
    </row>
    <row r="25" spans="1:6" x14ac:dyDescent="0.25">
      <c r="A25" s="107">
        <v>43433</v>
      </c>
      <c r="B25" s="58" t="s">
        <v>391</v>
      </c>
      <c r="C25" s="108" t="s">
        <v>392</v>
      </c>
      <c r="D25" s="108"/>
      <c r="E25" s="58" t="s">
        <v>393</v>
      </c>
      <c r="F25" s="108" t="s">
        <v>394</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395</v>
      </c>
      <c r="B1" s="124"/>
      <c r="C1" s="124"/>
      <c r="D1" s="124"/>
      <c r="E1" s="124"/>
      <c r="F1" s="124"/>
      <c r="G1" s="124"/>
      <c r="H1" s="124"/>
      <c r="I1" s="124"/>
      <c r="J1" s="124"/>
      <c r="K1" s="124"/>
      <c r="L1" s="124"/>
      <c r="M1" s="124"/>
      <c r="N1" s="124"/>
    </row>
    <row r="2" spans="1:18" s="1" customFormat="1" ht="25.5" customHeight="1" x14ac:dyDescent="0.25">
      <c r="A2" s="55" t="s">
        <v>396</v>
      </c>
      <c r="B2" s="55" t="s">
        <v>397</v>
      </c>
      <c r="C2" s="55" t="s">
        <v>398</v>
      </c>
      <c r="D2" s="55" t="s">
        <v>399</v>
      </c>
      <c r="E2" s="55" t="s">
        <v>400</v>
      </c>
      <c r="F2" s="55" t="s">
        <v>401</v>
      </c>
      <c r="G2" s="55" t="s">
        <v>402</v>
      </c>
      <c r="H2" s="55" t="s">
        <v>16</v>
      </c>
      <c r="I2" s="55" t="s">
        <v>403</v>
      </c>
      <c r="J2" s="55" t="s">
        <v>404</v>
      </c>
      <c r="K2" s="55" t="s">
        <v>405</v>
      </c>
      <c r="L2" s="55" t="s">
        <v>406</v>
      </c>
      <c r="M2" s="55" t="s">
        <v>19</v>
      </c>
      <c r="N2" s="55" t="s">
        <v>407</v>
      </c>
      <c r="O2" s="3"/>
      <c r="P2" s="110" t="str">
        <f ca="1">Q2</f>
        <v>2019-04-09</v>
      </c>
      <c r="Q2" s="1" t="str">
        <f ca="1">[1]!td(R2-1)</f>
        <v>2019-04-09</v>
      </c>
      <c r="R2" s="3">
        <f ca="1">TODAY()</f>
        <v>43565</v>
      </c>
    </row>
    <row r="3" spans="1:18" ht="15.75" customHeight="1" x14ac:dyDescent="0.25">
      <c r="A3" s="111" t="str">
        <f>[1]!b_info_name(L3)</f>
        <v>19五矿SCP001</v>
      </c>
      <c r="B3" s="2" t="str">
        <f>[1]!b_issue_firstissue(L3)</f>
        <v>2019-04-11</v>
      </c>
      <c r="C3" s="111">
        <f>[1]!b_info_term(L3)</f>
        <v>0.65749999999999997</v>
      </c>
      <c r="D3" s="112" t="str">
        <f>[1]!issuerrating(L3)</f>
        <v>AAA</v>
      </c>
      <c r="E3" s="112" t="str">
        <f>[1]!b_info_creditrating(L3)</f>
        <v>-</v>
      </c>
      <c r="F3" s="111" t="str">
        <f>[1]!b_rate_creditratingagency(L3)</f>
        <v>中诚信国际信用评级有限责任公司</v>
      </c>
      <c r="G3" s="113">
        <f>[1]!b_agency_guarantor(L3)</f>
        <v>0</v>
      </c>
      <c r="H3" s="114" t="s">
        <v>408</v>
      </c>
      <c r="I3" s="66"/>
      <c r="J3" s="115" t="s">
        <v>408</v>
      </c>
      <c r="K3" s="116"/>
      <c r="L3" s="41" t="str">
        <f>公式页!A2</f>
        <v>d19041007.IB</v>
      </c>
      <c r="M3" s="114" t="s">
        <v>408</v>
      </c>
      <c r="N3" s="111" t="str">
        <f>[1]!b_agency_leadunderwriter(L3)</f>
        <v>中国银行股份有限公司,北京银行股份有限公司</v>
      </c>
      <c r="P3" s="109" t="str">
        <f t="shared" ref="P3:P29" ca="1" si="0">$P$2</f>
        <v>2019-04-09</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3.6543999999999999</v>
      </c>
      <c r="K4" s="116">
        <f>K3</f>
        <v>0</v>
      </c>
      <c r="L4" s="4" t="s">
        <v>409</v>
      </c>
      <c r="M4" s="114">
        <f>[1]!b_info_issueamount(L4)/100000000</f>
        <v>5</v>
      </c>
      <c r="N4" s="111" t="str">
        <f>[1]!b_agency_leadunderwriter(L4)</f>
        <v>上海浦东发展银行股份有限公司,中国国际金融股份有限公司</v>
      </c>
      <c r="P4" s="109" t="str">
        <f t="shared" ca="1" si="0"/>
        <v>2019-04-09</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2019-04-09</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2019-04-09</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2019-04-09</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2019-04-09</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2019-04-09</v>
      </c>
    </row>
    <row r="10" spans="1:18" x14ac:dyDescent="0.25">
      <c r="P10" s="109" t="str">
        <f t="shared" ca="1" si="0"/>
        <v>2019-04-09</v>
      </c>
    </row>
    <row r="11" spans="1:18" x14ac:dyDescent="0.25">
      <c r="P11" s="109" t="str">
        <f t="shared" ca="1" si="0"/>
        <v>2019-04-09</v>
      </c>
    </row>
    <row r="12" spans="1:18" x14ac:dyDescent="0.25">
      <c r="A12" s="150" t="s">
        <v>410</v>
      </c>
      <c r="B12" s="124"/>
      <c r="C12" s="124"/>
      <c r="D12" s="124"/>
      <c r="E12" s="124"/>
      <c r="F12" s="124"/>
      <c r="G12" s="124"/>
      <c r="H12" s="124"/>
      <c r="I12" s="124"/>
      <c r="J12" s="124"/>
      <c r="K12" s="124"/>
      <c r="L12" s="124"/>
      <c r="M12" s="124"/>
      <c r="N12" s="124"/>
      <c r="P12" s="109" t="str">
        <f t="shared" ca="1" si="0"/>
        <v>2019-04-09</v>
      </c>
    </row>
    <row r="13" spans="1:18" s="1" customFormat="1" ht="43.2" customHeight="1" x14ac:dyDescent="0.25">
      <c r="A13" s="55" t="s">
        <v>396</v>
      </c>
      <c r="B13" s="55" t="s">
        <v>397</v>
      </c>
      <c r="C13" s="55" t="s">
        <v>398</v>
      </c>
      <c r="D13" s="55" t="s">
        <v>399</v>
      </c>
      <c r="E13" s="55" t="s">
        <v>400</v>
      </c>
      <c r="F13" s="55" t="s">
        <v>401</v>
      </c>
      <c r="G13" s="55" t="s">
        <v>402</v>
      </c>
      <c r="H13" s="55" t="s">
        <v>16</v>
      </c>
      <c r="I13" s="55" t="s">
        <v>403</v>
      </c>
      <c r="J13" s="55" t="s">
        <v>404</v>
      </c>
      <c r="K13" s="55" t="s">
        <v>405</v>
      </c>
      <c r="L13" s="55" t="s">
        <v>406</v>
      </c>
      <c r="M13" s="55" t="s">
        <v>19</v>
      </c>
      <c r="N13" s="55" t="s">
        <v>407</v>
      </c>
      <c r="P13" s="109" t="str">
        <f t="shared" ca="1" si="0"/>
        <v>2019-04-09</v>
      </c>
    </row>
    <row r="14" spans="1:18" ht="15.75" customHeight="1" x14ac:dyDescent="0.25">
      <c r="A14" s="111" t="str">
        <f>[1]!b_info_name(L14)</f>
        <v>19五矿SCP001</v>
      </c>
      <c r="B14" s="2" t="str">
        <f>[1]!b_issue_firstissue(L14)</f>
        <v>2019-04-11</v>
      </c>
      <c r="C14" s="111">
        <f>[1]!b_info_term(L14)</f>
        <v>0.65749999999999997</v>
      </c>
      <c r="D14" s="112" t="str">
        <f>[1]!issuerrating(L14)</f>
        <v>AAA</v>
      </c>
      <c r="E14" s="112" t="str">
        <f>[1]!b_info_creditrating(L14)</f>
        <v>-</v>
      </c>
      <c r="F14" s="111" t="str">
        <f>[1]!b_rate_creditratingagency(L14)</f>
        <v>中诚信国际信用评级有限责任公司</v>
      </c>
      <c r="G14" s="113">
        <f>[1]!b_agency_guarantor(L14)</f>
        <v>0</v>
      </c>
      <c r="H14" s="114" t="s">
        <v>408</v>
      </c>
      <c r="I14" s="66"/>
      <c r="J14" s="115" t="s">
        <v>408</v>
      </c>
      <c r="K14" s="116">
        <f>K3</f>
        <v>0</v>
      </c>
      <c r="L14" s="42" t="str">
        <f>L3</f>
        <v>d19041007.IB</v>
      </c>
      <c r="M14" s="114" t="s">
        <v>408</v>
      </c>
      <c r="N14" s="111" t="str">
        <f>[1]!b_agency_leadunderwriter(L14)</f>
        <v>中国银行股份有限公司,北京银行股份有限公司</v>
      </c>
      <c r="P14" s="109" t="str">
        <f t="shared" ca="1" si="0"/>
        <v>2019-04-09</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411</v>
      </c>
      <c r="M15" s="114">
        <f>[1]!b_info_issueamount(L15)/100000000</f>
        <v>5</v>
      </c>
      <c r="N15" s="111" t="str">
        <f>[1]!b_agency_leadunderwriter(L15)</f>
        <v>招商银行股份有限公司</v>
      </c>
      <c r="O15" t="str">
        <f>[1]!b_issuer_windindustry(L15,4)</f>
        <v>西药</v>
      </c>
      <c r="P15" s="109" t="str">
        <f t="shared" ca="1" si="0"/>
        <v>2019-04-09</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412</v>
      </c>
      <c r="M16" s="114">
        <f>[1]!b_info_issueamount(L16)/100000000</f>
        <v>6</v>
      </c>
      <c r="N16" s="111" t="str">
        <f>[1]!b_agency_leadunderwriter(L16)</f>
        <v>北京银行股份有限公司</v>
      </c>
      <c r="O16" t="str">
        <f>[1]!b_issuer_windindustry(L16,4)</f>
        <v>化肥与农用化工</v>
      </c>
      <c r="P16" s="109" t="str">
        <f t="shared" ca="1" si="0"/>
        <v>2019-04-09</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413</v>
      </c>
      <c r="M17" s="114">
        <f>[1]!b_info_issueamount(L17)/100000000</f>
        <v>3.5</v>
      </c>
      <c r="N17" s="111" t="str">
        <f>[1]!b_agency_leadunderwriter(L17)</f>
        <v>华夏银行股份有限公司</v>
      </c>
      <c r="O17" t="str">
        <f>[1]!b_issuer_windindustry(L17,4)</f>
        <v>食品加工与肉类</v>
      </c>
      <c r="P17" s="109" t="str">
        <f t="shared" ca="1" si="0"/>
        <v>2019-04-09</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414</v>
      </c>
      <c r="M18" s="114">
        <f>[1]!b_info_issueamount(L18)/100000000</f>
        <v>3</v>
      </c>
      <c r="N18" s="111" t="str">
        <f>[1]!b_agency_leadunderwriter(L18)</f>
        <v>兴业银行股份有限公司</v>
      </c>
      <c r="O18" t="str">
        <f>[1]!b_issuer_windindustry(L18,4)</f>
        <v>工业机械</v>
      </c>
      <c r="P18" s="109" t="str">
        <f t="shared" ca="1" si="0"/>
        <v>2019-04-09</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415</v>
      </c>
      <c r="M19" s="114">
        <f>[1]!b_info_issueamount(L19)/100000000</f>
        <v>3</v>
      </c>
      <c r="N19" s="111" t="str">
        <f>[1]!b_agency_leadunderwriter(L19)</f>
        <v>中国银行股份有限公司</v>
      </c>
      <c r="O19" t="str">
        <f>[1]!b_issuer_windindustry(L19,4)</f>
        <v>半导体产品</v>
      </c>
      <c r="P19" s="109" t="str">
        <f t="shared" ca="1" si="0"/>
        <v>2019-04-09</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416</v>
      </c>
      <c r="M20" s="114">
        <f>[1]!b_info_issueamount(L20)/100000000</f>
        <v>5</v>
      </c>
      <c r="N20" s="111" t="str">
        <f>[1]!b_agency_leadunderwriter(L20)</f>
        <v>中国银行股份有限公司</v>
      </c>
      <c r="O20" t="str">
        <f>[1]!b_issuer_windindustry(L20,4)</f>
        <v>医疗保健用品</v>
      </c>
      <c r="P20" s="109" t="str">
        <f t="shared" ca="1" si="0"/>
        <v>2019-04-09</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417</v>
      </c>
      <c r="M21" s="114">
        <f>[1]!b_info_issueamount(L21)/100000000</f>
        <v>2</v>
      </c>
      <c r="N21" s="111" t="str">
        <f>[1]!b_agency_leadunderwriter(L21)</f>
        <v>中国银行股份有限公司</v>
      </c>
      <c r="O21" t="str">
        <f>[1]!b_issuer_windindustry(L21,4)</f>
        <v>食品加工与肉类</v>
      </c>
      <c r="P21" s="109" t="str">
        <f t="shared" ca="1" si="0"/>
        <v>2019-04-09</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418</v>
      </c>
      <c r="M22" s="114">
        <f>[1]!b_info_issueamount(L22)/100000000</f>
        <v>4</v>
      </c>
      <c r="N22" s="111" t="str">
        <f>[1]!b_agency_leadunderwriter(L22)</f>
        <v>中国工商银行股份有限公司</v>
      </c>
      <c r="O22" t="str">
        <f>[1]!b_issuer_windindustry(L22,4)</f>
        <v>酒店、度假村与豪华游轮</v>
      </c>
      <c r="P22" s="109" t="str">
        <f t="shared" ca="1" si="0"/>
        <v>2019-04-09</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419</v>
      </c>
      <c r="M23" s="114">
        <f>[1]!b_info_issueamount(L23)/100000000</f>
        <v>4</v>
      </c>
      <c r="N23" s="111" t="str">
        <f>[1]!b_agency_leadunderwriter(L23)</f>
        <v>中国银行股份有限公司</v>
      </c>
      <c r="O23" t="str">
        <f>[1]!b_issuer_windindustry(L23,4)</f>
        <v>金属非金属</v>
      </c>
      <c r="P23" s="109" t="str">
        <f t="shared" ca="1" si="0"/>
        <v>2019-04-09</v>
      </c>
    </row>
    <row r="24" spans="1:16" x14ac:dyDescent="0.25">
      <c r="P24" s="109" t="str">
        <f t="shared" ca="1" si="0"/>
        <v>2019-04-09</v>
      </c>
    </row>
    <row r="25" spans="1:16" x14ac:dyDescent="0.25">
      <c r="P25" s="109" t="str">
        <f t="shared" ca="1" si="0"/>
        <v>2019-04-09</v>
      </c>
    </row>
    <row r="26" spans="1:16" x14ac:dyDescent="0.25">
      <c r="P26" s="109" t="str">
        <f t="shared" ca="1" si="0"/>
        <v>2019-04-09</v>
      </c>
    </row>
    <row r="27" spans="1:16" x14ac:dyDescent="0.25">
      <c r="P27" s="109" t="str">
        <f t="shared" ca="1" si="0"/>
        <v>2019-04-09</v>
      </c>
    </row>
    <row r="28" spans="1:16" x14ac:dyDescent="0.25">
      <c r="P28" s="109" t="str">
        <f t="shared" ca="1" si="0"/>
        <v>2019-04-09</v>
      </c>
    </row>
    <row r="29" spans="1:16" x14ac:dyDescent="0.25">
      <c r="P29" s="109" t="str">
        <f t="shared" ca="1" si="0"/>
        <v>2019-04-09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2019-04-10T08:05:06Z</dcterms:modified>
</cp:coreProperties>
</file>