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1新券信评\"/>
    </mc:Choice>
  </mc:AlternateContent>
  <xr:revisionPtr revIDLastSave="0" documentId="13_ncr:1_{F4226616-4134-4AB6-A8CB-E40CF6EE4EB5}"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D3" i="6"/>
  <c r="S141" i="1"/>
  <c r="S139" i="1"/>
  <c r="S137" i="1"/>
  <c r="S135" i="1"/>
  <c r="O134" i="1"/>
  <c r="M133" i="1"/>
  <c r="S131" i="1"/>
  <c r="M129" i="1"/>
  <c r="O128" i="1"/>
  <c r="S127" i="1"/>
  <c r="M121" i="1"/>
  <c r="M120" i="1"/>
  <c r="M119" i="1"/>
  <c r="M118" i="1"/>
  <c r="M117" i="1"/>
  <c r="M116" i="1"/>
  <c r="F112" i="1"/>
  <c r="M111" i="1"/>
  <c r="F110" i="1"/>
  <c r="M109" i="1"/>
  <c r="Q103" i="1"/>
  <c r="M103" i="1"/>
  <c r="D14" i="6"/>
  <c r="F8" i="6"/>
  <c r="G7" i="6"/>
  <c r="H6" i="6"/>
  <c r="F4" i="6"/>
  <c r="Q2" i="6"/>
  <c r="M141" i="1"/>
  <c r="M139" i="1"/>
  <c r="M137" i="1"/>
  <c r="O135" i="1"/>
  <c r="M134" i="1"/>
  <c r="S132" i="1"/>
  <c r="O131" i="1"/>
  <c r="S130" i="1"/>
  <c r="M128" i="1"/>
  <c r="O127" i="1"/>
  <c r="M123" i="1"/>
  <c r="F113" i="1"/>
  <c r="D112" i="1"/>
  <c r="S110" i="1"/>
  <c r="D110" i="1"/>
  <c r="E9" i="6"/>
  <c r="B8" i="6"/>
  <c r="C7" i="6"/>
  <c r="D6" i="6"/>
  <c r="E5" i="6"/>
  <c r="B4" i="6"/>
  <c r="S140" i="1"/>
  <c r="S138" i="1"/>
  <c r="S136" i="1"/>
  <c r="M135" i="1"/>
  <c r="S133" i="1"/>
  <c r="O132" i="1"/>
  <c r="M131" i="1"/>
  <c r="O130" i="1"/>
  <c r="S129" i="1"/>
  <c r="M127" i="1"/>
  <c r="S112" i="1"/>
  <c r="F111" i="1"/>
  <c r="M110" i="1"/>
  <c r="F109" i="1"/>
  <c r="O103" i="1"/>
  <c r="J103" i="1"/>
  <c r="A9" i="6"/>
  <c r="M7" i="6"/>
  <c r="N6" i="6"/>
  <c r="A5" i="6"/>
  <c r="M140" i="1"/>
  <c r="M138" i="1"/>
  <c r="M136" i="1"/>
  <c r="S134" i="1"/>
  <c r="O133" i="1"/>
  <c r="M132" i="1"/>
  <c r="M130" i="1"/>
  <c r="O129" i="1"/>
  <c r="S128" i="1"/>
  <c r="S111" i="1"/>
  <c r="D111" i="1"/>
  <c r="S109" i="1"/>
  <c r="D109" i="1"/>
  <c r="R103" i="1"/>
  <c r="N103" i="1"/>
  <c r="G102" i="1"/>
  <c r="C102" i="1"/>
  <c r="P103" i="1"/>
  <c r="D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L103"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F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9" i="1"/>
  <c r="Q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B9" i="1"/>
  <c r="B7" i="1"/>
  <c r="E4" i="1"/>
  <c r="E29" i="1"/>
  <c r="N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D29" i="1"/>
  <c r="M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R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J22" i="1" l="1"/>
  <c r="O22" i="1"/>
  <c r="L22" i="1"/>
  <c r="P22" i="1"/>
  <c r="M22" i="1"/>
  <c r="Q22" i="1"/>
  <c r="N22" i="1"/>
  <c r="R22" i="1"/>
  <c r="H109" i="1"/>
  <c r="H111" i="1"/>
  <c r="H118" i="1"/>
  <c r="D119" i="1"/>
  <c r="B120" i="1"/>
  <c r="B122" i="1"/>
  <c r="D123" i="1"/>
  <c r="H124" i="1"/>
  <c r="B126" i="1"/>
  <c r="B128" i="1"/>
  <c r="B130" i="1"/>
  <c r="B110" i="1"/>
  <c r="H112" i="1"/>
  <c r="B117" i="1"/>
  <c r="H119" i="1"/>
  <c r="D120" i="1"/>
  <c r="B121" i="1"/>
  <c r="D122" i="1"/>
  <c r="H123" i="1"/>
  <c r="B125" i="1"/>
  <c r="H126" i="1"/>
  <c r="H128" i="1"/>
  <c r="H130" i="1"/>
  <c r="H110" i="1"/>
  <c r="D117" i="1"/>
  <c r="B118" i="1"/>
  <c r="H120" i="1"/>
  <c r="D121" i="1"/>
  <c r="H122" i="1"/>
  <c r="B124" i="1"/>
  <c r="D125" i="1"/>
  <c r="B127" i="1"/>
  <c r="B129" i="1"/>
  <c r="B131" i="1"/>
  <c r="P2" i="6"/>
  <c r="B109" i="1"/>
  <c r="B111" i="1"/>
  <c r="B112" i="1"/>
  <c r="H117" i="1"/>
  <c r="D118" i="1"/>
  <c r="B119" i="1"/>
  <c r="H121" i="1"/>
  <c r="B123" i="1"/>
  <c r="D124" i="1"/>
  <c r="H125" i="1"/>
  <c r="H127" i="1"/>
  <c r="H129" i="1"/>
  <c r="H131" i="1"/>
  <c r="J4" i="6"/>
  <c r="P29" i="6" l="1"/>
  <c r="P25" i="6"/>
  <c r="P21" i="6"/>
  <c r="P17" i="6"/>
  <c r="P11" i="6"/>
  <c r="P7" i="6"/>
  <c r="P3" i="6"/>
  <c r="P28" i="6"/>
  <c r="P24" i="6"/>
  <c r="P20" i="6"/>
  <c r="P16" i="6"/>
  <c r="P10" i="6"/>
  <c r="P6" i="6"/>
  <c r="P27" i="6"/>
  <c r="P23" i="6"/>
  <c r="P19" i="6"/>
  <c r="P15" i="6"/>
  <c r="P26" i="6"/>
  <c r="P22" i="6"/>
  <c r="P18" i="6"/>
  <c r="P14" i="6"/>
  <c r="P12" i="6"/>
  <c r="P8" i="6"/>
  <c r="P4" i="6"/>
  <c r="P13" i="6"/>
  <c r="P9" i="6"/>
  <c r="P5" i="6"/>
  <c r="J8" i="6"/>
  <c r="J17" i="6"/>
  <c r="J16" i="6"/>
  <c r="J15" i="6"/>
  <c r="J19" i="6"/>
  <c r="J21" i="6"/>
  <c r="J9" i="6"/>
  <c r="J22" i="6"/>
  <c r="J20" i="6"/>
  <c r="J23" i="6"/>
  <c r="J5" i="6"/>
  <c r="J18" i="6"/>
  <c r="J7" i="6"/>
  <c r="J6" i="6"/>
</calcChain>
</file>

<file path=xl/sharedStrings.xml><?xml version="1.0" encoding="utf-8"?>
<sst xmlns="http://schemas.openxmlformats.org/spreadsheetml/2006/main" count="806" uniqueCount="431">
  <si>
    <t>q19030105.IB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</si>
  <si>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</si>
  <si>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</si>
  <si>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</si>
  <si>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</si>
  <si>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</si>
  <si>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</si>
  <si>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</si>
  <si>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</si>
  <si>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</si>
  <si>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</si>
  <si>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</si>
  <si>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</si>
  <si>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</si>
  <si>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</si>
  <si>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</si>
  <si>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</si>
  <si>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</si>
  <si>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</si>
  <si>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</si>
  <si>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</si>
  <si>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</si>
  <si>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</si>
  <si>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1382261.IB</t>
  </si>
  <si>
    <t>主体级别</t>
  </si>
  <si>
    <t>AAA</t>
  </si>
  <si>
    <t>1182269.IB</t>
  </si>
  <si>
    <t>*选择性黏贴</t>
  </si>
  <si>
    <t>101459019.IB</t>
  </si>
  <si>
    <t>数据年度</t>
  </si>
  <si>
    <t>2017年</t>
  </si>
  <si>
    <t>041451056.IB</t>
  </si>
  <si>
    <t>总资产</t>
  </si>
  <si>
    <t>041457003.IB</t>
  </si>
  <si>
    <t>负债率</t>
  </si>
  <si>
    <t>1282332.IB</t>
  </si>
  <si>
    <t>流动比率</t>
  </si>
  <si>
    <t>101359008.IB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</si>
  <si>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</si>
  <si>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</si>
  <si>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</si>
  <si>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</si>
  <si>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</si>
  <si>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</si>
  <si>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</si>
  <si>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</si>
  <si>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</si>
  <si>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</si>
  <si>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</si>
  <si>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</si>
  <si>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</si>
  <si>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</si>
  <si>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</si>
  <si>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</si>
  <si>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</si>
  <si>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</si>
  <si>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</si>
  <si>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</si>
  <si>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</si>
  <si>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</si>
  <si>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</si>
  <si>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</si>
  <si>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</si>
  <si>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</si>
  <si>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</si>
  <si>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</si>
  <si>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</si>
  <si>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</si>
  <si>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</si>
  <si>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</si>
  <si>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</si>
  <si>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</si>
  <si>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</si>
  <si>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</si>
  <si>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</si>
  <si>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</si>
  <si>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</si>
  <si>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</si>
  <si>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</si>
  <si>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</si>
  <si>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</si>
  <si>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</si>
  <si>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</si>
  <si>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</si>
  <si>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</si>
  <si>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</si>
  <si>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</si>
  <si>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</si>
  <si>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</si>
  <si>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</si>
  <si>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</si>
  <si>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</si>
  <si>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</si>
  <si>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</si>
  <si>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</si>
  <si>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</si>
  <si>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</si>
  <si>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</si>
  <si>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</si>
  <si>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</si>
  <si>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</si>
  <si>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</si>
  <si>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</si>
  <si>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</si>
  <si>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</si>
  <si>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</si>
  <si>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</si>
  <si>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</si>
  <si>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</si>
  <si>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</si>
  <si>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</si>
  <si>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</si>
  <si>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</si>
  <si>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</si>
  <si>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</si>
  <si>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</si>
  <si>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</si>
  <si>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</si>
  <si>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</si>
  <si>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</si>
  <si>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</si>
  <si>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041900138.IB</t>
  </si>
  <si>
    <t>20190402</t>
  </si>
  <si>
    <t>19广新控股CP001</t>
  </si>
  <si>
    <t>011900743.IB</t>
  </si>
  <si>
    <t>20190325</t>
  </si>
  <si>
    <t>19广新控股SCP004</t>
  </si>
  <si>
    <t>011900478.IB</t>
  </si>
  <si>
    <t>20190228</t>
  </si>
  <si>
    <t>19广新控股SCP003</t>
  </si>
  <si>
    <t>101900102.IB</t>
  </si>
  <si>
    <t>20190121</t>
  </si>
  <si>
    <t>19广新控股MTN001</t>
  </si>
  <si>
    <t>011900207.IB</t>
  </si>
  <si>
    <t>20190117</t>
  </si>
  <si>
    <t>19广新控股SCP002</t>
  </si>
  <si>
    <t>011900122.IB</t>
  </si>
  <si>
    <t>20190114</t>
  </si>
  <si>
    <t>19广新控股SCP001</t>
  </si>
  <si>
    <t>011802467.IB</t>
  </si>
  <si>
    <t>20181212</t>
  </si>
  <si>
    <t>18广新控股SCP019</t>
  </si>
  <si>
    <t>011802137.IB</t>
  </si>
  <si>
    <t>20181102</t>
  </si>
  <si>
    <t>18广新控股SCP018</t>
  </si>
  <si>
    <t>011801733.IB</t>
  </si>
  <si>
    <t>20180831</t>
  </si>
  <si>
    <t>18广新控股SCP017</t>
  </si>
  <si>
    <t>011801632.IB</t>
  </si>
  <si>
    <t>20180823</t>
  </si>
  <si>
    <t>18广新控股SCP016</t>
  </si>
  <si>
    <t>011801648.IB</t>
  </si>
  <si>
    <t>20180821</t>
  </si>
  <si>
    <t>18广新控股SCP015</t>
  </si>
  <si>
    <t>011801457.IB</t>
  </si>
  <si>
    <t>20180802</t>
  </si>
  <si>
    <t>18广新控股SCP014</t>
  </si>
  <si>
    <t>011801458.IB</t>
  </si>
  <si>
    <t>18广新控股SCP013</t>
  </si>
  <si>
    <t>011801275.IB</t>
  </si>
  <si>
    <t>20180711</t>
  </si>
  <si>
    <t>18广新控股SCP012</t>
  </si>
  <si>
    <t>011801254.IB</t>
  </si>
  <si>
    <t>20180706</t>
  </si>
  <si>
    <t>18广新控股SCP011</t>
  </si>
  <si>
    <t>011801253.IB</t>
  </si>
  <si>
    <t>18广新控股SCP010</t>
  </si>
  <si>
    <t>011801227.IB</t>
  </si>
  <si>
    <t>20180703</t>
  </si>
  <si>
    <t>18广新控股SCP009</t>
  </si>
  <si>
    <t>011801057.IB</t>
  </si>
  <si>
    <t>20180604</t>
  </si>
  <si>
    <t>18广新控股SCP008</t>
  </si>
  <si>
    <t>011801018.IB</t>
  </si>
  <si>
    <t>20180528</t>
  </si>
  <si>
    <t>18广新控股SCP007</t>
  </si>
  <si>
    <t>011800981.IB</t>
  </si>
  <si>
    <t>20180523</t>
  </si>
  <si>
    <t>18广新控股SCP005</t>
  </si>
  <si>
    <t>011800985.IB</t>
  </si>
  <si>
    <t>18广新控股SCP006</t>
  </si>
  <si>
    <t>011800717.IB</t>
  </si>
  <si>
    <t>20180416</t>
  </si>
  <si>
    <t>18广新控股SCP004</t>
  </si>
  <si>
    <t>011800671.IB</t>
  </si>
  <si>
    <t>20180411</t>
  </si>
  <si>
    <t>18广新控股SCP003</t>
  </si>
  <si>
    <t>011800661.IB</t>
  </si>
  <si>
    <t>20180410</t>
  </si>
  <si>
    <t>18广新控股SCP002</t>
  </si>
  <si>
    <t>011800614.IB</t>
  </si>
  <si>
    <t>20180402</t>
  </si>
  <si>
    <t>18广新控股SCP001</t>
  </si>
  <si>
    <t>011761084.IB</t>
  </si>
  <si>
    <t>20171114</t>
  </si>
  <si>
    <t>17广新SCP006</t>
  </si>
  <si>
    <t>011759098.IB</t>
  </si>
  <si>
    <t>20171024</t>
  </si>
  <si>
    <t>17广新SCP005</t>
  </si>
  <si>
    <t>101754048.IB</t>
  </si>
  <si>
    <t>20170912</t>
  </si>
  <si>
    <t>17广新控股MTN001</t>
  </si>
  <si>
    <t>011760133.IB</t>
  </si>
  <si>
    <t>20170828</t>
  </si>
  <si>
    <t>17广新SCP004</t>
  </si>
  <si>
    <t>011753053.IB</t>
  </si>
  <si>
    <t>20170825</t>
  </si>
  <si>
    <t>17广新SCP003</t>
  </si>
  <si>
    <t>011760063.IB</t>
  </si>
  <si>
    <t>20170602</t>
  </si>
  <si>
    <t>17广新SCP001</t>
  </si>
  <si>
    <t>011698738.IB</t>
  </si>
  <si>
    <t>20161107</t>
  </si>
  <si>
    <t>16广新控股SCP009</t>
  </si>
  <si>
    <t>101654089.IB</t>
  </si>
  <si>
    <t>20161010</t>
  </si>
  <si>
    <t>16广新控股MTN001</t>
  </si>
  <si>
    <t>011698420.IB</t>
  </si>
  <si>
    <t>20160906</t>
  </si>
  <si>
    <t>16广新控股SCP008</t>
  </si>
  <si>
    <t>041653057.IB</t>
  </si>
  <si>
    <t>20160831</t>
  </si>
  <si>
    <t>16广新CP003</t>
  </si>
  <si>
    <t>136608.SH</t>
  </si>
  <si>
    <t>20160805</t>
  </si>
  <si>
    <t>16广新04</t>
  </si>
  <si>
    <t>011698184.IB</t>
  </si>
  <si>
    <t>20160801</t>
  </si>
  <si>
    <t>16广新控股SCP007</t>
  </si>
  <si>
    <t>041653047.IB</t>
  </si>
  <si>
    <t>20160720</t>
  </si>
  <si>
    <t>16广新控股CP002</t>
  </si>
  <si>
    <t>136523.SH</t>
  </si>
  <si>
    <t>20160706</t>
  </si>
  <si>
    <t>16广新03</t>
  </si>
  <si>
    <t>011699922.IB</t>
  </si>
  <si>
    <t>20160613</t>
  </si>
  <si>
    <t>16广新控股SCP006</t>
  </si>
  <si>
    <t>041653039.IB</t>
  </si>
  <si>
    <t>20160601</t>
  </si>
  <si>
    <t>16广新控股CP001</t>
  </si>
  <si>
    <t>011699428.IB</t>
  </si>
  <si>
    <t>20160314</t>
  </si>
  <si>
    <t>16广新SCP005</t>
  </si>
  <si>
    <t>011699371.IB</t>
  </si>
  <si>
    <t>20160308</t>
  </si>
  <si>
    <t>16广新控股SCP004</t>
  </si>
  <si>
    <t>011699316.IB</t>
  </si>
  <si>
    <t>20160302</t>
  </si>
  <si>
    <t>16广新SCP003</t>
  </si>
  <si>
    <t>011699246.IB</t>
  </si>
  <si>
    <t>20160223</t>
  </si>
  <si>
    <t>16广新控股SCP002</t>
  </si>
  <si>
    <t>011699220.IB</t>
  </si>
  <si>
    <t>20160217</t>
  </si>
  <si>
    <t>16广新控股SCP001</t>
  </si>
  <si>
    <t>136208.SH</t>
  </si>
  <si>
    <t>20160128</t>
  </si>
  <si>
    <t>16广新02</t>
  </si>
  <si>
    <t>136166.SH</t>
  </si>
  <si>
    <t>20160118</t>
  </si>
  <si>
    <t>16广新01</t>
  </si>
  <si>
    <t>011599866.IB</t>
  </si>
  <si>
    <t>20151106</t>
  </si>
  <si>
    <t>15广新SCP005</t>
  </si>
  <si>
    <t>011599689.IB</t>
  </si>
  <si>
    <t>20150918</t>
  </si>
  <si>
    <t>15广新SCP004</t>
  </si>
  <si>
    <t>011599637.IB</t>
  </si>
  <si>
    <t>20150910</t>
  </si>
  <si>
    <t>15广新SCP003</t>
  </si>
  <si>
    <t>041553053.IB</t>
  </si>
  <si>
    <t>20150805</t>
  </si>
  <si>
    <t>15广新CP002</t>
  </si>
  <si>
    <t>011599323.IB</t>
  </si>
  <si>
    <t>20150608</t>
  </si>
  <si>
    <t>15广新SCP002</t>
  </si>
  <si>
    <t>011599202.IB</t>
  </si>
  <si>
    <t>20150421</t>
  </si>
  <si>
    <t>15广新SCP001</t>
  </si>
  <si>
    <t>041553013.IB</t>
  </si>
  <si>
    <t>20150212</t>
  </si>
  <si>
    <t>15广新CP001</t>
  </si>
  <si>
    <t>041453092.IB</t>
  </si>
  <si>
    <t>20140903</t>
  </si>
  <si>
    <t>14广新CP003</t>
  </si>
  <si>
    <t>041453089.IB</t>
  </si>
  <si>
    <t>20140821</t>
  </si>
  <si>
    <t>14广新CP002</t>
  </si>
  <si>
    <t>041453022.IB</t>
  </si>
  <si>
    <t>20140306</t>
  </si>
  <si>
    <t>14广新CP001</t>
  </si>
  <si>
    <t>1182192.IB</t>
  </si>
  <si>
    <t>20110629</t>
  </si>
  <si>
    <t>11广新MTN2</t>
  </si>
  <si>
    <t>1181213.IB</t>
  </si>
  <si>
    <t>20110503</t>
  </si>
  <si>
    <t>11广新CP01</t>
  </si>
  <si>
    <t>1182084.IB</t>
  </si>
  <si>
    <t>20110322</t>
  </si>
  <si>
    <t>11广新MTN1</t>
  </si>
  <si>
    <t>1081184.IB</t>
  </si>
  <si>
    <t>20100608</t>
  </si>
  <si>
    <t>10广新CP01</t>
  </si>
  <si>
    <t>0781224.IB</t>
  </si>
  <si>
    <t>20071105</t>
  </si>
  <si>
    <t>07广新CP01</t>
  </si>
  <si>
    <t>0681104.IB</t>
  </si>
  <si>
    <t>20060619</t>
  </si>
  <si>
    <t>06广新CP01</t>
  </si>
  <si>
    <t>152135.SH</t>
  </si>
  <si>
    <t>19广新01</t>
  </si>
  <si>
    <t>历史主体评级</t>
  </si>
  <si>
    <t>发布日期</t>
  </si>
  <si>
    <t>主体资信级别</t>
  </si>
  <si>
    <t>评级展望</t>
  </si>
  <si>
    <t>评级机构</t>
  </si>
  <si>
    <t>20190225</t>
  </si>
  <si>
    <t>稳定</t>
  </si>
  <si>
    <t>上海新世纪资信评估投资服务有限公司</t>
  </si>
  <si>
    <t>20190107</t>
  </si>
  <si>
    <t>20180726</t>
  </si>
  <si>
    <t>AA+</t>
  </si>
  <si>
    <t>联合资信评估有限公司</t>
  </si>
  <si>
    <t>大公国际资信评估有限公司</t>
  </si>
  <si>
    <t>20180626</t>
  </si>
  <si>
    <t>联合信用评级有限公司</t>
  </si>
  <si>
    <t>20171023</t>
  </si>
  <si>
    <t>20170816</t>
  </si>
  <si>
    <t>20170629</t>
  </si>
  <si>
    <t>20170628</t>
  </si>
  <si>
    <t>20170220</t>
  </si>
  <si>
    <t>20160727</t>
  </si>
  <si>
    <t>20160714</t>
  </si>
  <si>
    <t>20160629</t>
  </si>
  <si>
    <t>20160627</t>
  </si>
  <si>
    <t>20160612</t>
  </si>
  <si>
    <t>20160520</t>
  </si>
  <si>
    <t>20160301</t>
  </si>
  <si>
    <t>20160204</t>
  </si>
  <si>
    <t>20160125</t>
  </si>
  <si>
    <t>20150702</t>
  </si>
  <si>
    <t>20150109</t>
  </si>
  <si>
    <t>20141210</t>
  </si>
  <si>
    <t>20141127</t>
  </si>
  <si>
    <t>20140730</t>
  </si>
  <si>
    <t>AA</t>
  </si>
  <si>
    <t>20130808</t>
  </si>
  <si>
    <t>20130726</t>
  </si>
  <si>
    <t>20121228</t>
  </si>
  <si>
    <t>20111229</t>
  </si>
  <si>
    <t>20110607</t>
  </si>
  <si>
    <t>正面</t>
  </si>
  <si>
    <t>20110414</t>
  </si>
  <si>
    <t>20101231</t>
  </si>
  <si>
    <t>AA-</t>
  </si>
  <si>
    <t>中诚信国际信用评级有限责任公司</t>
  </si>
  <si>
    <t>20101221</t>
  </si>
  <si>
    <t>20101220</t>
  </si>
  <si>
    <t>20091229</t>
  </si>
  <si>
    <t>20091228</t>
  </si>
  <si>
    <t>20080617</t>
  </si>
  <si>
    <t>A+</t>
  </si>
  <si>
    <t>20070710</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</si>
  <si>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</si>
  <si>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</si>
  <si>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</si>
  <si>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</si>
  <si>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</si>
  <si>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</si>
  <si>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</si>
  <si>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</si>
  <si>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</si>
  <si>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 xml:space="preserve"> 深圳市飞马国际供应链股份有限公司</t>
  </si>
  <si>
    <t>AA-稳定上调至AA稳定</t>
  </si>
  <si>
    <t>中诚信证券评估有限公司</t>
  </si>
  <si>
    <t>2017年公司营业收入持续增长，环保新能源业务发展加速将逐步推动业务结构的优化，且其投资性房地产持续增值。</t>
  </si>
  <si>
    <t>江苏国泰国际集团有限公司</t>
  </si>
  <si>
    <t>AA稳定上调至AA+稳定</t>
  </si>
  <si>
    <t>公司是江苏省大型外贸集团之一，在行业地位、营销渠道、货源基地方面优势突出。跟踪期内，公司进出口贸易规模稳步上升，以出口为主，采销渠道稳定，贸易商品结构和市场结构不断优化，同时积极拓展海外货源基地；受益于下游需求扩张，化工板块收入和利润不断增长，发展潜力较大。2017年2月，旗下上市公司江苏国泰国际集团国贸股份有限公司实施重大资产重组后，对集团优质核心资源进行全面整合并募集配套资金28.03亿元，公司资本实力及抗风险能力有效提升。</t>
  </si>
  <si>
    <t>近一年来同行业发债企业主体评级下调情况</t>
  </si>
  <si>
    <t>主体资信级别下调</t>
  </si>
  <si>
    <t>主体评级展望下调</t>
  </si>
  <si>
    <t>中国华阳经贸集团有限公司</t>
  </si>
  <si>
    <t>AA+稳定下调至C</t>
  </si>
  <si>
    <t>“15华阳经贸MTN001”违约触发了公司存续期内多支债券的交叉违约。</t>
  </si>
  <si>
    <t>升华集团控股有限公司</t>
  </si>
  <si>
    <t>AA稳定下调至AA-稳定</t>
  </si>
  <si>
    <t>鹏元资信评估有限公司</t>
  </si>
  <si>
    <t>受公司分配较大规模股利影响，公司净资产规模同比下降34.87%，扣除投资收益后的营业利润规模大幅下降，公司主营业务盈利能力仍较弱；2017年公司转让主要子公司股权，不再纳入合并范围，未来收入和盈利均存在不确定性；商品房销售业务无新增储备项目，且剩余可售面积较小，商品房销售业务持续性较弱；公司其他应收款规模较大，且应收对象为民营企业，需关注其回收情况；公司有息债务以短期债务为主，2018年需偿付有息债务为7.36亿元，短期债务偿还压力较大；此外公司对外担保金额较大，且担保对象以民营企业为主，均未设置反担保措施，存在一定的或有负债风险。</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</si>
  <si>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</si>
  <si>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</si>
  <si>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</si>
  <si>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</si>
  <si>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</si>
  <si>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</si>
  <si>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</si>
  <si>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</si>
  <si>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</si>
  <si>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</si>
  <si>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</si>
  <si>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</si>
  <si>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</si>
  <si>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</si>
  <si>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</si>
  <si>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</si>
  <si>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</si>
  <si>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</si>
  <si>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</si>
  <si>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</si>
  <si>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</si>
  <si>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</si>
  <si>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</si>
  <si>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</si>
  <si>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</si>
  <si>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广东省广新控股集团有限公司</t>
  </si>
  <si>
    <t>地方国有企业</t>
  </si>
  <si>
    <t>工业--资本货物--贸易公司与工业品经销商Ⅲ--贸易公司与工业品经销商</t>
  </si>
  <si>
    <t>广东省广州市海珠区新港东路1000号1601房</t>
  </si>
  <si>
    <t>广东省广新外贸集团有限公司是经粤办发[2000]9号文批准，由广东省委办公厅、广东省府办公厅发起，于2000年9月6日组建并注册成立的授权经营企业集团。公司是1999年国家实施“政企分离”的背景下，由广东省政府将原广东省外经贸委系统的大部分企业以及省贸促会脱钩企业合并组建的。电话原注册资金人民币60300万元。2008年8月1日，经广东省人民政府国有资产监督管理委员会批准，电话以资本公积9.97亿元转增注册资本，目前注册资本是人民币16.2亿元。公司作为广东省外贸行业的排头兵，经过多年的发展，树立了良好的企业形象，依托广东省属国有企业背景以及进出口贸易规模大，上下游企业覆盖面广等先天优势，在全国建立了良好的公共关系，为公司今后的发展提供了重要依托和保障。</t>
  </si>
  <si>
    <t>广东省人民政府国有资产监督管理委员会</t>
  </si>
  <si>
    <t/>
  </si>
  <si>
    <t>A-1</t>
  </si>
  <si>
    <t>中国航空技术国际控股有限公司</t>
  </si>
  <si>
    <t>中国通用技术(集团)控股有限责任公司</t>
  </si>
  <si>
    <t>浙江省国际贸易集团有限公司</t>
  </si>
  <si>
    <t>厦门象屿集团有限公司</t>
  </si>
  <si>
    <t>厦门国贸集团股份有限公司</t>
  </si>
  <si>
    <t>厦门建发股份有限公司</t>
  </si>
  <si>
    <t>杭州市金融投资集团有限公司</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</si>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</sst>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广东省广新控股集团有限公司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工业--资本货物--贸易公司与工业品经销商Ⅲ--贸易公司与工业品经销商</v>
      </c>
      <c r="C5" s="120"/>
      <c r="D5" s="57" t="s">
        <v>5</v>
      </c>
      <c r="E5" s="119" t="str">
        <f>[1]!b_issuer_regaddress(A2)</f>
        <v>广东省广州市海珠区新港东路1000号1601房</v>
      </c>
      <c r="F5" s="120"/>
      <c r="G5" s="120"/>
    </row>
    <row r="6" spans="1:20" s="17" customFormat="1" ht="81" customHeight="1" x14ac:dyDescent="0.25">
      <c r="A6" s="57" t="s">
        <v>6</v>
      </c>
      <c r="B6" s="121" t="str">
        <f>[1]!s_info_briefing(A2)</f>
        <v>广东省广新外贸集团有限公司是经粤办发[2000]9号文批准，由广东省委办公厅、广东省府办公厅发起，于2000年9月6日组建并注册成立的授权经营企业集团。公司是1999年国家实施“政企分离”的背景下，由广东省政府将原广东省外经贸委系统的大部分企业以及省贸促会脱钩企业合并组建的。电话原注册资金人民币60300万元。2008年8月1日，经广东省人民政府国有资产监督管理委员会批准，电话以资本公积9.97亿元转增注册资本，目前注册资本是人民币16.2亿元。公司作为广东省外贸行业的排头兵，经过多年的发展，树立了良好的企业形象，依托广东省属国有企业背景以及进出口贸易规模大，上下游企业覆盖面广等先天优势，在全国建立了良好的公共关系，为公司今后的发展提供了重要依托和保障。</v>
      </c>
      <c r="C6" s="120"/>
      <c r="D6" s="120"/>
      <c r="E6" s="120"/>
      <c r="F6" s="120"/>
      <c r="G6" s="120"/>
    </row>
    <row r="7" spans="1:20" s="17" customFormat="1" x14ac:dyDescent="0.25">
      <c r="A7" s="59" t="s">
        <v>7</v>
      </c>
      <c r="B7" s="122" t="str">
        <f>[1]!b_issuer_shareholder(A2,"",1)</f>
        <v>广东省人民政府国有资产监督管理委员会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q19030105.IB</v>
      </c>
      <c r="K14" s="26"/>
      <c r="L14" s="27" t="str">
        <f>T15</f>
        <v>1382261.IB</v>
      </c>
      <c r="M14" s="27" t="str">
        <f>T16</f>
        <v>1182269.IB</v>
      </c>
      <c r="N14" s="27" t="str">
        <f>T17</f>
        <v>101459019.IB</v>
      </c>
      <c r="O14" s="27" t="str">
        <f>T18</f>
        <v>041451056.IB</v>
      </c>
      <c r="P14" s="27" t="str">
        <f>T19</f>
        <v>041457003.IB</v>
      </c>
      <c r="Q14" s="27" t="str">
        <f>T20</f>
        <v>1282332.IB</v>
      </c>
      <c r="R14" s="5" t="str">
        <f>T21</f>
        <v>101359008.IB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广东省广新控股集团有限公司</v>
      </c>
      <c r="K15" s="138"/>
      <c r="L15" s="8" t="str">
        <f>[1]!b_info_issuer(L14)</f>
        <v>中国航空技术国际控股有限公司</v>
      </c>
      <c r="M15" s="8" t="str">
        <f>[1]!b_info_issuer(M14)</f>
        <v>中国通用技术(集团)控股有限责任公司</v>
      </c>
      <c r="N15" s="8" t="str">
        <f>[1]!b_info_issuer(N14)</f>
        <v>浙江省国际贸易集团有限公司</v>
      </c>
      <c r="O15" s="8" t="str">
        <f>[1]!b_info_issuer(O14)</f>
        <v>厦门象屿集团有限公司</v>
      </c>
      <c r="P15" s="8" t="str">
        <f>[1]!b_info_issuer(P14)</f>
        <v>厦门国贸集团股份有限公司</v>
      </c>
      <c r="Q15" s="8" t="str">
        <f>[1]!b_info_issuer(Q14)</f>
        <v>厦门建发股份有限公司</v>
      </c>
      <c r="R15" s="8" t="str">
        <f>[1]!b_info_issuer(R14)</f>
        <v>杭州市金融投资集团有限公司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中央国有企业</v>
      </c>
      <c r="M17" s="67" t="str">
        <f>[1]!s_info_nature(M14)</f>
        <v>中央国有企业</v>
      </c>
      <c r="N17" s="67" t="str">
        <f>[1]!s_info_nature(N14)</f>
        <v>地方国有企业</v>
      </c>
      <c r="O17" s="67" t="str">
        <f>[1]!s_info_nature(O14)</f>
        <v>地方国有企业</v>
      </c>
      <c r="P17" s="67" t="str">
        <f>[1]!s_info_nature(P14)</f>
        <v>地方国有企业</v>
      </c>
      <c r="Q17" s="67" t="str">
        <f>[1]!s_info_nature(Q14)</f>
        <v>地方国有企业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589.34917806739998</v>
      </c>
      <c r="K19" s="124"/>
      <c r="L19" s="68">
        <f>[1]!b_stm07_bs(L14,74,L13,1)/100000000</f>
        <v>2494.8278509549</v>
      </c>
      <c r="M19" s="68">
        <f>[1]!b_stm07_bs(M14,74,M13,1)/100000000</f>
        <v>1569.6002542274</v>
      </c>
      <c r="N19" s="68">
        <f>[1]!b_stm07_bs(N14,74,N13,1)/100000000</f>
        <v>764.70257255490003</v>
      </c>
      <c r="O19" s="68">
        <f>[1]!b_stm07_bs(O14,74,O13,1)/100000000</f>
        <v>916.98530933740005</v>
      </c>
      <c r="P19" s="68">
        <f>[1]!b_stm07_bs(P14,74,P13,1)/100000000</f>
        <v>713.80944868770007</v>
      </c>
      <c r="Q19" s="68">
        <f>[1]!b_stm07_bs(Q14,74,Q13,1)/100000000</f>
        <v>1752.9514750400001</v>
      </c>
      <c r="R19" s="68">
        <f>[1]!b_stm07_bs(R14,74,R13,1)/100000000</f>
        <v>468.82051695109999</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0.65589200000000003</v>
      </c>
      <c r="K20" s="124"/>
      <c r="L20" s="10">
        <f>[1]!s_fa_debttoassets(L14,L13)/100</f>
        <v>0.73231800000000002</v>
      </c>
      <c r="M20" s="10">
        <f>[1]!s_fa_debttoassets(M14,M13)/100</f>
        <v>0.67307199999999989</v>
      </c>
      <c r="N20" s="10">
        <f>[1]!s_fa_debttoassets(N14,N13)/100</f>
        <v>0.73276600000000003</v>
      </c>
      <c r="O20" s="10">
        <f>[1]!s_fa_debttoassets(O14,O13)/100</f>
        <v>0.69370699999999996</v>
      </c>
      <c r="P20" s="10">
        <f>[1]!s_fa_debttoassets(P14,P13)/100</f>
        <v>0.63575300000000001</v>
      </c>
      <c r="Q20" s="10">
        <f>[1]!s_fa_debttoassets(Q14,Q13)/100</f>
        <v>0.75049400000000011</v>
      </c>
      <c r="R20" s="10">
        <f>[1]!s_fa_debttoassets(R14,R13)/100</f>
        <v>0.64548199999999989</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1.0839000000000001</v>
      </c>
      <c r="K21" s="124"/>
      <c r="L21" s="68">
        <f>[1]!s_fa_current(L14,L13)</f>
        <v>1.2090000000000001</v>
      </c>
      <c r="M21" s="68">
        <f>[1]!s_fa_current(M14,M13)</f>
        <v>1.4141999999999999</v>
      </c>
      <c r="N21" s="68">
        <f>[1]!s_fa_current(N14,N13)</f>
        <v>1.2747999999999999</v>
      </c>
      <c r="O21" s="68">
        <f>[1]!s_fa_current(O14,O13)</f>
        <v>1.3616999999999999</v>
      </c>
      <c r="P21" s="68">
        <f>[1]!s_fa_current(P14,P13)</f>
        <v>1.4435</v>
      </c>
      <c r="Q21" s="68">
        <f>[1]!s_fa_current(Q14,Q13)</f>
        <v>1.7864</v>
      </c>
      <c r="R21" s="68">
        <f>[1]!s_fa_current(R14,R13)</f>
        <v>0.3538</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1.030366452354633</v>
      </c>
      <c r="K22" s="124"/>
      <c r="L22" s="66">
        <f>(公式页!L96+公式页!L97+公式页!L98+公式页!L99+公式页!L100+公式页!L101)/公式页!L103</f>
        <v>1.4033202468702712</v>
      </c>
      <c r="M22" s="66">
        <f t="shared" ref="M22:R22" si="0">(M96+M97+M98+M99+M100+M101)/M103</f>
        <v>0.83523387215282863</v>
      </c>
      <c r="N22" s="66">
        <f t="shared" si="0"/>
        <v>1.5988462985079723</v>
      </c>
      <c r="O22" s="66">
        <f t="shared" si="0"/>
        <v>1.3983273176425992</v>
      </c>
      <c r="P22" s="66">
        <f t="shared" si="0"/>
        <v>0.43775630178079677</v>
      </c>
      <c r="Q22" s="66">
        <f t="shared" si="0"/>
        <v>1.2977550726025271</v>
      </c>
      <c r="R22" s="66">
        <f t="shared" si="0"/>
        <v>1.2202117015574869</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8.9899999999999994E-2</v>
      </c>
      <c r="K23" s="124"/>
      <c r="L23" s="68">
        <f>[1]!s_fa_ebitdatodebt(L14,L13)</f>
        <v>9.0899999999999995E-2</v>
      </c>
      <c r="M23" s="68">
        <f>[1]!s_fa_ebitdatodebt(M14,M13)</f>
        <v>8.1600000000000006E-2</v>
      </c>
      <c r="N23" s="68">
        <f>[1]!s_fa_ebitdatodebt(N14,N13)</f>
        <v>5.5100000000000003E-2</v>
      </c>
      <c r="O23" s="68">
        <f>[1]!s_fa_ebitdatodebt(O14,O13)</f>
        <v>6.8699999999999997E-2</v>
      </c>
      <c r="P23" s="68">
        <f>[1]!s_fa_ebitdatodebt(P14,P13)</f>
        <v>8.6099999999999996E-2</v>
      </c>
      <c r="Q23" s="68">
        <f>[1]!s_fa_ebitdatodebt(Q14,Q13)</f>
        <v>6.3299999999999995E-2</v>
      </c>
      <c r="R23" s="68">
        <f>[1]!s_fa_ebitdatodebt(R14,R13)</f>
        <v>9.3799999999999994E-2</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568.93151186930004</v>
      </c>
      <c r="K24" s="124"/>
      <c r="L24" s="68">
        <f>[1]!b_stm07_is(L14,9,L13,1)/100000000</f>
        <v>1564.7697567057999</v>
      </c>
      <c r="M24" s="68">
        <f>[1]!b_stm07_is(M14,9,M13,1)/100000000</f>
        <v>1568.3230722298999</v>
      </c>
      <c r="N24" s="68">
        <f>[1]!b_stm07_is(N14,9,N13,1)/100000000</f>
        <v>378.15800097440001</v>
      </c>
      <c r="O24" s="68">
        <f>[1]!b_stm07_is(O14,9,O13,1)/100000000</f>
        <v>2140.8866377657</v>
      </c>
      <c r="P24" s="68">
        <f>[1]!b_stm07_is(P14,9,P13,1)/100000000</f>
        <v>1646.5077791524</v>
      </c>
      <c r="Q24" s="68">
        <f>[1]!b_stm07_is(Q14,9,Q13,1)/100000000</f>
        <v>2186.0157897653999</v>
      </c>
      <c r="R24" s="68">
        <f>[1]!b_stm07_is(R14,9,R13,1)/100000000</f>
        <v>89.450996539900004</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1.0246999999999999</v>
      </c>
      <c r="K25" s="124"/>
      <c r="L25" s="11">
        <f>[1]!s_fa_salescashintoor(L14,L13)%</f>
        <v>1.2176</v>
      </c>
      <c r="M25" s="11">
        <f>[1]!s_fa_salescashintoor(M14,M13)%</f>
        <v>1.218</v>
      </c>
      <c r="N25" s="11">
        <f>[1]!s_fa_salescashintoor(N14,N13)%</f>
        <v>1.6841999999999999</v>
      </c>
      <c r="O25" s="11">
        <f>[1]!s_fa_salescashintoor(O14,O13)%</f>
        <v>1.1532</v>
      </c>
      <c r="P25" s="11">
        <f>[1]!s_fa_salescashintoor(P14,P13)%</f>
        <v>1.1114999999999999</v>
      </c>
      <c r="Q25" s="11">
        <f>[1]!s_fa_salescashintoor(Q14,Q13)%</f>
        <v>1.0958000000000001</v>
      </c>
      <c r="R25" s="11">
        <f>[1]!s_fa_salescashintoor(R14,R13)%</f>
        <v>1.0287999999999999</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0.12923999999999999</v>
      </c>
      <c r="K26" s="124"/>
      <c r="L26" s="11">
        <f>[1]!s_fa_grossprofitmargin(L14,L13)%</f>
        <v>0.15606700000000001</v>
      </c>
      <c r="M26" s="11">
        <f>[1]!s_fa_grossprofitmargin(M14,M13)%</f>
        <v>8.9749999999999996E-2</v>
      </c>
      <c r="N26" s="11">
        <f>[1]!s_fa_grossprofitmargin(N14,N13)%</f>
        <v>0.106965</v>
      </c>
      <c r="O26" s="11">
        <f>[1]!s_fa_grossprofitmargin(O14,O13)%</f>
        <v>3.6408999999999997E-2</v>
      </c>
      <c r="P26" s="11">
        <f>[1]!s_fa_grossprofitmargin(P14,P13)%</f>
        <v>4.1181000000000002E-2</v>
      </c>
      <c r="Q26" s="11">
        <f>[1]!s_fa_grossprofitmargin(Q14,Q13)%</f>
        <v>6.4280000000000004E-2</v>
      </c>
      <c r="R26" s="11">
        <f>[1]!s_fa_grossprofitmargin(R14,R13)%</f>
        <v>0.15744</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6.8216717386000001</v>
      </c>
      <c r="K27" s="124"/>
      <c r="L27" s="69">
        <f>[1]!b_stm07_is(L14,60,L13,1)/100000000</f>
        <v>39.761910800400003</v>
      </c>
      <c r="M27" s="69">
        <f>[1]!b_stm07_is(M14,60,M13,1)/100000000</f>
        <v>44.663988861199996</v>
      </c>
      <c r="N27" s="69">
        <f>[1]!b_stm07_is(N14,60,N13,1)/100000000</f>
        <v>11.3355652649</v>
      </c>
      <c r="O27" s="69">
        <f>[1]!b_stm07_is(O14,60,O13,1)/100000000</f>
        <v>18.171807200099998</v>
      </c>
      <c r="P27" s="69">
        <f>[1]!b_stm07_is(P14,60,P13,1)/100000000</f>
        <v>21.742712731300003</v>
      </c>
      <c r="Q27" s="69">
        <f>[1]!b_stm07_is(Q14,60,Q13,1)/100000000</f>
        <v>48.256647266999998</v>
      </c>
      <c r="R27" s="69">
        <f>[1]!b_stm07_is(R14,60,R13,1)/100000000</f>
        <v>14.4616690149</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7.2066999999999992E-2</v>
      </c>
      <c r="K28" s="124"/>
      <c r="L28" s="10">
        <f>[1]!s_fa_roe(L14,L13)%</f>
        <v>6.1565000000000002E-2</v>
      </c>
      <c r="M28" s="10">
        <f>[1]!s_fa_roe(M14,M13)%</f>
        <v>7.5313000000000005E-2</v>
      </c>
      <c r="N28" s="10">
        <f>[1]!s_fa_roe(N14,N13)%</f>
        <v>6.7674999999999999E-2</v>
      </c>
      <c r="O28" s="10">
        <f>[1]!s_fa_roe(O14,O13)%</f>
        <v>9.4893999999999992E-2</v>
      </c>
      <c r="P28" s="10">
        <f>[1]!s_fa_roe(P14,P13)%</f>
        <v>9.9349000000000007E-2</v>
      </c>
      <c r="Q28" s="10">
        <f>[1]!s_fa_roe(Q14,Q13)%</f>
        <v>0.147566</v>
      </c>
      <c r="R28" s="10">
        <f>[1]!s_fa_roe(R14,R13)%</f>
        <v>9.4536999999999996E-2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24.320905930100004</v>
      </c>
      <c r="K29" s="124"/>
      <c r="L29" s="69">
        <f>[1]!b_stm07_cs(L14,39,L13,1)/100000000</f>
        <v>200.8973197441</v>
      </c>
      <c r="M29" s="69">
        <f>[1]!b_stm07_cs(M14,39,M13,1)/100000000</f>
        <v>5.2996619992000005</v>
      </c>
      <c r="N29" s="69">
        <f>[1]!b_stm07_cs(N14,39,N13,1)/100000000</f>
        <v>-41.740906466799998</v>
      </c>
      <c r="O29" s="69">
        <f>[1]!b_stm07_cs(O14,39,O13,1)/100000000</f>
        <v>-56.476632351499994</v>
      </c>
      <c r="P29" s="69">
        <f>[1]!b_stm07_cs(P14,39,P13,1)/100000000</f>
        <v>-84.228300872899993</v>
      </c>
      <c r="Q29" s="69">
        <f>[1]!b_stm07_cs(Q14,39,Q13,1)/100000000</f>
        <v>-185.87788940909999</v>
      </c>
      <c r="R29" s="69">
        <f>[1]!b_stm07_cs(R14,39,R13,1)/100000000</f>
        <v>2.9747463488999997</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10894980643.98</v>
      </c>
      <c r="K96" s="71"/>
      <c r="L96" s="71">
        <f>[1]!b_stm07_bs(L14,75,L13,1)</f>
        <v>21976022740.09</v>
      </c>
      <c r="M96" s="71">
        <f>[1]!b_stm07_bs(M14,75,M13,1)</f>
        <v>13145032425.120001</v>
      </c>
      <c r="N96" s="71">
        <f>[1]!b_stm07_bs(N14,75,N13,1)</f>
        <v>15793642475.309999</v>
      </c>
      <c r="O96" s="71">
        <f>[1]!b_stm07_bs(O14,75,O13,1)</f>
        <v>23969321607.619999</v>
      </c>
      <c r="P96" s="71">
        <f>[1]!b_stm07_bs(P14,75,P13,1)</f>
        <v>7756005887.29</v>
      </c>
      <c r="Q96" s="71">
        <f>[1]!b_stm07_bs(Q14,75,Q13,1)</f>
        <v>7214370948.2600002</v>
      </c>
      <c r="R96" s="71">
        <f>[1]!b_stm07_bs(R14,75,R13,1)</f>
        <v>15145420000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69041211.030000001</v>
      </c>
      <c r="K97" s="71"/>
      <c r="L97" s="71">
        <f>[1]!b_stm07_bs(L14,82,L13,1)</f>
        <v>556966967.20000005</v>
      </c>
      <c r="M97" s="71">
        <f>[1]!b_stm07_bs(M14,82,M13,1)</f>
        <v>288212698.76999998</v>
      </c>
      <c r="N97" s="71">
        <f>[1]!b_stm07_bs(N14,82,N13,1)</f>
        <v>298193137.85000002</v>
      </c>
      <c r="O97" s="71">
        <f>[1]!b_stm07_bs(O14,82,O13,1)</f>
        <v>211146879.12</v>
      </c>
      <c r="P97" s="71">
        <f>[1]!b_stm07_bs(P14,82,P13,1)</f>
        <v>55076881.100000001</v>
      </c>
      <c r="Q97" s="71">
        <f>[1]!b_stm07_bs(Q14,82,Q13,1)</f>
        <v>476078712.82999998</v>
      </c>
      <c r="R97" s="71">
        <f>[1]!b_stm07_bs(R14,82,R13,1)</f>
        <v>218754433.87</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1482794395.73</v>
      </c>
      <c r="K98" s="71"/>
      <c r="L98" s="71">
        <f>[1]!b_stm07_bs(L14,88,L13,1)</f>
        <v>11330885683.959999</v>
      </c>
      <c r="M98" s="71">
        <f>[1]!b_stm07_bs(M14,88,M13,1)</f>
        <v>6257641099.0900002</v>
      </c>
      <c r="N98" s="71">
        <f>[1]!b_stm07_bs(N14,88,N13,1)</f>
        <v>4012936336.1500001</v>
      </c>
      <c r="O98" s="71">
        <f>[1]!b_stm07_bs(O14,88,O13,1)</f>
        <v>1509016822.1900001</v>
      </c>
      <c r="P98" s="71">
        <f>[1]!b_stm07_bs(P14,88,P13,1)</f>
        <v>540381610.41999996</v>
      </c>
      <c r="Q98" s="71">
        <f>[1]!b_stm07_bs(Q14,88,Q13,1)</f>
        <v>6167617520.75</v>
      </c>
      <c r="R98" s="71">
        <f>[1]!b_stm07_bs(R14,88,R13,1)</f>
        <v>700000000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4351229865.8100004</v>
      </c>
      <c r="K100" s="71"/>
      <c r="L100" s="71">
        <f>[1]!b_stm07_bs(L14,94,L13,1)</f>
        <v>40262925328.529999</v>
      </c>
      <c r="M100" s="71">
        <f>[1]!b_stm07_bs(M14,94,M13,1)</f>
        <v>11026707891.139999</v>
      </c>
      <c r="N100" s="71">
        <f>[1]!b_stm07_bs(N14,94,N13,1)</f>
        <v>9568320020</v>
      </c>
      <c r="O100" s="71">
        <f>[1]!b_stm07_bs(O14,94,O13,1)</f>
        <v>8598236413.3799992</v>
      </c>
      <c r="P100" s="71">
        <f>[1]!b_stm07_bs(P14,94,P13,1)</f>
        <v>1611393556.2</v>
      </c>
      <c r="Q100" s="71">
        <f>[1]!b_stm07_bs(Q14,94,Q13,1)</f>
        <v>26015344880.470001</v>
      </c>
      <c r="R100" s="71">
        <f>[1]!b_stm07_bs(R14,94,R13,1)</f>
        <v>1816368000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4097760328.7199998</v>
      </c>
      <c r="K101" s="71"/>
      <c r="L101" s="71">
        <f>[1]!b_stm07_bs(L14,95,L13,1)</f>
        <v>19589785479.189999</v>
      </c>
      <c r="M101" s="71">
        <f>[1]!b_stm07_bs(M14,95,M13,1)</f>
        <v>12142108504.48</v>
      </c>
      <c r="N101" s="71">
        <f>[1]!b_stm07_bs(N14,95,N13,1)</f>
        <v>3000000000</v>
      </c>
      <c r="O101" s="71">
        <f>[1]!b_stm07_bs(O14,95,O13,1)</f>
        <v>4986538363.0600004</v>
      </c>
      <c r="P101" s="71">
        <f>[1]!b_stm07_bs(P14,95,P13,1)</f>
        <v>1418942135.79</v>
      </c>
      <c r="Q101" s="71">
        <f>[1]!b_stm07_bs(Q14,95,Q13,1)</f>
        <v>16886736582.75</v>
      </c>
      <c r="R101" s="71">
        <f>[1]!b_stm07_bs(R14,95,R13,1)</f>
        <v>2400000000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20279975534.450001</v>
      </c>
      <c r="K103" s="71"/>
      <c r="L103" s="71">
        <f>[1]!b_stm07_bs(L14,141,L13,1)</f>
        <v>66782038104.260002</v>
      </c>
      <c r="M103" s="71">
        <f>[1]!b_stm07_bs(M14,141,M13,1)</f>
        <v>51314612646.309998</v>
      </c>
      <c r="N103" s="71">
        <f>[1]!b_stm07_bs(N14,141,N13,1)</f>
        <v>20435417713.259998</v>
      </c>
      <c r="O103" s="71">
        <f>[1]!b_stm07_bs(O14,141,O13,1)</f>
        <v>28086600032.66</v>
      </c>
      <c r="P103" s="71">
        <f>[1]!b_stm07_bs(P14,141,P13,1)</f>
        <v>26000311187.98</v>
      </c>
      <c r="Q103" s="71">
        <f>[1]!b_stm07_bs(Q14,141,Q13,1)</f>
        <v>43737181108.629997</v>
      </c>
      <c r="R103" s="71">
        <f>[1]!b_stm07_bs(R14,141,R13,1)</f>
        <v>16620511348.959999</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q19030105.IB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0.65589200000000003</v>
      </c>
      <c r="C109" s="54" t="s">
        <v>36</v>
      </c>
      <c r="D109" s="72">
        <f>[1]!s_fa_current(A2,B2)</f>
        <v>1.0839000000000001</v>
      </c>
      <c r="E109" s="54" t="s">
        <v>41</v>
      </c>
      <c r="F109" s="73">
        <f>[1]!s_fa_salescashintoor(A2,B2)/100</f>
        <v>1.0246999999999999</v>
      </c>
      <c r="G109" s="54" t="s">
        <v>42</v>
      </c>
      <c r="H109" s="12">
        <f>S109/100</f>
        <v>0.12923999999999999</v>
      </c>
      <c r="I109" s="54"/>
      <c r="J109" s="16"/>
      <c r="K109" s="25"/>
      <c r="L109" s="34" t="s">
        <v>61</v>
      </c>
      <c r="M109" s="74">
        <f>[1]!s_fa_debttoassets(A2,B2)</f>
        <v>65.589200000000005</v>
      </c>
      <c r="N109" s="54" t="s">
        <v>36</v>
      </c>
      <c r="O109" s="35"/>
      <c r="P109" s="54" t="s">
        <v>41</v>
      </c>
      <c r="Q109" s="35"/>
      <c r="R109" s="54" t="s">
        <v>42</v>
      </c>
      <c r="S109" s="75">
        <f>[1]!s_fa_grossprofitmargin(A2,B2)</f>
        <v>12.923999999999999</v>
      </c>
    </row>
    <row r="110" spans="1:19" ht="15.75" customHeight="1" x14ac:dyDescent="0.25">
      <c r="A110" s="54" t="s">
        <v>62</v>
      </c>
      <c r="B110" s="12">
        <f>M110/100</f>
        <v>0.49467899999999998</v>
      </c>
      <c r="C110" s="54" t="s">
        <v>63</v>
      </c>
      <c r="D110" s="73">
        <f>[1]!s_fa_quick(A2,B2)</f>
        <v>0.81730000000000003</v>
      </c>
      <c r="E110" s="54" t="s">
        <v>64</v>
      </c>
      <c r="F110" s="72">
        <f>[1]!s_fa_arturn(A2,B2)</f>
        <v>10.438700000000001</v>
      </c>
      <c r="G110" s="54" t="s">
        <v>65</v>
      </c>
      <c r="H110" s="12">
        <f>S110/100</f>
        <v>2.5779E-2</v>
      </c>
      <c r="I110" s="54"/>
      <c r="J110" s="16"/>
      <c r="L110" s="54" t="s">
        <v>62</v>
      </c>
      <c r="M110" s="74">
        <f>[1]!s_fa_catoassets(A2,B2)</f>
        <v>49.4679</v>
      </c>
      <c r="N110" s="54" t="s">
        <v>63</v>
      </c>
      <c r="O110" s="35"/>
      <c r="P110" s="54" t="s">
        <v>64</v>
      </c>
      <c r="Q110" s="73"/>
      <c r="R110" s="54" t="s">
        <v>65</v>
      </c>
      <c r="S110" s="75">
        <f>[1]!s_fa_optogr(A2,B2)</f>
        <v>2.5779000000000001</v>
      </c>
    </row>
    <row r="111" spans="1:19" ht="15" customHeight="1" x14ac:dyDescent="0.25">
      <c r="A111" s="54" t="s">
        <v>66</v>
      </c>
      <c r="B111" s="12">
        <f>M111/100</f>
        <v>0.69583200000000001</v>
      </c>
      <c r="C111" s="54" t="s">
        <v>39</v>
      </c>
      <c r="D111" s="73">
        <f>[1]!s_fa_ebitdatodebt(A2,B2)</f>
        <v>8.9899999999999994E-2</v>
      </c>
      <c r="E111" s="54" t="s">
        <v>67</v>
      </c>
      <c r="F111" s="72">
        <f>[1]!s_fa_invturn(A2,B2)</f>
        <v>6.4359000000000002</v>
      </c>
      <c r="G111" s="54" t="s">
        <v>45</v>
      </c>
      <c r="H111" s="12">
        <f>S111/100</f>
        <v>7.2066999999999992E-2</v>
      </c>
      <c r="I111" s="54"/>
      <c r="J111" s="16"/>
      <c r="L111" s="54" t="s">
        <v>66</v>
      </c>
      <c r="M111" s="74">
        <f>[1]!s_fa_currentdebttodebt(A2,B2)</f>
        <v>69.583200000000005</v>
      </c>
      <c r="N111" s="54" t="s">
        <v>39</v>
      </c>
      <c r="O111" s="35"/>
      <c r="P111" s="54" t="s">
        <v>67</v>
      </c>
      <c r="Q111" s="35"/>
      <c r="R111" s="54" t="s">
        <v>45</v>
      </c>
      <c r="S111" s="75">
        <f>[1]!s_fa_roe(A2,B2)</f>
        <v>7.2066999999999997</v>
      </c>
    </row>
    <row r="112" spans="1:19" ht="14.25" customHeight="1" x14ac:dyDescent="0.25">
      <c r="A112" s="54" t="s">
        <v>38</v>
      </c>
      <c r="B112" s="76">
        <f>(M116+M117+M118+M119+M120+M121)/M123</f>
        <v>1.030366452354633</v>
      </c>
      <c r="C112" s="54" t="s">
        <v>68</v>
      </c>
      <c r="D112" s="73">
        <f>[1]!s_fa_ebittointerest(A2,B2)</f>
        <v>2.5981000000000001</v>
      </c>
      <c r="E112" s="54" t="s">
        <v>69</v>
      </c>
      <c r="F112" s="72">
        <f>[1]!s_fa_caturn(A2,B2)</f>
        <v>1.9835</v>
      </c>
      <c r="G112" s="54" t="s">
        <v>70</v>
      </c>
      <c r="H112" s="12">
        <f>S112/100</f>
        <v>4.2502000000000005E-2</v>
      </c>
      <c r="I112" s="54"/>
      <c r="J112" s="16"/>
      <c r="L112" s="54" t="s">
        <v>38</v>
      </c>
      <c r="M112" s="77"/>
      <c r="N112" s="54" t="s">
        <v>68</v>
      </c>
      <c r="O112" s="35"/>
      <c r="P112" s="54" t="s">
        <v>69</v>
      </c>
      <c r="Q112" s="35"/>
      <c r="R112" s="54" t="s">
        <v>70</v>
      </c>
      <c r="S112" s="75">
        <f>[1]!s_fa_roa2(A2,B2)</f>
        <v>4.2502000000000004</v>
      </c>
    </row>
    <row r="113" spans="1:21" x14ac:dyDescent="0.25">
      <c r="A113" s="30"/>
      <c r="B113" s="31"/>
      <c r="C113" s="30"/>
      <c r="D113" s="32"/>
      <c r="E113" s="30" t="s">
        <v>71</v>
      </c>
      <c r="F113" s="78">
        <f>[1]!s_fa_dupont_faturnover(A2,B2)</f>
        <v>0.98729999999999996</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10894980643.98</v>
      </c>
    </row>
    <row r="117" spans="1:21" ht="14.25" customHeight="1" x14ac:dyDescent="0.25">
      <c r="A117" s="54" t="s">
        <v>77</v>
      </c>
      <c r="B117" s="73">
        <f t="shared" ref="B117:B131" si="1">M127/100000000</f>
        <v>72.158873132899998</v>
      </c>
      <c r="C117" s="54" t="s">
        <v>78</v>
      </c>
      <c r="D117" s="76">
        <f t="shared" ref="D117:D125" si="2">O127/100000000</f>
        <v>569.03775947320003</v>
      </c>
      <c r="E117" s="131" t="s">
        <v>79</v>
      </c>
      <c r="F117" s="124"/>
      <c r="G117" s="124"/>
      <c r="H117" s="132">
        <f t="shared" ref="H117:H131" si="3">S127/100000000</f>
        <v>583.00249670829999</v>
      </c>
      <c r="I117" s="124"/>
      <c r="J117" s="124"/>
      <c r="L117" s="17" t="s">
        <v>48</v>
      </c>
      <c r="M117" s="71">
        <f>[1]!b_stm07_bs(K107,82,L107,1)</f>
        <v>69041211.030000001</v>
      </c>
    </row>
    <row r="118" spans="1:21" ht="14.25" customHeight="1" x14ac:dyDescent="0.25">
      <c r="A118" s="54" t="s">
        <v>80</v>
      </c>
      <c r="B118" s="73">
        <f t="shared" si="1"/>
        <v>52.336678926400005</v>
      </c>
      <c r="C118" s="54" t="s">
        <v>81</v>
      </c>
      <c r="D118" s="76">
        <f t="shared" si="2"/>
        <v>567.05578559589992</v>
      </c>
      <c r="E118" s="131" t="s">
        <v>82</v>
      </c>
      <c r="F118" s="124"/>
      <c r="G118" s="124"/>
      <c r="H118" s="132">
        <f t="shared" si="3"/>
        <v>19.471613460099999</v>
      </c>
      <c r="I118" s="124"/>
      <c r="J118" s="124"/>
      <c r="L118" s="17" t="s">
        <v>49</v>
      </c>
      <c r="M118" s="71">
        <f>[1]!b_stm07_bs(K107,88,L107,1)</f>
        <v>1482794395.73</v>
      </c>
    </row>
    <row r="119" spans="1:21" ht="14.25" customHeight="1" x14ac:dyDescent="0.25">
      <c r="A119" s="54" t="s">
        <v>83</v>
      </c>
      <c r="B119" s="73">
        <f t="shared" si="1"/>
        <v>47.3202920799</v>
      </c>
      <c r="C119" s="54" t="s">
        <v>84</v>
      </c>
      <c r="D119" s="76">
        <f t="shared" si="2"/>
        <v>495.40291275779998</v>
      </c>
      <c r="E119" s="131" t="s">
        <v>85</v>
      </c>
      <c r="F119" s="124"/>
      <c r="G119" s="124"/>
      <c r="H119" s="133">
        <f t="shared" si="3"/>
        <v>614.94009615239997</v>
      </c>
      <c r="I119" s="124"/>
      <c r="J119" s="124"/>
      <c r="L119" s="17" t="s">
        <v>50</v>
      </c>
      <c r="M119" s="71">
        <f>[1]!b_stm07_bs(K107,147,L107,1)</f>
        <v>0</v>
      </c>
    </row>
    <row r="120" spans="1:21" ht="14.25" customHeight="1" x14ac:dyDescent="0.25">
      <c r="A120" s="54" t="s">
        <v>86</v>
      </c>
      <c r="B120" s="73">
        <f t="shared" si="1"/>
        <v>103.15315456260001</v>
      </c>
      <c r="C120" s="54" t="s">
        <v>87</v>
      </c>
      <c r="D120" s="76">
        <f t="shared" si="2"/>
        <v>15.441421757300001</v>
      </c>
      <c r="E120" s="131" t="s">
        <v>88</v>
      </c>
      <c r="F120" s="124"/>
      <c r="G120" s="124"/>
      <c r="H120" s="132">
        <f t="shared" si="3"/>
        <v>518.09083790629995</v>
      </c>
      <c r="I120" s="124"/>
      <c r="J120" s="124"/>
      <c r="L120" s="17" t="s">
        <v>51</v>
      </c>
      <c r="M120" s="71">
        <f>[1]!b_stm07_bs(K107,94,L107,1)</f>
        <v>4351229865.8100004</v>
      </c>
    </row>
    <row r="121" spans="1:21" ht="14.25" customHeight="1" x14ac:dyDescent="0.25">
      <c r="A121" s="54" t="s">
        <v>89</v>
      </c>
      <c r="B121" s="73">
        <f t="shared" si="1"/>
        <v>8.246792128600001</v>
      </c>
      <c r="C121" s="54" t="s">
        <v>90</v>
      </c>
      <c r="D121" s="76">
        <f t="shared" si="2"/>
        <v>17.7272505567</v>
      </c>
      <c r="E121" s="131" t="s">
        <v>91</v>
      </c>
      <c r="F121" s="124"/>
      <c r="G121" s="124"/>
      <c r="H121" s="132">
        <f t="shared" si="3"/>
        <v>28.539062536599999</v>
      </c>
      <c r="I121" s="124"/>
      <c r="J121" s="124"/>
      <c r="L121" s="17" t="s">
        <v>52</v>
      </c>
      <c r="M121" s="71">
        <f>[1]!b_stm07_bs(K107,95,L107,1)</f>
        <v>4097760328.7199998</v>
      </c>
    </row>
    <row r="122" spans="1:21" ht="14.25" customHeight="1" x14ac:dyDescent="0.25">
      <c r="A122" s="54" t="s">
        <v>92</v>
      </c>
      <c r="B122" s="73">
        <f t="shared" si="1"/>
        <v>18.770488186600002</v>
      </c>
      <c r="C122" s="54" t="s">
        <v>93</v>
      </c>
      <c r="D122" s="76">
        <f t="shared" si="2"/>
        <v>10.0549607952</v>
      </c>
      <c r="E122" s="131" t="s">
        <v>94</v>
      </c>
      <c r="F122" s="124"/>
      <c r="G122" s="124"/>
      <c r="H122" s="133">
        <f t="shared" si="3"/>
        <v>590.61919022230006</v>
      </c>
      <c r="I122" s="124"/>
      <c r="J122" s="124"/>
      <c r="L122" s="17"/>
      <c r="M122" s="17"/>
    </row>
    <row r="123" spans="1:21" ht="14.25" customHeight="1" x14ac:dyDescent="0.25">
      <c r="A123" s="54" t="s">
        <v>95</v>
      </c>
      <c r="B123" s="79">
        <f t="shared" si="1"/>
        <v>589.34917806739998</v>
      </c>
      <c r="C123" s="54" t="s">
        <v>96</v>
      </c>
      <c r="D123" s="76">
        <f t="shared" si="2"/>
        <v>14.669088543699999</v>
      </c>
      <c r="E123" s="131" t="s">
        <v>97</v>
      </c>
      <c r="F123" s="124"/>
      <c r="G123" s="124"/>
      <c r="H123" s="133">
        <f t="shared" si="3"/>
        <v>24.320905930100004</v>
      </c>
      <c r="I123" s="124"/>
      <c r="J123" s="124"/>
      <c r="L123" s="17" t="s">
        <v>53</v>
      </c>
      <c r="M123" s="71">
        <f>[1]!b_stm07_bs(K107,141,L107,1)</f>
        <v>20279975534.450001</v>
      </c>
    </row>
    <row r="124" spans="1:21" ht="14.25" customHeight="1" x14ac:dyDescent="0.25">
      <c r="A124" s="54" t="s">
        <v>98</v>
      </c>
      <c r="B124" s="73">
        <f t="shared" si="1"/>
        <v>108.9498064398</v>
      </c>
      <c r="C124" s="54" t="s">
        <v>99</v>
      </c>
      <c r="D124" s="76">
        <f t="shared" si="2"/>
        <v>15.068367605399999</v>
      </c>
      <c r="E124" s="131" t="s">
        <v>100</v>
      </c>
      <c r="F124" s="124"/>
      <c r="G124" s="124"/>
      <c r="H124" s="133">
        <f t="shared" si="3"/>
        <v>-17.078632491800001</v>
      </c>
      <c r="I124" s="124"/>
      <c r="J124" s="124"/>
      <c r="L124" s="17"/>
      <c r="M124" s="17"/>
    </row>
    <row r="125" spans="1:21" ht="27" customHeight="1" x14ac:dyDescent="0.25">
      <c r="A125" s="54" t="s">
        <v>101</v>
      </c>
      <c r="B125" s="73">
        <f t="shared" si="1"/>
        <v>14.8279439573</v>
      </c>
      <c r="C125" s="54" t="s">
        <v>43</v>
      </c>
      <c r="D125" s="76">
        <f t="shared" si="2"/>
        <v>6.8216717386000001</v>
      </c>
      <c r="E125" s="131" t="s">
        <v>102</v>
      </c>
      <c r="F125" s="124"/>
      <c r="G125" s="124"/>
      <c r="H125" s="132">
        <f t="shared" si="3"/>
        <v>15.244225757600001</v>
      </c>
      <c r="I125" s="124"/>
      <c r="J125" s="124"/>
      <c r="L125" s="17"/>
      <c r="M125" s="17"/>
    </row>
    <row r="126" spans="1:21" ht="16.5" customHeight="1" x14ac:dyDescent="0.25">
      <c r="A126" s="54" t="s">
        <v>103</v>
      </c>
      <c r="B126" s="73">
        <f t="shared" si="1"/>
        <v>0</v>
      </c>
      <c r="C126" s="54"/>
      <c r="D126" s="80"/>
      <c r="E126" s="131" t="s">
        <v>104</v>
      </c>
      <c r="F126" s="124"/>
      <c r="G126" s="124"/>
      <c r="H126" s="132">
        <f t="shared" si="3"/>
        <v>212.09997477369998</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43.512298658100008</v>
      </c>
      <c r="C127" s="54"/>
      <c r="D127" s="80"/>
      <c r="E127" s="131" t="s">
        <v>106</v>
      </c>
      <c r="F127" s="124"/>
      <c r="G127" s="124"/>
      <c r="H127" s="132">
        <f t="shared" si="3"/>
        <v>0</v>
      </c>
      <c r="I127" s="124"/>
      <c r="J127" s="124"/>
      <c r="L127" s="54" t="s">
        <v>77</v>
      </c>
      <c r="M127" s="75">
        <f>[1]!b_stm07_bs(K107,9,L107,1)</f>
        <v>7215887313.29</v>
      </c>
      <c r="N127" s="54" t="s">
        <v>78</v>
      </c>
      <c r="O127" s="75">
        <f>[1]!b_stm07_is(K107,83,L107,1)</f>
        <v>56903775947.32</v>
      </c>
      <c r="P127" s="131" t="s">
        <v>79</v>
      </c>
      <c r="Q127" s="124"/>
      <c r="R127" s="124"/>
      <c r="S127" s="136">
        <f>[1]!b_stm07_cs(K107,9,L107,1)</f>
        <v>58300249670.830002</v>
      </c>
      <c r="T127" s="135"/>
      <c r="U127" s="135"/>
    </row>
    <row r="128" spans="1:21" ht="14.25" customHeight="1" x14ac:dyDescent="0.25">
      <c r="A128" s="54" t="s">
        <v>107</v>
      </c>
      <c r="B128" s="73">
        <f t="shared" si="1"/>
        <v>40.977603287199997</v>
      </c>
      <c r="C128" s="54"/>
      <c r="D128" s="80"/>
      <c r="E128" s="131" t="s">
        <v>108</v>
      </c>
      <c r="F128" s="124"/>
      <c r="G128" s="124"/>
      <c r="H128" s="133">
        <f t="shared" si="3"/>
        <v>321.45598121749998</v>
      </c>
      <c r="I128" s="124"/>
      <c r="J128" s="124"/>
      <c r="L128" s="54" t="s">
        <v>80</v>
      </c>
      <c r="M128" s="75">
        <f>[1]!b_stm07_bs(K107,12,L107,1)</f>
        <v>5233667892.6400003</v>
      </c>
      <c r="N128" s="54" t="s">
        <v>81</v>
      </c>
      <c r="O128" s="75">
        <f>[1]!b_stm07_is(K107,84,L107,1)</f>
        <v>56705578559.589996</v>
      </c>
      <c r="P128" s="131" t="s">
        <v>82</v>
      </c>
      <c r="Q128" s="124"/>
      <c r="R128" s="124"/>
      <c r="S128" s="136">
        <f>[1]!b_stm07_cs(K107,11,L107,1)</f>
        <v>1947161346.01</v>
      </c>
      <c r="T128" s="135"/>
      <c r="U128" s="135"/>
    </row>
    <row r="129" spans="1:21" ht="14.25" customHeight="1" x14ac:dyDescent="0.25">
      <c r="A129" s="54" t="s">
        <v>109</v>
      </c>
      <c r="B129" s="79">
        <f t="shared" si="1"/>
        <v>386.54942272290003</v>
      </c>
      <c r="C129" s="14"/>
      <c r="D129" s="13"/>
      <c r="E129" s="131" t="s">
        <v>110</v>
      </c>
      <c r="F129" s="124"/>
      <c r="G129" s="124"/>
      <c r="H129" s="132">
        <f t="shared" si="3"/>
        <v>189.42751647810002</v>
      </c>
      <c r="I129" s="124"/>
      <c r="J129" s="124"/>
      <c r="L129" s="54" t="s">
        <v>83</v>
      </c>
      <c r="M129" s="75">
        <f>[1]!b_stm07_bs(K107,13,L107,1)</f>
        <v>4732029207.9899998</v>
      </c>
      <c r="N129" s="54" t="s">
        <v>84</v>
      </c>
      <c r="O129" s="75">
        <f>[1]!b_stm07_is(K107,10,L107,1)</f>
        <v>49540291275.779999</v>
      </c>
      <c r="P129" s="131" t="s">
        <v>85</v>
      </c>
      <c r="Q129" s="124"/>
      <c r="R129" s="124"/>
      <c r="S129" s="137">
        <f>[1]!b_stm07_cs(K107,25,L107,1)</f>
        <v>61494009615.239998</v>
      </c>
      <c r="T129" s="135"/>
      <c r="U129" s="135"/>
    </row>
    <row r="130" spans="1:21" ht="14.25" customHeight="1" x14ac:dyDescent="0.25">
      <c r="A130" s="54" t="s">
        <v>111</v>
      </c>
      <c r="B130" s="79">
        <f t="shared" si="1"/>
        <v>202.7997553445</v>
      </c>
      <c r="C130" s="14"/>
      <c r="D130" s="13"/>
      <c r="E130" s="131" t="s">
        <v>112</v>
      </c>
      <c r="F130" s="124"/>
      <c r="G130" s="124"/>
      <c r="H130" s="132">
        <f t="shared" si="3"/>
        <v>325.54680876179998</v>
      </c>
      <c r="I130" s="124"/>
      <c r="J130" s="124"/>
      <c r="L130" s="54" t="s">
        <v>86</v>
      </c>
      <c r="M130" s="75">
        <f>[1]!b_stm07_bs(K107,31,L107,1)</f>
        <v>10315315456.26</v>
      </c>
      <c r="N130" s="54" t="s">
        <v>87</v>
      </c>
      <c r="O130" s="75">
        <f>[1]!b_stm07_is(K107,12,L107,1)</f>
        <v>1544142175.73</v>
      </c>
      <c r="P130" s="131" t="s">
        <v>88</v>
      </c>
      <c r="Q130" s="124"/>
      <c r="R130" s="124"/>
      <c r="S130" s="136">
        <f>[1]!b_stm07_cs(K107,26,L107,1)</f>
        <v>51809083790.629997</v>
      </c>
      <c r="T130" s="135"/>
      <c r="U130" s="135"/>
    </row>
    <row r="131" spans="1:21" ht="14.25" customHeight="1" x14ac:dyDescent="0.25">
      <c r="A131" s="15" t="s">
        <v>113</v>
      </c>
      <c r="B131" s="79">
        <f t="shared" si="1"/>
        <v>589.34917806739998</v>
      </c>
      <c r="C131" s="14"/>
      <c r="D131" s="13"/>
      <c r="E131" s="131" t="s">
        <v>114</v>
      </c>
      <c r="F131" s="124"/>
      <c r="G131" s="124"/>
      <c r="H131" s="133">
        <f t="shared" si="3"/>
        <v>-4.0908275442999997</v>
      </c>
      <c r="I131" s="124"/>
      <c r="J131" s="124"/>
      <c r="L131" s="54" t="s">
        <v>89</v>
      </c>
      <c r="M131" s="75">
        <f>[1]!b_stm07_bs(K107,33,L107,1)</f>
        <v>824679212.86000001</v>
      </c>
      <c r="N131" s="54" t="s">
        <v>90</v>
      </c>
      <c r="O131" s="75">
        <f>[1]!b_stm07_is(K107,13,L107,1)</f>
        <v>1772725055.6700001</v>
      </c>
      <c r="P131" s="131" t="s">
        <v>91</v>
      </c>
      <c r="Q131" s="124"/>
      <c r="R131" s="124"/>
      <c r="S131" s="136">
        <f>[1]!b_stm07_cs(K107,29,L107,1)</f>
        <v>2853906253.6599998</v>
      </c>
      <c r="T131" s="135"/>
      <c r="U131" s="135"/>
    </row>
    <row r="132" spans="1:21" x14ac:dyDescent="0.25">
      <c r="L132" s="54" t="s">
        <v>92</v>
      </c>
      <c r="M132" s="75">
        <f>[1]!b_stm07_bs(K107,37,L107,1)</f>
        <v>1877048818.6600001</v>
      </c>
      <c r="N132" s="54" t="s">
        <v>93</v>
      </c>
      <c r="O132" s="75">
        <f>[1]!b_stm07_is(K107,14,L107,1)</f>
        <v>1005496079.52</v>
      </c>
      <c r="P132" s="131" t="s">
        <v>94</v>
      </c>
      <c r="Q132" s="124"/>
      <c r="R132" s="124"/>
      <c r="S132" s="137">
        <f>[1]!b_stm07_cs(K107,37,L107,1)</f>
        <v>59061919022.230003</v>
      </c>
      <c r="T132" s="135"/>
      <c r="U132" s="135"/>
    </row>
    <row r="133" spans="1:21" x14ac:dyDescent="0.25">
      <c r="L133" s="54" t="s">
        <v>95</v>
      </c>
      <c r="M133" s="81">
        <f>[1]!b_stm07_bs(K107,74,L107,1)</f>
        <v>58934917806.739998</v>
      </c>
      <c r="N133" s="54" t="s">
        <v>96</v>
      </c>
      <c r="O133" s="75">
        <f>[1]!b_stm07_is(K107,48,L107,1)</f>
        <v>1466908854.3699999</v>
      </c>
      <c r="P133" s="131" t="s">
        <v>97</v>
      </c>
      <c r="Q133" s="124"/>
      <c r="R133" s="124"/>
      <c r="S133" s="137">
        <f>[1]!b_stm07_cs(K107,39,L107,1)</f>
        <v>2432090593.0100002</v>
      </c>
      <c r="T133" s="135"/>
      <c r="U133" s="135"/>
    </row>
    <row r="134" spans="1:21" x14ac:dyDescent="0.25">
      <c r="L134" s="54" t="s">
        <v>98</v>
      </c>
      <c r="M134" s="75">
        <f>[1]!b_stm07_bs(K107,75,L107,1)</f>
        <v>10894980643.98</v>
      </c>
      <c r="N134" s="54" t="s">
        <v>99</v>
      </c>
      <c r="O134" s="75">
        <f>[1]!b_stm07_is(K107,55,L107,1)</f>
        <v>1506836760.54</v>
      </c>
      <c r="P134" s="131" t="s">
        <v>100</v>
      </c>
      <c r="Q134" s="124"/>
      <c r="R134" s="124"/>
      <c r="S134" s="137">
        <f>[1]!b_stm07_cs(K107,59,L107,1)</f>
        <v>-1707863249.1800001</v>
      </c>
      <c r="T134" s="135"/>
      <c r="U134" s="135"/>
    </row>
    <row r="135" spans="1:21" ht="32.4" customHeight="1" x14ac:dyDescent="0.25">
      <c r="L135" s="54" t="s">
        <v>101</v>
      </c>
      <c r="M135" s="75">
        <f>[1]!b_stm07_bs(K107,88,L107,1)</f>
        <v>1482794395.73</v>
      </c>
      <c r="N135" s="54" t="s">
        <v>43</v>
      </c>
      <c r="O135" s="75">
        <f>[1]!b_stm07_is(K107,60,L107,1)</f>
        <v>682167173.86000001</v>
      </c>
      <c r="P135" s="131" t="s">
        <v>102</v>
      </c>
      <c r="Q135" s="124"/>
      <c r="R135" s="124"/>
      <c r="S135" s="136">
        <f>[1]!b_stm07_cs(K107,60,L107,1)</f>
        <v>1524422575.76</v>
      </c>
      <c r="T135" s="135"/>
      <c r="U135" s="135"/>
    </row>
    <row r="136" spans="1:21" ht="21.6" customHeight="1" x14ac:dyDescent="0.25">
      <c r="L136" s="54" t="s">
        <v>103</v>
      </c>
      <c r="M136" s="75">
        <f>[1]!b_stm07_bs(K107,147,L107,1)</f>
        <v>0</v>
      </c>
      <c r="N136" s="54"/>
      <c r="O136" s="80"/>
      <c r="P136" s="131" t="s">
        <v>104</v>
      </c>
      <c r="Q136" s="124"/>
      <c r="R136" s="124"/>
      <c r="S136" s="136">
        <f>[1]!b_stm07_cs(K107,61,L107,1)</f>
        <v>21209997477.369999</v>
      </c>
      <c r="T136" s="135"/>
      <c r="U136" s="135"/>
    </row>
    <row r="137" spans="1:21" x14ac:dyDescent="0.25">
      <c r="L137" s="54" t="s">
        <v>105</v>
      </c>
      <c r="M137" s="75">
        <f>[1]!b_stm07_bs(K107,94,L107,1)</f>
        <v>4351229865.8100004</v>
      </c>
      <c r="N137" s="54"/>
      <c r="O137" s="80"/>
      <c r="P137" s="131" t="s">
        <v>106</v>
      </c>
      <c r="Q137" s="124"/>
      <c r="R137" s="124"/>
      <c r="S137" s="136">
        <f>[1]!b_stm07_cs(K107,63,L107,1)</f>
        <v>0</v>
      </c>
      <c r="T137" s="135"/>
      <c r="U137" s="135"/>
    </row>
    <row r="138" spans="1:21" x14ac:dyDescent="0.25">
      <c r="L138" s="54" t="s">
        <v>107</v>
      </c>
      <c r="M138" s="75">
        <f>[1]!b_stm07_bs(K107,95,L107,1)</f>
        <v>4097760328.7199998</v>
      </c>
      <c r="N138" s="54"/>
      <c r="O138" s="80"/>
      <c r="P138" s="131" t="s">
        <v>108</v>
      </c>
      <c r="Q138" s="124"/>
      <c r="R138" s="124"/>
      <c r="S138" s="137">
        <f>[1]!b_stm07_cs(K107,68,L107,1)</f>
        <v>32145598121.75</v>
      </c>
      <c r="T138" s="135"/>
      <c r="U138" s="135"/>
    </row>
    <row r="139" spans="1:21" x14ac:dyDescent="0.25">
      <c r="L139" s="54" t="s">
        <v>109</v>
      </c>
      <c r="M139" s="81">
        <f>[1]!b_stm07_bs(K107,128,L107,1)</f>
        <v>38654942272.290001</v>
      </c>
      <c r="N139" s="14"/>
      <c r="O139" s="13"/>
      <c r="P139" s="131" t="s">
        <v>110</v>
      </c>
      <c r="Q139" s="124"/>
      <c r="R139" s="124"/>
      <c r="S139" s="136">
        <f>[1]!b_stm07_cs(K107,69,L107,1)</f>
        <v>18942751647.810001</v>
      </c>
      <c r="T139" s="135"/>
      <c r="U139" s="135"/>
    </row>
    <row r="140" spans="1:21" ht="21.6" customHeight="1" x14ac:dyDescent="0.25">
      <c r="L140" s="54" t="s">
        <v>111</v>
      </c>
      <c r="M140" s="81">
        <f>[1]!b_stm07_bs(K107,141,L107,1)</f>
        <v>20279975534.450001</v>
      </c>
      <c r="N140" s="14"/>
      <c r="O140" s="13"/>
      <c r="P140" s="131" t="s">
        <v>112</v>
      </c>
      <c r="Q140" s="124"/>
      <c r="R140" s="124"/>
      <c r="S140" s="136">
        <f>[1]!b_stm07_cs(K107,75,L107,1)</f>
        <v>32554680876.18</v>
      </c>
      <c r="T140" s="135"/>
      <c r="U140" s="135"/>
    </row>
    <row r="141" spans="1:21" ht="21.6" customHeight="1" x14ac:dyDescent="0.25">
      <c r="L141" s="15" t="s">
        <v>113</v>
      </c>
      <c r="M141" s="81">
        <f>[1]!b_stm07_bs(K107,145,L107,1)</f>
        <v>58934917806.739998</v>
      </c>
      <c r="N141" s="14"/>
      <c r="O141" s="13"/>
      <c r="P141" s="131" t="s">
        <v>114</v>
      </c>
      <c r="Q141" s="124"/>
      <c r="R141" s="124"/>
      <c r="S141" s="137">
        <f>[1]!b_stm07_cs(K107,77,L107,1)</f>
        <v>-409082754.43000001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415</v>
      </c>
      <c r="C2" s="120"/>
      <c r="D2" s="57" t="s">
        <v>3</v>
      </c>
      <c r="E2" s="119" t="s">
        <v>416</v>
      </c>
      <c r="F2" s="120"/>
      <c r="G2" s="120"/>
    </row>
    <row r="3" spans="1:12" ht="14.25" customHeight="1" x14ac:dyDescent="0.25">
      <c r="A3" s="57" t="s">
        <v>4</v>
      </c>
      <c r="B3" s="119" t="s">
        <v>417</v>
      </c>
      <c r="C3" s="120"/>
      <c r="D3" s="57" t="s">
        <v>5</v>
      </c>
      <c r="E3" s="119" t="s">
        <v>418</v>
      </c>
      <c r="F3" s="120"/>
      <c r="G3" s="120"/>
    </row>
    <row r="4" spans="1:12" ht="113.25" customHeight="1" x14ac:dyDescent="0.25">
      <c r="A4" s="57" t="s">
        <v>6</v>
      </c>
      <c r="B4" s="121" t="s">
        <v>419</v>
      </c>
      <c r="C4" s="120"/>
      <c r="D4" s="120"/>
      <c r="E4" s="120"/>
      <c r="F4" s="120"/>
      <c r="G4" s="120"/>
    </row>
    <row r="5" spans="1:12" ht="14.4" x14ac:dyDescent="0.25">
      <c r="A5" s="82" t="s">
        <v>115</v>
      </c>
      <c r="B5" s="140" t="s">
        <v>420</v>
      </c>
      <c r="C5" s="120"/>
      <c r="D5" s="120"/>
      <c r="E5" s="120"/>
      <c r="F5" s="141">
        <v>1</v>
      </c>
      <c r="G5" s="120"/>
    </row>
    <row r="6" spans="1:12" ht="11.25" customHeight="1" x14ac:dyDescent="0.25">
      <c r="A6" s="82" t="s">
        <v>116</v>
      </c>
      <c r="B6" s="140" t="s">
        <v>421</v>
      </c>
      <c r="C6" s="120"/>
      <c r="D6" s="120"/>
      <c r="E6" s="120"/>
      <c r="F6" s="141" t="s">
        <v>421</v>
      </c>
      <c r="G6" s="120"/>
    </row>
    <row r="7" spans="1:12" ht="11.25" customHeight="1" x14ac:dyDescent="0.25">
      <c r="A7" s="82" t="s">
        <v>117</v>
      </c>
      <c r="B7" s="140" t="s">
        <v>421</v>
      </c>
      <c r="C7" s="120"/>
      <c r="D7" s="120"/>
      <c r="E7" s="120"/>
      <c r="F7" s="141" t="s">
        <v>421</v>
      </c>
      <c r="G7" s="120"/>
    </row>
    <row r="8" spans="1:12" ht="11.25" customHeight="1" x14ac:dyDescent="0.25">
      <c r="A8" s="82" t="s">
        <v>118</v>
      </c>
      <c r="B8" s="140" t="s">
        <v>421</v>
      </c>
      <c r="C8" s="120"/>
      <c r="D8" s="120"/>
      <c r="E8" s="120"/>
      <c r="F8" s="141" t="s">
        <v>421</v>
      </c>
      <c r="G8" s="120"/>
    </row>
    <row r="9" spans="1:12" ht="11.25" customHeight="1" x14ac:dyDescent="0.25">
      <c r="A9" s="82" t="s">
        <v>119</v>
      </c>
      <c r="B9" s="140" t="s">
        <v>421</v>
      </c>
      <c r="C9" s="120"/>
      <c r="D9" s="120"/>
      <c r="E9" s="120"/>
      <c r="F9" s="141" t="s">
        <v>421</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3.39</v>
      </c>
      <c r="E13" s="64">
        <v>0.98087431693989069</v>
      </c>
      <c r="F13" s="65" t="s">
        <v>422</v>
      </c>
      <c r="G13" s="64">
        <v>12</v>
      </c>
    </row>
    <row r="14" spans="1:12" ht="14.4" customHeight="1" x14ac:dyDescent="0.25">
      <c r="A14" t="s">
        <v>124</v>
      </c>
      <c r="B14" t="s">
        <v>125</v>
      </c>
      <c r="C14" t="s">
        <v>126</v>
      </c>
      <c r="D14" s="64">
        <v>3.11</v>
      </c>
      <c r="E14" s="83">
        <v>0.61643835616438358</v>
      </c>
      <c r="F14">
        <v>0</v>
      </c>
      <c r="G14" s="64">
        <v>7</v>
      </c>
    </row>
    <row r="15" spans="1:12" ht="14.4" customHeight="1" x14ac:dyDescent="0.25">
      <c r="A15" t="s">
        <v>127</v>
      </c>
      <c r="B15" t="s">
        <v>128</v>
      </c>
      <c r="C15" t="s">
        <v>129</v>
      </c>
      <c r="D15" s="64">
        <v>3.18</v>
      </c>
      <c r="E15" s="83">
        <v>0.63835616438356169</v>
      </c>
      <c r="F15">
        <v>0</v>
      </c>
      <c r="G15" s="64">
        <v>5</v>
      </c>
    </row>
    <row r="16" spans="1:12" ht="14.4" customHeight="1" x14ac:dyDescent="0.25">
      <c r="A16" t="s">
        <v>130</v>
      </c>
      <c r="B16" t="s">
        <v>131</v>
      </c>
      <c r="C16" t="s">
        <v>132</v>
      </c>
      <c r="D16" s="64">
        <v>4.2</v>
      </c>
      <c r="E16" s="83">
        <v>4.7890410958904113</v>
      </c>
      <c r="F16" t="s">
        <v>25</v>
      </c>
      <c r="G16" s="64">
        <v>10</v>
      </c>
    </row>
    <row r="17" spans="1:7" ht="14.4" customHeight="1" x14ac:dyDescent="0.25">
      <c r="A17" t="s">
        <v>133</v>
      </c>
      <c r="B17" t="s">
        <v>134</v>
      </c>
      <c r="C17" t="s">
        <v>135</v>
      </c>
      <c r="D17" s="64">
        <v>3.43</v>
      </c>
      <c r="E17" s="83">
        <v>0.27671232876712326</v>
      </c>
      <c r="F17">
        <v>0</v>
      </c>
      <c r="G17" s="64">
        <v>5</v>
      </c>
    </row>
    <row r="18" spans="1:7" ht="14.4" customHeight="1" x14ac:dyDescent="0.25">
      <c r="A18" t="s">
        <v>136</v>
      </c>
      <c r="B18" t="s">
        <v>137</v>
      </c>
      <c r="C18" t="s">
        <v>138</v>
      </c>
      <c r="D18" s="64">
        <v>3.4</v>
      </c>
      <c r="E18" s="83">
        <v>0.19178082191780821</v>
      </c>
      <c r="F18">
        <v>0</v>
      </c>
      <c r="G18" s="64">
        <v>5</v>
      </c>
    </row>
    <row r="19" spans="1:7" ht="14.4" customHeight="1" x14ac:dyDescent="0.25">
      <c r="A19" t="s">
        <v>139</v>
      </c>
      <c r="B19" t="s">
        <v>140</v>
      </c>
      <c r="C19" t="s">
        <v>141</v>
      </c>
      <c r="D19" s="64">
        <v>3.6</v>
      </c>
      <c r="E19" s="83">
        <v>2.1917808219178082E-2</v>
      </c>
      <c r="F19">
        <v>0</v>
      </c>
      <c r="G19" s="64">
        <v>5</v>
      </c>
    </row>
    <row r="20" spans="1:7" ht="14.4" customHeight="1" x14ac:dyDescent="0.25">
      <c r="A20" t="s">
        <v>142</v>
      </c>
      <c r="B20" t="s">
        <v>143</v>
      </c>
      <c r="C20" t="s">
        <v>144</v>
      </c>
      <c r="D20" s="64">
        <v>3.49</v>
      </c>
      <c r="E20" s="83">
        <v>0</v>
      </c>
      <c r="F20">
        <v>0</v>
      </c>
      <c r="G20" s="64">
        <v>10</v>
      </c>
    </row>
    <row r="21" spans="1:7" ht="14.4" customHeight="1" x14ac:dyDescent="0.25">
      <c r="A21" t="s">
        <v>145</v>
      </c>
      <c r="B21" t="s">
        <v>146</v>
      </c>
      <c r="C21" t="s">
        <v>147</v>
      </c>
      <c r="D21" s="64">
        <v>3.69</v>
      </c>
      <c r="E21" s="83">
        <v>0.13424657534246576</v>
      </c>
      <c r="F21">
        <v>0</v>
      </c>
      <c r="G21" s="64">
        <v>5</v>
      </c>
    </row>
    <row r="22" spans="1:7" ht="14.4" customHeight="1" x14ac:dyDescent="0.25">
      <c r="A22" t="s">
        <v>148</v>
      </c>
      <c r="B22" t="s">
        <v>149</v>
      </c>
      <c r="C22" t="s">
        <v>150</v>
      </c>
      <c r="D22" s="64">
        <v>3.7</v>
      </c>
      <c r="E22" s="83">
        <v>0</v>
      </c>
      <c r="F22">
        <v>0</v>
      </c>
      <c r="G22" s="64">
        <v>5</v>
      </c>
    </row>
    <row r="23" spans="1:7" ht="14.4" customHeight="1" x14ac:dyDescent="0.25">
      <c r="A23" t="s">
        <v>151</v>
      </c>
      <c r="B23" t="s">
        <v>152</v>
      </c>
      <c r="C23" t="s">
        <v>153</v>
      </c>
      <c r="D23" s="64">
        <v>3.55</v>
      </c>
      <c r="E23" s="83">
        <v>9.5890410958904104E-2</v>
      </c>
      <c r="F23">
        <v>0</v>
      </c>
      <c r="G23" s="64">
        <v>5</v>
      </c>
    </row>
    <row r="24" spans="1:7" ht="14.4" customHeight="1" x14ac:dyDescent="0.25">
      <c r="A24" t="s">
        <v>154</v>
      </c>
      <c r="B24" t="s">
        <v>155</v>
      </c>
      <c r="C24" t="s">
        <v>156</v>
      </c>
      <c r="D24" s="64">
        <v>3.8</v>
      </c>
      <c r="E24" s="83">
        <v>2.7397260273972603E-3</v>
      </c>
      <c r="F24">
        <v>0</v>
      </c>
      <c r="G24" s="64">
        <v>5</v>
      </c>
    </row>
    <row r="25" spans="1:7" ht="14.4" customHeight="1" x14ac:dyDescent="0.25">
      <c r="A25" t="s">
        <v>157</v>
      </c>
      <c r="B25" t="s">
        <v>155</v>
      </c>
      <c r="C25" t="s">
        <v>158</v>
      </c>
      <c r="D25" s="64">
        <v>3.78</v>
      </c>
      <c r="E25" s="83">
        <v>5.4794520547945202E-2</v>
      </c>
      <c r="F25">
        <v>0</v>
      </c>
      <c r="G25" s="64">
        <v>5</v>
      </c>
    </row>
    <row r="26" spans="1:7" ht="14.4" customHeight="1" x14ac:dyDescent="0.25">
      <c r="A26" t="s">
        <v>159</v>
      </c>
      <c r="B26" t="s">
        <v>160</v>
      </c>
      <c r="C26" t="s">
        <v>161</v>
      </c>
      <c r="D26" s="64">
        <v>3.76</v>
      </c>
      <c r="E26" s="83">
        <v>0</v>
      </c>
      <c r="F26">
        <v>0</v>
      </c>
      <c r="G26" s="64">
        <v>5</v>
      </c>
    </row>
    <row r="27" spans="1:7" ht="14.4" customHeight="1" x14ac:dyDescent="0.25">
      <c r="A27" t="s">
        <v>162</v>
      </c>
      <c r="B27" t="s">
        <v>163</v>
      </c>
      <c r="C27" t="s">
        <v>164</v>
      </c>
      <c r="D27" s="64">
        <v>4.4000000000000004</v>
      </c>
      <c r="E27" s="83">
        <v>0</v>
      </c>
      <c r="F27">
        <v>0</v>
      </c>
      <c r="G27" s="64">
        <v>5</v>
      </c>
    </row>
    <row r="28" spans="1:7" ht="14.4" customHeight="1" x14ac:dyDescent="0.25">
      <c r="A28" t="s">
        <v>165</v>
      </c>
      <c r="B28" t="s">
        <v>163</v>
      </c>
      <c r="C28" t="s">
        <v>166</v>
      </c>
      <c r="D28" s="64">
        <v>4.5</v>
      </c>
      <c r="E28" s="83">
        <v>0</v>
      </c>
      <c r="F28">
        <v>0</v>
      </c>
      <c r="G28" s="64">
        <v>5</v>
      </c>
    </row>
    <row r="29" spans="1:7" ht="14.4" customHeight="1" x14ac:dyDescent="0.25">
      <c r="A29" t="s">
        <v>167</v>
      </c>
      <c r="B29" t="s">
        <v>168</v>
      </c>
      <c r="C29" t="s">
        <v>169</v>
      </c>
      <c r="D29" s="64">
        <v>4</v>
      </c>
      <c r="E29" s="83">
        <v>0</v>
      </c>
      <c r="F29">
        <v>0</v>
      </c>
      <c r="G29" s="64">
        <v>5</v>
      </c>
    </row>
    <row r="30" spans="1:7" ht="14.4" customHeight="1" x14ac:dyDescent="0.25">
      <c r="A30" t="s">
        <v>170</v>
      </c>
      <c r="B30" t="s">
        <v>171</v>
      </c>
      <c r="C30" t="s">
        <v>172</v>
      </c>
      <c r="D30" s="64">
        <v>4.49</v>
      </c>
      <c r="E30" s="83">
        <v>0</v>
      </c>
      <c r="F30">
        <v>0</v>
      </c>
      <c r="G30" s="64">
        <v>5</v>
      </c>
    </row>
    <row r="31" spans="1:7" ht="14.4" customHeight="1" x14ac:dyDescent="0.25">
      <c r="A31" t="s">
        <v>173</v>
      </c>
      <c r="B31" t="s">
        <v>174</v>
      </c>
      <c r="C31" t="s">
        <v>175</v>
      </c>
      <c r="D31" s="64">
        <v>4.5</v>
      </c>
      <c r="E31" s="83">
        <v>0</v>
      </c>
      <c r="F31">
        <v>0</v>
      </c>
      <c r="G31" s="64">
        <v>5</v>
      </c>
    </row>
    <row r="32" spans="1:7" ht="14.4" customHeight="1" x14ac:dyDescent="0.25">
      <c r="A32" t="s">
        <v>176</v>
      </c>
      <c r="B32" t="s">
        <v>177</v>
      </c>
      <c r="C32" t="s">
        <v>178</v>
      </c>
      <c r="D32" s="64">
        <v>4.3499999999999996</v>
      </c>
      <c r="E32" s="83">
        <v>0</v>
      </c>
      <c r="F32">
        <v>0</v>
      </c>
      <c r="G32" s="64">
        <v>5</v>
      </c>
    </row>
    <row r="33" spans="1:7" ht="14.4" customHeight="1" x14ac:dyDescent="0.25">
      <c r="A33" t="s">
        <v>179</v>
      </c>
      <c r="B33" t="s">
        <v>177</v>
      </c>
      <c r="C33" t="s">
        <v>180</v>
      </c>
      <c r="D33" s="64">
        <v>4.55</v>
      </c>
      <c r="E33" s="83">
        <v>0</v>
      </c>
      <c r="F33">
        <v>0</v>
      </c>
      <c r="G33" s="64">
        <v>5</v>
      </c>
    </row>
    <row r="34" spans="1:7" ht="14.4" customHeight="1" x14ac:dyDescent="0.25">
      <c r="A34" t="s">
        <v>181</v>
      </c>
      <c r="B34" t="s">
        <v>182</v>
      </c>
      <c r="C34" t="s">
        <v>183</v>
      </c>
      <c r="D34" s="64">
        <v>3.98</v>
      </c>
      <c r="E34" s="83">
        <v>0</v>
      </c>
      <c r="F34">
        <v>0</v>
      </c>
      <c r="G34" s="64">
        <v>5</v>
      </c>
    </row>
    <row r="35" spans="1:7" ht="14.4" customHeight="1" x14ac:dyDescent="0.25">
      <c r="A35" t="s">
        <v>184</v>
      </c>
      <c r="B35" t="s">
        <v>185</v>
      </c>
      <c r="C35" t="s">
        <v>186</v>
      </c>
      <c r="D35" s="64">
        <v>4</v>
      </c>
      <c r="E35" s="83">
        <v>0</v>
      </c>
      <c r="F35">
        <v>0</v>
      </c>
      <c r="G35" s="64">
        <v>5</v>
      </c>
    </row>
    <row r="36" spans="1:7" ht="14.4" customHeight="1" x14ac:dyDescent="0.25">
      <c r="A36" t="s">
        <v>187</v>
      </c>
      <c r="B36" t="s">
        <v>188</v>
      </c>
      <c r="C36" t="s">
        <v>189</v>
      </c>
      <c r="D36" s="64">
        <v>4.78</v>
      </c>
      <c r="E36" s="83">
        <v>0</v>
      </c>
      <c r="F36">
        <v>0</v>
      </c>
      <c r="G36" s="64">
        <v>4</v>
      </c>
    </row>
    <row r="37" spans="1:7" ht="14.4" customHeight="1" x14ac:dyDescent="0.25">
      <c r="A37" t="s">
        <v>190</v>
      </c>
      <c r="B37" t="s">
        <v>191</v>
      </c>
      <c r="C37" t="s">
        <v>192</v>
      </c>
      <c r="D37" s="64">
        <v>4.9000000000000004</v>
      </c>
      <c r="E37" s="83">
        <v>0</v>
      </c>
      <c r="F37">
        <v>0</v>
      </c>
      <c r="G37" s="64">
        <v>4</v>
      </c>
    </row>
    <row r="38" spans="1:7" ht="14.4" customHeight="1" x14ac:dyDescent="0.25">
      <c r="A38" t="s">
        <v>193</v>
      </c>
      <c r="B38" t="s">
        <v>194</v>
      </c>
      <c r="C38" t="s">
        <v>195</v>
      </c>
      <c r="D38" s="64">
        <v>4.54</v>
      </c>
      <c r="E38" s="83">
        <v>0</v>
      </c>
      <c r="F38">
        <v>0</v>
      </c>
      <c r="G38" s="64">
        <v>5</v>
      </c>
    </row>
    <row r="39" spans="1:7" ht="14.4" customHeight="1" x14ac:dyDescent="0.25">
      <c r="A39" t="s">
        <v>196</v>
      </c>
      <c r="B39" t="s">
        <v>197</v>
      </c>
      <c r="C39" t="s">
        <v>198</v>
      </c>
      <c r="D39" s="64">
        <v>4.4800000000000004</v>
      </c>
      <c r="E39" s="83">
        <v>0</v>
      </c>
      <c r="F39">
        <v>0</v>
      </c>
      <c r="G39" s="64">
        <v>5</v>
      </c>
    </row>
    <row r="40" spans="1:7" ht="14.4" customHeight="1" x14ac:dyDescent="0.25">
      <c r="A40" t="s">
        <v>199</v>
      </c>
      <c r="B40" t="s">
        <v>200</v>
      </c>
      <c r="C40" t="s">
        <v>201</v>
      </c>
      <c r="D40" s="64">
        <v>5.8</v>
      </c>
      <c r="E40" s="83">
        <v>3.43013698630137</v>
      </c>
      <c r="F40" t="s">
        <v>25</v>
      </c>
      <c r="G40" s="64">
        <v>15</v>
      </c>
    </row>
    <row r="41" spans="1:7" ht="14.4" customHeight="1" x14ac:dyDescent="0.25">
      <c r="A41" t="s">
        <v>202</v>
      </c>
      <c r="B41" t="s">
        <v>203</v>
      </c>
      <c r="C41" t="s">
        <v>204</v>
      </c>
      <c r="D41" s="64">
        <v>4.55</v>
      </c>
      <c r="E41" s="83">
        <v>0</v>
      </c>
      <c r="F41">
        <v>0</v>
      </c>
      <c r="G41" s="64">
        <v>5</v>
      </c>
    </row>
    <row r="42" spans="1:7" ht="14.4" customHeight="1" x14ac:dyDescent="0.25">
      <c r="A42" t="s">
        <v>205</v>
      </c>
      <c r="B42" t="s">
        <v>206</v>
      </c>
      <c r="C42" t="s">
        <v>207</v>
      </c>
      <c r="D42" s="64">
        <v>4.55</v>
      </c>
      <c r="E42" s="83">
        <v>0</v>
      </c>
      <c r="F42">
        <v>0</v>
      </c>
      <c r="G42" s="64">
        <v>5</v>
      </c>
    </row>
    <row r="43" spans="1:7" ht="14.4" customHeight="1" x14ac:dyDescent="0.25">
      <c r="A43" t="s">
        <v>208</v>
      </c>
      <c r="B43" t="s">
        <v>209</v>
      </c>
      <c r="C43" t="s">
        <v>210</v>
      </c>
      <c r="D43" s="64">
        <v>4.8</v>
      </c>
      <c r="E43" s="83">
        <v>0</v>
      </c>
      <c r="F43">
        <v>0</v>
      </c>
      <c r="G43" s="64">
        <v>6</v>
      </c>
    </row>
    <row r="44" spans="1:7" ht="14.4" customHeight="1" x14ac:dyDescent="0.25">
      <c r="A44" t="s">
        <v>211</v>
      </c>
      <c r="B44" t="s">
        <v>212</v>
      </c>
      <c r="C44" t="s">
        <v>213</v>
      </c>
      <c r="D44" s="64">
        <v>3.02</v>
      </c>
      <c r="E44" s="83">
        <v>0</v>
      </c>
      <c r="F44">
        <v>0</v>
      </c>
      <c r="G44" s="64">
        <v>10</v>
      </c>
    </row>
    <row r="45" spans="1:7" ht="14.4" customHeight="1" x14ac:dyDescent="0.25">
      <c r="A45" t="s">
        <v>214</v>
      </c>
      <c r="B45" t="s">
        <v>215</v>
      </c>
      <c r="C45" t="s">
        <v>216</v>
      </c>
      <c r="D45" s="64">
        <v>4.18</v>
      </c>
      <c r="E45" s="83">
        <v>2.504109589041096</v>
      </c>
      <c r="F45" t="s">
        <v>322</v>
      </c>
      <c r="G45" s="64">
        <v>20</v>
      </c>
    </row>
    <row r="46" spans="1:7" ht="14.4" customHeight="1" x14ac:dyDescent="0.25">
      <c r="A46" t="s">
        <v>217</v>
      </c>
      <c r="B46" t="s">
        <v>218</v>
      </c>
      <c r="C46" t="s">
        <v>219</v>
      </c>
      <c r="D46" s="64">
        <v>2.89</v>
      </c>
      <c r="E46" s="83">
        <v>0</v>
      </c>
      <c r="F46">
        <v>0</v>
      </c>
      <c r="G46" s="64">
        <v>5</v>
      </c>
    </row>
    <row r="47" spans="1:7" ht="14.4" customHeight="1" x14ac:dyDescent="0.25">
      <c r="A47" t="s">
        <v>220</v>
      </c>
      <c r="B47" t="s">
        <v>221</v>
      </c>
      <c r="C47" t="s">
        <v>222</v>
      </c>
      <c r="D47" s="64">
        <v>2.95</v>
      </c>
      <c r="E47" s="83">
        <v>0</v>
      </c>
      <c r="F47" t="s">
        <v>422</v>
      </c>
      <c r="G47" s="64">
        <v>6</v>
      </c>
    </row>
    <row r="48" spans="1:7" ht="14.4" customHeight="1" x14ac:dyDescent="0.25">
      <c r="A48" t="s">
        <v>223</v>
      </c>
      <c r="B48" t="s">
        <v>224</v>
      </c>
      <c r="C48" t="s">
        <v>225</v>
      </c>
      <c r="D48" s="64">
        <v>3.35</v>
      </c>
      <c r="E48" s="83">
        <v>2.3287671232876712</v>
      </c>
      <c r="F48" t="s">
        <v>322</v>
      </c>
      <c r="G48" s="64">
        <v>8</v>
      </c>
    </row>
    <row r="49" spans="1:7" ht="14.4" customHeight="1" x14ac:dyDescent="0.25">
      <c r="A49" t="s">
        <v>226</v>
      </c>
      <c r="B49" t="s">
        <v>227</v>
      </c>
      <c r="C49" t="s">
        <v>228</v>
      </c>
      <c r="D49" s="64">
        <v>2.89</v>
      </c>
      <c r="E49" s="83">
        <v>0</v>
      </c>
      <c r="F49">
        <v>0</v>
      </c>
      <c r="G49" s="64">
        <v>5</v>
      </c>
    </row>
    <row r="50" spans="1:7" ht="14.4" customHeight="1" x14ac:dyDescent="0.25">
      <c r="A50" t="s">
        <v>229</v>
      </c>
      <c r="B50" t="s">
        <v>230</v>
      </c>
      <c r="C50" t="s">
        <v>231</v>
      </c>
      <c r="D50" s="64">
        <v>2.93</v>
      </c>
      <c r="E50" s="83">
        <v>0</v>
      </c>
      <c r="F50" t="s">
        <v>422</v>
      </c>
      <c r="G50" s="64">
        <v>6</v>
      </c>
    </row>
    <row r="51" spans="1:7" ht="14.4" customHeight="1" x14ac:dyDescent="0.25">
      <c r="A51" t="s">
        <v>232</v>
      </c>
      <c r="B51" t="s">
        <v>233</v>
      </c>
      <c r="C51" t="s">
        <v>234</v>
      </c>
      <c r="D51" s="64">
        <v>3.58</v>
      </c>
      <c r="E51" s="83">
        <v>2.2410958904109588</v>
      </c>
      <c r="F51" t="s">
        <v>322</v>
      </c>
      <c r="G51" s="64">
        <v>12</v>
      </c>
    </row>
    <row r="52" spans="1:7" ht="14.4" customHeight="1" x14ac:dyDescent="0.25">
      <c r="A52" t="s">
        <v>235</v>
      </c>
      <c r="B52" t="s">
        <v>236</v>
      </c>
      <c r="C52" t="s">
        <v>237</v>
      </c>
      <c r="D52" s="64">
        <v>3.29</v>
      </c>
      <c r="E52" s="83">
        <v>0</v>
      </c>
      <c r="F52">
        <v>0</v>
      </c>
      <c r="G52" s="64">
        <v>4</v>
      </c>
    </row>
    <row r="53" spans="1:7" ht="14.4" customHeight="1" x14ac:dyDescent="0.25">
      <c r="A53" t="s">
        <v>238</v>
      </c>
      <c r="B53" t="s">
        <v>239</v>
      </c>
      <c r="C53" t="s">
        <v>240</v>
      </c>
      <c r="D53" s="64">
        <v>3.25</v>
      </c>
      <c r="E53" s="83">
        <v>0</v>
      </c>
      <c r="F53" t="s">
        <v>422</v>
      </c>
      <c r="G53" s="64">
        <v>13</v>
      </c>
    </row>
    <row r="54" spans="1:7" ht="14.4" customHeight="1" x14ac:dyDescent="0.25">
      <c r="A54" t="s">
        <v>241</v>
      </c>
      <c r="B54" t="s">
        <v>242</v>
      </c>
      <c r="C54" t="s">
        <v>243</v>
      </c>
      <c r="D54" s="64">
        <v>2.78</v>
      </c>
      <c r="E54" s="83">
        <v>0</v>
      </c>
      <c r="F54">
        <v>0</v>
      </c>
      <c r="G54" s="64">
        <v>4</v>
      </c>
    </row>
    <row r="55" spans="1:7" ht="14.4" customHeight="1" x14ac:dyDescent="0.25">
      <c r="A55" t="s">
        <v>244</v>
      </c>
      <c r="B55" t="s">
        <v>245</v>
      </c>
      <c r="C55" t="s">
        <v>246</v>
      </c>
      <c r="D55" s="64">
        <v>2.87</v>
      </c>
      <c r="E55" s="83">
        <v>0</v>
      </c>
      <c r="F55">
        <v>0</v>
      </c>
      <c r="G55" s="64">
        <v>5</v>
      </c>
    </row>
    <row r="56" spans="1:7" ht="14.4" customHeight="1" x14ac:dyDescent="0.25">
      <c r="A56" t="s">
        <v>247</v>
      </c>
      <c r="B56" t="s">
        <v>248</v>
      </c>
      <c r="C56" t="s">
        <v>249</v>
      </c>
      <c r="D56" s="64">
        <v>2.84</v>
      </c>
      <c r="E56" s="83">
        <v>0</v>
      </c>
      <c r="F56">
        <v>0</v>
      </c>
      <c r="G56" s="64">
        <v>5</v>
      </c>
    </row>
    <row r="57" spans="1:7" ht="14.4" customHeight="1" x14ac:dyDescent="0.25">
      <c r="A57" t="s">
        <v>250</v>
      </c>
      <c r="B57" t="s">
        <v>251</v>
      </c>
      <c r="C57" t="s">
        <v>252</v>
      </c>
      <c r="D57" s="64">
        <v>2.85</v>
      </c>
      <c r="E57" s="83">
        <v>0</v>
      </c>
      <c r="F57">
        <v>0</v>
      </c>
      <c r="G57" s="64">
        <v>5</v>
      </c>
    </row>
    <row r="58" spans="1:7" ht="14.4" customHeight="1" x14ac:dyDescent="0.25">
      <c r="A58" t="s">
        <v>253</v>
      </c>
      <c r="B58" t="s">
        <v>254</v>
      </c>
      <c r="C58" t="s">
        <v>255</v>
      </c>
      <c r="D58" s="64">
        <v>2.97</v>
      </c>
      <c r="E58" s="83">
        <v>0</v>
      </c>
      <c r="F58">
        <v>0</v>
      </c>
      <c r="G58" s="64">
        <v>5</v>
      </c>
    </row>
    <row r="59" spans="1:7" ht="14.4" customHeight="1" x14ac:dyDescent="0.25">
      <c r="A59" t="s">
        <v>256</v>
      </c>
      <c r="B59" t="s">
        <v>257</v>
      </c>
      <c r="C59" t="s">
        <v>258</v>
      </c>
      <c r="D59" s="64">
        <v>3.75</v>
      </c>
      <c r="E59" s="83">
        <v>1.8054794520547945</v>
      </c>
      <c r="F59" t="s">
        <v>322</v>
      </c>
      <c r="G59" s="64">
        <v>10</v>
      </c>
    </row>
    <row r="60" spans="1:7" ht="14.4" customHeight="1" x14ac:dyDescent="0.25">
      <c r="A60" t="s">
        <v>259</v>
      </c>
      <c r="B60" t="s">
        <v>260</v>
      </c>
      <c r="C60" t="s">
        <v>261</v>
      </c>
      <c r="D60" s="64">
        <v>3.33</v>
      </c>
      <c r="E60" s="83">
        <v>1.7780821917808218</v>
      </c>
      <c r="F60" t="s">
        <v>322</v>
      </c>
      <c r="G60" s="64">
        <v>10</v>
      </c>
    </row>
    <row r="61" spans="1:7" ht="14.4" customHeight="1" x14ac:dyDescent="0.25">
      <c r="A61" t="s">
        <v>262</v>
      </c>
      <c r="B61" t="s">
        <v>263</v>
      </c>
      <c r="C61" t="s">
        <v>264</v>
      </c>
      <c r="D61" s="64">
        <v>3.38</v>
      </c>
      <c r="E61" s="83">
        <v>0</v>
      </c>
      <c r="F61">
        <v>0</v>
      </c>
      <c r="G61" s="64">
        <v>4</v>
      </c>
    </row>
    <row r="62" spans="1:7" ht="14.4" customHeight="1" x14ac:dyDescent="0.25">
      <c r="A62" t="s">
        <v>265</v>
      </c>
      <c r="B62" t="s">
        <v>266</v>
      </c>
      <c r="C62" t="s">
        <v>267</v>
      </c>
      <c r="D62" s="64">
        <v>3.55</v>
      </c>
      <c r="E62" s="83">
        <v>0</v>
      </c>
      <c r="F62">
        <v>0</v>
      </c>
      <c r="G62" s="64">
        <v>8</v>
      </c>
    </row>
    <row r="63" spans="1:7" ht="14.4" customHeight="1" x14ac:dyDescent="0.25">
      <c r="A63" t="s">
        <v>268</v>
      </c>
      <c r="B63" t="s">
        <v>269</v>
      </c>
      <c r="C63" t="s">
        <v>270</v>
      </c>
      <c r="D63" s="64">
        <v>3.49</v>
      </c>
      <c r="E63" s="83">
        <v>0</v>
      </c>
      <c r="F63">
        <v>0</v>
      </c>
      <c r="G63" s="64">
        <v>4</v>
      </c>
    </row>
    <row r="64" spans="1:7" ht="14.4" customHeight="1" x14ac:dyDescent="0.25">
      <c r="A64" t="s">
        <v>271</v>
      </c>
      <c r="B64" t="s">
        <v>272</v>
      </c>
      <c r="C64" t="s">
        <v>273</v>
      </c>
      <c r="D64" s="64">
        <v>3.37</v>
      </c>
      <c r="E64" s="83">
        <v>0</v>
      </c>
      <c r="F64" t="s">
        <v>422</v>
      </c>
      <c r="G64" s="64">
        <v>10</v>
      </c>
    </row>
    <row r="65" spans="1:7" ht="14.4" customHeight="1" x14ac:dyDescent="0.25">
      <c r="A65" t="s">
        <v>274</v>
      </c>
      <c r="B65" t="s">
        <v>275</v>
      </c>
      <c r="C65" t="s">
        <v>276</v>
      </c>
      <c r="D65" s="64">
        <v>3.99</v>
      </c>
      <c r="E65" s="83">
        <v>0</v>
      </c>
      <c r="F65">
        <v>0</v>
      </c>
      <c r="G65" s="64">
        <v>8</v>
      </c>
    </row>
    <row r="66" spans="1:7" ht="14.4" customHeight="1" x14ac:dyDescent="0.25">
      <c r="A66" t="s">
        <v>277</v>
      </c>
      <c r="B66" t="s">
        <v>278</v>
      </c>
      <c r="C66" t="s">
        <v>279</v>
      </c>
      <c r="D66" s="64">
        <v>4.5</v>
      </c>
      <c r="E66" s="83">
        <v>0</v>
      </c>
      <c r="F66">
        <v>0</v>
      </c>
      <c r="G66" s="64">
        <v>5</v>
      </c>
    </row>
    <row r="67" spans="1:7" ht="14.4" customHeight="1" x14ac:dyDescent="0.25">
      <c r="A67" t="s">
        <v>280</v>
      </c>
      <c r="B67" t="s">
        <v>281</v>
      </c>
      <c r="C67" t="s">
        <v>282</v>
      </c>
      <c r="D67" s="64">
        <v>4.96</v>
      </c>
      <c r="E67" s="83">
        <v>0</v>
      </c>
      <c r="F67" t="s">
        <v>422</v>
      </c>
      <c r="G67" s="64">
        <v>5</v>
      </c>
    </row>
    <row r="68" spans="1:7" ht="14.4" customHeight="1" x14ac:dyDescent="0.25">
      <c r="A68" t="s">
        <v>283</v>
      </c>
      <c r="B68" t="s">
        <v>284</v>
      </c>
      <c r="C68" t="s">
        <v>285</v>
      </c>
      <c r="D68" s="64">
        <v>5.23</v>
      </c>
      <c r="E68" s="83">
        <v>0</v>
      </c>
      <c r="F68" t="s">
        <v>422</v>
      </c>
      <c r="G68" s="64">
        <v>2</v>
      </c>
    </row>
    <row r="69" spans="1:7" ht="14.4" customHeight="1" x14ac:dyDescent="0.25">
      <c r="A69" t="s">
        <v>286</v>
      </c>
      <c r="B69" t="s">
        <v>287</v>
      </c>
      <c r="C69" t="s">
        <v>288</v>
      </c>
      <c r="D69" s="64">
        <v>5.3</v>
      </c>
      <c r="E69" s="83">
        <v>0</v>
      </c>
      <c r="F69" t="s">
        <v>422</v>
      </c>
      <c r="G69" s="64">
        <v>3</v>
      </c>
    </row>
    <row r="70" spans="1:7" ht="14.4" customHeight="1" x14ac:dyDescent="0.25">
      <c r="A70" t="s">
        <v>289</v>
      </c>
      <c r="B70" t="s">
        <v>290</v>
      </c>
      <c r="C70" t="s">
        <v>291</v>
      </c>
      <c r="D70" s="64">
        <v>5.93</v>
      </c>
      <c r="E70" s="83">
        <v>0</v>
      </c>
      <c r="F70" t="s">
        <v>422</v>
      </c>
      <c r="G70" s="64">
        <v>10</v>
      </c>
    </row>
    <row r="71" spans="1:7" ht="14.4" customHeight="1" x14ac:dyDescent="0.25">
      <c r="A71" t="s">
        <v>292</v>
      </c>
      <c r="B71" t="s">
        <v>293</v>
      </c>
      <c r="C71" t="s">
        <v>294</v>
      </c>
      <c r="D71" s="64">
        <v>6.35</v>
      </c>
      <c r="E71" s="83">
        <v>0</v>
      </c>
      <c r="F71" t="s">
        <v>322</v>
      </c>
      <c r="G71" s="64">
        <v>10</v>
      </c>
    </row>
    <row r="72" spans="1:7" ht="14.4" customHeight="1" x14ac:dyDescent="0.25">
      <c r="A72" t="s">
        <v>295</v>
      </c>
      <c r="B72" t="s">
        <v>296</v>
      </c>
      <c r="C72" t="s">
        <v>297</v>
      </c>
      <c r="D72" s="64">
        <v>4.87</v>
      </c>
      <c r="E72" s="83">
        <v>0</v>
      </c>
      <c r="F72" t="s">
        <v>422</v>
      </c>
      <c r="G72" s="64">
        <v>5</v>
      </c>
    </row>
    <row r="73" spans="1:7" ht="14.4" customHeight="1" x14ac:dyDescent="0.25">
      <c r="A73" t="s">
        <v>298</v>
      </c>
      <c r="B73" t="s">
        <v>299</v>
      </c>
      <c r="C73" t="s">
        <v>300</v>
      </c>
      <c r="D73" s="64">
        <v>6.18</v>
      </c>
      <c r="E73" s="83">
        <v>0</v>
      </c>
      <c r="F73" t="s">
        <v>322</v>
      </c>
      <c r="G73" s="64">
        <v>10</v>
      </c>
    </row>
    <row r="74" spans="1:7" ht="14.4" customHeight="1" x14ac:dyDescent="0.25">
      <c r="A74" t="s">
        <v>301</v>
      </c>
      <c r="B74" t="s">
        <v>302</v>
      </c>
      <c r="C74" t="s">
        <v>303</v>
      </c>
      <c r="D74" s="64">
        <v>3.37</v>
      </c>
      <c r="E74" s="83">
        <v>0</v>
      </c>
      <c r="F74" t="s">
        <v>422</v>
      </c>
      <c r="G74" s="64">
        <v>6</v>
      </c>
    </row>
    <row r="75" spans="1:7" ht="14.4" customHeight="1" x14ac:dyDescent="0.25">
      <c r="A75" t="s">
        <v>304</v>
      </c>
      <c r="B75" t="s">
        <v>305</v>
      </c>
      <c r="C75" t="s">
        <v>306</v>
      </c>
      <c r="D75" s="64"/>
      <c r="E75" s="83">
        <v>0</v>
      </c>
      <c r="F75" t="s">
        <v>422</v>
      </c>
      <c r="G75" s="64">
        <v>6</v>
      </c>
    </row>
    <row r="76" spans="1:7" ht="14.4" customHeight="1" x14ac:dyDescent="0.25">
      <c r="A76" t="s">
        <v>307</v>
      </c>
      <c r="B76" t="s">
        <v>308</v>
      </c>
      <c r="C76" t="s">
        <v>309</v>
      </c>
      <c r="D76" s="64"/>
      <c r="E76" s="83">
        <v>0</v>
      </c>
      <c r="F76" t="s">
        <v>422</v>
      </c>
      <c r="G76" s="64">
        <v>6</v>
      </c>
    </row>
    <row r="77" spans="1:7" ht="14.4" customHeight="1" x14ac:dyDescent="0.25">
      <c r="A77" t="s">
        <v>310</v>
      </c>
      <c r="C77" t="s">
        <v>311</v>
      </c>
      <c r="D77" s="64"/>
      <c r="E77" s="83">
        <v>0</v>
      </c>
      <c r="F77" t="s">
        <v>25</v>
      </c>
      <c r="G77" s="64">
        <v>0</v>
      </c>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1:7" ht="14.4" customHeight="1" x14ac:dyDescent="0.25">
      <c r="D81" s="64"/>
      <c r="E81" s="83"/>
      <c r="G81" s="64"/>
    </row>
    <row r="82" spans="1:7" ht="14.4" customHeight="1" x14ac:dyDescent="0.25">
      <c r="D82" s="64"/>
      <c r="E82" s="83"/>
      <c r="G82" s="64"/>
    </row>
    <row r="83" spans="1:7" ht="14.4" customHeight="1" x14ac:dyDescent="0.25">
      <c r="A83" s="143" t="s">
        <v>312</v>
      </c>
      <c r="B83" s="143"/>
      <c r="C83" s="143"/>
      <c r="D83" s="143"/>
      <c r="E83" s="83"/>
      <c r="G83" s="64"/>
    </row>
    <row r="84" spans="1:7" ht="14.4" customHeight="1" x14ac:dyDescent="0.25">
      <c r="A84" s="84" t="s">
        <v>313</v>
      </c>
      <c r="B84" s="84" t="s">
        <v>314</v>
      </c>
      <c r="C84" s="84" t="s">
        <v>315</v>
      </c>
      <c r="D84" s="85" t="s">
        <v>316</v>
      </c>
      <c r="E84" s="83"/>
      <c r="G84" s="64"/>
    </row>
    <row r="85" spans="1:7" ht="14.4" customHeight="1" x14ac:dyDescent="0.25">
      <c r="A85" t="s">
        <v>317</v>
      </c>
      <c r="B85" t="s">
        <v>25</v>
      </c>
      <c r="C85" t="s">
        <v>318</v>
      </c>
      <c r="D85" s="64" t="s">
        <v>319</v>
      </c>
      <c r="E85" s="83"/>
      <c r="G85" s="64"/>
    </row>
    <row r="86" spans="1:7" ht="14.4" customHeight="1" x14ac:dyDescent="0.25">
      <c r="A86" t="s">
        <v>320</v>
      </c>
      <c r="B86" t="s">
        <v>25</v>
      </c>
      <c r="C86" t="s">
        <v>318</v>
      </c>
      <c r="D86" s="64" t="s">
        <v>319</v>
      </c>
      <c r="E86" s="83"/>
      <c r="G86" s="64"/>
    </row>
    <row r="87" spans="1:7" ht="14.4" customHeight="1" x14ac:dyDescent="0.25">
      <c r="A87" t="s">
        <v>321</v>
      </c>
      <c r="B87" t="s">
        <v>322</v>
      </c>
      <c r="C87" t="s">
        <v>318</v>
      </c>
      <c r="D87" s="64" t="s">
        <v>323</v>
      </c>
      <c r="E87" s="83"/>
      <c r="G87" s="64"/>
    </row>
    <row r="88" spans="1:7" ht="14.4" customHeight="1" x14ac:dyDescent="0.25">
      <c r="A88" t="s">
        <v>321</v>
      </c>
      <c r="B88" t="s">
        <v>25</v>
      </c>
      <c r="C88" t="s">
        <v>318</v>
      </c>
      <c r="D88" s="64" t="s">
        <v>324</v>
      </c>
      <c r="E88" s="83"/>
      <c r="G88" s="64"/>
    </row>
    <row r="89" spans="1:7" ht="14.4" customHeight="1" x14ac:dyDescent="0.25">
      <c r="A89" t="s">
        <v>325</v>
      </c>
      <c r="B89" t="s">
        <v>322</v>
      </c>
      <c r="C89" t="s">
        <v>318</v>
      </c>
      <c r="D89" s="64" t="s">
        <v>326</v>
      </c>
      <c r="E89" s="83"/>
      <c r="G89" s="64"/>
    </row>
    <row r="90" spans="1:7" ht="14.4" customHeight="1" x14ac:dyDescent="0.25">
      <c r="A90" t="s">
        <v>327</v>
      </c>
      <c r="B90" t="s">
        <v>25</v>
      </c>
      <c r="C90" t="s">
        <v>318</v>
      </c>
      <c r="D90" s="64" t="s">
        <v>324</v>
      </c>
      <c r="E90" s="83"/>
      <c r="G90" s="64"/>
    </row>
    <row r="91" spans="1:7" ht="14.4" customHeight="1" x14ac:dyDescent="0.25">
      <c r="A91" t="s">
        <v>328</v>
      </c>
      <c r="B91" t="s">
        <v>25</v>
      </c>
      <c r="C91" t="s">
        <v>318</v>
      </c>
      <c r="D91" s="64" t="s">
        <v>324</v>
      </c>
      <c r="E91" s="83"/>
      <c r="G91" s="64"/>
    </row>
    <row r="92" spans="1:7" ht="14.4" customHeight="1" x14ac:dyDescent="0.25">
      <c r="A92" t="s">
        <v>329</v>
      </c>
      <c r="B92" t="s">
        <v>322</v>
      </c>
      <c r="C92" t="s">
        <v>318</v>
      </c>
      <c r="D92" s="64" t="s">
        <v>323</v>
      </c>
      <c r="E92" s="83"/>
      <c r="G92" s="64"/>
    </row>
    <row r="93" spans="1:7" ht="14.4" customHeight="1" x14ac:dyDescent="0.25">
      <c r="A93" t="s">
        <v>330</v>
      </c>
      <c r="B93" t="s">
        <v>322</v>
      </c>
      <c r="C93" t="s">
        <v>318</v>
      </c>
      <c r="D93" s="64" t="s">
        <v>326</v>
      </c>
      <c r="E93" s="83"/>
      <c r="G93" s="64"/>
    </row>
    <row r="94" spans="1:7" ht="14.4" customHeight="1" x14ac:dyDescent="0.25">
      <c r="A94" t="s">
        <v>331</v>
      </c>
      <c r="B94" t="s">
        <v>322</v>
      </c>
      <c r="C94" t="s">
        <v>318</v>
      </c>
      <c r="D94" s="64" t="s">
        <v>323</v>
      </c>
      <c r="E94" s="83"/>
      <c r="G94" s="64"/>
    </row>
    <row r="95" spans="1:7" ht="14.4" customHeight="1" x14ac:dyDescent="0.25">
      <c r="A95" t="s">
        <v>332</v>
      </c>
      <c r="B95" t="s">
        <v>322</v>
      </c>
      <c r="C95" t="s">
        <v>318</v>
      </c>
      <c r="D95" s="64" t="s">
        <v>326</v>
      </c>
      <c r="E95" s="83"/>
      <c r="G95" s="64"/>
    </row>
    <row r="96" spans="1:7" ht="14.4" customHeight="1" x14ac:dyDescent="0.25">
      <c r="A96" t="s">
        <v>333</v>
      </c>
      <c r="B96" t="s">
        <v>322</v>
      </c>
      <c r="C96" t="s">
        <v>318</v>
      </c>
      <c r="D96" s="64" t="s">
        <v>323</v>
      </c>
      <c r="E96" s="83"/>
      <c r="G96" s="64"/>
    </row>
    <row r="97" spans="1:7" ht="14.4" customHeight="1" x14ac:dyDescent="0.25">
      <c r="A97" t="s">
        <v>334</v>
      </c>
      <c r="B97" t="s">
        <v>322</v>
      </c>
      <c r="C97" t="s">
        <v>318</v>
      </c>
      <c r="D97" s="64" t="s">
        <v>323</v>
      </c>
      <c r="E97" s="83"/>
      <c r="G97" s="64"/>
    </row>
    <row r="98" spans="1:7" ht="14.4" customHeight="1" x14ac:dyDescent="0.25">
      <c r="A98" t="s">
        <v>335</v>
      </c>
      <c r="B98" t="s">
        <v>322</v>
      </c>
      <c r="C98" t="s">
        <v>318</v>
      </c>
      <c r="D98" s="64" t="s">
        <v>326</v>
      </c>
      <c r="E98" s="83"/>
      <c r="G98" s="64"/>
    </row>
    <row r="99" spans="1:7" ht="14.4" customHeight="1" x14ac:dyDescent="0.25">
      <c r="A99" t="s">
        <v>336</v>
      </c>
      <c r="B99" t="s">
        <v>322</v>
      </c>
      <c r="C99" t="s">
        <v>318</v>
      </c>
      <c r="D99" s="64" t="s">
        <v>323</v>
      </c>
      <c r="E99" s="83"/>
      <c r="G99" s="64"/>
    </row>
    <row r="100" spans="1:7" ht="14.4" customHeight="1" x14ac:dyDescent="0.25">
      <c r="A100" t="s">
        <v>337</v>
      </c>
      <c r="B100" t="s">
        <v>322</v>
      </c>
      <c r="C100" t="s">
        <v>318</v>
      </c>
      <c r="D100" s="64" t="s">
        <v>326</v>
      </c>
      <c r="E100" s="83"/>
      <c r="G100" s="64"/>
    </row>
    <row r="101" spans="1:7" ht="14.4" customHeight="1" x14ac:dyDescent="0.25">
      <c r="A101" t="s">
        <v>338</v>
      </c>
      <c r="B101" t="s">
        <v>322</v>
      </c>
      <c r="C101" t="s">
        <v>318</v>
      </c>
      <c r="D101" s="64" t="s">
        <v>323</v>
      </c>
      <c r="E101" s="83"/>
      <c r="G101" s="64"/>
    </row>
    <row r="102" spans="1:7" ht="14.4" customHeight="1" x14ac:dyDescent="0.25">
      <c r="A102" t="s">
        <v>339</v>
      </c>
      <c r="B102" t="s">
        <v>322</v>
      </c>
      <c r="C102" t="s">
        <v>318</v>
      </c>
      <c r="D102" s="64" t="s">
        <v>323</v>
      </c>
      <c r="E102" s="83"/>
      <c r="G102" s="64"/>
    </row>
    <row r="103" spans="1:7" ht="14.4" customHeight="1" x14ac:dyDescent="0.25">
      <c r="A103" t="s">
        <v>340</v>
      </c>
      <c r="B103" t="s">
        <v>322</v>
      </c>
      <c r="C103" t="s">
        <v>318</v>
      </c>
      <c r="D103" s="64" t="s">
        <v>326</v>
      </c>
      <c r="E103" s="83"/>
      <c r="G103" s="64"/>
    </row>
    <row r="104" spans="1:7" ht="14.4" customHeight="1" x14ac:dyDescent="0.25">
      <c r="A104" t="s">
        <v>269</v>
      </c>
      <c r="B104" t="s">
        <v>322</v>
      </c>
      <c r="C104" t="s">
        <v>318</v>
      </c>
      <c r="D104" s="64" t="s">
        <v>326</v>
      </c>
      <c r="E104" s="83"/>
      <c r="G104" s="64"/>
    </row>
    <row r="105" spans="1:7" ht="14.4" customHeight="1" x14ac:dyDescent="0.25">
      <c r="A105" t="s">
        <v>341</v>
      </c>
      <c r="B105" t="s">
        <v>322</v>
      </c>
      <c r="C105" t="s">
        <v>318</v>
      </c>
      <c r="D105" s="64" t="s">
        <v>323</v>
      </c>
      <c r="E105" s="83"/>
      <c r="G105" s="64"/>
    </row>
    <row r="106" spans="1:7" ht="14.4" customHeight="1" x14ac:dyDescent="0.25">
      <c r="A106" t="s">
        <v>342</v>
      </c>
      <c r="B106" t="s">
        <v>322</v>
      </c>
      <c r="C106" t="s">
        <v>318</v>
      </c>
      <c r="D106" s="64" t="s">
        <v>323</v>
      </c>
      <c r="E106" s="83"/>
      <c r="G106" s="64"/>
    </row>
    <row r="107" spans="1:7" ht="14.4" customHeight="1" x14ac:dyDescent="0.25">
      <c r="A107" t="s">
        <v>343</v>
      </c>
      <c r="B107" t="s">
        <v>322</v>
      </c>
      <c r="C107" t="s">
        <v>318</v>
      </c>
      <c r="D107" s="64" t="s">
        <v>323</v>
      </c>
      <c r="E107" s="83"/>
      <c r="G107" s="64"/>
    </row>
    <row r="108" spans="1:7" ht="14.4" customHeight="1" x14ac:dyDescent="0.25">
      <c r="A108" t="s">
        <v>344</v>
      </c>
      <c r="B108" t="s">
        <v>322</v>
      </c>
      <c r="C108" t="s">
        <v>318</v>
      </c>
      <c r="D108" s="64" t="s">
        <v>323</v>
      </c>
      <c r="E108" s="83"/>
      <c r="G108" s="64"/>
    </row>
    <row r="109" spans="1:7" ht="14.4" customHeight="1" x14ac:dyDescent="0.25">
      <c r="A109" t="s">
        <v>345</v>
      </c>
      <c r="B109" t="s">
        <v>346</v>
      </c>
      <c r="C109" t="s">
        <v>318</v>
      </c>
      <c r="D109" s="64" t="s">
        <v>323</v>
      </c>
      <c r="E109" s="83"/>
      <c r="G109" s="64"/>
    </row>
    <row r="110" spans="1:7" ht="14.4" customHeight="1" x14ac:dyDescent="0.25">
      <c r="A110" t="s">
        <v>347</v>
      </c>
      <c r="B110" t="s">
        <v>346</v>
      </c>
      <c r="C110" t="s">
        <v>318</v>
      </c>
      <c r="D110" s="64" t="s">
        <v>323</v>
      </c>
      <c r="E110" s="83"/>
      <c r="G110" s="64"/>
    </row>
    <row r="111" spans="1:7" ht="14.4" customHeight="1" x14ac:dyDescent="0.25">
      <c r="A111" t="s">
        <v>348</v>
      </c>
      <c r="B111" t="s">
        <v>346</v>
      </c>
      <c r="C111" t="s">
        <v>318</v>
      </c>
      <c r="D111" s="64" t="s">
        <v>323</v>
      </c>
      <c r="E111" s="83"/>
      <c r="G111" s="64"/>
    </row>
    <row r="112" spans="1:7" ht="14.4" customHeight="1" x14ac:dyDescent="0.25">
      <c r="A112" t="s">
        <v>349</v>
      </c>
      <c r="B112" t="s">
        <v>346</v>
      </c>
      <c r="C112" t="s">
        <v>318</v>
      </c>
      <c r="D112" s="64" t="s">
        <v>323</v>
      </c>
      <c r="E112" s="83"/>
      <c r="G112" s="64"/>
    </row>
    <row r="113" spans="1:7" ht="14.4" customHeight="1" x14ac:dyDescent="0.25">
      <c r="A113" t="s">
        <v>350</v>
      </c>
      <c r="B113" t="s">
        <v>346</v>
      </c>
      <c r="C113" t="s">
        <v>318</v>
      </c>
      <c r="D113" s="64" t="s">
        <v>323</v>
      </c>
      <c r="E113" s="83"/>
      <c r="G113" s="64"/>
    </row>
    <row r="114" spans="1:7" ht="14.4" customHeight="1" x14ac:dyDescent="0.25">
      <c r="A114" t="s">
        <v>351</v>
      </c>
      <c r="B114" t="s">
        <v>346</v>
      </c>
      <c r="C114" t="s">
        <v>352</v>
      </c>
      <c r="D114" s="64" t="s">
        <v>323</v>
      </c>
      <c r="E114" s="83"/>
      <c r="G114" s="64"/>
    </row>
    <row r="115" spans="1:7" ht="14.4" customHeight="1" x14ac:dyDescent="0.25">
      <c r="A115" t="s">
        <v>353</v>
      </c>
      <c r="B115" t="s">
        <v>346</v>
      </c>
      <c r="C115" t="s">
        <v>352</v>
      </c>
      <c r="D115" s="64" t="s">
        <v>323</v>
      </c>
      <c r="E115" s="83"/>
      <c r="G115" s="64"/>
    </row>
    <row r="116" spans="1:7" ht="14.4" customHeight="1" x14ac:dyDescent="0.25">
      <c r="A116" t="s">
        <v>354</v>
      </c>
      <c r="B116" t="s">
        <v>355</v>
      </c>
      <c r="C116" t="s">
        <v>318</v>
      </c>
      <c r="D116" s="64" t="s">
        <v>356</v>
      </c>
      <c r="E116" s="83"/>
      <c r="G116" s="64"/>
    </row>
    <row r="117" spans="1:7" ht="14.4" customHeight="1" x14ac:dyDescent="0.25">
      <c r="A117" t="s">
        <v>357</v>
      </c>
      <c r="B117" t="s">
        <v>346</v>
      </c>
      <c r="C117" t="s">
        <v>352</v>
      </c>
      <c r="D117" s="64" t="s">
        <v>323</v>
      </c>
      <c r="E117" s="83"/>
      <c r="G117" s="64"/>
    </row>
    <row r="118" spans="1:7" ht="14.4" customHeight="1" x14ac:dyDescent="0.25">
      <c r="A118" t="s">
        <v>358</v>
      </c>
      <c r="B118" t="s">
        <v>346</v>
      </c>
      <c r="C118" t="s">
        <v>352</v>
      </c>
      <c r="D118" s="64" t="s">
        <v>323</v>
      </c>
      <c r="E118" s="83"/>
      <c r="G118" s="64"/>
    </row>
    <row r="119" spans="1:7" ht="14.4" customHeight="1" x14ac:dyDescent="0.25">
      <c r="A119" t="s">
        <v>359</v>
      </c>
      <c r="B119" t="s">
        <v>355</v>
      </c>
      <c r="C119" t="s">
        <v>318</v>
      </c>
      <c r="D119" s="64" t="s">
        <v>323</v>
      </c>
      <c r="E119" s="83"/>
      <c r="G119" s="64"/>
    </row>
    <row r="120" spans="1:7" ht="14.4" customHeight="1" x14ac:dyDescent="0.25">
      <c r="A120" t="s">
        <v>360</v>
      </c>
      <c r="B120" t="s">
        <v>355</v>
      </c>
      <c r="C120" t="s">
        <v>318</v>
      </c>
      <c r="D120" s="64" t="s">
        <v>356</v>
      </c>
      <c r="E120" s="83"/>
      <c r="G120" s="64"/>
    </row>
    <row r="121" spans="1:7" ht="14.4" customHeight="1" x14ac:dyDescent="0.25">
      <c r="A121" t="s">
        <v>361</v>
      </c>
      <c r="B121" t="s">
        <v>362</v>
      </c>
      <c r="C121" t="s">
        <v>318</v>
      </c>
      <c r="D121" s="64" t="s">
        <v>356</v>
      </c>
      <c r="E121" s="83"/>
      <c r="G121" s="64"/>
    </row>
    <row r="122" spans="1:7" ht="14.4" customHeight="1" x14ac:dyDescent="0.25">
      <c r="A122" t="s">
        <v>363</v>
      </c>
      <c r="B122" t="s">
        <v>362</v>
      </c>
      <c r="C122" t="s">
        <v>318</v>
      </c>
      <c r="D122" s="64" t="s">
        <v>356</v>
      </c>
      <c r="E122" s="83"/>
      <c r="G122" s="64"/>
    </row>
    <row r="123" spans="1:7" ht="14.4" customHeight="1" x14ac:dyDescent="0.25">
      <c r="D123" s="64"/>
      <c r="E123" s="83"/>
      <c r="G123" s="64"/>
    </row>
    <row r="124" spans="1:7" ht="14.4" customHeight="1" x14ac:dyDescent="0.25">
      <c r="D124" s="64"/>
      <c r="E124" s="83"/>
      <c r="G124" s="64"/>
    </row>
    <row r="125" spans="1:7" ht="14.4" customHeight="1" x14ac:dyDescent="0.25">
      <c r="D125" s="64"/>
      <c r="E125" s="83"/>
      <c r="G125" s="64"/>
    </row>
    <row r="126" spans="1:7" ht="14.4" customHeight="1" x14ac:dyDescent="0.25">
      <c r="D126" s="64"/>
      <c r="E126" s="83"/>
      <c r="G126" s="64"/>
    </row>
    <row r="127" spans="1:7" ht="14.4" customHeight="1" x14ac:dyDescent="0.25">
      <c r="D127" s="64"/>
      <c r="E127" s="83"/>
      <c r="G127" s="64"/>
    </row>
    <row r="128" spans="1: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83:D83"/>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0.65589200000000003</v>
      </c>
      <c r="C4" s="57" t="s">
        <v>36</v>
      </c>
      <c r="D4" s="87">
        <v>1.0839000000000001</v>
      </c>
      <c r="E4" s="57" t="s">
        <v>41</v>
      </c>
      <c r="F4" s="86">
        <v>1.0246999999999999</v>
      </c>
      <c r="G4" s="57" t="s">
        <v>42</v>
      </c>
      <c r="H4" s="86">
        <v>0.12923999999999999</v>
      </c>
      <c r="I4" s="57"/>
      <c r="J4" s="88"/>
    </row>
    <row r="5" spans="1:10" ht="15.75" customHeight="1" x14ac:dyDescent="0.25">
      <c r="A5" s="57" t="s">
        <v>62</v>
      </c>
      <c r="B5" s="86">
        <v>0.49467899999999998</v>
      </c>
      <c r="C5" s="57" t="s">
        <v>63</v>
      </c>
      <c r="D5" s="87">
        <v>0.81730000000000003</v>
      </c>
      <c r="E5" s="57" t="s">
        <v>64</v>
      </c>
      <c r="F5" s="87">
        <v>10.438700000000001</v>
      </c>
      <c r="G5" s="57" t="s">
        <v>65</v>
      </c>
      <c r="H5" s="86">
        <v>2.5779E-2</v>
      </c>
      <c r="I5" s="57"/>
      <c r="J5" s="88"/>
    </row>
    <row r="6" spans="1:10" ht="15" customHeight="1" x14ac:dyDescent="0.25">
      <c r="A6" s="57" t="s">
        <v>66</v>
      </c>
      <c r="B6" s="86">
        <v>0.69583200000000001</v>
      </c>
      <c r="C6" s="57" t="s">
        <v>39</v>
      </c>
      <c r="D6" s="89">
        <v>8.9899999999999994E-2</v>
      </c>
      <c r="E6" s="57" t="s">
        <v>67</v>
      </c>
      <c r="F6" s="87">
        <v>6.4359000000000002</v>
      </c>
      <c r="G6" s="57" t="s">
        <v>45</v>
      </c>
      <c r="H6" s="86">
        <v>7.2066999999999992E-2</v>
      </c>
      <c r="I6" s="57"/>
      <c r="J6" s="88"/>
    </row>
    <row r="7" spans="1:10" ht="14.25" customHeight="1" x14ac:dyDescent="0.25">
      <c r="A7" s="57" t="s">
        <v>38</v>
      </c>
      <c r="B7" s="89">
        <v>1.030366452354633</v>
      </c>
      <c r="C7" s="57" t="s">
        <v>68</v>
      </c>
      <c r="D7" s="89">
        <v>2.5981000000000001</v>
      </c>
      <c r="E7" s="57" t="s">
        <v>69</v>
      </c>
      <c r="F7" s="87">
        <v>1.9835</v>
      </c>
      <c r="G7" s="57" t="s">
        <v>70</v>
      </c>
      <c r="H7" s="86">
        <v>4.2502000000000005E-2</v>
      </c>
      <c r="I7" s="57"/>
      <c r="J7" s="88"/>
    </row>
    <row r="8" spans="1:10" x14ac:dyDescent="0.25">
      <c r="A8" s="57"/>
      <c r="B8" s="90"/>
      <c r="C8" s="57"/>
      <c r="D8" s="91"/>
      <c r="E8" s="57" t="s">
        <v>71</v>
      </c>
      <c r="F8" s="87">
        <v>0.98729999999999996</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72.158873132899998</v>
      </c>
      <c r="C12" s="57" t="s">
        <v>78</v>
      </c>
      <c r="D12" s="89">
        <v>569.03775947320003</v>
      </c>
      <c r="E12" s="147" t="s">
        <v>79</v>
      </c>
      <c r="F12" s="120"/>
      <c r="G12" s="120"/>
      <c r="H12" s="148">
        <v>583.00249670829999</v>
      </c>
      <c r="I12" s="120"/>
      <c r="J12" s="120"/>
    </row>
    <row r="13" spans="1:10" ht="14.25" customHeight="1" x14ac:dyDescent="0.25">
      <c r="A13" s="57" t="s">
        <v>80</v>
      </c>
      <c r="B13" s="92">
        <v>52.336678926400005</v>
      </c>
      <c r="C13" s="57" t="s">
        <v>81</v>
      </c>
      <c r="D13" s="89">
        <v>567.05578559589992</v>
      </c>
      <c r="E13" s="147" t="s">
        <v>82</v>
      </c>
      <c r="F13" s="120"/>
      <c r="G13" s="120"/>
      <c r="H13" s="148">
        <v>19.471613460099999</v>
      </c>
      <c r="I13" s="120"/>
      <c r="J13" s="120"/>
    </row>
    <row r="14" spans="1:10" ht="14.25" customHeight="1" x14ac:dyDescent="0.25">
      <c r="A14" s="57" t="s">
        <v>83</v>
      </c>
      <c r="B14" s="92">
        <v>47.3202920799</v>
      </c>
      <c r="C14" s="57" t="s">
        <v>84</v>
      </c>
      <c r="D14" s="89">
        <v>495.40291275779998</v>
      </c>
      <c r="E14" s="147" t="s">
        <v>85</v>
      </c>
      <c r="F14" s="120"/>
      <c r="G14" s="120"/>
      <c r="H14" s="148">
        <v>614.94009615239997</v>
      </c>
      <c r="I14" s="120"/>
      <c r="J14" s="120"/>
    </row>
    <row r="15" spans="1:10" ht="14.25" customHeight="1" x14ac:dyDescent="0.25">
      <c r="A15" s="57" t="s">
        <v>86</v>
      </c>
      <c r="B15" s="92">
        <v>103.15315456260001</v>
      </c>
      <c r="C15" s="57" t="s">
        <v>87</v>
      </c>
      <c r="D15" s="89">
        <v>15.441421757300001</v>
      </c>
      <c r="E15" s="147" t="s">
        <v>88</v>
      </c>
      <c r="F15" s="120"/>
      <c r="G15" s="120"/>
      <c r="H15" s="148">
        <v>518.09083790629995</v>
      </c>
      <c r="I15" s="120"/>
      <c r="J15" s="120"/>
    </row>
    <row r="16" spans="1:10" ht="14.25" customHeight="1" x14ac:dyDescent="0.25">
      <c r="A16" s="57" t="s">
        <v>89</v>
      </c>
      <c r="B16" s="92">
        <v>8.246792128600001</v>
      </c>
      <c r="C16" s="57" t="s">
        <v>90</v>
      </c>
      <c r="D16" s="89">
        <v>17.7272505567</v>
      </c>
      <c r="E16" s="147" t="s">
        <v>91</v>
      </c>
      <c r="F16" s="120"/>
      <c r="G16" s="120"/>
      <c r="H16" s="148">
        <v>28.539062536599999</v>
      </c>
      <c r="I16" s="120"/>
      <c r="J16" s="120"/>
    </row>
    <row r="17" spans="1:10" ht="14.25" customHeight="1" x14ac:dyDescent="0.25">
      <c r="A17" s="57" t="s">
        <v>92</v>
      </c>
      <c r="B17" s="92">
        <v>18.770488186600002</v>
      </c>
      <c r="C17" s="57" t="s">
        <v>93</v>
      </c>
      <c r="D17" s="89">
        <v>10.0549607952</v>
      </c>
      <c r="E17" s="147" t="s">
        <v>94</v>
      </c>
      <c r="F17" s="120"/>
      <c r="G17" s="120"/>
      <c r="H17" s="148">
        <v>590.61919022230006</v>
      </c>
      <c r="I17" s="120"/>
      <c r="J17" s="120"/>
    </row>
    <row r="18" spans="1:10" ht="14.25" customHeight="1" x14ac:dyDescent="0.25">
      <c r="A18" s="57" t="s">
        <v>95</v>
      </c>
      <c r="B18" s="92">
        <v>589.34917806739998</v>
      </c>
      <c r="C18" s="57" t="s">
        <v>96</v>
      </c>
      <c r="D18" s="89">
        <v>14.669088543699999</v>
      </c>
      <c r="E18" s="147" t="s">
        <v>97</v>
      </c>
      <c r="F18" s="120"/>
      <c r="G18" s="120"/>
      <c r="H18" s="148">
        <v>24.320905930100004</v>
      </c>
      <c r="I18" s="120"/>
      <c r="J18" s="120"/>
    </row>
    <row r="19" spans="1:10" ht="14.25" customHeight="1" x14ac:dyDescent="0.25">
      <c r="A19" s="57" t="s">
        <v>98</v>
      </c>
      <c r="B19" s="92">
        <v>108.9498064398</v>
      </c>
      <c r="C19" s="57" t="s">
        <v>99</v>
      </c>
      <c r="D19" s="89">
        <v>15.068367605399999</v>
      </c>
      <c r="E19" s="147" t="s">
        <v>100</v>
      </c>
      <c r="F19" s="120"/>
      <c r="G19" s="120"/>
      <c r="H19" s="148">
        <v>-17.078632491800001</v>
      </c>
      <c r="I19" s="120"/>
      <c r="J19" s="120"/>
    </row>
    <row r="20" spans="1:10" ht="27" customHeight="1" x14ac:dyDescent="0.25">
      <c r="A20" s="57" t="s">
        <v>101</v>
      </c>
      <c r="B20" s="92">
        <v>14.8279439573</v>
      </c>
      <c r="C20" s="57" t="s">
        <v>43</v>
      </c>
      <c r="D20" s="89">
        <v>6.8216717386000001</v>
      </c>
      <c r="E20" s="147" t="s">
        <v>102</v>
      </c>
      <c r="F20" s="120"/>
      <c r="G20" s="120"/>
      <c r="H20" s="148">
        <v>15.244225757600001</v>
      </c>
      <c r="I20" s="120"/>
      <c r="J20" s="120"/>
    </row>
    <row r="21" spans="1:10" ht="16.5" customHeight="1" x14ac:dyDescent="0.25">
      <c r="A21" s="57" t="s">
        <v>103</v>
      </c>
      <c r="B21" s="92">
        <v>0</v>
      </c>
      <c r="C21" s="57"/>
      <c r="D21" s="93"/>
      <c r="E21" s="147" t="s">
        <v>104</v>
      </c>
      <c r="F21" s="120"/>
      <c r="G21" s="120"/>
      <c r="H21" s="148">
        <v>212.09997477369998</v>
      </c>
      <c r="I21" s="120"/>
      <c r="J21" s="120"/>
    </row>
    <row r="22" spans="1:10" ht="14.25" customHeight="1" x14ac:dyDescent="0.25">
      <c r="A22" s="57" t="s">
        <v>105</v>
      </c>
      <c r="B22" s="92">
        <v>43.512298658100008</v>
      </c>
      <c r="C22" s="57"/>
      <c r="D22" s="93"/>
      <c r="E22" s="147" t="s">
        <v>106</v>
      </c>
      <c r="F22" s="120"/>
      <c r="G22" s="120"/>
      <c r="H22" s="148">
        <v>0</v>
      </c>
      <c r="I22" s="120"/>
      <c r="J22" s="120"/>
    </row>
    <row r="23" spans="1:10" ht="14.25" customHeight="1" x14ac:dyDescent="0.25">
      <c r="A23" s="57" t="s">
        <v>107</v>
      </c>
      <c r="B23" s="92">
        <v>40.977603287199997</v>
      </c>
      <c r="C23" s="57"/>
      <c r="D23" s="93"/>
      <c r="E23" s="147" t="s">
        <v>108</v>
      </c>
      <c r="F23" s="120"/>
      <c r="G23" s="120"/>
      <c r="H23" s="148">
        <v>321.45598121749998</v>
      </c>
      <c r="I23" s="120"/>
      <c r="J23" s="120"/>
    </row>
    <row r="24" spans="1:10" ht="14.25" customHeight="1" x14ac:dyDescent="0.25">
      <c r="A24" s="57" t="s">
        <v>109</v>
      </c>
      <c r="B24" s="92">
        <v>386.54942272290003</v>
      </c>
      <c r="C24" s="94"/>
      <c r="D24" s="91"/>
      <c r="E24" s="147" t="s">
        <v>110</v>
      </c>
      <c r="F24" s="120"/>
      <c r="G24" s="120"/>
      <c r="H24" s="148">
        <v>189.42751647810002</v>
      </c>
      <c r="I24" s="120"/>
      <c r="J24" s="120"/>
    </row>
    <row r="25" spans="1:10" ht="14.25" customHeight="1" x14ac:dyDescent="0.25">
      <c r="A25" s="57" t="s">
        <v>111</v>
      </c>
      <c r="B25" s="92">
        <v>202.7997553445</v>
      </c>
      <c r="C25" s="94"/>
      <c r="D25" s="91"/>
      <c r="E25" s="147" t="s">
        <v>112</v>
      </c>
      <c r="F25" s="120"/>
      <c r="G25" s="120"/>
      <c r="H25" s="148">
        <v>325.54680876179998</v>
      </c>
      <c r="I25" s="120"/>
      <c r="J25" s="120"/>
    </row>
    <row r="26" spans="1:10" ht="14.25" customHeight="1" x14ac:dyDescent="0.25">
      <c r="A26" s="95" t="s">
        <v>113</v>
      </c>
      <c r="B26" s="92">
        <v>589.34917806739998</v>
      </c>
      <c r="C26" s="94"/>
      <c r="D26" s="91"/>
      <c r="E26" s="147" t="s">
        <v>114</v>
      </c>
      <c r="F26" s="120"/>
      <c r="G26" s="120"/>
      <c r="H26" s="148">
        <v>-4.0908275442999997</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364</v>
      </c>
      <c r="B1" s="124"/>
      <c r="C1" s="124"/>
      <c r="D1" s="124"/>
      <c r="E1" s="124"/>
      <c r="F1" s="124"/>
      <c r="G1" s="124"/>
      <c r="H1" s="124"/>
      <c r="I1" s="124"/>
    </row>
    <row r="2" spans="1:10" ht="46.5" customHeight="1" x14ac:dyDescent="0.25">
      <c r="A2" s="54" t="s">
        <v>22</v>
      </c>
      <c r="B2" s="43" t="s">
        <v>415</v>
      </c>
      <c r="C2" s="43" t="s">
        <v>365</v>
      </c>
      <c r="D2" s="43" t="s">
        <v>423</v>
      </c>
      <c r="E2" s="43" t="s">
        <v>424</v>
      </c>
      <c r="F2" s="43" t="s">
        <v>425</v>
      </c>
      <c r="G2" s="43" t="s">
        <v>426</v>
      </c>
      <c r="H2" s="43" t="s">
        <v>427</v>
      </c>
      <c r="I2" s="43" t="s">
        <v>428</v>
      </c>
      <c r="J2" s="43" t="s">
        <v>429</v>
      </c>
    </row>
    <row r="3" spans="1:10" x14ac:dyDescent="0.25">
      <c r="A3" s="54" t="s">
        <v>24</v>
      </c>
      <c r="B3" s="97" t="s">
        <v>25</v>
      </c>
      <c r="C3" s="98" t="s">
        <v>366</v>
      </c>
      <c r="D3" s="97" t="s">
        <v>25</v>
      </c>
      <c r="E3" s="97" t="s">
        <v>25</v>
      </c>
      <c r="F3" s="97" t="s">
        <v>25</v>
      </c>
      <c r="G3" s="97" t="s">
        <v>25</v>
      </c>
      <c r="H3" s="97" t="s">
        <v>25</v>
      </c>
      <c r="I3" s="97" t="s">
        <v>25</v>
      </c>
      <c r="J3" s="97" t="s">
        <v>25</v>
      </c>
    </row>
    <row r="4" spans="1:10" s="7" customFormat="1" ht="21.6" x14ac:dyDescent="0.25">
      <c r="A4" s="9" t="s">
        <v>3</v>
      </c>
      <c r="B4" s="99" t="s">
        <v>416</v>
      </c>
      <c r="C4" s="98" t="s">
        <v>366</v>
      </c>
      <c r="D4" s="99" t="s">
        <v>430</v>
      </c>
      <c r="E4" s="99" t="s">
        <v>430</v>
      </c>
      <c r="F4" s="99" t="s">
        <v>416</v>
      </c>
      <c r="G4" s="99" t="s">
        <v>416</v>
      </c>
      <c r="H4" s="99" t="s">
        <v>416</v>
      </c>
      <c r="I4" s="99" t="s">
        <v>416</v>
      </c>
      <c r="J4" s="99" t="s">
        <v>416</v>
      </c>
    </row>
    <row r="5" spans="1:10" s="7" customFormat="1" x14ac:dyDescent="0.25">
      <c r="A5" s="9" t="s">
        <v>29</v>
      </c>
      <c r="B5" s="100" t="s">
        <v>30</v>
      </c>
      <c r="C5" s="98" t="s">
        <v>366</v>
      </c>
      <c r="D5" s="100" t="s">
        <v>30</v>
      </c>
      <c r="E5" s="100" t="s">
        <v>30</v>
      </c>
      <c r="F5" s="100" t="s">
        <v>30</v>
      </c>
      <c r="G5" s="100" t="s">
        <v>30</v>
      </c>
      <c r="H5" s="100" t="s">
        <v>30</v>
      </c>
      <c r="I5" s="100" t="s">
        <v>30</v>
      </c>
      <c r="J5" s="100" t="s">
        <v>30</v>
      </c>
    </row>
    <row r="6" spans="1:10" x14ac:dyDescent="0.25">
      <c r="A6" s="54" t="s">
        <v>32</v>
      </c>
      <c r="B6" s="101">
        <v>589.34917806739998</v>
      </c>
      <c r="C6" s="98">
        <v>1240.2424896790574</v>
      </c>
      <c r="D6" s="101">
        <v>2494.8278509549</v>
      </c>
      <c r="E6" s="101">
        <v>1569.6002542274</v>
      </c>
      <c r="F6" s="101">
        <v>764.70257255490003</v>
      </c>
      <c r="G6" s="101">
        <v>916.98530933740005</v>
      </c>
      <c r="H6" s="101">
        <v>713.80944868770007</v>
      </c>
      <c r="I6" s="101">
        <v>1752.9514750400001</v>
      </c>
      <c r="J6" s="101">
        <v>468.82051695109999</v>
      </c>
    </row>
    <row r="7" spans="1:10" x14ac:dyDescent="0.25">
      <c r="A7" s="54" t="s">
        <v>34</v>
      </c>
      <c r="B7" s="44">
        <v>0.65589200000000003</v>
      </c>
      <c r="C7" s="98">
        <v>0.69479885714285694</v>
      </c>
      <c r="D7" s="44">
        <v>0.73231800000000002</v>
      </c>
      <c r="E7" s="44">
        <v>0.67307199999999989</v>
      </c>
      <c r="F7" s="44">
        <v>0.73276600000000003</v>
      </c>
      <c r="G7" s="44">
        <v>0.69370699999999996</v>
      </c>
      <c r="H7" s="44">
        <v>0.63575300000000001</v>
      </c>
      <c r="I7" s="44">
        <v>0.75049400000000011</v>
      </c>
      <c r="J7" s="44">
        <v>0.64548199999999989</v>
      </c>
    </row>
    <row r="8" spans="1:10" x14ac:dyDescent="0.25">
      <c r="A8" s="54" t="s">
        <v>36</v>
      </c>
      <c r="B8" s="101">
        <v>1.0839000000000001</v>
      </c>
      <c r="C8" s="98">
        <v>1.2633428571428571</v>
      </c>
      <c r="D8" s="101">
        <v>1.2090000000000001</v>
      </c>
      <c r="E8" s="101">
        <v>1.4141999999999999</v>
      </c>
      <c r="F8" s="101">
        <v>1.2747999999999999</v>
      </c>
      <c r="G8" s="101">
        <v>1.3616999999999999</v>
      </c>
      <c r="H8" s="101">
        <v>1.4435</v>
      </c>
      <c r="I8" s="101">
        <v>1.7864</v>
      </c>
      <c r="J8" s="101">
        <v>0.3538</v>
      </c>
    </row>
    <row r="9" spans="1:10" x14ac:dyDescent="0.25">
      <c r="A9" s="54" t="s">
        <v>38</v>
      </c>
      <c r="B9" s="97">
        <v>1.030366452354633</v>
      </c>
      <c r="C9" s="98">
        <v>1.1702072587306405</v>
      </c>
      <c r="D9" s="97">
        <v>1.4033202468702712</v>
      </c>
      <c r="E9" s="97">
        <v>0.83523387215282863</v>
      </c>
      <c r="F9" s="97">
        <v>1.5988462985079723</v>
      </c>
      <c r="G9" s="97">
        <v>1.3983273176425992</v>
      </c>
      <c r="H9" s="97">
        <v>0.43775630178079677</v>
      </c>
      <c r="I9" s="97">
        <v>1.2977550726025271</v>
      </c>
      <c r="J9" s="97">
        <v>1.2202117015574869</v>
      </c>
    </row>
    <row r="10" spans="1:10" ht="21.6" customHeight="1" x14ac:dyDescent="0.25">
      <c r="A10" s="54" t="s">
        <v>39</v>
      </c>
      <c r="B10" s="101">
        <v>8.9899999999999994E-2</v>
      </c>
      <c r="C10" s="98">
        <v>7.7071428571428569E-2</v>
      </c>
      <c r="D10" s="101">
        <v>9.0899999999999995E-2</v>
      </c>
      <c r="E10" s="101">
        <v>8.1600000000000006E-2</v>
      </c>
      <c r="F10" s="101">
        <v>5.5100000000000003E-2</v>
      </c>
      <c r="G10" s="101">
        <v>6.8699999999999997E-2</v>
      </c>
      <c r="H10" s="101">
        <v>8.6099999999999996E-2</v>
      </c>
      <c r="I10" s="101">
        <v>6.3299999999999995E-2</v>
      </c>
      <c r="J10" s="101">
        <v>9.3799999999999994E-2</v>
      </c>
    </row>
    <row r="11" spans="1:10" x14ac:dyDescent="0.25">
      <c r="A11" s="54" t="s">
        <v>40</v>
      </c>
      <c r="B11" s="101">
        <v>568.93151186930004</v>
      </c>
      <c r="C11" s="98">
        <v>1367.7302904476426</v>
      </c>
      <c r="D11" s="101">
        <v>1564.7697567057999</v>
      </c>
      <c r="E11" s="101">
        <v>1568.3230722298999</v>
      </c>
      <c r="F11" s="101">
        <v>378.15800097440001</v>
      </c>
      <c r="G11" s="101">
        <v>2140.8866377657</v>
      </c>
      <c r="H11" s="101">
        <v>1646.5077791524</v>
      </c>
      <c r="I11" s="101">
        <v>2186.0157897653999</v>
      </c>
      <c r="J11" s="101">
        <v>89.450996539900004</v>
      </c>
    </row>
    <row r="12" spans="1:10" s="7" customFormat="1" x14ac:dyDescent="0.25">
      <c r="A12" s="9" t="s">
        <v>41</v>
      </c>
      <c r="B12" s="45">
        <v>1.0246999999999999</v>
      </c>
      <c r="C12" s="98">
        <v>1.2155857142857143</v>
      </c>
      <c r="D12" s="45">
        <v>1.2176</v>
      </c>
      <c r="E12" s="45">
        <v>1.218</v>
      </c>
      <c r="F12" s="45">
        <v>1.6841999999999999</v>
      </c>
      <c r="G12" s="45">
        <v>1.1532</v>
      </c>
      <c r="H12" s="45">
        <v>1.1114999999999999</v>
      </c>
      <c r="I12" s="45">
        <v>1.0958000000000001</v>
      </c>
      <c r="J12" s="45">
        <v>1.0287999999999999</v>
      </c>
    </row>
    <row r="13" spans="1:10" s="7" customFormat="1" x14ac:dyDescent="0.25">
      <c r="A13" s="9" t="s">
        <v>42</v>
      </c>
      <c r="B13" s="45">
        <v>0.12923999999999999</v>
      </c>
      <c r="C13" s="98">
        <v>9.3156000000000017E-2</v>
      </c>
      <c r="D13" s="45">
        <v>0.15606700000000001</v>
      </c>
      <c r="E13" s="45">
        <v>8.9749999999999996E-2</v>
      </c>
      <c r="F13" s="45">
        <v>0.106965</v>
      </c>
      <c r="G13" s="45">
        <v>3.6408999999999997E-2</v>
      </c>
      <c r="H13" s="45">
        <v>4.1181000000000002E-2</v>
      </c>
      <c r="I13" s="45">
        <v>6.4280000000000004E-2</v>
      </c>
      <c r="J13" s="45">
        <v>0.15744</v>
      </c>
    </row>
    <row r="14" spans="1:10" s="7" customFormat="1" x14ac:dyDescent="0.25">
      <c r="A14" s="9" t="s">
        <v>43</v>
      </c>
      <c r="B14" s="102">
        <v>6.8216717386000001</v>
      </c>
      <c r="C14" s="98">
        <v>28.342043019971431</v>
      </c>
      <c r="D14" s="102">
        <v>39.761910800400003</v>
      </c>
      <c r="E14" s="102">
        <v>44.663988861199996</v>
      </c>
      <c r="F14" s="102">
        <v>11.3355652649</v>
      </c>
      <c r="G14" s="102">
        <v>18.171807200099998</v>
      </c>
      <c r="H14" s="102">
        <v>21.742712731300003</v>
      </c>
      <c r="I14" s="102">
        <v>48.256647266999998</v>
      </c>
      <c r="J14" s="102">
        <v>14.4616690149</v>
      </c>
    </row>
    <row r="15" spans="1:10" x14ac:dyDescent="0.25">
      <c r="A15" s="54" t="s">
        <v>45</v>
      </c>
      <c r="B15" s="44">
        <v>7.2066999999999992E-2</v>
      </c>
      <c r="C15" s="98">
        <v>9.1556999999999999E-2</v>
      </c>
      <c r="D15" s="44">
        <v>6.1565000000000002E-2</v>
      </c>
      <c r="E15" s="44">
        <v>7.5313000000000005E-2</v>
      </c>
      <c r="F15" s="44">
        <v>6.7674999999999999E-2</v>
      </c>
      <c r="G15" s="44">
        <v>9.4893999999999992E-2</v>
      </c>
      <c r="H15" s="44">
        <v>9.9349000000000007E-2</v>
      </c>
      <c r="I15" s="44">
        <v>0.147566</v>
      </c>
      <c r="J15" s="44">
        <v>9.4536999999999996E-2</v>
      </c>
    </row>
    <row r="16" spans="1:10" s="7" customFormat="1" ht="25.8" customHeight="1" x14ac:dyDescent="0.25">
      <c r="A16" s="9" t="s">
        <v>46</v>
      </c>
      <c r="B16" s="102">
        <v>24.320905930100004</v>
      </c>
      <c r="C16" s="98">
        <v>-22.736000144014287</v>
      </c>
      <c r="D16" s="102">
        <v>200.8973197441</v>
      </c>
      <c r="E16" s="102">
        <v>5.2996619992000005</v>
      </c>
      <c r="F16" s="102">
        <v>-41.740906466799998</v>
      </c>
      <c r="G16" s="102">
        <v>-56.476632351499994</v>
      </c>
      <c r="H16" s="102">
        <v>-84.228300872899993</v>
      </c>
      <c r="I16" s="102">
        <v>-185.87788940909999</v>
      </c>
      <c r="J16" s="102">
        <v>2.9747463488999997</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367</v>
      </c>
      <c r="B1" s="124"/>
      <c r="C1" s="124"/>
      <c r="D1" s="124"/>
      <c r="E1" s="124"/>
      <c r="F1" s="124"/>
    </row>
    <row r="2" spans="1:6" x14ac:dyDescent="0.25">
      <c r="A2" s="51" t="s">
        <v>368</v>
      </c>
      <c r="B2" s="50" t="s">
        <v>369</v>
      </c>
      <c r="C2" s="50" t="s">
        <v>370</v>
      </c>
      <c r="D2" s="50" t="s">
        <v>371</v>
      </c>
      <c r="E2" s="50" t="s">
        <v>316</v>
      </c>
      <c r="F2" s="50" t="s">
        <v>372</v>
      </c>
    </row>
    <row r="3" spans="1:6" ht="48" customHeight="1" x14ac:dyDescent="0.25">
      <c r="A3" s="104">
        <v>43252</v>
      </c>
      <c r="B3" s="52" t="s">
        <v>373</v>
      </c>
      <c r="C3" s="105" t="s">
        <v>374</v>
      </c>
      <c r="D3" s="105"/>
      <c r="E3" s="52" t="s">
        <v>375</v>
      </c>
      <c r="F3" s="105" t="s">
        <v>376</v>
      </c>
    </row>
    <row r="4" spans="1:6" ht="49.5" customHeight="1" x14ac:dyDescent="0.25">
      <c r="A4" s="104">
        <v>43241</v>
      </c>
      <c r="B4" s="52" t="s">
        <v>377</v>
      </c>
      <c r="C4" s="105" t="s">
        <v>378</v>
      </c>
      <c r="D4" s="105"/>
      <c r="E4" s="52" t="s">
        <v>323</v>
      </c>
      <c r="F4" s="105" t="s">
        <v>379</v>
      </c>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0" spans="1:6" x14ac:dyDescent="0.25">
      <c r="A20" s="143" t="s">
        <v>380</v>
      </c>
      <c r="B20" s="143"/>
      <c r="C20" s="143"/>
      <c r="D20" s="143"/>
      <c r="E20" s="143"/>
      <c r="F20" s="143"/>
    </row>
    <row r="21" spans="1:6" x14ac:dyDescent="0.25">
      <c r="A21" s="84" t="s">
        <v>368</v>
      </c>
      <c r="B21" s="84" t="s">
        <v>369</v>
      </c>
      <c r="C21" s="84" t="s">
        <v>381</v>
      </c>
      <c r="D21" s="84" t="s">
        <v>382</v>
      </c>
      <c r="E21" s="84" t="s">
        <v>316</v>
      </c>
      <c r="F21" s="84" t="s">
        <v>372</v>
      </c>
    </row>
    <row r="22" spans="1:6" x14ac:dyDescent="0.25">
      <c r="A22" s="107">
        <v>43403</v>
      </c>
      <c r="B22" s="58" t="s">
        <v>383</v>
      </c>
      <c r="C22" s="108" t="s">
        <v>384</v>
      </c>
      <c r="D22" s="108"/>
      <c r="E22" s="58" t="s">
        <v>326</v>
      </c>
      <c r="F22" s="108" t="s">
        <v>385</v>
      </c>
    </row>
    <row r="23" spans="1:6" x14ac:dyDescent="0.25">
      <c r="A23" s="107">
        <v>43276</v>
      </c>
      <c r="B23" s="58" t="s">
        <v>386</v>
      </c>
      <c r="C23" s="108" t="s">
        <v>387</v>
      </c>
      <c r="D23" s="108"/>
      <c r="E23" s="58" t="s">
        <v>388</v>
      </c>
      <c r="F23" s="108" t="s">
        <v>389</v>
      </c>
    </row>
  </sheetData>
  <mergeCells count="2">
    <mergeCell ref="A1:F1"/>
    <mergeCell ref="A20:F20"/>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390</v>
      </c>
      <c r="B1" s="124"/>
      <c r="C1" s="124"/>
      <c r="D1" s="124"/>
      <c r="E1" s="124"/>
      <c r="F1" s="124"/>
      <c r="G1" s="124"/>
      <c r="H1" s="124"/>
      <c r="I1" s="124"/>
      <c r="J1" s="124"/>
      <c r="K1" s="124"/>
      <c r="L1" s="124"/>
      <c r="M1" s="124"/>
      <c r="N1" s="124"/>
    </row>
    <row r="2" spans="1:18" s="1" customFormat="1" ht="25.5" customHeight="1" x14ac:dyDescent="0.25">
      <c r="A2" s="55" t="s">
        <v>391</v>
      </c>
      <c r="B2" s="55" t="s">
        <v>392</v>
      </c>
      <c r="C2" s="55" t="s">
        <v>393</v>
      </c>
      <c r="D2" s="55" t="s">
        <v>394</v>
      </c>
      <c r="E2" s="55" t="s">
        <v>395</v>
      </c>
      <c r="F2" s="55" t="s">
        <v>396</v>
      </c>
      <c r="G2" s="55" t="s">
        <v>397</v>
      </c>
      <c r="H2" s="55" t="s">
        <v>16</v>
      </c>
      <c r="I2" s="55" t="s">
        <v>398</v>
      </c>
      <c r="J2" s="55" t="s">
        <v>399</v>
      </c>
      <c r="K2" s="55" t="s">
        <v>400</v>
      </c>
      <c r="L2" s="55" t="s">
        <v>401</v>
      </c>
      <c r="M2" s="55" t="s">
        <v>19</v>
      </c>
      <c r="N2" s="55" t="s">
        <v>402</v>
      </c>
      <c r="O2" s="3"/>
      <c r="P2" s="110" t="str">
        <f ca="1">Q2</f>
        <v>2019-04-09</v>
      </c>
      <c r="Q2" s="1" t="str">
        <f ca="1">[1]!td(R2-1)</f>
        <v>2019-04-09</v>
      </c>
      <c r="R2" s="3">
        <f ca="1">TODAY()</f>
        <v>43565</v>
      </c>
    </row>
    <row r="3" spans="1:18" ht="15.75" customHeight="1" x14ac:dyDescent="0.25">
      <c r="A3" s="111" t="str">
        <f>[1]!b_info_name(L3)</f>
        <v>19广新控股MTN002</v>
      </c>
      <c r="B3" s="2" t="str">
        <f>[1]!b_issue_firstissue(L3)</f>
        <v>2019-04-11</v>
      </c>
      <c r="C3" s="111">
        <f>[1]!b_info_term(L3)</f>
        <v>3</v>
      </c>
      <c r="D3" s="112" t="str">
        <f>[1]!issuerrating(L3)</f>
        <v>AAA</v>
      </c>
      <c r="E3" s="112" t="str">
        <f>[1]!b_info_creditrating(L3)</f>
        <v>AAA</v>
      </c>
      <c r="F3" s="111" t="str">
        <f>[1]!b_rate_creditratingagency(L3)</f>
        <v>上海新世纪资信评估投资服务有限公司</v>
      </c>
      <c r="G3" s="113">
        <f>[1]!b_agency_guarantor(L3)</f>
        <v>0</v>
      </c>
      <c r="H3" s="114" t="s">
        <v>403</v>
      </c>
      <c r="I3" s="66"/>
      <c r="J3" s="115" t="s">
        <v>403</v>
      </c>
      <c r="K3" s="116"/>
      <c r="L3" s="41" t="str">
        <f>公式页!A2</f>
        <v>q19030105.IB</v>
      </c>
      <c r="M3" s="114" t="s">
        <v>403</v>
      </c>
      <c r="N3" s="111" t="str">
        <f>[1]!b_agency_leadunderwriter(L3)</f>
        <v>中国建设银行股份有限公司,中信证券股份有限公司</v>
      </c>
      <c r="P3" s="109" t="str">
        <f t="shared" ref="P3:P29" ca="1" si="0">$P$2</f>
        <v>2019-04-09</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3.6543999999999999</v>
      </c>
      <c r="K4" s="116">
        <f>K3</f>
        <v>0</v>
      </c>
      <c r="L4" s="4" t="s">
        <v>404</v>
      </c>
      <c r="M4" s="114">
        <f>[1]!b_info_issueamount(L4)/100000000</f>
        <v>5</v>
      </c>
      <c r="N4" s="111" t="str">
        <f>[1]!b_agency_leadunderwriter(L4)</f>
        <v>上海浦东发展银行股份有限公司,中国国际金融股份有限公司</v>
      </c>
      <c r="P4" s="109" t="str">
        <f t="shared" ca="1" si="0"/>
        <v>2019-04-09</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2019-04-09</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2019-04-09</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2019-04-09</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2019-04-09</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2019-04-09</v>
      </c>
    </row>
    <row r="10" spans="1:18" x14ac:dyDescent="0.25">
      <c r="P10" s="109" t="str">
        <f t="shared" ca="1" si="0"/>
        <v>2019-04-09</v>
      </c>
    </row>
    <row r="11" spans="1:18" x14ac:dyDescent="0.25">
      <c r="P11" s="109" t="str">
        <f t="shared" ca="1" si="0"/>
        <v>2019-04-09</v>
      </c>
    </row>
    <row r="12" spans="1:18" x14ac:dyDescent="0.25">
      <c r="A12" s="150" t="s">
        <v>405</v>
      </c>
      <c r="B12" s="124"/>
      <c r="C12" s="124"/>
      <c r="D12" s="124"/>
      <c r="E12" s="124"/>
      <c r="F12" s="124"/>
      <c r="G12" s="124"/>
      <c r="H12" s="124"/>
      <c r="I12" s="124"/>
      <c r="J12" s="124"/>
      <c r="K12" s="124"/>
      <c r="L12" s="124"/>
      <c r="M12" s="124"/>
      <c r="N12" s="124"/>
      <c r="P12" s="109" t="str">
        <f t="shared" ca="1" si="0"/>
        <v>2019-04-09</v>
      </c>
    </row>
    <row r="13" spans="1:18" s="1" customFormat="1" ht="43.2" customHeight="1" x14ac:dyDescent="0.25">
      <c r="A13" s="55" t="s">
        <v>391</v>
      </c>
      <c r="B13" s="55" t="s">
        <v>392</v>
      </c>
      <c r="C13" s="55" t="s">
        <v>393</v>
      </c>
      <c r="D13" s="55" t="s">
        <v>394</v>
      </c>
      <c r="E13" s="55" t="s">
        <v>395</v>
      </c>
      <c r="F13" s="55" t="s">
        <v>396</v>
      </c>
      <c r="G13" s="55" t="s">
        <v>397</v>
      </c>
      <c r="H13" s="55" t="s">
        <v>16</v>
      </c>
      <c r="I13" s="55" t="s">
        <v>398</v>
      </c>
      <c r="J13" s="55" t="s">
        <v>399</v>
      </c>
      <c r="K13" s="55" t="s">
        <v>400</v>
      </c>
      <c r="L13" s="55" t="s">
        <v>401</v>
      </c>
      <c r="M13" s="55" t="s">
        <v>19</v>
      </c>
      <c r="N13" s="55" t="s">
        <v>402</v>
      </c>
      <c r="P13" s="109" t="str">
        <f t="shared" ca="1" si="0"/>
        <v>2019-04-09</v>
      </c>
    </row>
    <row r="14" spans="1:18" ht="15.75" customHeight="1" x14ac:dyDescent="0.25">
      <c r="A14" s="111" t="str">
        <f>[1]!b_info_name(L14)</f>
        <v>19广新控股MTN002</v>
      </c>
      <c r="B14" s="2" t="str">
        <f>[1]!b_issue_firstissue(L14)</f>
        <v>2019-04-11</v>
      </c>
      <c r="C14" s="111">
        <f>[1]!b_info_term(L14)</f>
        <v>3</v>
      </c>
      <c r="D14" s="112" t="str">
        <f>[1]!issuerrating(L14)</f>
        <v>AAA</v>
      </c>
      <c r="E14" s="112" t="str">
        <f>[1]!b_info_creditrating(L14)</f>
        <v>AAA</v>
      </c>
      <c r="F14" s="111" t="str">
        <f>[1]!b_rate_creditratingagency(L14)</f>
        <v>上海新世纪资信评估投资服务有限公司</v>
      </c>
      <c r="G14" s="113">
        <f>[1]!b_agency_guarantor(L14)</f>
        <v>0</v>
      </c>
      <c r="H14" s="114" t="s">
        <v>403</v>
      </c>
      <c r="I14" s="66"/>
      <c r="J14" s="115" t="s">
        <v>403</v>
      </c>
      <c r="K14" s="116">
        <f>K3</f>
        <v>0</v>
      </c>
      <c r="L14" s="42" t="str">
        <f>L3</f>
        <v>q19030105.IB</v>
      </c>
      <c r="M14" s="114" t="s">
        <v>403</v>
      </c>
      <c r="N14" s="111" t="str">
        <f>[1]!b_agency_leadunderwriter(L14)</f>
        <v>中国建设银行股份有限公司,中信证券股份有限公司</v>
      </c>
      <c r="P14" s="109" t="str">
        <f t="shared" ca="1" si="0"/>
        <v>2019-04-09</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406</v>
      </c>
      <c r="M15" s="114">
        <f>[1]!b_info_issueamount(L15)/100000000</f>
        <v>5</v>
      </c>
      <c r="N15" s="111" t="str">
        <f>[1]!b_agency_leadunderwriter(L15)</f>
        <v>招商银行股份有限公司</v>
      </c>
      <c r="O15" t="str">
        <f>[1]!b_issuer_windindustry(L15,4)</f>
        <v>西药</v>
      </c>
      <c r="P15" s="109" t="str">
        <f t="shared" ca="1" si="0"/>
        <v>2019-04-09</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407</v>
      </c>
      <c r="M16" s="114">
        <f>[1]!b_info_issueamount(L16)/100000000</f>
        <v>6</v>
      </c>
      <c r="N16" s="111" t="str">
        <f>[1]!b_agency_leadunderwriter(L16)</f>
        <v>北京银行股份有限公司</v>
      </c>
      <c r="O16" t="str">
        <f>[1]!b_issuer_windindustry(L16,4)</f>
        <v>化肥与农用化工</v>
      </c>
      <c r="P16" s="109" t="str">
        <f t="shared" ca="1" si="0"/>
        <v>2019-04-09</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408</v>
      </c>
      <c r="M17" s="114">
        <f>[1]!b_info_issueamount(L17)/100000000</f>
        <v>3.5</v>
      </c>
      <c r="N17" s="111" t="str">
        <f>[1]!b_agency_leadunderwriter(L17)</f>
        <v>华夏银行股份有限公司</v>
      </c>
      <c r="O17" t="str">
        <f>[1]!b_issuer_windindustry(L17,4)</f>
        <v>食品加工与肉类</v>
      </c>
      <c r="P17" s="109" t="str">
        <f t="shared" ca="1" si="0"/>
        <v>2019-04-09</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409</v>
      </c>
      <c r="M18" s="114">
        <f>[1]!b_info_issueamount(L18)/100000000</f>
        <v>3</v>
      </c>
      <c r="N18" s="111" t="str">
        <f>[1]!b_agency_leadunderwriter(L18)</f>
        <v>兴业银行股份有限公司</v>
      </c>
      <c r="O18" t="str">
        <f>[1]!b_issuer_windindustry(L18,4)</f>
        <v>工业机械</v>
      </c>
      <c r="P18" s="109" t="str">
        <f t="shared" ca="1" si="0"/>
        <v>2019-04-09</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410</v>
      </c>
      <c r="M19" s="114">
        <f>[1]!b_info_issueamount(L19)/100000000</f>
        <v>3</v>
      </c>
      <c r="N19" s="111" t="str">
        <f>[1]!b_agency_leadunderwriter(L19)</f>
        <v>中国银行股份有限公司</v>
      </c>
      <c r="O19" t="str">
        <f>[1]!b_issuer_windindustry(L19,4)</f>
        <v>半导体产品</v>
      </c>
      <c r="P19" s="109" t="str">
        <f t="shared" ca="1" si="0"/>
        <v>2019-04-09</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411</v>
      </c>
      <c r="M20" s="114">
        <f>[1]!b_info_issueamount(L20)/100000000</f>
        <v>5</v>
      </c>
      <c r="N20" s="111" t="str">
        <f>[1]!b_agency_leadunderwriter(L20)</f>
        <v>中国银行股份有限公司</v>
      </c>
      <c r="O20" t="str">
        <f>[1]!b_issuer_windindustry(L20,4)</f>
        <v>医疗保健用品</v>
      </c>
      <c r="P20" s="109" t="str">
        <f t="shared" ca="1" si="0"/>
        <v>2019-04-09</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412</v>
      </c>
      <c r="M21" s="114">
        <f>[1]!b_info_issueamount(L21)/100000000</f>
        <v>2</v>
      </c>
      <c r="N21" s="111" t="str">
        <f>[1]!b_agency_leadunderwriter(L21)</f>
        <v>中国银行股份有限公司</v>
      </c>
      <c r="O21" t="str">
        <f>[1]!b_issuer_windindustry(L21,4)</f>
        <v>食品加工与肉类</v>
      </c>
      <c r="P21" s="109" t="str">
        <f t="shared" ca="1" si="0"/>
        <v>2019-04-09</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413</v>
      </c>
      <c r="M22" s="114">
        <f>[1]!b_info_issueamount(L22)/100000000</f>
        <v>4</v>
      </c>
      <c r="N22" s="111" t="str">
        <f>[1]!b_agency_leadunderwriter(L22)</f>
        <v>中国工商银行股份有限公司</v>
      </c>
      <c r="O22" t="str">
        <f>[1]!b_issuer_windindustry(L22,4)</f>
        <v>酒店、度假村与豪华游轮</v>
      </c>
      <c r="P22" s="109" t="str">
        <f t="shared" ca="1" si="0"/>
        <v>2019-04-09</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414</v>
      </c>
      <c r="M23" s="114">
        <f>[1]!b_info_issueamount(L23)/100000000</f>
        <v>4</v>
      </c>
      <c r="N23" s="111" t="str">
        <f>[1]!b_agency_leadunderwriter(L23)</f>
        <v>中国银行股份有限公司</v>
      </c>
      <c r="O23" t="str">
        <f>[1]!b_issuer_windindustry(L23,4)</f>
        <v>金属非金属</v>
      </c>
      <c r="P23" s="109" t="str">
        <f t="shared" ca="1" si="0"/>
        <v>2019-04-09</v>
      </c>
    </row>
    <row r="24" spans="1:16" x14ac:dyDescent="0.25">
      <c r="P24" s="109" t="str">
        <f t="shared" ca="1" si="0"/>
        <v>2019-04-09</v>
      </c>
    </row>
    <row r="25" spans="1:16" x14ac:dyDescent="0.25">
      <c r="P25" s="109" t="str">
        <f t="shared" ca="1" si="0"/>
        <v>2019-04-09</v>
      </c>
    </row>
    <row r="26" spans="1:16" x14ac:dyDescent="0.25">
      <c r="P26" s="109" t="str">
        <f t="shared" ca="1" si="0"/>
        <v>2019-04-09</v>
      </c>
    </row>
    <row r="27" spans="1:16" x14ac:dyDescent="0.25">
      <c r="P27" s="109" t="str">
        <f t="shared" ca="1" si="0"/>
        <v>2019-04-09</v>
      </c>
    </row>
    <row r="28" spans="1:16" x14ac:dyDescent="0.25">
      <c r="P28" s="109" t="str">
        <f t="shared" ca="1" si="0"/>
        <v>2019-04-09</v>
      </c>
    </row>
    <row r="29" spans="1:16" x14ac:dyDescent="0.25">
      <c r="P29" s="109" t="str">
        <f t="shared" ca="1" si="0"/>
        <v>2019-04-09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2019-04-10T07:55:53Z</dcterms:modified>
</cp:coreProperties>
</file>