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E8B3B24C-0565-4619-A0FE-E7AD3D86BA11}" xr6:coauthVersionLast="43" xr6:coauthVersionMax="43" xr10:uidLastSave="{00000000-0000-0000-0000-000000000000}"/>
  <bookViews>
    <workbookView xWindow="-108" yWindow="-108" windowWidth="23256" windowHeight="12576" activeTab="1"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M21" i="6"/>
  <c r="G20" i="6"/>
  <c r="D19" i="6"/>
  <c r="A18" i="6"/>
  <c r="N16" i="6"/>
  <c r="H15" i="6"/>
  <c r="G14" i="6"/>
  <c r="E4"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O23" i="6"/>
  <c r="F21" i="6"/>
  <c r="C20" i="6"/>
  <c r="M17" i="6"/>
  <c r="G16" i="6"/>
  <c r="D15" i="6"/>
  <c r="C14" i="6"/>
  <c r="H9" i="6"/>
  <c r="F7" i="6"/>
  <c r="G6" i="6"/>
  <c r="H5" i="6"/>
  <c r="B4" i="6"/>
  <c r="D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H23" i="6"/>
  <c r="E22" i="6"/>
  <c r="B21" i="6"/>
  <c r="O19" i="6"/>
  <c r="F17" i="6"/>
  <c r="C16" i="6"/>
  <c r="D9" i="6"/>
  <c r="E8" i="6"/>
  <c r="B7" i="6"/>
  <c r="C6" i="6"/>
  <c r="D5" i="6"/>
  <c r="A4" i="6"/>
  <c r="C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D23" i="6"/>
  <c r="E18" i="6"/>
  <c r="N9" i="6"/>
  <c r="A8" i="6"/>
  <c r="N5" i="6"/>
  <c r="F4" i="6"/>
  <c r="M137" i="1"/>
  <c r="O131" i="1"/>
  <c r="M128" i="1"/>
  <c r="M123" i="1"/>
  <c r="D112" i="1"/>
  <c r="L103" i="1"/>
  <c r="G101" i="1"/>
  <c r="E100" i="1"/>
  <c r="C99" i="1"/>
  <c r="R97" i="1"/>
  <c r="P96" i="1"/>
  <c r="C95" i="1"/>
  <c r="B94" i="1"/>
  <c r="C93" i="1"/>
  <c r="D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A22" i="6"/>
  <c r="B17" i="6"/>
  <c r="O135" i="1"/>
  <c r="S130" i="1"/>
  <c r="O127" i="1"/>
  <c r="E102" i="1"/>
  <c r="C101" i="1"/>
  <c r="R99" i="1"/>
  <c r="P98" i="1"/>
  <c r="N97" i="1"/>
  <c r="L96" i="1"/>
  <c r="F94" i="1"/>
  <c r="G93" i="1"/>
  <c r="B93"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N20" i="6"/>
  <c r="O15" i="6"/>
  <c r="M6" i="6"/>
  <c r="A5" i="6"/>
  <c r="Q2" i="6"/>
  <c r="M141" i="1"/>
  <c r="M134" i="1"/>
  <c r="S110" i="1"/>
  <c r="R101" i="1"/>
  <c r="P100" i="1"/>
  <c r="N99" i="1"/>
  <c r="L98" i="1"/>
  <c r="G97" i="1"/>
  <c r="E96" i="1"/>
  <c r="E94" i="1"/>
  <c r="F93" i="1"/>
  <c r="F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H19" i="6"/>
  <c r="M139" i="1"/>
  <c r="G99" i="1"/>
  <c r="D94" i="1"/>
  <c r="B91" i="1"/>
  <c r="D88" i="1"/>
  <c r="F85" i="1"/>
  <c r="B83" i="1"/>
  <c r="D80" i="1"/>
  <c r="F77" i="1"/>
  <c r="B75" i="1"/>
  <c r="D72" i="1"/>
  <c r="F69" i="1"/>
  <c r="B67" i="1"/>
  <c r="D64" i="1"/>
  <c r="F61" i="1"/>
  <c r="B59" i="1"/>
  <c r="D56" i="1"/>
  <c r="F53" i="1"/>
  <c r="B51" i="1"/>
  <c r="D48" i="1"/>
  <c r="E46" i="1"/>
  <c r="C45" i="1"/>
  <c r="G43" i="1"/>
  <c r="E42" i="1"/>
  <c r="C41" i="1"/>
  <c r="G39" i="1"/>
  <c r="E38" i="1"/>
  <c r="C37" i="1"/>
  <c r="G35" i="1"/>
  <c r="E34" i="1"/>
  <c r="C33" i="1"/>
  <c r="G31" i="1"/>
  <c r="B31" i="1"/>
  <c r="C30" i="1"/>
  <c r="N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G95" i="1"/>
  <c r="B89" i="1"/>
  <c r="B81" i="1"/>
  <c r="B73" i="1"/>
  <c r="B65" i="1"/>
  <c r="B57" i="1"/>
  <c r="B49" i="1"/>
  <c r="D44" i="1"/>
  <c r="B39" i="1"/>
  <c r="B35" i="1"/>
  <c r="C31" i="1"/>
  <c r="G29" i="1"/>
  <c r="L28" i="1"/>
  <c r="N27" i="1"/>
  <c r="L26" i="1"/>
  <c r="G25" i="1"/>
  <c r="L24" i="1"/>
  <c r="N23" i="1"/>
  <c r="R21" i="1"/>
  <c r="C21" i="1"/>
  <c r="E20" i="1"/>
  <c r="G19" i="1"/>
  <c r="R17" i="1"/>
  <c r="C17" i="1"/>
  <c r="E16" i="1"/>
  <c r="G15" i="1"/>
  <c r="F9" i="1"/>
  <c r="S132" i="1"/>
  <c r="F113" i="1"/>
  <c r="P103" i="1"/>
  <c r="E98" i="1"/>
  <c r="D93" i="1"/>
  <c r="D90" i="1"/>
  <c r="F87" i="1"/>
  <c r="B85" i="1"/>
  <c r="D82" i="1"/>
  <c r="F79" i="1"/>
  <c r="B77" i="1"/>
  <c r="D74" i="1"/>
  <c r="F71" i="1"/>
  <c r="B69" i="1"/>
  <c r="D66" i="1"/>
  <c r="F63" i="1"/>
  <c r="B61" i="1"/>
  <c r="D58" i="1"/>
  <c r="F55" i="1"/>
  <c r="B53" i="1"/>
  <c r="D50" i="1"/>
  <c r="F47" i="1"/>
  <c r="D46" i="1"/>
  <c r="B45" i="1"/>
  <c r="F43" i="1"/>
  <c r="D42" i="1"/>
  <c r="B41" i="1"/>
  <c r="F39" i="1"/>
  <c r="D38" i="1"/>
  <c r="B37" i="1"/>
  <c r="F35" i="1"/>
  <c r="D34" i="1"/>
  <c r="B33" i="1"/>
  <c r="F31" i="1"/>
  <c r="G30" i="1"/>
  <c r="R29" i="1"/>
  <c r="M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F91" i="1"/>
  <c r="D86" i="1"/>
  <c r="D78" i="1"/>
  <c r="D70" i="1"/>
  <c r="D62" i="1"/>
  <c r="F51" i="1"/>
  <c r="F45" i="1"/>
  <c r="F41" i="1"/>
  <c r="D40" i="1"/>
  <c r="D36" i="1"/>
  <c r="D32" i="1"/>
  <c r="D30" i="1"/>
  <c r="C29" i="1"/>
  <c r="E28" i="1"/>
  <c r="G27" i="1"/>
  <c r="P26" i="1"/>
  <c r="R25" i="1"/>
  <c r="C25" i="1"/>
  <c r="E24" i="1"/>
  <c r="G23" i="1"/>
  <c r="N21" i="1"/>
  <c r="P20" i="1"/>
  <c r="R19" i="1"/>
  <c r="C19" i="1"/>
  <c r="G17" i="1"/>
  <c r="L16" i="1"/>
  <c r="R15" i="1"/>
  <c r="C15" i="1"/>
  <c r="E14" i="1"/>
  <c r="F7" i="1"/>
  <c r="D110" i="1"/>
  <c r="N101" i="1"/>
  <c r="C97" i="1"/>
  <c r="E92" i="1"/>
  <c r="F89" i="1"/>
  <c r="B87" i="1"/>
  <c r="D84" i="1"/>
  <c r="F81" i="1"/>
  <c r="B79" i="1"/>
  <c r="D76" i="1"/>
  <c r="F73" i="1"/>
  <c r="B71" i="1"/>
  <c r="D68" i="1"/>
  <c r="F65" i="1"/>
  <c r="B63" i="1"/>
  <c r="D60" i="1"/>
  <c r="F57" i="1"/>
  <c r="B55" i="1"/>
  <c r="D52" i="1"/>
  <c r="F49" i="1"/>
  <c r="C47" i="1"/>
  <c r="G45" i="1"/>
  <c r="E44" i="1"/>
  <c r="C43" i="1"/>
  <c r="G41" i="1"/>
  <c r="E40" i="1"/>
  <c r="C39" i="1"/>
  <c r="G37" i="1"/>
  <c r="E36" i="1"/>
  <c r="C35" i="1"/>
  <c r="G33" i="1"/>
  <c r="E32" i="1"/>
  <c r="E31" i="1"/>
  <c r="E30" i="1"/>
  <c r="Q29" i="1"/>
  <c r="L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L100" i="1"/>
  <c r="F83" i="1"/>
  <c r="F75" i="1"/>
  <c r="F67" i="1"/>
  <c r="F59" i="1"/>
  <c r="D54" i="1"/>
  <c r="B47" i="1"/>
  <c r="B43" i="1"/>
  <c r="F37" i="1"/>
  <c r="F33" i="1"/>
  <c r="P29" i="1"/>
  <c r="P28" i="1"/>
  <c r="R27" i="1"/>
  <c r="C27" i="1"/>
  <c r="E26" i="1"/>
  <c r="N25" i="1"/>
  <c r="P24" i="1"/>
  <c r="R23" i="1"/>
  <c r="C23" i="1"/>
  <c r="E22" i="1"/>
  <c r="G21" i="1"/>
  <c r="L20" i="1"/>
  <c r="N19" i="1"/>
  <c r="E18" i="1"/>
  <c r="N17" i="1"/>
  <c r="P16" i="1"/>
  <c r="N15" i="1"/>
  <c r="F11" i="1"/>
  <c r="B5" i="1"/>
  <c r="H122" i="1" l="1"/>
  <c r="B129" i="1"/>
  <c r="H110" i="1"/>
  <c r="B124" i="1"/>
  <c r="B131" i="1"/>
  <c r="P2" i="6"/>
  <c r="L22" i="1"/>
  <c r="D117" i="1"/>
  <c r="H120" i="1"/>
  <c r="D125" i="1"/>
  <c r="P22" i="1"/>
  <c r="B118" i="1"/>
  <c r="D121" i="1"/>
  <c r="B127"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J4" i="6"/>
  <c r="P29" i="6" l="1"/>
  <c r="P25" i="6"/>
  <c r="P21" i="6"/>
  <c r="P17" i="6"/>
  <c r="P11" i="6"/>
  <c r="P7" i="6"/>
  <c r="P3" i="6"/>
  <c r="P28" i="6"/>
  <c r="P24" i="6"/>
  <c r="P20" i="6"/>
  <c r="P16" i="6"/>
  <c r="P10" i="6"/>
  <c r="P6" i="6"/>
  <c r="P27" i="6"/>
  <c r="P23" i="6"/>
  <c r="P19" i="6"/>
  <c r="P15" i="6"/>
  <c r="P13" i="6"/>
  <c r="P9" i="6"/>
  <c r="P5" i="6"/>
  <c r="P26" i="6"/>
  <c r="P22" i="6"/>
  <c r="P4" i="6"/>
  <c r="P18" i="6"/>
  <c r="P14" i="6"/>
  <c r="P12" i="6"/>
  <c r="P8" i="6"/>
  <c r="J23" i="6"/>
  <c r="J5" i="6"/>
  <c r="J18" i="6"/>
  <c r="J6" i="6"/>
  <c r="J19" i="6"/>
  <c r="J21" i="6"/>
  <c r="J7" i="6"/>
  <c r="J20" i="6"/>
  <c r="J9" i="6"/>
  <c r="J15" i="6"/>
  <c r="J8" i="6"/>
  <c r="J17" i="6"/>
  <c r="J16" i="6"/>
  <c r="J22" i="6"/>
</calcChain>
</file>

<file path=xl/sharedStrings.xml><?xml version="1.0" encoding="utf-8"?>
<sst xmlns="http://schemas.openxmlformats.org/spreadsheetml/2006/main" count="639" uniqueCount="258">
  <si>
    <t>q19040906.IB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</si>
  <si>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</si>
  <si>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</si>
  <si>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</si>
  <si>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</si>
  <si>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</si>
  <si>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</si>
  <si>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</si>
  <si>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</si>
  <si>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</si>
  <si>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</si>
  <si>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</si>
  <si>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</si>
  <si>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</si>
  <si>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</si>
  <si>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</si>
  <si>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</si>
  <si>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</si>
  <si>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</si>
  <si>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</si>
  <si>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</si>
  <si>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</si>
  <si>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</si>
  <si>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</si>
  <si>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</si>
  <si>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</si>
  <si>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</si>
  <si>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</si>
  <si>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</si>
  <si>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</si>
  <si>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</si>
  <si>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</si>
  <si>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</si>
  <si>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</si>
  <si>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</si>
  <si>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</si>
  <si>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</si>
  <si>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</si>
  <si>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</si>
  <si>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</si>
  <si>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</si>
  <si>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</si>
  <si>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</si>
  <si>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</si>
  <si>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</si>
  <si>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</si>
  <si>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</si>
  <si>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</si>
  <si>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</si>
  <si>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</si>
  <si>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</si>
  <si>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</si>
  <si>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</si>
  <si>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</si>
  <si>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</si>
  <si>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</si>
  <si>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</si>
  <si>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</si>
  <si>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</si>
  <si>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</si>
  <si>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</si>
  <si>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</si>
  <si>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</si>
  <si>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</si>
  <si>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</si>
  <si>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</si>
  <si>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</si>
  <si>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</si>
  <si>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</si>
  <si>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</si>
  <si>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</si>
  <si>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</si>
  <si>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</si>
  <si>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</si>
  <si>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</si>
  <si>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</si>
  <si>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</si>
  <si>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</si>
  <si>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</si>
  <si>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</si>
  <si>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</si>
  <si>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</si>
  <si>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</si>
  <si>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</si>
  <si>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</si>
  <si>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</si>
  <si>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</si>
  <si>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</si>
  <si>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</si>
  <si>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</si>
  <si>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</si>
  <si>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</si>
  <si>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</si>
  <si>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</si>
  <si>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</si>
  <si>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</si>
  <si>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</si>
  <si>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</si>
  <si>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</si>
  <si>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</si>
  <si>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</si>
  <si>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</si>
  <si>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</si>
  <si>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</si>
  <si>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</si>
  <si>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</si>
  <si>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</si>
  <si>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</si>
  <si>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</si>
  <si>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</si>
  <si>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</si>
  <si>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</si>
  <si>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</si>
  <si>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011900332.IB</t>
  </si>
  <si>
    <t>20190128</t>
  </si>
  <si>
    <t>19海运集装SCP001</t>
  </si>
  <si>
    <t>112808.SZ</t>
  </si>
  <si>
    <t>20181203</t>
  </si>
  <si>
    <t>18海集Y1</t>
  </si>
  <si>
    <t>011802286.IB</t>
  </si>
  <si>
    <t>20181122</t>
  </si>
  <si>
    <t>18海运集装SCP005</t>
  </si>
  <si>
    <t>011802123.IB</t>
  </si>
  <si>
    <t>20181101</t>
  </si>
  <si>
    <t>18海运集装SCP004</t>
  </si>
  <si>
    <t>101801217.IB</t>
  </si>
  <si>
    <t>20181024</t>
  </si>
  <si>
    <t>18海运集装MTN002</t>
  </si>
  <si>
    <t>101801157.IB</t>
  </si>
  <si>
    <t>20181015</t>
  </si>
  <si>
    <t>18海运集装MTN001</t>
  </si>
  <si>
    <t>011801251.IB</t>
  </si>
  <si>
    <t>20180709</t>
  </si>
  <si>
    <t>18海运集装SCP003</t>
  </si>
  <si>
    <t>011801208.IB</t>
  </si>
  <si>
    <t>20180629</t>
  </si>
  <si>
    <t>18海运集装SCP002</t>
  </si>
  <si>
    <t>011801074.IB</t>
  </si>
  <si>
    <t>20180615</t>
  </si>
  <si>
    <t>18海运集装SCP001</t>
  </si>
  <si>
    <t>011758103.IB</t>
  </si>
  <si>
    <t>20171018</t>
  </si>
  <si>
    <t>17海运集装SCP001</t>
  </si>
  <si>
    <t>101658060.IB</t>
  </si>
  <si>
    <t>20161013</t>
  </si>
  <si>
    <t>16海运集装MTN003</t>
  </si>
  <si>
    <t>011698480.IB</t>
  </si>
  <si>
    <t>20160920</t>
  </si>
  <si>
    <t>16海运集装SCP001</t>
  </si>
  <si>
    <t>101658047.IB</t>
  </si>
  <si>
    <t>20160818</t>
  </si>
  <si>
    <t>16海运集装MTN002</t>
  </si>
  <si>
    <t>101658044.IB</t>
  </si>
  <si>
    <t>20160809</t>
  </si>
  <si>
    <t>16海运集装MTN001</t>
  </si>
  <si>
    <t>101558022.IB</t>
  </si>
  <si>
    <t>20150612</t>
  </si>
  <si>
    <t>15中集MTN001</t>
  </si>
  <si>
    <t>1282170.IB</t>
  </si>
  <si>
    <t>20120522</t>
  </si>
  <si>
    <t>12中集MTN1</t>
  </si>
  <si>
    <t>1182167.IB</t>
  </si>
  <si>
    <t>20110520</t>
  </si>
  <si>
    <t>11中集MTN1</t>
  </si>
  <si>
    <t>历史主体评级</t>
  </si>
  <si>
    <t>发布日期</t>
  </si>
  <si>
    <t>主体资信级别</t>
  </si>
  <si>
    <t>评级展望</t>
  </si>
  <si>
    <t>评级机构</t>
  </si>
  <si>
    <t>20181126</t>
  </si>
  <si>
    <t>AAA</t>
  </si>
  <si>
    <t>稳定</t>
  </si>
  <si>
    <t>中诚信国际信用评级有限责任公司</t>
  </si>
  <si>
    <t>20181119</t>
  </si>
  <si>
    <t>中诚信证券评估有限公司</t>
  </si>
  <si>
    <t>20180620</t>
  </si>
  <si>
    <t>20170725</t>
  </si>
  <si>
    <t>20170627</t>
  </si>
  <si>
    <t>20160912</t>
  </si>
  <si>
    <t>20160810</t>
  </si>
  <si>
    <t>20160628</t>
  </si>
  <si>
    <t>20160607</t>
  </si>
  <si>
    <t>20150624</t>
  </si>
  <si>
    <t>20150313</t>
  </si>
  <si>
    <t>20140623</t>
  </si>
  <si>
    <t>20130621</t>
  </si>
  <si>
    <t>20121231</t>
  </si>
  <si>
    <t>20120413</t>
  </si>
  <si>
    <t>20110407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</si>
  <si>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</si>
  <si>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</si>
  <si>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</si>
  <si>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</si>
  <si>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</si>
  <si>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</si>
  <si>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</si>
  <si>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</si>
  <si>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</si>
  <si>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</si>
  <si>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</si>
  <si>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</si>
  <si>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</si>
  <si>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</si>
  <si>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</si>
  <si>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</si>
  <si>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</si>
  <si>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</si>
  <si>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</si>
  <si>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</si>
  <si>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</si>
  <si>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</si>
  <si>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</si>
  <si>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</si>
  <si>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</si>
  <si>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</si>
  <si>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</si>
  <si>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</si>
  <si>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</si>
  <si>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</si>
  <si>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</si>
  <si>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</si>
  <si>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</si>
  <si>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</si>
  <si>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</si>
  <si>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</si>
  <si>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</si>
  <si>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</si>
  <si>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</si>
  <si>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</si>
  <si>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</si>
  <si>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</si>
  <si>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</si>
  <si>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</si>
  <si>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</si>
  <si>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</si>
  <si>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</si>
  <si>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</si>
  <si>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</si>
  <si>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</si>
  <si>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</si>
  <si>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</si>
  <si>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</si>
  <si>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</si>
  <si>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</si>
  <si>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</si>
  <si>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</si>
  <si>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</si>
  <si>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中国国际海运集装箱(集团)股份有限公司</t>
  </si>
  <si>
    <t>公众企业</t>
  </si>
  <si>
    <t>工业--资本货物--机械--工业机械</t>
  </si>
  <si>
    <t>广东省深圳市南山区蛇口港湾大道2号中集集团研发中心8楼</t>
  </si>
  <si>
    <t>公司是世界领先的物流装备和能源装备供应商，总部位于中国深圳。公司致力于在如下主要业务领域：集装箱、道路运输车辆、能源化工及食品装备、海洋工程、物流服务、空港设备等，提供高品质与可信赖的装备和服务。支持这些业务蓬勃发展的有：提供专业资金管理的财务公司，以及提供金融解决方案的融资租赁公司。作为一家为全球市场服务的多元化跨国产业集团，中集在亚洲、北美、欧洲、澳洲等地区拥有300余家成员企业及3家上市公司，客户和销售网络分布在全球100多个国家和地区。</t>
  </si>
  <si>
    <t>香港中央结算(代理人)有限公司</t>
  </si>
  <si>
    <t>中远集装箱工业有限公司</t>
  </si>
  <si>
    <t>中国证券金融股份有限公司</t>
  </si>
  <si>
    <t>中央汇金资产管理有限责任公司</t>
  </si>
  <si>
    <t>中证500交易型开放式指数证券投资基金</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</si>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</sst>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中国国际海运集装箱(集团)股份有限公司</v>
      </c>
      <c r="C4" s="120"/>
      <c r="D4" s="57" t="s">
        <v>3</v>
      </c>
      <c r="E4" s="119" t="str">
        <f>[1]!s_info_nature(A2)</f>
        <v>公众企业</v>
      </c>
      <c r="F4" s="120"/>
      <c r="G4" s="120"/>
      <c r="H4" s="19"/>
    </row>
    <row r="5" spans="1:20" s="17" customFormat="1" ht="14.25" customHeight="1" x14ac:dyDescent="0.25">
      <c r="A5" s="57" t="s">
        <v>4</v>
      </c>
      <c r="B5" s="119" t="str">
        <f>[1]!b_issuer_windindustry(A2,9)</f>
        <v>工业--资本货物--机械--工业机械</v>
      </c>
      <c r="C5" s="120"/>
      <c r="D5" s="57" t="s">
        <v>5</v>
      </c>
      <c r="E5" s="119" t="str">
        <f>[1]!b_issuer_regaddress(A2)</f>
        <v>广东省深圳市南山区蛇口港湾大道2号中集集团研发中心8楼</v>
      </c>
      <c r="F5" s="120"/>
      <c r="G5" s="120"/>
    </row>
    <row r="6" spans="1:20" s="17" customFormat="1" ht="81" customHeight="1" x14ac:dyDescent="0.25">
      <c r="A6" s="57" t="s">
        <v>6</v>
      </c>
      <c r="B6" s="121" t="str">
        <f>[1]!s_info_briefing(A2)</f>
        <v>公司是世界领先的物流装备和能源装备供应商，总部位于中国深圳。公司致力于在如下主要业务领域：集装箱、道路运输车辆、能源化工及食品装备、海洋工程、物流服务、空港设备等，提供高品质与可信赖的装备和服务。支持这些业务蓬勃发展的有：提供专业资金管理的财务公司，以及提供金融解决方案的融资租赁公司。作为一家为全球市场服务的多元化跨国产业集团，中集在亚洲、北美、欧洲、澳洲等地区拥有300余家成员企业及3家上市公司，客户和销售网络分布在全球100多个国家和地区。</v>
      </c>
      <c r="C6" s="120"/>
      <c r="D6" s="120"/>
      <c r="E6" s="120"/>
      <c r="F6" s="120"/>
      <c r="G6" s="120"/>
    </row>
    <row r="7" spans="1:20" s="17" customFormat="1" x14ac:dyDescent="0.25">
      <c r="A7" s="59" t="s">
        <v>7</v>
      </c>
      <c r="B7" s="122" t="str">
        <f>[1]!b_issuer_shareholder(A2,"",1)</f>
        <v>香港中央结算(代理人)有限公司</v>
      </c>
      <c r="C7" s="120"/>
      <c r="D7" s="120"/>
      <c r="E7" s="120"/>
      <c r="F7" s="61">
        <f>[1]!b_issuer_propofshareholder($A$2,"",1)%</f>
        <v>0.57999999999999996</v>
      </c>
      <c r="G7" s="60"/>
      <c r="H7" s="20" t="s">
        <v>8</v>
      </c>
      <c r="M7" s="24">
        <v>42004</v>
      </c>
      <c r="N7" s="24">
        <v>42369</v>
      </c>
      <c r="O7" s="24">
        <v>41639</v>
      </c>
      <c r="P7" s="62" t="s">
        <v>9</v>
      </c>
      <c r="Q7" s="62" t="s">
        <v>10</v>
      </c>
      <c r="R7" s="62" t="s">
        <v>11</v>
      </c>
    </row>
    <row r="8" spans="1:20" s="17" customFormat="1" x14ac:dyDescent="0.25">
      <c r="A8" s="59"/>
      <c r="B8" s="122" t="str">
        <f>[1]!b_issuer_shareholder(A2,"",2)</f>
        <v>中远集装箱工业有限公司</v>
      </c>
      <c r="C8" s="120"/>
      <c r="D8" s="120"/>
      <c r="E8" s="120"/>
      <c r="F8" s="61">
        <f>[1]!b_issuer_propofshareholder($A$2,"",2)%</f>
        <v>0.14479999542236327</v>
      </c>
      <c r="G8" s="60"/>
      <c r="H8" s="20"/>
      <c r="M8" s="25"/>
      <c r="O8" s="25"/>
      <c r="P8" s="63"/>
    </row>
    <row r="9" spans="1:20" s="17" customFormat="1" x14ac:dyDescent="0.25">
      <c r="A9" s="59"/>
      <c r="B9" s="122" t="str">
        <f>[1]!b_issuer_shareholder(A2,"",3)</f>
        <v>中国证券金融股份有限公司</v>
      </c>
      <c r="C9" s="120"/>
      <c r="D9" s="120"/>
      <c r="E9" s="120"/>
      <c r="F9" s="61">
        <f>[1]!b_issuer_propofshareholder($A$2,"",3)%</f>
        <v>2.369999885559082E-2</v>
      </c>
      <c r="G9" s="60"/>
      <c r="H9" s="20"/>
      <c r="M9" s="25"/>
      <c r="O9" s="25"/>
      <c r="P9" s="63"/>
    </row>
    <row r="10" spans="1:20" s="17" customFormat="1" x14ac:dyDescent="0.25">
      <c r="A10" s="59"/>
      <c r="B10" s="122" t="str">
        <f>[1]!b_issuer_shareholder(A2,"",4)</f>
        <v>中央汇金资产管理有限责任公司</v>
      </c>
      <c r="C10" s="120"/>
      <c r="D10" s="120"/>
      <c r="E10" s="120"/>
      <c r="F10" s="61">
        <f>[1]!b_issuer_propofshareholder($A$2,"",4)%</f>
        <v>1.2699999809265138E-2</v>
      </c>
      <c r="G10" s="60"/>
      <c r="H10" s="20"/>
      <c r="M10" s="25"/>
      <c r="O10" s="25"/>
      <c r="P10" s="63"/>
    </row>
    <row r="11" spans="1:20" s="17" customFormat="1" x14ac:dyDescent="0.25">
      <c r="A11" s="59"/>
      <c r="B11" s="122" t="str">
        <f>[1]!b_issuer_shareholder(A2,"",5)</f>
        <v>中证500交易型开放式指数证券投资基金</v>
      </c>
      <c r="C11" s="120"/>
      <c r="D11" s="120"/>
      <c r="E11" s="120"/>
      <c r="F11" s="61">
        <f>[1]!b_issuer_propofshareholder($A$2,"",5)%</f>
        <v>3.1999999284744261E-3</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q19040906.IB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中国国际海运集装箱(集团)股份有限公司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公众企业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1306.0437899999999</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0.66894300000000007</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1.1474</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1.2005196006775054</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8.7800000000000003E-2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762.99929999999995</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0.99670000000000003</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0.18358099999999999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31.584150000000001</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8.1275E-2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42.753790000000002</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15317347000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377793000</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4085579000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24140168000</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7986500000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43237434000</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q19040906.IB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0.66894300000000007</v>
      </c>
      <c r="C109" s="54" t="s">
        <v>29</v>
      </c>
      <c r="D109" s="72">
        <f>[1]!s_fa_current(A2,B2)</f>
        <v>1.1474</v>
      </c>
      <c r="E109" s="54" t="s">
        <v>33</v>
      </c>
      <c r="F109" s="73">
        <f>[1]!s_fa_salescashintoor(A2,B2)/100</f>
        <v>0.99670000000000003</v>
      </c>
      <c r="G109" s="54" t="s">
        <v>34</v>
      </c>
      <c r="H109" s="12">
        <f>S109/100</f>
        <v>0.18358099999999999</v>
      </c>
      <c r="I109" s="54"/>
      <c r="J109" s="16"/>
      <c r="K109" s="25"/>
      <c r="L109" s="34" t="s">
        <v>53</v>
      </c>
      <c r="M109" s="74">
        <f>[1]!s_fa_debttoassets(A2,B2)</f>
        <v>66.894300000000001</v>
      </c>
      <c r="N109" s="54" t="s">
        <v>29</v>
      </c>
      <c r="O109" s="35"/>
      <c r="P109" s="54" t="s">
        <v>33</v>
      </c>
      <c r="Q109" s="35"/>
      <c r="R109" s="54" t="s">
        <v>34</v>
      </c>
      <c r="S109" s="75">
        <f>[1]!s_fa_grossprofitmargin(A2,B2)</f>
        <v>18.3581</v>
      </c>
    </row>
    <row r="110" spans="1:19" ht="15.75" customHeight="1" x14ac:dyDescent="0.25">
      <c r="A110" s="54" t="s">
        <v>54</v>
      </c>
      <c r="B110" s="12">
        <f>M110/100</f>
        <v>0.45176099999999997</v>
      </c>
      <c r="C110" s="54" t="s">
        <v>55</v>
      </c>
      <c r="D110" s="73">
        <f>[1]!s_fa_quick(A2,B2)</f>
        <v>0.77290000000000003</v>
      </c>
      <c r="E110" s="54" t="s">
        <v>56</v>
      </c>
      <c r="F110" s="72">
        <f>[1]!s_fa_arturn(A2,B2)</f>
        <v>5.4650999999999996</v>
      </c>
      <c r="G110" s="54" t="s">
        <v>57</v>
      </c>
      <c r="H110" s="12">
        <f>S110/100</f>
        <v>5.4675000000000001E-2</v>
      </c>
      <c r="I110" s="54"/>
      <c r="J110" s="16"/>
      <c r="L110" s="54" t="s">
        <v>54</v>
      </c>
      <c r="M110" s="74">
        <f>[1]!s_fa_catoassets(A2,B2)</f>
        <v>45.176099999999998</v>
      </c>
      <c r="N110" s="54" t="s">
        <v>55</v>
      </c>
      <c r="O110" s="35"/>
      <c r="P110" s="54" t="s">
        <v>56</v>
      </c>
      <c r="Q110" s="73"/>
      <c r="R110" s="54" t="s">
        <v>57</v>
      </c>
      <c r="S110" s="75">
        <f>[1]!s_fa_optogr(A2,B2)</f>
        <v>5.4675000000000002</v>
      </c>
    </row>
    <row r="111" spans="1:19" ht="15" customHeight="1" x14ac:dyDescent="0.25">
      <c r="A111" s="54" t="s">
        <v>58</v>
      </c>
      <c r="B111" s="12">
        <f>M111/100</f>
        <v>0.58857199999999998</v>
      </c>
      <c r="C111" s="54" t="s">
        <v>31</v>
      </c>
      <c r="D111" s="73">
        <f>[1]!s_fa_ebitdatodebt(A2,B2)</f>
        <v>8.7800000000000003E-2</v>
      </c>
      <c r="E111" s="54" t="s">
        <v>59</v>
      </c>
      <c r="F111" s="72">
        <f>[1]!s_fa_invturn(A2,B2)</f>
        <v>3.3976999999999999</v>
      </c>
      <c r="G111" s="54" t="s">
        <v>37</v>
      </c>
      <c r="H111" s="12">
        <f>S111/100</f>
        <v>8.1275E-2</v>
      </c>
      <c r="I111" s="54"/>
      <c r="J111" s="16"/>
      <c r="L111" s="54" t="s">
        <v>58</v>
      </c>
      <c r="M111" s="74">
        <f>[1]!s_fa_currentdebttodebt(A2,B2)</f>
        <v>58.857199999999999</v>
      </c>
      <c r="N111" s="54" t="s">
        <v>31</v>
      </c>
      <c r="O111" s="35"/>
      <c r="P111" s="54" t="s">
        <v>59</v>
      </c>
      <c r="Q111" s="35"/>
      <c r="R111" s="54" t="s">
        <v>37</v>
      </c>
      <c r="S111" s="75">
        <f>[1]!s_fa_roe(A2,B2)</f>
        <v>8.1274999999999995</v>
      </c>
    </row>
    <row r="112" spans="1:19" ht="14.25" customHeight="1" x14ac:dyDescent="0.25">
      <c r="A112" s="54" t="s">
        <v>30</v>
      </c>
      <c r="B112" s="76">
        <f>(M116+M117+M118+M119+M120+M121)/M123</f>
        <v>1.2005196006775054</v>
      </c>
      <c r="C112" s="54" t="s">
        <v>60</v>
      </c>
      <c r="D112" s="73">
        <f>[1]!s_fa_ebittointerest(A2,B2)</f>
        <v>3.7037</v>
      </c>
      <c r="E112" s="54" t="s">
        <v>61</v>
      </c>
      <c r="F112" s="72">
        <f>[1]!s_fa_caturn(A2,B2)</f>
        <v>1.3582000000000001</v>
      </c>
      <c r="G112" s="54" t="s">
        <v>62</v>
      </c>
      <c r="H112" s="12">
        <f>S112/100</f>
        <v>4.1772999999999998E-2</v>
      </c>
      <c r="I112" s="54"/>
      <c r="J112" s="16"/>
      <c r="L112" s="54" t="s">
        <v>30</v>
      </c>
      <c r="M112" s="77"/>
      <c r="N112" s="54" t="s">
        <v>60</v>
      </c>
      <c r="O112" s="35"/>
      <c r="P112" s="54" t="s">
        <v>61</v>
      </c>
      <c r="Q112" s="35"/>
      <c r="R112" s="54" t="s">
        <v>62</v>
      </c>
      <c r="S112" s="75">
        <f>[1]!s_fa_roa2(A2,B2)</f>
        <v>4.1772999999999998</v>
      </c>
    </row>
    <row r="113" spans="1:21" x14ac:dyDescent="0.25">
      <c r="A113" s="30"/>
      <c r="B113" s="31"/>
      <c r="C113" s="30"/>
      <c r="D113" s="32"/>
      <c r="E113" s="30" t="s">
        <v>63</v>
      </c>
      <c r="F113" s="78">
        <f>[1]!s_fa_dupont_faturnover(A2,B2)</f>
        <v>0.59789999999999999</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15317347000</v>
      </c>
    </row>
    <row r="117" spans="1:21" ht="14.25" customHeight="1" x14ac:dyDescent="0.25">
      <c r="A117" s="54" t="s">
        <v>69</v>
      </c>
      <c r="B117" s="73">
        <f t="shared" ref="B117:B131" si="1">M127/100000000</f>
        <v>55.963140000000003</v>
      </c>
      <c r="C117" s="54" t="s">
        <v>70</v>
      </c>
      <c r="D117" s="76">
        <f t="shared" ref="D117:D125" si="2">O127/100000000</f>
        <v>762.99929999999995</v>
      </c>
      <c r="E117" s="131" t="s">
        <v>71</v>
      </c>
      <c r="F117" s="124"/>
      <c r="G117" s="124"/>
      <c r="H117" s="132">
        <f t="shared" ref="H117:H131" si="3">S127/100000000</f>
        <v>760.44773999999995</v>
      </c>
      <c r="I117" s="124"/>
      <c r="J117" s="124"/>
      <c r="L117" s="17" t="s">
        <v>40</v>
      </c>
      <c r="M117" s="71">
        <f>[1]!b_stm07_bs(K107,82,L107,1)</f>
        <v>377793000</v>
      </c>
    </row>
    <row r="118" spans="1:21" ht="14.25" customHeight="1" x14ac:dyDescent="0.25">
      <c r="A118" s="54" t="s">
        <v>72</v>
      </c>
      <c r="B118" s="73">
        <f t="shared" si="1"/>
        <v>163.96726000000001</v>
      </c>
      <c r="C118" s="54" t="s">
        <v>73</v>
      </c>
      <c r="D118" s="76">
        <f t="shared" si="2"/>
        <v>733.35871999999995</v>
      </c>
      <c r="E118" s="131" t="s">
        <v>74</v>
      </c>
      <c r="F118" s="124"/>
      <c r="G118" s="124"/>
      <c r="H118" s="132">
        <f t="shared" si="3"/>
        <v>16.919260000000001</v>
      </c>
      <c r="I118" s="124"/>
      <c r="J118" s="124"/>
      <c r="L118" s="17" t="s">
        <v>41</v>
      </c>
      <c r="M118" s="71">
        <f>[1]!b_stm07_bs(K107,88,L107,1)</f>
        <v>4085579000</v>
      </c>
    </row>
    <row r="119" spans="1:21" ht="14.25" customHeight="1" x14ac:dyDescent="0.25">
      <c r="A119" s="54" t="s">
        <v>75</v>
      </c>
      <c r="B119" s="73">
        <f t="shared" si="1"/>
        <v>82.597359999999995</v>
      </c>
      <c r="C119" s="54" t="s">
        <v>76</v>
      </c>
      <c r="D119" s="76">
        <f t="shared" si="2"/>
        <v>622.92714999999998</v>
      </c>
      <c r="E119" s="131" t="s">
        <v>77</v>
      </c>
      <c r="F119" s="124"/>
      <c r="G119" s="124"/>
      <c r="H119" s="133">
        <f t="shared" si="3"/>
        <v>804.79933000000005</v>
      </c>
      <c r="I119" s="124"/>
      <c r="J119" s="124"/>
      <c r="L119" s="17" t="s">
        <v>42</v>
      </c>
      <c r="M119" s="71">
        <f>[1]!b_stm07_bs(K107,147,L107,1)</f>
        <v>0</v>
      </c>
    </row>
    <row r="120" spans="1:21" ht="14.25" customHeight="1" x14ac:dyDescent="0.25">
      <c r="A120" s="54" t="s">
        <v>78</v>
      </c>
      <c r="B120" s="73">
        <f t="shared" si="1"/>
        <v>229.41021000000001</v>
      </c>
      <c r="C120" s="54" t="s">
        <v>79</v>
      </c>
      <c r="D120" s="76">
        <f t="shared" si="2"/>
        <v>29.26718</v>
      </c>
      <c r="E120" s="131" t="s">
        <v>80</v>
      </c>
      <c r="F120" s="124"/>
      <c r="G120" s="124"/>
      <c r="H120" s="132">
        <f t="shared" si="3"/>
        <v>615.90642000000003</v>
      </c>
      <c r="I120" s="124"/>
      <c r="J120" s="124"/>
      <c r="L120" s="17" t="s">
        <v>43</v>
      </c>
      <c r="M120" s="71">
        <f>[1]!b_stm07_bs(K107,94,L107,1)</f>
        <v>24140168000</v>
      </c>
    </row>
    <row r="121" spans="1:21" ht="14.25" customHeight="1" x14ac:dyDescent="0.25">
      <c r="A121" s="54" t="s">
        <v>81</v>
      </c>
      <c r="B121" s="73">
        <f t="shared" si="1"/>
        <v>221.94585000000001</v>
      </c>
      <c r="C121" s="54" t="s">
        <v>82</v>
      </c>
      <c r="D121" s="76">
        <f t="shared" si="2"/>
        <v>54.820540000000001</v>
      </c>
      <c r="E121" s="131" t="s">
        <v>83</v>
      </c>
      <c r="F121" s="124"/>
      <c r="G121" s="124"/>
      <c r="H121" s="132">
        <f t="shared" si="3"/>
        <v>58.176879999999997</v>
      </c>
      <c r="I121" s="124"/>
      <c r="J121" s="124"/>
      <c r="L121" s="17" t="s">
        <v>44</v>
      </c>
      <c r="M121" s="71">
        <f>[1]!b_stm07_bs(K107,95,L107,1)</f>
        <v>7986500000</v>
      </c>
    </row>
    <row r="122" spans="1:21" ht="14.25" customHeight="1" x14ac:dyDescent="0.25">
      <c r="A122" s="54" t="s">
        <v>84</v>
      </c>
      <c r="B122" s="73">
        <f t="shared" si="1"/>
        <v>47.112439999999999</v>
      </c>
      <c r="C122" s="54" t="s">
        <v>85</v>
      </c>
      <c r="D122" s="76">
        <f t="shared" si="2"/>
        <v>14.46321</v>
      </c>
      <c r="E122" s="131" t="s">
        <v>86</v>
      </c>
      <c r="F122" s="124"/>
      <c r="G122" s="124"/>
      <c r="H122" s="133">
        <f t="shared" si="3"/>
        <v>762.04553999999996</v>
      </c>
      <c r="I122" s="124"/>
      <c r="J122" s="124"/>
      <c r="L122" s="17"/>
      <c r="M122" s="17"/>
    </row>
    <row r="123" spans="1:21" ht="14.25" customHeight="1" x14ac:dyDescent="0.25">
      <c r="A123" s="54" t="s">
        <v>87</v>
      </c>
      <c r="B123" s="79">
        <f t="shared" si="1"/>
        <v>1306.0437899999999</v>
      </c>
      <c r="C123" s="54" t="s">
        <v>88</v>
      </c>
      <c r="D123" s="76">
        <f t="shared" si="2"/>
        <v>41.716850000000001</v>
      </c>
      <c r="E123" s="131" t="s">
        <v>89</v>
      </c>
      <c r="F123" s="124"/>
      <c r="G123" s="124"/>
      <c r="H123" s="133">
        <f t="shared" si="3"/>
        <v>42.753790000000002</v>
      </c>
      <c r="I123" s="124"/>
      <c r="J123" s="124"/>
      <c r="L123" s="17" t="s">
        <v>45</v>
      </c>
      <c r="M123" s="71">
        <f>[1]!b_stm07_bs(K107,141,L107,1)</f>
        <v>43237434000</v>
      </c>
    </row>
    <row r="124" spans="1:21" ht="14.25" customHeight="1" x14ac:dyDescent="0.25">
      <c r="A124" s="54" t="s">
        <v>90</v>
      </c>
      <c r="B124" s="73">
        <f t="shared" si="1"/>
        <v>153.17347000000001</v>
      </c>
      <c r="C124" s="54" t="s">
        <v>91</v>
      </c>
      <c r="D124" s="76">
        <f t="shared" si="2"/>
        <v>44.092410000000001</v>
      </c>
      <c r="E124" s="131" t="s">
        <v>92</v>
      </c>
      <c r="F124" s="124"/>
      <c r="G124" s="124"/>
      <c r="H124" s="133">
        <f t="shared" si="3"/>
        <v>-15.80105</v>
      </c>
      <c r="I124" s="124"/>
      <c r="J124" s="124"/>
      <c r="L124" s="17"/>
      <c r="M124" s="17"/>
    </row>
    <row r="125" spans="1:21" ht="27" customHeight="1" x14ac:dyDescent="0.25">
      <c r="A125" s="54" t="s">
        <v>93</v>
      </c>
      <c r="B125" s="73">
        <f t="shared" si="1"/>
        <v>40.855789999999999</v>
      </c>
      <c r="C125" s="54" t="s">
        <v>35</v>
      </c>
      <c r="D125" s="76">
        <f t="shared" si="2"/>
        <v>31.584150000000001</v>
      </c>
      <c r="E125" s="131" t="s">
        <v>94</v>
      </c>
      <c r="F125" s="124"/>
      <c r="G125" s="124"/>
      <c r="H125" s="132">
        <f t="shared" si="3"/>
        <v>28.031500000000001</v>
      </c>
      <c r="I125" s="124"/>
      <c r="J125" s="124"/>
      <c r="L125" s="17"/>
      <c r="M125" s="17"/>
    </row>
    <row r="126" spans="1:21" ht="16.5" customHeight="1" x14ac:dyDescent="0.25">
      <c r="A126" s="54" t="s">
        <v>95</v>
      </c>
      <c r="B126" s="73">
        <f t="shared" si="1"/>
        <v>0</v>
      </c>
      <c r="C126" s="54"/>
      <c r="D126" s="80"/>
      <c r="E126" s="131" t="s">
        <v>96</v>
      </c>
      <c r="F126" s="124"/>
      <c r="G126" s="124"/>
      <c r="H126" s="132">
        <f t="shared" si="3"/>
        <v>599.30548999999996</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241.40168</v>
      </c>
      <c r="C127" s="54"/>
      <c r="D127" s="80"/>
      <c r="E127" s="131" t="s">
        <v>98</v>
      </c>
      <c r="F127" s="124"/>
      <c r="G127" s="124"/>
      <c r="H127" s="132">
        <f t="shared" si="3"/>
        <v>0</v>
      </c>
      <c r="I127" s="124"/>
      <c r="J127" s="124"/>
      <c r="L127" s="54" t="s">
        <v>69</v>
      </c>
      <c r="M127" s="75">
        <f>[1]!b_stm07_bs(K107,9,L107,1)</f>
        <v>5596314000</v>
      </c>
      <c r="N127" s="54" t="s">
        <v>70</v>
      </c>
      <c r="O127" s="75">
        <f>[1]!b_stm07_is(K107,83,L107,1)</f>
        <v>76299930000</v>
      </c>
      <c r="P127" s="131" t="s">
        <v>71</v>
      </c>
      <c r="Q127" s="124"/>
      <c r="R127" s="124"/>
      <c r="S127" s="136">
        <f>[1]!b_stm07_cs(K107,9,L107,1)</f>
        <v>76044774000</v>
      </c>
      <c r="T127" s="135"/>
      <c r="U127" s="135"/>
    </row>
    <row r="128" spans="1:21" ht="14.25" customHeight="1" x14ac:dyDescent="0.25">
      <c r="A128" s="54" t="s">
        <v>99</v>
      </c>
      <c r="B128" s="73">
        <f t="shared" si="1"/>
        <v>79.864999999999995</v>
      </c>
      <c r="C128" s="54"/>
      <c r="D128" s="80"/>
      <c r="E128" s="131" t="s">
        <v>100</v>
      </c>
      <c r="F128" s="124"/>
      <c r="G128" s="124"/>
      <c r="H128" s="133">
        <f t="shared" si="3"/>
        <v>627.50172999999995</v>
      </c>
      <c r="I128" s="124"/>
      <c r="J128" s="124"/>
      <c r="L128" s="54" t="s">
        <v>72</v>
      </c>
      <c r="M128" s="75">
        <f>[1]!b_stm07_bs(K107,12,L107,1)</f>
        <v>16396726000</v>
      </c>
      <c r="N128" s="54" t="s">
        <v>73</v>
      </c>
      <c r="O128" s="75">
        <f>[1]!b_stm07_is(K107,84,L107,1)</f>
        <v>73335872000</v>
      </c>
      <c r="P128" s="131" t="s">
        <v>74</v>
      </c>
      <c r="Q128" s="124"/>
      <c r="R128" s="124"/>
      <c r="S128" s="136">
        <f>[1]!b_stm07_cs(K107,11,L107,1)</f>
        <v>1691926000</v>
      </c>
      <c r="T128" s="135"/>
      <c r="U128" s="135"/>
    </row>
    <row r="129" spans="1:21" ht="14.25" customHeight="1" x14ac:dyDescent="0.25">
      <c r="A129" s="54" t="s">
        <v>101</v>
      </c>
      <c r="B129" s="79">
        <f t="shared" si="1"/>
        <v>873.66944999999998</v>
      </c>
      <c r="C129" s="14"/>
      <c r="D129" s="13"/>
      <c r="E129" s="131" t="s">
        <v>102</v>
      </c>
      <c r="F129" s="124"/>
      <c r="G129" s="124"/>
      <c r="H129" s="132">
        <f t="shared" si="3"/>
        <v>628.07109000000003</v>
      </c>
      <c r="I129" s="124"/>
      <c r="J129" s="124"/>
      <c r="L129" s="54" t="s">
        <v>75</v>
      </c>
      <c r="M129" s="75">
        <f>[1]!b_stm07_bs(K107,13,L107,1)</f>
        <v>8259736000</v>
      </c>
      <c r="N129" s="54" t="s">
        <v>76</v>
      </c>
      <c r="O129" s="75">
        <f>[1]!b_stm07_is(K107,10,L107,1)</f>
        <v>62292715000</v>
      </c>
      <c r="P129" s="131" t="s">
        <v>77</v>
      </c>
      <c r="Q129" s="124"/>
      <c r="R129" s="124"/>
      <c r="S129" s="137">
        <f>[1]!b_stm07_cs(K107,25,L107,1)</f>
        <v>80479933000</v>
      </c>
      <c r="T129" s="135"/>
      <c r="U129" s="135"/>
    </row>
    <row r="130" spans="1:21" ht="14.25" customHeight="1" x14ac:dyDescent="0.25">
      <c r="A130" s="54" t="s">
        <v>103</v>
      </c>
      <c r="B130" s="79">
        <f t="shared" si="1"/>
        <v>432.37434000000002</v>
      </c>
      <c r="C130" s="14"/>
      <c r="D130" s="13"/>
      <c r="E130" s="131" t="s">
        <v>104</v>
      </c>
      <c r="F130" s="124"/>
      <c r="G130" s="124"/>
      <c r="H130" s="132">
        <f t="shared" si="3"/>
        <v>662.87325999999996</v>
      </c>
      <c r="I130" s="124"/>
      <c r="J130" s="124"/>
      <c r="L130" s="54" t="s">
        <v>78</v>
      </c>
      <c r="M130" s="75">
        <f>[1]!b_stm07_bs(K107,31,L107,1)</f>
        <v>22941021000</v>
      </c>
      <c r="N130" s="54" t="s">
        <v>79</v>
      </c>
      <c r="O130" s="75">
        <f>[1]!b_stm07_is(K107,12,L107,1)</f>
        <v>2926718000</v>
      </c>
      <c r="P130" s="131" t="s">
        <v>80</v>
      </c>
      <c r="Q130" s="124"/>
      <c r="R130" s="124"/>
      <c r="S130" s="136">
        <f>[1]!b_stm07_cs(K107,26,L107,1)</f>
        <v>61590642000</v>
      </c>
      <c r="T130" s="135"/>
      <c r="U130" s="135"/>
    </row>
    <row r="131" spans="1:21" ht="14.25" customHeight="1" x14ac:dyDescent="0.25">
      <c r="A131" s="15" t="s">
        <v>105</v>
      </c>
      <c r="B131" s="79">
        <f t="shared" si="1"/>
        <v>1306.0437899999999</v>
      </c>
      <c r="C131" s="14"/>
      <c r="D131" s="13"/>
      <c r="E131" s="131" t="s">
        <v>106</v>
      </c>
      <c r="F131" s="124"/>
      <c r="G131" s="124"/>
      <c r="H131" s="133">
        <f t="shared" si="3"/>
        <v>-35.37153</v>
      </c>
      <c r="I131" s="124"/>
      <c r="J131" s="124"/>
      <c r="L131" s="54" t="s">
        <v>81</v>
      </c>
      <c r="M131" s="75">
        <f>[1]!b_stm07_bs(K107,33,L107,1)</f>
        <v>22194585000</v>
      </c>
      <c r="N131" s="54" t="s">
        <v>82</v>
      </c>
      <c r="O131" s="75">
        <f>[1]!b_stm07_is(K107,13,L107,1)</f>
        <v>5482054000</v>
      </c>
      <c r="P131" s="131" t="s">
        <v>83</v>
      </c>
      <c r="Q131" s="124"/>
      <c r="R131" s="124"/>
      <c r="S131" s="136">
        <f>[1]!b_stm07_cs(K107,29,L107,1)</f>
        <v>5817688000</v>
      </c>
      <c r="T131" s="135"/>
      <c r="U131" s="135"/>
    </row>
    <row r="132" spans="1:21" x14ac:dyDescent="0.25">
      <c r="L132" s="54" t="s">
        <v>84</v>
      </c>
      <c r="M132" s="75">
        <f>[1]!b_stm07_bs(K107,37,L107,1)</f>
        <v>4711244000</v>
      </c>
      <c r="N132" s="54" t="s">
        <v>85</v>
      </c>
      <c r="O132" s="75">
        <f>[1]!b_stm07_is(K107,14,L107,1)</f>
        <v>1446321000</v>
      </c>
      <c r="P132" s="131" t="s">
        <v>86</v>
      </c>
      <c r="Q132" s="124"/>
      <c r="R132" s="124"/>
      <c r="S132" s="137">
        <f>[1]!b_stm07_cs(K107,37,L107,1)</f>
        <v>76204554000</v>
      </c>
      <c r="T132" s="135"/>
      <c r="U132" s="135"/>
    </row>
    <row r="133" spans="1:21" x14ac:dyDescent="0.25">
      <c r="L133" s="54" t="s">
        <v>87</v>
      </c>
      <c r="M133" s="81">
        <f>[1]!b_stm07_bs(K107,74,L107,1)</f>
        <v>130604379000</v>
      </c>
      <c r="N133" s="54" t="s">
        <v>88</v>
      </c>
      <c r="O133" s="75">
        <f>[1]!b_stm07_is(K107,48,L107,1)</f>
        <v>4171685000</v>
      </c>
      <c r="P133" s="131" t="s">
        <v>89</v>
      </c>
      <c r="Q133" s="124"/>
      <c r="R133" s="124"/>
      <c r="S133" s="137">
        <f>[1]!b_stm07_cs(K107,39,L107,1)</f>
        <v>4275379000</v>
      </c>
      <c r="T133" s="135"/>
      <c r="U133" s="135"/>
    </row>
    <row r="134" spans="1:21" x14ac:dyDescent="0.25">
      <c r="L134" s="54" t="s">
        <v>90</v>
      </c>
      <c r="M134" s="75">
        <f>[1]!b_stm07_bs(K107,75,L107,1)</f>
        <v>15317347000</v>
      </c>
      <c r="N134" s="54" t="s">
        <v>91</v>
      </c>
      <c r="O134" s="75">
        <f>[1]!b_stm07_is(K107,55,L107,1)</f>
        <v>4409241000</v>
      </c>
      <c r="P134" s="131" t="s">
        <v>92</v>
      </c>
      <c r="Q134" s="124"/>
      <c r="R134" s="124"/>
      <c r="S134" s="137">
        <f>[1]!b_stm07_cs(K107,59,L107,1)</f>
        <v>-1580105000</v>
      </c>
      <c r="T134" s="135"/>
      <c r="U134" s="135"/>
    </row>
    <row r="135" spans="1:21" ht="32.4" customHeight="1" x14ac:dyDescent="0.25">
      <c r="L135" s="54" t="s">
        <v>93</v>
      </c>
      <c r="M135" s="75">
        <f>[1]!b_stm07_bs(K107,88,L107,1)</f>
        <v>4085579000</v>
      </c>
      <c r="N135" s="54" t="s">
        <v>35</v>
      </c>
      <c r="O135" s="75">
        <f>[1]!b_stm07_is(K107,60,L107,1)</f>
        <v>3158415000</v>
      </c>
      <c r="P135" s="131" t="s">
        <v>94</v>
      </c>
      <c r="Q135" s="124"/>
      <c r="R135" s="124"/>
      <c r="S135" s="136">
        <f>[1]!b_stm07_cs(K107,60,L107,1)</f>
        <v>2803150000</v>
      </c>
      <c r="T135" s="135"/>
      <c r="U135" s="135"/>
    </row>
    <row r="136" spans="1:21" ht="21.6" customHeight="1" x14ac:dyDescent="0.25">
      <c r="L136" s="54" t="s">
        <v>95</v>
      </c>
      <c r="M136" s="75">
        <f>[1]!b_stm07_bs(K107,147,L107,1)</f>
        <v>0</v>
      </c>
      <c r="N136" s="54"/>
      <c r="O136" s="80"/>
      <c r="P136" s="131" t="s">
        <v>96</v>
      </c>
      <c r="Q136" s="124"/>
      <c r="R136" s="124"/>
      <c r="S136" s="136">
        <f>[1]!b_stm07_cs(K107,61,L107,1)</f>
        <v>59930549000</v>
      </c>
      <c r="T136" s="135"/>
      <c r="U136" s="135"/>
    </row>
    <row r="137" spans="1:21" x14ac:dyDescent="0.25">
      <c r="L137" s="54" t="s">
        <v>97</v>
      </c>
      <c r="M137" s="75">
        <f>[1]!b_stm07_bs(K107,94,L107,1)</f>
        <v>24140168000</v>
      </c>
      <c r="N137" s="54"/>
      <c r="O137" s="80"/>
      <c r="P137" s="131" t="s">
        <v>98</v>
      </c>
      <c r="Q137" s="124"/>
      <c r="R137" s="124"/>
      <c r="S137" s="136">
        <f>[1]!b_stm07_cs(K107,63,L107,1)</f>
        <v>0</v>
      </c>
      <c r="T137" s="135"/>
      <c r="U137" s="135"/>
    </row>
    <row r="138" spans="1:21" x14ac:dyDescent="0.25">
      <c r="L138" s="54" t="s">
        <v>99</v>
      </c>
      <c r="M138" s="75">
        <f>[1]!b_stm07_bs(K107,95,L107,1)</f>
        <v>7986500000</v>
      </c>
      <c r="N138" s="54"/>
      <c r="O138" s="80"/>
      <c r="P138" s="131" t="s">
        <v>100</v>
      </c>
      <c r="Q138" s="124"/>
      <c r="R138" s="124"/>
      <c r="S138" s="137">
        <f>[1]!b_stm07_cs(K107,68,L107,1)</f>
        <v>62750173000</v>
      </c>
      <c r="T138" s="135"/>
      <c r="U138" s="135"/>
    </row>
    <row r="139" spans="1:21" x14ac:dyDescent="0.25">
      <c r="L139" s="54" t="s">
        <v>101</v>
      </c>
      <c r="M139" s="81">
        <f>[1]!b_stm07_bs(K107,128,L107,1)</f>
        <v>87366945000</v>
      </c>
      <c r="N139" s="14"/>
      <c r="O139" s="13"/>
      <c r="P139" s="131" t="s">
        <v>102</v>
      </c>
      <c r="Q139" s="124"/>
      <c r="R139" s="124"/>
      <c r="S139" s="136">
        <f>[1]!b_stm07_cs(K107,69,L107,1)</f>
        <v>62807109000</v>
      </c>
      <c r="T139" s="135"/>
      <c r="U139" s="135"/>
    </row>
    <row r="140" spans="1:21" ht="21.6" customHeight="1" x14ac:dyDescent="0.25">
      <c r="L140" s="54" t="s">
        <v>103</v>
      </c>
      <c r="M140" s="81">
        <f>[1]!b_stm07_bs(K107,141,L107,1)</f>
        <v>43237434000</v>
      </c>
      <c r="N140" s="14"/>
      <c r="O140" s="13"/>
      <c r="P140" s="131" t="s">
        <v>104</v>
      </c>
      <c r="Q140" s="124"/>
      <c r="R140" s="124"/>
      <c r="S140" s="136">
        <f>[1]!b_stm07_cs(K107,75,L107,1)</f>
        <v>66287326000</v>
      </c>
      <c r="T140" s="135"/>
      <c r="U140" s="135"/>
    </row>
    <row r="141" spans="1:21" ht="21.6" customHeight="1" x14ac:dyDescent="0.25">
      <c r="L141" s="15" t="s">
        <v>105</v>
      </c>
      <c r="M141" s="81">
        <f>[1]!b_stm07_bs(K107,145,L107,1)</f>
        <v>130604379000</v>
      </c>
      <c r="N141" s="14"/>
      <c r="O141" s="13"/>
      <c r="P141" s="131" t="s">
        <v>106</v>
      </c>
      <c r="Q141" s="124"/>
      <c r="R141" s="124"/>
      <c r="S141" s="137">
        <f>[1]!b_stm07_cs(K107,77,L107,1)</f>
        <v>-3537153000</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tabSelected="1"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247</v>
      </c>
      <c r="C2" s="120"/>
      <c r="D2" s="57" t="s">
        <v>3</v>
      </c>
      <c r="E2" s="119" t="s">
        <v>248</v>
      </c>
      <c r="F2" s="120"/>
      <c r="G2" s="120"/>
    </row>
    <row r="3" spans="1:12" ht="14.25" customHeight="1" x14ac:dyDescent="0.25">
      <c r="A3" s="57" t="s">
        <v>4</v>
      </c>
      <c r="B3" s="119" t="s">
        <v>249</v>
      </c>
      <c r="C3" s="120"/>
      <c r="D3" s="57" t="s">
        <v>5</v>
      </c>
      <c r="E3" s="119" t="s">
        <v>250</v>
      </c>
      <c r="F3" s="120"/>
      <c r="G3" s="120"/>
    </row>
    <row r="4" spans="1:12" ht="113.25" customHeight="1" x14ac:dyDescent="0.25">
      <c r="A4" s="57" t="s">
        <v>6</v>
      </c>
      <c r="B4" s="121" t="s">
        <v>251</v>
      </c>
      <c r="C4" s="120"/>
      <c r="D4" s="120"/>
      <c r="E4" s="120"/>
      <c r="F4" s="120"/>
      <c r="G4" s="120"/>
    </row>
    <row r="5" spans="1:12" ht="14.4" x14ac:dyDescent="0.25">
      <c r="A5" s="82" t="s">
        <v>107</v>
      </c>
      <c r="B5" s="140" t="s">
        <v>252</v>
      </c>
      <c r="C5" s="120"/>
      <c r="D5" s="120"/>
      <c r="E5" s="120"/>
      <c r="F5" s="141">
        <v>0.57999999999999996</v>
      </c>
      <c r="G5" s="120"/>
    </row>
    <row r="6" spans="1:12" ht="11.25" customHeight="1" x14ac:dyDescent="0.25">
      <c r="A6" s="82" t="s">
        <v>108</v>
      </c>
      <c r="B6" s="140" t="s">
        <v>253</v>
      </c>
      <c r="C6" s="120"/>
      <c r="D6" s="120"/>
      <c r="E6" s="120"/>
      <c r="F6" s="141">
        <v>0.14479999542236327</v>
      </c>
      <c r="G6" s="120"/>
    </row>
    <row r="7" spans="1:12" ht="11.25" customHeight="1" x14ac:dyDescent="0.25">
      <c r="A7" s="82" t="s">
        <v>109</v>
      </c>
      <c r="B7" s="140" t="s">
        <v>254</v>
      </c>
      <c r="C7" s="120"/>
      <c r="D7" s="120"/>
      <c r="E7" s="120"/>
      <c r="F7" s="141">
        <v>2.369999885559082E-2</v>
      </c>
      <c r="G7" s="120"/>
    </row>
    <row r="8" spans="1:12" ht="11.25" customHeight="1" x14ac:dyDescent="0.25">
      <c r="A8" s="82" t="s">
        <v>110</v>
      </c>
      <c r="B8" s="140" t="s">
        <v>255</v>
      </c>
      <c r="C8" s="120"/>
      <c r="D8" s="120"/>
      <c r="E8" s="120"/>
      <c r="F8" s="141">
        <v>1.2699999809265138E-2</v>
      </c>
      <c r="G8" s="120"/>
    </row>
    <row r="9" spans="1:12" ht="11.25" customHeight="1" x14ac:dyDescent="0.25">
      <c r="A9" s="82" t="s">
        <v>111</v>
      </c>
      <c r="B9" s="140" t="s">
        <v>256</v>
      </c>
      <c r="C9" s="120"/>
      <c r="D9" s="120"/>
      <c r="E9" s="120"/>
      <c r="F9" s="141">
        <v>3.1999999284744261E-3</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2.95</v>
      </c>
      <c r="E13" s="64">
        <v>6.3013698630136991E-2</v>
      </c>
      <c r="F13" s="65">
        <v>0</v>
      </c>
      <c r="G13" s="64">
        <v>15</v>
      </c>
    </row>
    <row r="14" spans="1:12" ht="14.4" customHeight="1" x14ac:dyDescent="0.25">
      <c r="A14" t="s">
        <v>116</v>
      </c>
      <c r="B14" t="s">
        <v>117</v>
      </c>
      <c r="C14" t="s">
        <v>118</v>
      </c>
      <c r="D14" s="64">
        <v>4.8499999999999996</v>
      </c>
      <c r="E14" s="83">
        <v>2.6547945205479451</v>
      </c>
      <c r="F14" t="s">
        <v>170</v>
      </c>
      <c r="G14" s="64">
        <v>20</v>
      </c>
    </row>
    <row r="15" spans="1:12" ht="14.4" customHeight="1" x14ac:dyDescent="0.25">
      <c r="A15" t="s">
        <v>119</v>
      </c>
      <c r="B15" t="s">
        <v>120</v>
      </c>
      <c r="C15" t="s">
        <v>121</v>
      </c>
      <c r="D15" s="64">
        <v>3.12</v>
      </c>
      <c r="E15" s="83">
        <v>0.12328767123287671</v>
      </c>
      <c r="F15">
        <v>0</v>
      </c>
      <c r="G15" s="64">
        <v>10</v>
      </c>
    </row>
    <row r="16" spans="1:12" ht="14.4" customHeight="1" x14ac:dyDescent="0.25">
      <c r="A16" t="s">
        <v>122</v>
      </c>
      <c r="B16" t="s">
        <v>123</v>
      </c>
      <c r="C16" t="s">
        <v>124</v>
      </c>
      <c r="D16" s="64">
        <v>2.75</v>
      </c>
      <c r="E16" s="83">
        <v>0</v>
      </c>
      <c r="F16">
        <v>0</v>
      </c>
      <c r="G16" s="64">
        <v>10</v>
      </c>
    </row>
    <row r="17" spans="1:7" ht="14.4" customHeight="1" x14ac:dyDescent="0.25">
      <c r="A17" t="s">
        <v>125</v>
      </c>
      <c r="B17" t="s">
        <v>126</v>
      </c>
      <c r="C17" t="s">
        <v>127</v>
      </c>
      <c r="D17" s="64">
        <v>5.17</v>
      </c>
      <c r="E17" s="83">
        <v>2.5452054794520547</v>
      </c>
      <c r="F17" t="s">
        <v>170</v>
      </c>
      <c r="G17" s="64">
        <v>20</v>
      </c>
    </row>
    <row r="18" spans="1:7" ht="14.4" customHeight="1" x14ac:dyDescent="0.25">
      <c r="A18" t="s">
        <v>128</v>
      </c>
      <c r="B18" t="s">
        <v>129</v>
      </c>
      <c r="C18" t="s">
        <v>130</v>
      </c>
      <c r="D18" s="64">
        <v>4.29</v>
      </c>
      <c r="E18" s="83">
        <v>2.5205479452054793</v>
      </c>
      <c r="F18" t="s">
        <v>170</v>
      </c>
      <c r="G18" s="64">
        <v>20</v>
      </c>
    </row>
    <row r="19" spans="1:7" ht="14.4" customHeight="1" x14ac:dyDescent="0.25">
      <c r="A19" t="s">
        <v>131</v>
      </c>
      <c r="B19" t="s">
        <v>132</v>
      </c>
      <c r="C19" t="s">
        <v>133</v>
      </c>
      <c r="D19" s="64">
        <v>4.0999999999999996</v>
      </c>
      <c r="E19" s="83">
        <v>0</v>
      </c>
      <c r="F19">
        <v>0</v>
      </c>
      <c r="G19" s="64">
        <v>20</v>
      </c>
    </row>
    <row r="20" spans="1:7" ht="14.4" customHeight="1" x14ac:dyDescent="0.25">
      <c r="A20" t="s">
        <v>134</v>
      </c>
      <c r="B20" t="s">
        <v>135</v>
      </c>
      <c r="C20" t="s">
        <v>136</v>
      </c>
      <c r="D20" s="64">
        <v>4.25</v>
      </c>
      <c r="E20" s="83">
        <v>0</v>
      </c>
      <c r="F20">
        <v>0</v>
      </c>
      <c r="G20" s="64">
        <v>10</v>
      </c>
    </row>
    <row r="21" spans="1:7" ht="14.4" customHeight="1" x14ac:dyDescent="0.25">
      <c r="A21" t="s">
        <v>137</v>
      </c>
      <c r="B21" t="s">
        <v>138</v>
      </c>
      <c r="C21" t="s">
        <v>139</v>
      </c>
      <c r="D21" s="64">
        <v>4.3</v>
      </c>
      <c r="E21" s="83">
        <v>0</v>
      </c>
      <c r="F21">
        <v>0</v>
      </c>
      <c r="G21" s="64">
        <v>10</v>
      </c>
    </row>
    <row r="22" spans="1:7" ht="14.4" customHeight="1" x14ac:dyDescent="0.25">
      <c r="A22" t="s">
        <v>140</v>
      </c>
      <c r="B22" t="s">
        <v>141</v>
      </c>
      <c r="C22" t="s">
        <v>142</v>
      </c>
      <c r="D22" s="64">
        <v>4.24</v>
      </c>
      <c r="E22" s="83">
        <v>0</v>
      </c>
      <c r="F22">
        <v>0</v>
      </c>
      <c r="G22" s="64">
        <v>30</v>
      </c>
    </row>
    <row r="23" spans="1:7" ht="14.4" customHeight="1" x14ac:dyDescent="0.25">
      <c r="A23" t="s">
        <v>143</v>
      </c>
      <c r="B23" t="s">
        <v>144</v>
      </c>
      <c r="C23" t="s">
        <v>145</v>
      </c>
      <c r="D23" s="64">
        <v>3.89</v>
      </c>
      <c r="E23" s="83">
        <v>0.52054794520547942</v>
      </c>
      <c r="F23" t="s">
        <v>170</v>
      </c>
      <c r="G23" s="64">
        <v>20</v>
      </c>
    </row>
    <row r="24" spans="1:7" ht="14.4" customHeight="1" x14ac:dyDescent="0.25">
      <c r="A24" t="s">
        <v>146</v>
      </c>
      <c r="B24" t="s">
        <v>147</v>
      </c>
      <c r="C24" t="s">
        <v>148</v>
      </c>
      <c r="D24" s="64">
        <v>3</v>
      </c>
      <c r="E24" s="83">
        <v>0</v>
      </c>
      <c r="F24">
        <v>0</v>
      </c>
      <c r="G24" s="64">
        <v>7</v>
      </c>
    </row>
    <row r="25" spans="1:7" ht="14.4" customHeight="1" x14ac:dyDescent="0.25">
      <c r="A25" t="s">
        <v>149</v>
      </c>
      <c r="B25" t="s">
        <v>150</v>
      </c>
      <c r="C25" t="s">
        <v>151</v>
      </c>
      <c r="D25" s="64">
        <v>3.15</v>
      </c>
      <c r="E25" s="83">
        <v>0.36712328767123287</v>
      </c>
      <c r="F25" t="s">
        <v>170</v>
      </c>
      <c r="G25" s="64">
        <v>25</v>
      </c>
    </row>
    <row r="26" spans="1:7" ht="14.4" customHeight="1" x14ac:dyDescent="0.25">
      <c r="A26" t="s">
        <v>152</v>
      </c>
      <c r="B26" t="s">
        <v>153</v>
      </c>
      <c r="C26" t="s">
        <v>154</v>
      </c>
      <c r="D26" s="64">
        <v>3.07</v>
      </c>
      <c r="E26" s="83">
        <v>0.33698630136986302</v>
      </c>
      <c r="F26" t="s">
        <v>170</v>
      </c>
      <c r="G26" s="64">
        <v>35</v>
      </c>
    </row>
    <row r="27" spans="1:7" ht="14.4" customHeight="1" x14ac:dyDescent="0.25">
      <c r="A27" t="s">
        <v>155</v>
      </c>
      <c r="B27" t="s">
        <v>156</v>
      </c>
      <c r="C27" t="s">
        <v>157</v>
      </c>
      <c r="D27" s="64">
        <v>5.19</v>
      </c>
      <c r="E27" s="83">
        <v>0</v>
      </c>
      <c r="F27" t="s">
        <v>170</v>
      </c>
      <c r="G27" s="64">
        <v>20</v>
      </c>
    </row>
    <row r="28" spans="1:7" ht="14.4" customHeight="1" x14ac:dyDescent="0.25">
      <c r="A28" t="s">
        <v>158</v>
      </c>
      <c r="B28" t="s">
        <v>159</v>
      </c>
      <c r="C28" t="s">
        <v>160</v>
      </c>
      <c r="D28" s="64">
        <v>4.43</v>
      </c>
      <c r="E28" s="83">
        <v>0</v>
      </c>
      <c r="F28" t="s">
        <v>170</v>
      </c>
      <c r="G28" s="64">
        <v>20</v>
      </c>
    </row>
    <row r="29" spans="1:7" ht="14.4" customHeight="1" x14ac:dyDescent="0.25">
      <c r="A29" t="s">
        <v>161</v>
      </c>
      <c r="B29" t="s">
        <v>162</v>
      </c>
      <c r="C29" t="s">
        <v>163</v>
      </c>
      <c r="D29" s="64">
        <v>5.23</v>
      </c>
      <c r="E29" s="83">
        <v>0</v>
      </c>
      <c r="F29" t="s">
        <v>170</v>
      </c>
      <c r="G29" s="64">
        <v>40</v>
      </c>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1:7" ht="14.4" customHeight="1" x14ac:dyDescent="0.25">
      <c r="D33" s="64"/>
      <c r="E33" s="83"/>
      <c r="G33" s="64"/>
    </row>
    <row r="34" spans="1:7" ht="14.4" customHeight="1" x14ac:dyDescent="0.25">
      <c r="D34" s="64"/>
      <c r="E34" s="83"/>
      <c r="G34" s="64"/>
    </row>
    <row r="35" spans="1:7" ht="14.4" customHeight="1" x14ac:dyDescent="0.25">
      <c r="A35" s="143" t="s">
        <v>164</v>
      </c>
      <c r="B35" s="143"/>
      <c r="C35" s="143"/>
      <c r="D35" s="143"/>
      <c r="E35" s="83"/>
      <c r="G35" s="64"/>
    </row>
    <row r="36" spans="1:7" ht="14.4" customHeight="1" x14ac:dyDescent="0.25">
      <c r="A36" s="84" t="s">
        <v>165</v>
      </c>
      <c r="B36" s="84" t="s">
        <v>166</v>
      </c>
      <c r="C36" s="84" t="s">
        <v>167</v>
      </c>
      <c r="D36" s="85" t="s">
        <v>168</v>
      </c>
      <c r="E36" s="83"/>
      <c r="G36" s="64"/>
    </row>
    <row r="37" spans="1:7" ht="14.4" customHeight="1" x14ac:dyDescent="0.25">
      <c r="A37" t="s">
        <v>169</v>
      </c>
      <c r="B37" t="s">
        <v>170</v>
      </c>
      <c r="C37" t="s">
        <v>171</v>
      </c>
      <c r="D37" s="64" t="s">
        <v>172</v>
      </c>
      <c r="E37" s="83"/>
      <c r="G37" s="64"/>
    </row>
    <row r="38" spans="1:7" ht="14.4" customHeight="1" x14ac:dyDescent="0.25">
      <c r="A38" t="s">
        <v>173</v>
      </c>
      <c r="B38" t="s">
        <v>170</v>
      </c>
      <c r="C38" t="s">
        <v>171</v>
      </c>
      <c r="D38" s="64" t="s">
        <v>174</v>
      </c>
      <c r="E38" s="83"/>
      <c r="G38" s="64"/>
    </row>
    <row r="39" spans="1:7" ht="14.4" customHeight="1" x14ac:dyDescent="0.25">
      <c r="A39" t="s">
        <v>175</v>
      </c>
      <c r="B39" t="s">
        <v>170</v>
      </c>
      <c r="C39" t="s">
        <v>171</v>
      </c>
      <c r="D39" s="64" t="s">
        <v>172</v>
      </c>
      <c r="E39" s="83"/>
      <c r="G39" s="64"/>
    </row>
    <row r="40" spans="1:7" ht="14.4" customHeight="1" x14ac:dyDescent="0.25">
      <c r="A40" t="s">
        <v>176</v>
      </c>
      <c r="B40" t="s">
        <v>170</v>
      </c>
      <c r="C40" t="s">
        <v>171</v>
      </c>
      <c r="D40" s="64" t="s">
        <v>172</v>
      </c>
      <c r="E40" s="83"/>
      <c r="G40" s="64"/>
    </row>
    <row r="41" spans="1:7" ht="14.4" customHeight="1" x14ac:dyDescent="0.25">
      <c r="A41" t="s">
        <v>177</v>
      </c>
      <c r="B41" t="s">
        <v>170</v>
      </c>
      <c r="C41" t="s">
        <v>171</v>
      </c>
      <c r="D41" s="64" t="s">
        <v>172</v>
      </c>
      <c r="E41" s="83"/>
      <c r="G41" s="64"/>
    </row>
    <row r="42" spans="1:7" ht="14.4" customHeight="1" x14ac:dyDescent="0.25">
      <c r="A42" t="s">
        <v>178</v>
      </c>
      <c r="B42" t="s">
        <v>170</v>
      </c>
      <c r="C42" t="s">
        <v>171</v>
      </c>
      <c r="D42" s="64" t="s">
        <v>172</v>
      </c>
      <c r="E42" s="83"/>
      <c r="G42" s="64"/>
    </row>
    <row r="43" spans="1:7" ht="14.4" customHeight="1" x14ac:dyDescent="0.25">
      <c r="A43" t="s">
        <v>179</v>
      </c>
      <c r="B43" t="s">
        <v>170</v>
      </c>
      <c r="C43" t="s">
        <v>171</v>
      </c>
      <c r="D43" s="64" t="s">
        <v>172</v>
      </c>
      <c r="E43" s="83"/>
      <c r="G43" s="64"/>
    </row>
    <row r="44" spans="1:7" ht="14.4" customHeight="1" x14ac:dyDescent="0.25">
      <c r="A44" t="s">
        <v>180</v>
      </c>
      <c r="B44" t="s">
        <v>170</v>
      </c>
      <c r="C44" t="s">
        <v>171</v>
      </c>
      <c r="D44" s="64" t="s">
        <v>172</v>
      </c>
      <c r="E44" s="83"/>
      <c r="G44" s="64"/>
    </row>
    <row r="45" spans="1:7" ht="14.4" customHeight="1" x14ac:dyDescent="0.25">
      <c r="A45" t="s">
        <v>181</v>
      </c>
      <c r="B45" t="s">
        <v>170</v>
      </c>
      <c r="C45" t="s">
        <v>171</v>
      </c>
      <c r="D45" s="64" t="s">
        <v>172</v>
      </c>
      <c r="E45" s="83"/>
      <c r="G45" s="64"/>
    </row>
    <row r="46" spans="1:7" ht="14.4" customHeight="1" x14ac:dyDescent="0.25">
      <c r="A46" t="s">
        <v>182</v>
      </c>
      <c r="B46" t="s">
        <v>170</v>
      </c>
      <c r="C46" t="s">
        <v>171</v>
      </c>
      <c r="D46" s="64" t="s">
        <v>172</v>
      </c>
      <c r="E46" s="83"/>
      <c r="G46" s="64"/>
    </row>
    <row r="47" spans="1:7" ht="14.4" customHeight="1" x14ac:dyDescent="0.25">
      <c r="A47" t="s">
        <v>183</v>
      </c>
      <c r="B47" t="s">
        <v>170</v>
      </c>
      <c r="C47" t="s">
        <v>171</v>
      </c>
      <c r="D47" s="64" t="s">
        <v>172</v>
      </c>
      <c r="E47" s="83"/>
      <c r="G47" s="64"/>
    </row>
    <row r="48" spans="1:7" ht="14.4" customHeight="1" x14ac:dyDescent="0.25">
      <c r="A48" t="s">
        <v>184</v>
      </c>
      <c r="B48" t="s">
        <v>170</v>
      </c>
      <c r="C48" t="s">
        <v>171</v>
      </c>
      <c r="D48" s="64" t="s">
        <v>172</v>
      </c>
      <c r="E48" s="83"/>
      <c r="G48" s="64"/>
    </row>
    <row r="49" spans="1:7" ht="14.4" customHeight="1" x14ac:dyDescent="0.25">
      <c r="A49" t="s">
        <v>185</v>
      </c>
      <c r="B49" t="s">
        <v>170</v>
      </c>
      <c r="C49" t="s">
        <v>171</v>
      </c>
      <c r="D49" s="64" t="s">
        <v>172</v>
      </c>
      <c r="E49" s="83"/>
      <c r="G49" s="64"/>
    </row>
    <row r="50" spans="1:7" ht="14.4" customHeight="1" x14ac:dyDescent="0.25">
      <c r="A50" t="s">
        <v>186</v>
      </c>
      <c r="B50" t="s">
        <v>170</v>
      </c>
      <c r="C50" t="s">
        <v>171</v>
      </c>
      <c r="D50" s="64" t="s">
        <v>172</v>
      </c>
      <c r="E50" s="83"/>
      <c r="G50" s="64"/>
    </row>
    <row r="51" spans="1:7" ht="14.4" customHeight="1" x14ac:dyDescent="0.25">
      <c r="A51" t="s">
        <v>187</v>
      </c>
      <c r="B51" t="s">
        <v>170</v>
      </c>
      <c r="C51" t="s">
        <v>171</v>
      </c>
      <c r="D51" s="64" t="s">
        <v>172</v>
      </c>
      <c r="E51" s="83"/>
      <c r="G51" s="64"/>
    </row>
    <row r="52" spans="1:7" ht="14.4" customHeight="1" x14ac:dyDescent="0.25">
      <c r="A52" t="s">
        <v>188</v>
      </c>
      <c r="B52" t="s">
        <v>170</v>
      </c>
      <c r="C52" t="s">
        <v>171</v>
      </c>
      <c r="D52" s="64" t="s">
        <v>172</v>
      </c>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189</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5:D3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0.66894300000000007</v>
      </c>
      <c r="C4" s="57" t="s">
        <v>29</v>
      </c>
      <c r="D4" s="87">
        <v>1.1474</v>
      </c>
      <c r="E4" s="57" t="s">
        <v>33</v>
      </c>
      <c r="F4" s="86">
        <v>0.99670000000000003</v>
      </c>
      <c r="G4" s="57" t="s">
        <v>34</v>
      </c>
      <c r="H4" s="86">
        <v>0.18358099999999999</v>
      </c>
      <c r="I4" s="57"/>
      <c r="J4" s="88"/>
    </row>
    <row r="5" spans="1:10" ht="15.75" customHeight="1" x14ac:dyDescent="0.25">
      <c r="A5" s="57" t="s">
        <v>54</v>
      </c>
      <c r="B5" s="86">
        <v>0.45176099999999997</v>
      </c>
      <c r="C5" s="57" t="s">
        <v>55</v>
      </c>
      <c r="D5" s="87">
        <v>0.77290000000000003</v>
      </c>
      <c r="E5" s="57" t="s">
        <v>56</v>
      </c>
      <c r="F5" s="87">
        <v>5.4650999999999996</v>
      </c>
      <c r="G5" s="57" t="s">
        <v>57</v>
      </c>
      <c r="H5" s="86">
        <v>5.4675000000000001E-2</v>
      </c>
      <c r="I5" s="57"/>
      <c r="J5" s="88"/>
    </row>
    <row r="6" spans="1:10" ht="15" customHeight="1" x14ac:dyDescent="0.25">
      <c r="A6" s="57" t="s">
        <v>58</v>
      </c>
      <c r="B6" s="86">
        <v>0.58857199999999998</v>
      </c>
      <c r="C6" s="57" t="s">
        <v>31</v>
      </c>
      <c r="D6" s="89">
        <v>8.7800000000000003E-2</v>
      </c>
      <c r="E6" s="57" t="s">
        <v>59</v>
      </c>
      <c r="F6" s="87">
        <v>3.3976999999999999</v>
      </c>
      <c r="G6" s="57" t="s">
        <v>37</v>
      </c>
      <c r="H6" s="86">
        <v>8.1275E-2</v>
      </c>
      <c r="I6" s="57"/>
      <c r="J6" s="88"/>
    </row>
    <row r="7" spans="1:10" ht="14.25" customHeight="1" x14ac:dyDescent="0.25">
      <c r="A7" s="57" t="s">
        <v>30</v>
      </c>
      <c r="B7" s="89">
        <v>1.2005196006775054</v>
      </c>
      <c r="C7" s="57" t="s">
        <v>60</v>
      </c>
      <c r="D7" s="89">
        <v>3.7037</v>
      </c>
      <c r="E7" s="57" t="s">
        <v>61</v>
      </c>
      <c r="F7" s="87">
        <v>1.3582000000000001</v>
      </c>
      <c r="G7" s="57" t="s">
        <v>62</v>
      </c>
      <c r="H7" s="86">
        <v>4.1772999999999998E-2</v>
      </c>
      <c r="I7" s="57"/>
      <c r="J7" s="88"/>
    </row>
    <row r="8" spans="1:10" x14ac:dyDescent="0.25">
      <c r="A8" s="57"/>
      <c r="B8" s="90"/>
      <c r="C8" s="57"/>
      <c r="D8" s="91"/>
      <c r="E8" s="57" t="s">
        <v>63</v>
      </c>
      <c r="F8" s="87">
        <v>0.59789999999999999</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55.963140000000003</v>
      </c>
      <c r="C12" s="57" t="s">
        <v>70</v>
      </c>
      <c r="D12" s="89">
        <v>762.99929999999995</v>
      </c>
      <c r="E12" s="147" t="s">
        <v>71</v>
      </c>
      <c r="F12" s="120"/>
      <c r="G12" s="120"/>
      <c r="H12" s="148">
        <v>760.44773999999995</v>
      </c>
      <c r="I12" s="120"/>
      <c r="J12" s="120"/>
    </row>
    <row r="13" spans="1:10" ht="14.25" customHeight="1" x14ac:dyDescent="0.25">
      <c r="A13" s="57" t="s">
        <v>72</v>
      </c>
      <c r="B13" s="92">
        <v>163.96726000000001</v>
      </c>
      <c r="C13" s="57" t="s">
        <v>73</v>
      </c>
      <c r="D13" s="89">
        <v>733.35871999999995</v>
      </c>
      <c r="E13" s="147" t="s">
        <v>74</v>
      </c>
      <c r="F13" s="120"/>
      <c r="G13" s="120"/>
      <c r="H13" s="148">
        <v>16.919260000000001</v>
      </c>
      <c r="I13" s="120"/>
      <c r="J13" s="120"/>
    </row>
    <row r="14" spans="1:10" ht="14.25" customHeight="1" x14ac:dyDescent="0.25">
      <c r="A14" s="57" t="s">
        <v>75</v>
      </c>
      <c r="B14" s="92">
        <v>82.597359999999995</v>
      </c>
      <c r="C14" s="57" t="s">
        <v>76</v>
      </c>
      <c r="D14" s="89">
        <v>622.92714999999998</v>
      </c>
      <c r="E14" s="147" t="s">
        <v>77</v>
      </c>
      <c r="F14" s="120"/>
      <c r="G14" s="120"/>
      <c r="H14" s="148">
        <v>804.79933000000005</v>
      </c>
      <c r="I14" s="120"/>
      <c r="J14" s="120"/>
    </row>
    <row r="15" spans="1:10" ht="14.25" customHeight="1" x14ac:dyDescent="0.25">
      <c r="A15" s="57" t="s">
        <v>78</v>
      </c>
      <c r="B15" s="92">
        <v>229.41021000000001</v>
      </c>
      <c r="C15" s="57" t="s">
        <v>79</v>
      </c>
      <c r="D15" s="89">
        <v>29.26718</v>
      </c>
      <c r="E15" s="147" t="s">
        <v>80</v>
      </c>
      <c r="F15" s="120"/>
      <c r="G15" s="120"/>
      <c r="H15" s="148">
        <v>615.90642000000003</v>
      </c>
      <c r="I15" s="120"/>
      <c r="J15" s="120"/>
    </row>
    <row r="16" spans="1:10" ht="14.25" customHeight="1" x14ac:dyDescent="0.25">
      <c r="A16" s="57" t="s">
        <v>81</v>
      </c>
      <c r="B16" s="92">
        <v>221.94585000000001</v>
      </c>
      <c r="C16" s="57" t="s">
        <v>82</v>
      </c>
      <c r="D16" s="89">
        <v>54.820540000000001</v>
      </c>
      <c r="E16" s="147" t="s">
        <v>83</v>
      </c>
      <c r="F16" s="120"/>
      <c r="G16" s="120"/>
      <c r="H16" s="148">
        <v>58.176879999999997</v>
      </c>
      <c r="I16" s="120"/>
      <c r="J16" s="120"/>
    </row>
    <row r="17" spans="1:10" ht="14.25" customHeight="1" x14ac:dyDescent="0.25">
      <c r="A17" s="57" t="s">
        <v>84</v>
      </c>
      <c r="B17" s="92">
        <v>47.112439999999999</v>
      </c>
      <c r="C17" s="57" t="s">
        <v>85</v>
      </c>
      <c r="D17" s="89">
        <v>14.46321</v>
      </c>
      <c r="E17" s="147" t="s">
        <v>86</v>
      </c>
      <c r="F17" s="120"/>
      <c r="G17" s="120"/>
      <c r="H17" s="148">
        <v>762.04553999999996</v>
      </c>
      <c r="I17" s="120"/>
      <c r="J17" s="120"/>
    </row>
    <row r="18" spans="1:10" ht="14.25" customHeight="1" x14ac:dyDescent="0.25">
      <c r="A18" s="57" t="s">
        <v>87</v>
      </c>
      <c r="B18" s="92">
        <v>1306.0437899999999</v>
      </c>
      <c r="C18" s="57" t="s">
        <v>88</v>
      </c>
      <c r="D18" s="89">
        <v>41.716850000000001</v>
      </c>
      <c r="E18" s="147" t="s">
        <v>89</v>
      </c>
      <c r="F18" s="120"/>
      <c r="G18" s="120"/>
      <c r="H18" s="148">
        <v>42.753790000000002</v>
      </c>
      <c r="I18" s="120"/>
      <c r="J18" s="120"/>
    </row>
    <row r="19" spans="1:10" ht="14.25" customHeight="1" x14ac:dyDescent="0.25">
      <c r="A19" s="57" t="s">
        <v>90</v>
      </c>
      <c r="B19" s="92">
        <v>153.17347000000001</v>
      </c>
      <c r="C19" s="57" t="s">
        <v>91</v>
      </c>
      <c r="D19" s="89">
        <v>44.092410000000001</v>
      </c>
      <c r="E19" s="147" t="s">
        <v>92</v>
      </c>
      <c r="F19" s="120"/>
      <c r="G19" s="120"/>
      <c r="H19" s="148">
        <v>-15.80105</v>
      </c>
      <c r="I19" s="120"/>
      <c r="J19" s="120"/>
    </row>
    <row r="20" spans="1:10" ht="27" customHeight="1" x14ac:dyDescent="0.25">
      <c r="A20" s="57" t="s">
        <v>93</v>
      </c>
      <c r="B20" s="92">
        <v>40.855789999999999</v>
      </c>
      <c r="C20" s="57" t="s">
        <v>35</v>
      </c>
      <c r="D20" s="89">
        <v>31.584150000000001</v>
      </c>
      <c r="E20" s="147" t="s">
        <v>94</v>
      </c>
      <c r="F20" s="120"/>
      <c r="G20" s="120"/>
      <c r="H20" s="148">
        <v>28.031500000000001</v>
      </c>
      <c r="I20" s="120"/>
      <c r="J20" s="120"/>
    </row>
    <row r="21" spans="1:10" ht="16.5" customHeight="1" x14ac:dyDescent="0.25">
      <c r="A21" s="57" t="s">
        <v>95</v>
      </c>
      <c r="B21" s="92">
        <v>0</v>
      </c>
      <c r="C21" s="57"/>
      <c r="D21" s="93"/>
      <c r="E21" s="147" t="s">
        <v>96</v>
      </c>
      <c r="F21" s="120"/>
      <c r="G21" s="120"/>
      <c r="H21" s="148">
        <v>599.30548999999996</v>
      </c>
      <c r="I21" s="120"/>
      <c r="J21" s="120"/>
    </row>
    <row r="22" spans="1:10" ht="14.25" customHeight="1" x14ac:dyDescent="0.25">
      <c r="A22" s="57" t="s">
        <v>97</v>
      </c>
      <c r="B22" s="92">
        <v>241.40168</v>
      </c>
      <c r="C22" s="57"/>
      <c r="D22" s="93"/>
      <c r="E22" s="147" t="s">
        <v>98</v>
      </c>
      <c r="F22" s="120"/>
      <c r="G22" s="120"/>
      <c r="H22" s="148">
        <v>0</v>
      </c>
      <c r="I22" s="120"/>
      <c r="J22" s="120"/>
    </row>
    <row r="23" spans="1:10" ht="14.25" customHeight="1" x14ac:dyDescent="0.25">
      <c r="A23" s="57" t="s">
        <v>99</v>
      </c>
      <c r="B23" s="92">
        <v>79.864999999999995</v>
      </c>
      <c r="C23" s="57"/>
      <c r="D23" s="93"/>
      <c r="E23" s="147" t="s">
        <v>100</v>
      </c>
      <c r="F23" s="120"/>
      <c r="G23" s="120"/>
      <c r="H23" s="148">
        <v>627.50172999999995</v>
      </c>
      <c r="I23" s="120"/>
      <c r="J23" s="120"/>
    </row>
    <row r="24" spans="1:10" ht="14.25" customHeight="1" x14ac:dyDescent="0.25">
      <c r="A24" s="57" t="s">
        <v>101</v>
      </c>
      <c r="B24" s="92">
        <v>873.66944999999998</v>
      </c>
      <c r="C24" s="94"/>
      <c r="D24" s="91"/>
      <c r="E24" s="147" t="s">
        <v>102</v>
      </c>
      <c r="F24" s="120"/>
      <c r="G24" s="120"/>
      <c r="H24" s="148">
        <v>628.07109000000003</v>
      </c>
      <c r="I24" s="120"/>
      <c r="J24" s="120"/>
    </row>
    <row r="25" spans="1:10" ht="14.25" customHeight="1" x14ac:dyDescent="0.25">
      <c r="A25" s="57" t="s">
        <v>103</v>
      </c>
      <c r="B25" s="92">
        <v>432.37434000000002</v>
      </c>
      <c r="C25" s="94"/>
      <c r="D25" s="91"/>
      <c r="E25" s="147" t="s">
        <v>104</v>
      </c>
      <c r="F25" s="120"/>
      <c r="G25" s="120"/>
      <c r="H25" s="148">
        <v>662.87325999999996</v>
      </c>
      <c r="I25" s="120"/>
      <c r="J25" s="120"/>
    </row>
    <row r="26" spans="1:10" ht="14.25" customHeight="1" x14ac:dyDescent="0.25">
      <c r="A26" s="95" t="s">
        <v>105</v>
      </c>
      <c r="B26" s="92">
        <v>1306.0437899999999</v>
      </c>
      <c r="C26" s="94"/>
      <c r="D26" s="91"/>
      <c r="E26" s="147" t="s">
        <v>106</v>
      </c>
      <c r="F26" s="120"/>
      <c r="G26" s="120"/>
      <c r="H26" s="148">
        <v>-35.37153</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190</v>
      </c>
      <c r="B1" s="124"/>
      <c r="C1" s="124"/>
      <c r="D1" s="124"/>
      <c r="E1" s="124"/>
      <c r="F1" s="124"/>
      <c r="G1" s="124"/>
      <c r="H1" s="124"/>
      <c r="I1" s="124"/>
    </row>
    <row r="2" spans="1:10" ht="46.5" customHeight="1" x14ac:dyDescent="0.25">
      <c r="A2" s="54" t="s">
        <v>22</v>
      </c>
      <c r="B2" s="43" t="s">
        <v>247</v>
      </c>
      <c r="C2" s="43" t="s">
        <v>191</v>
      </c>
      <c r="D2" s="43" t="s">
        <v>257</v>
      </c>
      <c r="E2" s="43" t="s">
        <v>257</v>
      </c>
      <c r="F2" s="43" t="s">
        <v>257</v>
      </c>
      <c r="G2" s="43" t="s">
        <v>257</v>
      </c>
      <c r="H2" s="43" t="s">
        <v>257</v>
      </c>
      <c r="I2" s="43" t="s">
        <v>257</v>
      </c>
      <c r="J2" s="43" t="s">
        <v>257</v>
      </c>
    </row>
    <row r="3" spans="1:10" x14ac:dyDescent="0.25">
      <c r="A3" s="54" t="s">
        <v>23</v>
      </c>
      <c r="B3" s="97" t="s">
        <v>170</v>
      </c>
      <c r="C3" s="98" t="s">
        <v>192</v>
      </c>
      <c r="D3" s="97" t="s">
        <v>257</v>
      </c>
      <c r="E3" s="97" t="s">
        <v>257</v>
      </c>
      <c r="F3" s="97" t="s">
        <v>257</v>
      </c>
      <c r="G3" s="97" t="s">
        <v>257</v>
      </c>
      <c r="H3" s="97" t="s">
        <v>257</v>
      </c>
      <c r="I3" s="97" t="s">
        <v>257</v>
      </c>
      <c r="J3" s="97" t="s">
        <v>257</v>
      </c>
    </row>
    <row r="4" spans="1:10" s="7" customFormat="1" x14ac:dyDescent="0.25">
      <c r="A4" s="9" t="s">
        <v>3</v>
      </c>
      <c r="B4" s="99" t="s">
        <v>248</v>
      </c>
      <c r="C4" s="98" t="s">
        <v>192</v>
      </c>
      <c r="D4" s="99" t="s">
        <v>257</v>
      </c>
      <c r="E4" s="99" t="s">
        <v>257</v>
      </c>
      <c r="F4" s="99" t="s">
        <v>257</v>
      </c>
      <c r="G4" s="99" t="s">
        <v>257</v>
      </c>
      <c r="H4" s="99" t="s">
        <v>257</v>
      </c>
      <c r="I4" s="99" t="s">
        <v>257</v>
      </c>
      <c r="J4" s="99" t="s">
        <v>257</v>
      </c>
    </row>
    <row r="5" spans="1:10" s="7" customFormat="1" x14ac:dyDescent="0.25">
      <c r="A5" s="9" t="s">
        <v>25</v>
      </c>
      <c r="B5" s="100" t="s">
        <v>26</v>
      </c>
      <c r="C5" s="98" t="s">
        <v>192</v>
      </c>
      <c r="D5" s="100" t="s">
        <v>257</v>
      </c>
      <c r="E5" s="100" t="s">
        <v>257</v>
      </c>
      <c r="F5" s="100" t="s">
        <v>257</v>
      </c>
      <c r="G5" s="100" t="s">
        <v>257</v>
      </c>
      <c r="H5" s="100" t="s">
        <v>257</v>
      </c>
      <c r="I5" s="100" t="s">
        <v>257</v>
      </c>
      <c r="J5" s="100" t="s">
        <v>257</v>
      </c>
    </row>
    <row r="6" spans="1:10" x14ac:dyDescent="0.25">
      <c r="A6" s="54" t="s">
        <v>27</v>
      </c>
      <c r="B6" s="101">
        <v>1306.0437899999999</v>
      </c>
      <c r="C6" s="98" t="s">
        <v>192</v>
      </c>
      <c r="D6" s="101" t="s">
        <v>257</v>
      </c>
      <c r="E6" s="101" t="s">
        <v>257</v>
      </c>
      <c r="F6" s="101" t="s">
        <v>257</v>
      </c>
      <c r="G6" s="101" t="s">
        <v>257</v>
      </c>
      <c r="H6" s="101" t="s">
        <v>257</v>
      </c>
      <c r="I6" s="101" t="s">
        <v>257</v>
      </c>
      <c r="J6" s="101" t="s">
        <v>257</v>
      </c>
    </row>
    <row r="7" spans="1:10" x14ac:dyDescent="0.25">
      <c r="A7" s="54" t="s">
        <v>28</v>
      </c>
      <c r="B7" s="44">
        <v>0.66894300000000007</v>
      </c>
      <c r="C7" s="98" t="s">
        <v>192</v>
      </c>
      <c r="D7" s="44" t="s">
        <v>257</v>
      </c>
      <c r="E7" s="44" t="s">
        <v>257</v>
      </c>
      <c r="F7" s="44" t="s">
        <v>257</v>
      </c>
      <c r="G7" s="44" t="s">
        <v>257</v>
      </c>
      <c r="H7" s="44" t="s">
        <v>257</v>
      </c>
      <c r="I7" s="44" t="s">
        <v>257</v>
      </c>
      <c r="J7" s="44" t="s">
        <v>257</v>
      </c>
    </row>
    <row r="8" spans="1:10" x14ac:dyDescent="0.25">
      <c r="A8" s="54" t="s">
        <v>29</v>
      </c>
      <c r="B8" s="101">
        <v>1.1474</v>
      </c>
      <c r="C8" s="98" t="s">
        <v>192</v>
      </c>
      <c r="D8" s="101" t="s">
        <v>257</v>
      </c>
      <c r="E8" s="101" t="s">
        <v>257</v>
      </c>
      <c r="F8" s="101" t="s">
        <v>257</v>
      </c>
      <c r="G8" s="101" t="s">
        <v>257</v>
      </c>
      <c r="H8" s="101" t="s">
        <v>257</v>
      </c>
      <c r="I8" s="101" t="s">
        <v>257</v>
      </c>
      <c r="J8" s="101" t="s">
        <v>257</v>
      </c>
    </row>
    <row r="9" spans="1:10" x14ac:dyDescent="0.25">
      <c r="A9" s="54" t="s">
        <v>30</v>
      </c>
      <c r="B9" s="97">
        <v>1.2005196006775054</v>
      </c>
      <c r="C9" s="98" t="s">
        <v>192</v>
      </c>
      <c r="D9" s="97" t="s">
        <v>257</v>
      </c>
      <c r="E9" s="97" t="s">
        <v>257</v>
      </c>
      <c r="F9" s="97" t="s">
        <v>257</v>
      </c>
      <c r="G9" s="97" t="s">
        <v>257</v>
      </c>
      <c r="H9" s="97" t="s">
        <v>257</v>
      </c>
      <c r="I9" s="97" t="s">
        <v>257</v>
      </c>
      <c r="J9" s="97" t="s">
        <v>257</v>
      </c>
    </row>
    <row r="10" spans="1:10" ht="21.6" customHeight="1" x14ac:dyDescent="0.25">
      <c r="A10" s="54" t="s">
        <v>31</v>
      </c>
      <c r="B10" s="101">
        <v>8.7800000000000003E-2</v>
      </c>
      <c r="C10" s="98" t="s">
        <v>192</v>
      </c>
      <c r="D10" s="101" t="s">
        <v>257</v>
      </c>
      <c r="E10" s="101" t="s">
        <v>257</v>
      </c>
      <c r="F10" s="101" t="s">
        <v>257</v>
      </c>
      <c r="G10" s="101" t="s">
        <v>257</v>
      </c>
      <c r="H10" s="101" t="s">
        <v>257</v>
      </c>
      <c r="I10" s="101" t="s">
        <v>257</v>
      </c>
      <c r="J10" s="101" t="s">
        <v>257</v>
      </c>
    </row>
    <row r="11" spans="1:10" x14ac:dyDescent="0.25">
      <c r="A11" s="54" t="s">
        <v>32</v>
      </c>
      <c r="B11" s="101">
        <v>762.99929999999995</v>
      </c>
      <c r="C11" s="98" t="s">
        <v>192</v>
      </c>
      <c r="D11" s="101" t="s">
        <v>257</v>
      </c>
      <c r="E11" s="101" t="s">
        <v>257</v>
      </c>
      <c r="F11" s="101" t="s">
        <v>257</v>
      </c>
      <c r="G11" s="101" t="s">
        <v>257</v>
      </c>
      <c r="H11" s="101" t="s">
        <v>257</v>
      </c>
      <c r="I11" s="101" t="s">
        <v>257</v>
      </c>
      <c r="J11" s="101" t="s">
        <v>257</v>
      </c>
    </row>
    <row r="12" spans="1:10" s="7" customFormat="1" x14ac:dyDescent="0.25">
      <c r="A12" s="9" t="s">
        <v>33</v>
      </c>
      <c r="B12" s="45">
        <v>0.99670000000000003</v>
      </c>
      <c r="C12" s="98" t="s">
        <v>192</v>
      </c>
      <c r="D12" s="45" t="s">
        <v>257</v>
      </c>
      <c r="E12" s="45" t="s">
        <v>257</v>
      </c>
      <c r="F12" s="45" t="s">
        <v>257</v>
      </c>
      <c r="G12" s="45" t="s">
        <v>257</v>
      </c>
      <c r="H12" s="45" t="s">
        <v>257</v>
      </c>
      <c r="I12" s="45" t="s">
        <v>257</v>
      </c>
      <c r="J12" s="45" t="s">
        <v>257</v>
      </c>
    </row>
    <row r="13" spans="1:10" s="7" customFormat="1" x14ac:dyDescent="0.25">
      <c r="A13" s="9" t="s">
        <v>34</v>
      </c>
      <c r="B13" s="45">
        <v>0.18358099999999999</v>
      </c>
      <c r="C13" s="98" t="s">
        <v>192</v>
      </c>
      <c r="D13" s="45" t="s">
        <v>257</v>
      </c>
      <c r="E13" s="45" t="s">
        <v>257</v>
      </c>
      <c r="F13" s="45" t="s">
        <v>257</v>
      </c>
      <c r="G13" s="45" t="s">
        <v>257</v>
      </c>
      <c r="H13" s="45" t="s">
        <v>257</v>
      </c>
      <c r="I13" s="45" t="s">
        <v>257</v>
      </c>
      <c r="J13" s="45" t="s">
        <v>257</v>
      </c>
    </row>
    <row r="14" spans="1:10" s="7" customFormat="1" x14ac:dyDescent="0.25">
      <c r="A14" s="9" t="s">
        <v>35</v>
      </c>
      <c r="B14" s="102">
        <v>31.584150000000001</v>
      </c>
      <c r="C14" s="98" t="s">
        <v>192</v>
      </c>
      <c r="D14" s="102" t="s">
        <v>257</v>
      </c>
      <c r="E14" s="102" t="s">
        <v>257</v>
      </c>
      <c r="F14" s="102" t="s">
        <v>257</v>
      </c>
      <c r="G14" s="102" t="s">
        <v>257</v>
      </c>
      <c r="H14" s="102" t="s">
        <v>257</v>
      </c>
      <c r="I14" s="102" t="s">
        <v>257</v>
      </c>
      <c r="J14" s="102" t="s">
        <v>257</v>
      </c>
    </row>
    <row r="15" spans="1:10" x14ac:dyDescent="0.25">
      <c r="A15" s="54" t="s">
        <v>37</v>
      </c>
      <c r="B15" s="44">
        <v>8.1275E-2</v>
      </c>
      <c r="C15" s="98" t="s">
        <v>192</v>
      </c>
      <c r="D15" s="44" t="s">
        <v>257</v>
      </c>
      <c r="E15" s="44" t="s">
        <v>257</v>
      </c>
      <c r="F15" s="44" t="s">
        <v>257</v>
      </c>
      <c r="G15" s="44" t="s">
        <v>257</v>
      </c>
      <c r="H15" s="44" t="s">
        <v>257</v>
      </c>
      <c r="I15" s="44" t="s">
        <v>257</v>
      </c>
      <c r="J15" s="44" t="s">
        <v>257</v>
      </c>
    </row>
    <row r="16" spans="1:10" s="7" customFormat="1" ht="25.8" customHeight="1" x14ac:dyDescent="0.25">
      <c r="A16" s="9" t="s">
        <v>38</v>
      </c>
      <c r="B16" s="102">
        <v>42.753790000000002</v>
      </c>
      <c r="C16" s="98" t="s">
        <v>192</v>
      </c>
      <c r="D16" s="102" t="s">
        <v>257</v>
      </c>
      <c r="E16" s="102" t="s">
        <v>257</v>
      </c>
      <c r="F16" s="102" t="s">
        <v>257</v>
      </c>
      <c r="G16" s="102" t="s">
        <v>257</v>
      </c>
      <c r="H16" s="102" t="s">
        <v>257</v>
      </c>
      <c r="I16" s="102" t="s">
        <v>257</v>
      </c>
      <c r="J16" s="102" t="s">
        <v>257</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sqref="A1:XFD1048576"/>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193</v>
      </c>
      <c r="B1" s="124"/>
      <c r="C1" s="124"/>
      <c r="D1" s="124"/>
      <c r="E1" s="124"/>
      <c r="F1" s="124"/>
    </row>
    <row r="2" spans="1:6" x14ac:dyDescent="0.25">
      <c r="A2" s="51" t="s">
        <v>194</v>
      </c>
      <c r="B2" s="50" t="s">
        <v>195</v>
      </c>
      <c r="C2" s="50" t="s">
        <v>196</v>
      </c>
      <c r="D2" s="50" t="s">
        <v>197</v>
      </c>
      <c r="E2" s="50" t="s">
        <v>168</v>
      </c>
      <c r="F2" s="50" t="s">
        <v>198</v>
      </c>
    </row>
    <row r="3" spans="1:6" ht="48" customHeight="1" x14ac:dyDescent="0.25">
      <c r="A3" s="104">
        <v>43535</v>
      </c>
      <c r="B3" s="52" t="s">
        <v>199</v>
      </c>
      <c r="C3" s="105" t="s">
        <v>200</v>
      </c>
      <c r="D3" s="105"/>
      <c r="E3" s="52" t="s">
        <v>172</v>
      </c>
      <c r="F3" s="105" t="s">
        <v>201</v>
      </c>
    </row>
    <row r="4" spans="1:6" ht="49.5" customHeight="1" x14ac:dyDescent="0.25">
      <c r="A4" s="104">
        <v>43535</v>
      </c>
      <c r="B4" s="52" t="s">
        <v>202</v>
      </c>
      <c r="C4" s="105" t="s">
        <v>203</v>
      </c>
      <c r="D4" s="105"/>
      <c r="E4" s="52" t="s">
        <v>204</v>
      </c>
      <c r="F4" s="105"/>
    </row>
    <row r="5" spans="1:6" ht="125.4" x14ac:dyDescent="0.25">
      <c r="A5" s="104">
        <v>43438</v>
      </c>
      <c r="B5" s="52" t="s">
        <v>205</v>
      </c>
      <c r="C5" s="105" t="s">
        <v>200</v>
      </c>
      <c r="D5" s="105"/>
      <c r="E5" s="52" t="s">
        <v>206</v>
      </c>
      <c r="F5" s="105" t="s">
        <v>207</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208</v>
      </c>
      <c r="B21" s="143"/>
      <c r="C21" s="143"/>
      <c r="D21" s="143"/>
      <c r="E21" s="143"/>
      <c r="F21" s="143"/>
    </row>
    <row r="22" spans="1:6" x14ac:dyDescent="0.25">
      <c r="A22" s="84" t="s">
        <v>194</v>
      </c>
      <c r="B22" s="84" t="s">
        <v>195</v>
      </c>
      <c r="C22" s="84" t="s">
        <v>209</v>
      </c>
      <c r="D22" s="84" t="s">
        <v>210</v>
      </c>
      <c r="E22" s="84" t="s">
        <v>168</v>
      </c>
      <c r="F22" s="84" t="s">
        <v>198</v>
      </c>
    </row>
    <row r="23" spans="1:6" x14ac:dyDescent="0.25">
      <c r="A23" s="107">
        <v>43497</v>
      </c>
      <c r="B23" s="58" t="s">
        <v>211</v>
      </c>
      <c r="C23" s="108" t="s">
        <v>212</v>
      </c>
      <c r="D23" s="108"/>
      <c r="E23" s="58" t="s">
        <v>174</v>
      </c>
      <c r="F23" s="108" t="s">
        <v>213</v>
      </c>
    </row>
    <row r="24" spans="1:6" x14ac:dyDescent="0.25">
      <c r="A24" s="107">
        <v>43496</v>
      </c>
      <c r="B24" s="58" t="s">
        <v>214</v>
      </c>
      <c r="C24" s="108" t="s">
        <v>215</v>
      </c>
      <c r="D24" s="108"/>
      <c r="E24" s="58" t="s">
        <v>216</v>
      </c>
      <c r="F24" s="108" t="s">
        <v>217</v>
      </c>
    </row>
    <row r="25" spans="1:6" x14ac:dyDescent="0.25">
      <c r="A25" s="107">
        <v>43433</v>
      </c>
      <c r="B25" s="58" t="s">
        <v>218</v>
      </c>
      <c r="C25" s="108" t="s">
        <v>219</v>
      </c>
      <c r="D25" s="108"/>
      <c r="E25" s="58" t="s">
        <v>220</v>
      </c>
      <c r="F25" s="108" t="s">
        <v>221</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222</v>
      </c>
      <c r="B1" s="124"/>
      <c r="C1" s="124"/>
      <c r="D1" s="124"/>
      <c r="E1" s="124"/>
      <c r="F1" s="124"/>
      <c r="G1" s="124"/>
      <c r="H1" s="124"/>
      <c r="I1" s="124"/>
      <c r="J1" s="124"/>
      <c r="K1" s="124"/>
      <c r="L1" s="124"/>
      <c r="M1" s="124"/>
      <c r="N1" s="124"/>
    </row>
    <row r="2" spans="1:18" s="1" customFormat="1" ht="25.5" customHeight="1" x14ac:dyDescent="0.25">
      <c r="A2" s="55" t="s">
        <v>223</v>
      </c>
      <c r="B2" s="55" t="s">
        <v>224</v>
      </c>
      <c r="C2" s="55" t="s">
        <v>225</v>
      </c>
      <c r="D2" s="55" t="s">
        <v>226</v>
      </c>
      <c r="E2" s="55" t="s">
        <v>227</v>
      </c>
      <c r="F2" s="55" t="s">
        <v>228</v>
      </c>
      <c r="G2" s="55" t="s">
        <v>229</v>
      </c>
      <c r="H2" s="55" t="s">
        <v>16</v>
      </c>
      <c r="I2" s="55" t="s">
        <v>230</v>
      </c>
      <c r="J2" s="55" t="s">
        <v>231</v>
      </c>
      <c r="K2" s="55" t="s">
        <v>232</v>
      </c>
      <c r="L2" s="55" t="s">
        <v>233</v>
      </c>
      <c r="M2" s="55" t="s">
        <v>19</v>
      </c>
      <c r="N2" s="55" t="s">
        <v>234</v>
      </c>
      <c r="O2" s="3"/>
      <c r="P2" s="110" t="str">
        <f ca="1">Q2</f>
        <v>2019-04-09</v>
      </c>
      <c r="Q2" s="1" t="str">
        <f ca="1">[1]!td(R2-1)</f>
        <v>2019-04-09</v>
      </c>
      <c r="R2" s="3">
        <f ca="1">TODAY()</f>
        <v>43565</v>
      </c>
    </row>
    <row r="3" spans="1:18" ht="15.75" customHeight="1" x14ac:dyDescent="0.25">
      <c r="A3" s="111" t="str">
        <f>[1]!b_info_name(L3)</f>
        <v>19海运集装MTN001</v>
      </c>
      <c r="B3" s="2" t="str">
        <f>[1]!b_issue_firstissue(L3)</f>
        <v>2019-04-11</v>
      </c>
      <c r="C3" s="111">
        <f>[1]!b_info_term(L3)</f>
        <v>3</v>
      </c>
      <c r="D3" s="112" t="str">
        <f>[1]!issuerrating(L3)</f>
        <v>AAA</v>
      </c>
      <c r="E3" s="112" t="str">
        <f>[1]!b_info_creditrating(L3)</f>
        <v>AAA</v>
      </c>
      <c r="F3" s="111" t="str">
        <f>[1]!b_rate_creditratingagency(L3)</f>
        <v>中诚信国际信用评级有限责任公司</v>
      </c>
      <c r="G3" s="113">
        <f>[1]!b_agency_guarantor(L3)</f>
        <v>0</v>
      </c>
      <c r="H3" s="114" t="s">
        <v>235</v>
      </c>
      <c r="I3" s="66"/>
      <c r="J3" s="115" t="s">
        <v>235</v>
      </c>
      <c r="K3" s="116"/>
      <c r="L3" s="41" t="str">
        <f>公式页!A2</f>
        <v>q19040906.IB</v>
      </c>
      <c r="M3" s="114" t="s">
        <v>235</v>
      </c>
      <c r="N3" s="111" t="str">
        <f>[1]!b_agency_leadunderwriter(L3)</f>
        <v>中国邮政储蓄银行股份有限公司,平安银行股份有限公司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236</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237</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223</v>
      </c>
      <c r="B13" s="55" t="s">
        <v>224</v>
      </c>
      <c r="C13" s="55" t="s">
        <v>225</v>
      </c>
      <c r="D13" s="55" t="s">
        <v>226</v>
      </c>
      <c r="E13" s="55" t="s">
        <v>227</v>
      </c>
      <c r="F13" s="55" t="s">
        <v>228</v>
      </c>
      <c r="G13" s="55" t="s">
        <v>229</v>
      </c>
      <c r="H13" s="55" t="s">
        <v>16</v>
      </c>
      <c r="I13" s="55" t="s">
        <v>230</v>
      </c>
      <c r="J13" s="55" t="s">
        <v>231</v>
      </c>
      <c r="K13" s="55" t="s">
        <v>232</v>
      </c>
      <c r="L13" s="55" t="s">
        <v>233</v>
      </c>
      <c r="M13" s="55" t="s">
        <v>19</v>
      </c>
      <c r="N13" s="55" t="s">
        <v>234</v>
      </c>
      <c r="P13" s="109" t="str">
        <f t="shared" ca="1" si="0"/>
        <v>2019-04-09</v>
      </c>
    </row>
    <row r="14" spans="1:18" ht="15.75" customHeight="1" x14ac:dyDescent="0.25">
      <c r="A14" s="111" t="str">
        <f>[1]!b_info_name(L14)</f>
        <v>19海运集装MTN001</v>
      </c>
      <c r="B14" s="2" t="str">
        <f>[1]!b_issue_firstissue(L14)</f>
        <v>2019-04-11</v>
      </c>
      <c r="C14" s="111">
        <f>[1]!b_info_term(L14)</f>
        <v>3</v>
      </c>
      <c r="D14" s="112" t="str">
        <f>[1]!issuerrating(L14)</f>
        <v>AAA</v>
      </c>
      <c r="E14" s="112" t="str">
        <f>[1]!b_info_creditrating(L14)</f>
        <v>AAA</v>
      </c>
      <c r="F14" s="111" t="str">
        <f>[1]!b_rate_creditratingagency(L14)</f>
        <v>中诚信国际信用评级有限责任公司</v>
      </c>
      <c r="G14" s="113">
        <f>[1]!b_agency_guarantor(L14)</f>
        <v>0</v>
      </c>
      <c r="H14" s="114" t="s">
        <v>235</v>
      </c>
      <c r="I14" s="66"/>
      <c r="J14" s="115" t="s">
        <v>235</v>
      </c>
      <c r="K14" s="116">
        <f>K3</f>
        <v>0</v>
      </c>
      <c r="L14" s="42" t="str">
        <f>L3</f>
        <v>q19040906.IB</v>
      </c>
      <c r="M14" s="114" t="s">
        <v>235</v>
      </c>
      <c r="N14" s="111" t="str">
        <f>[1]!b_agency_leadunderwriter(L14)</f>
        <v>中国邮政储蓄银行股份有限公司,平安银行股份有限公司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238</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239</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240</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241</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242</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243</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244</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245</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246</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2019-04-10T07:56:34Z</dcterms:modified>
</cp:coreProperties>
</file>