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1新券信评\"/>
    </mc:Choice>
  </mc:AlternateContent>
  <xr:revisionPtr revIDLastSave="0" documentId="13_ncr:1_{09A2FD6D-91B0-44F4-8BF2-0E7655CF4C3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B9" i="6"/>
  <c r="E8" i="6"/>
  <c r="N7" i="6"/>
  <c r="G7" i="6"/>
  <c r="B7" i="6"/>
  <c r="E6" i="6"/>
  <c r="H5" i="6"/>
  <c r="B5" i="6"/>
  <c r="E4" i="6"/>
  <c r="N3" i="6"/>
  <c r="D3" i="6"/>
  <c r="M141" i="1"/>
  <c r="M139" i="1"/>
  <c r="M137" i="1"/>
  <c r="O135" i="1"/>
  <c r="M134" i="1"/>
  <c r="S132" i="1"/>
  <c r="O131" i="1"/>
  <c r="S130" i="1"/>
  <c r="M128" i="1"/>
  <c r="O127" i="1"/>
  <c r="M123" i="1"/>
  <c r="H23" i="6"/>
  <c r="E22" i="6"/>
  <c r="M21" i="6"/>
  <c r="B21" i="6"/>
  <c r="G20" i="6"/>
  <c r="O19" i="6"/>
  <c r="D19" i="6"/>
  <c r="A18" i="6"/>
  <c r="F17" i="6"/>
  <c r="N16" i="6"/>
  <c r="C16" i="6"/>
  <c r="H15" i="6"/>
  <c r="C14" i="6"/>
  <c r="N9" i="6"/>
  <c r="F9" i="6"/>
  <c r="A9" i="6"/>
  <c r="C8" i="6"/>
  <c r="M7" i="6"/>
  <c r="F7" i="6"/>
  <c r="D6" i="6"/>
  <c r="N5" i="6"/>
  <c r="F5" i="6"/>
  <c r="A5" i="6"/>
  <c r="C4" i="6"/>
  <c r="C3" i="6"/>
  <c r="S140" i="1"/>
  <c r="S138" i="1"/>
  <c r="S136" i="1"/>
  <c r="M135" i="1"/>
  <c r="S133" i="1"/>
  <c r="O132" i="1"/>
  <c r="M131" i="1"/>
  <c r="O130" i="1"/>
  <c r="S129" i="1"/>
  <c r="M22" i="6"/>
  <c r="G21" i="6"/>
  <c r="D20" i="6"/>
  <c r="A19" i="6"/>
  <c r="N17" i="6"/>
  <c r="H16" i="6"/>
  <c r="E15" i="6"/>
  <c r="E9" i="6"/>
  <c r="A8" i="6"/>
  <c r="C7" i="6"/>
  <c r="H6" i="6"/>
  <c r="F4" i="6"/>
  <c r="G3" i="6"/>
  <c r="S141" i="1"/>
  <c r="S137" i="1"/>
  <c r="O134" i="1"/>
  <c r="S131" i="1"/>
  <c r="O128" i="1"/>
  <c r="M127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O23" i="6"/>
  <c r="F21" i="6"/>
  <c r="C20" i="6"/>
  <c r="M17" i="6"/>
  <c r="G16" i="6"/>
  <c r="D15" i="6"/>
  <c r="D9" i="6"/>
  <c r="E23" i="6"/>
  <c r="O20" i="6"/>
  <c r="F18" i="6"/>
  <c r="M6" i="6"/>
  <c r="A6" i="6"/>
  <c r="D5" i="6"/>
  <c r="B4" i="6"/>
  <c r="A3" i="6"/>
  <c r="S139" i="1"/>
  <c r="S134" i="1"/>
  <c r="M129" i="1"/>
  <c r="S127" i="1"/>
  <c r="D112" i="1"/>
  <c r="F111" i="1"/>
  <c r="N103" i="1"/>
  <c r="E102" i="1"/>
  <c r="Q101" i="1"/>
  <c r="L101" i="1"/>
  <c r="C101" i="1"/>
  <c r="O100" i="1"/>
  <c r="G100" i="1"/>
  <c r="R99" i="1"/>
  <c r="M99" i="1"/>
  <c r="E99" i="1"/>
  <c r="P98" i="1"/>
  <c r="J98" i="1"/>
  <c r="C98" i="1"/>
  <c r="N97" i="1"/>
  <c r="F97" i="1"/>
  <c r="R96" i="1"/>
  <c r="L96" i="1"/>
  <c r="D96" i="1"/>
  <c r="E95" i="1"/>
  <c r="E94" i="1"/>
  <c r="F93" i="1"/>
  <c r="G92" i="1"/>
  <c r="G91" i="1"/>
  <c r="B91" i="1"/>
  <c r="C90" i="1"/>
  <c r="C89" i="1"/>
  <c r="D88" i="1"/>
  <c r="E87" i="1"/>
  <c r="E86" i="1"/>
  <c r="F85" i="1"/>
  <c r="G84" i="1"/>
  <c r="G83" i="1"/>
  <c r="B83" i="1"/>
  <c r="C82" i="1"/>
  <c r="C81" i="1"/>
  <c r="D80" i="1"/>
  <c r="E79" i="1"/>
  <c r="E78" i="1"/>
  <c r="F77" i="1"/>
  <c r="G76" i="1"/>
  <c r="G75" i="1"/>
  <c r="B75" i="1"/>
  <c r="C74" i="1"/>
  <c r="C73" i="1"/>
  <c r="D72" i="1"/>
  <c r="E71" i="1"/>
  <c r="E70" i="1"/>
  <c r="F69" i="1"/>
  <c r="G68" i="1"/>
  <c r="G67" i="1"/>
  <c r="B67" i="1"/>
  <c r="C66" i="1"/>
  <c r="C65" i="1"/>
  <c r="D64" i="1"/>
  <c r="E63" i="1"/>
  <c r="E62" i="1"/>
  <c r="F61" i="1"/>
  <c r="G60" i="1"/>
  <c r="G59" i="1"/>
  <c r="B59" i="1"/>
  <c r="C58" i="1"/>
  <c r="C57" i="1"/>
  <c r="D56" i="1"/>
  <c r="E55" i="1"/>
  <c r="E54" i="1"/>
  <c r="F53" i="1"/>
  <c r="G52" i="1"/>
  <c r="G51" i="1"/>
  <c r="B51" i="1"/>
  <c r="C50" i="1"/>
  <c r="C49" i="1"/>
  <c r="D48" i="1"/>
  <c r="E47" i="1"/>
  <c r="E46" i="1"/>
  <c r="F45" i="1"/>
  <c r="G44" i="1"/>
  <c r="G43" i="1"/>
  <c r="B43" i="1"/>
  <c r="C42" i="1"/>
  <c r="C41" i="1"/>
  <c r="D40" i="1"/>
  <c r="E39" i="1"/>
  <c r="E38" i="1"/>
  <c r="F37" i="1"/>
  <c r="G36" i="1"/>
  <c r="G35" i="1"/>
  <c r="B35" i="1"/>
  <c r="C34" i="1"/>
  <c r="C33" i="1"/>
  <c r="D32" i="1"/>
  <c r="E31" i="1"/>
  <c r="E30" i="1"/>
  <c r="Q29" i="1"/>
  <c r="L29" i="1"/>
  <c r="C29" i="1"/>
  <c r="O28" i="1"/>
  <c r="G28" i="1"/>
  <c r="R27" i="1"/>
  <c r="M27" i="1"/>
  <c r="E27" i="1"/>
  <c r="P26" i="1"/>
  <c r="J26" i="1"/>
  <c r="C26" i="1"/>
  <c r="N25" i="1"/>
  <c r="F25" i="1"/>
  <c r="R24" i="1"/>
  <c r="L24" i="1"/>
  <c r="D24" i="1"/>
  <c r="P23" i="1"/>
  <c r="G23" i="1"/>
  <c r="B23" i="1"/>
  <c r="E22" i="1"/>
  <c r="Q21" i="1"/>
  <c r="L21" i="1"/>
  <c r="C21" i="1"/>
  <c r="O20" i="1"/>
  <c r="G20" i="1"/>
  <c r="R19" i="1"/>
  <c r="M19" i="1"/>
  <c r="E19" i="1"/>
  <c r="E18" i="1"/>
  <c r="Q17" i="1"/>
  <c r="L17" i="1"/>
  <c r="C17" i="1"/>
  <c r="E16" i="1"/>
  <c r="Q15" i="1"/>
  <c r="J15" i="1"/>
  <c r="C15" i="1"/>
  <c r="E14" i="1"/>
  <c r="F11" i="1"/>
  <c r="F9" i="1"/>
  <c r="F7" i="1"/>
  <c r="B5" i="1"/>
  <c r="D7" i="6"/>
  <c r="M133" i="1"/>
  <c r="S111" i="1"/>
  <c r="D109" i="1"/>
  <c r="J103" i="1"/>
  <c r="N101" i="1"/>
  <c r="R100" i="1"/>
  <c r="D100" i="1"/>
  <c r="G99" i="1"/>
  <c r="N98" i="1"/>
  <c r="Q97" i="1"/>
  <c r="C97" i="1"/>
  <c r="G96" i="1"/>
  <c r="B95" i="1"/>
  <c r="C93" i="1"/>
  <c r="E91" i="1"/>
  <c r="F89" i="1"/>
  <c r="G87" i="1"/>
  <c r="C86" i="1"/>
  <c r="D84" i="1"/>
  <c r="E82" i="1"/>
  <c r="G80" i="1"/>
  <c r="B79" i="1"/>
  <c r="C77" i="1"/>
  <c r="E75" i="1"/>
  <c r="F73" i="1"/>
  <c r="G71" i="1"/>
  <c r="C70" i="1"/>
  <c r="D68" i="1"/>
  <c r="E66" i="1"/>
  <c r="G64" i="1"/>
  <c r="D23" i="6"/>
  <c r="N20" i="6"/>
  <c r="E18" i="6"/>
  <c r="O15" i="6"/>
  <c r="G8" i="6"/>
  <c r="H7" i="6"/>
  <c r="M4" i="6"/>
  <c r="A4" i="6"/>
  <c r="Q2" i="6"/>
  <c r="M138" i="1"/>
  <c r="O133" i="1"/>
  <c r="S128" i="1"/>
  <c r="M120" i="1"/>
  <c r="F113" i="1"/>
  <c r="D111" i="1"/>
  <c r="D110" i="1"/>
  <c r="F109" i="1"/>
  <c r="R103" i="1"/>
  <c r="L103" i="1"/>
  <c r="D102" i="1"/>
  <c r="P101" i="1"/>
  <c r="G101" i="1"/>
  <c r="B101" i="1"/>
  <c r="N100" i="1"/>
  <c r="E100" i="1"/>
  <c r="Q99" i="1"/>
  <c r="L99" i="1"/>
  <c r="C99" i="1"/>
  <c r="O98" i="1"/>
  <c r="G98" i="1"/>
  <c r="R97" i="1"/>
  <c r="M97" i="1"/>
  <c r="E97" i="1"/>
  <c r="P96" i="1"/>
  <c r="J96" i="1"/>
  <c r="C96" i="1"/>
  <c r="C95" i="1"/>
  <c r="D94" i="1"/>
  <c r="E93" i="1"/>
  <c r="E92" i="1"/>
  <c r="F91" i="1"/>
  <c r="G90" i="1"/>
  <c r="G89" i="1"/>
  <c r="B89" i="1"/>
  <c r="C88" i="1"/>
  <c r="C87" i="1"/>
  <c r="D86" i="1"/>
  <c r="E85" i="1"/>
  <c r="E84" i="1"/>
  <c r="F83" i="1"/>
  <c r="G82" i="1"/>
  <c r="G81" i="1"/>
  <c r="B81" i="1"/>
  <c r="C80" i="1"/>
  <c r="C79" i="1"/>
  <c r="D78" i="1"/>
  <c r="E77" i="1"/>
  <c r="E76" i="1"/>
  <c r="F75" i="1"/>
  <c r="G74" i="1"/>
  <c r="G73" i="1"/>
  <c r="B73" i="1"/>
  <c r="C72" i="1"/>
  <c r="C71" i="1"/>
  <c r="D70" i="1"/>
  <c r="E69" i="1"/>
  <c r="E68" i="1"/>
  <c r="F67" i="1"/>
  <c r="G66" i="1"/>
  <c r="G65" i="1"/>
  <c r="B65" i="1"/>
  <c r="C64" i="1"/>
  <c r="C63" i="1"/>
  <c r="D62" i="1"/>
  <c r="E61" i="1"/>
  <c r="E60" i="1"/>
  <c r="F59" i="1"/>
  <c r="G58" i="1"/>
  <c r="G57" i="1"/>
  <c r="B57" i="1"/>
  <c r="C56" i="1"/>
  <c r="C55" i="1"/>
  <c r="D54" i="1"/>
  <c r="E53" i="1"/>
  <c r="E52" i="1"/>
  <c r="F51" i="1"/>
  <c r="G50" i="1"/>
  <c r="G49" i="1"/>
  <c r="B49" i="1"/>
  <c r="C48" i="1"/>
  <c r="C47" i="1"/>
  <c r="D46" i="1"/>
  <c r="E45" i="1"/>
  <c r="E44" i="1"/>
  <c r="F43" i="1"/>
  <c r="G42" i="1"/>
  <c r="G41" i="1"/>
  <c r="B41" i="1"/>
  <c r="C40" i="1"/>
  <c r="C39" i="1"/>
  <c r="D38" i="1"/>
  <c r="E37" i="1"/>
  <c r="E36" i="1"/>
  <c r="F35" i="1"/>
  <c r="G34" i="1"/>
  <c r="G33" i="1"/>
  <c r="B33" i="1"/>
  <c r="C32" i="1"/>
  <c r="C31" i="1"/>
  <c r="D30" i="1"/>
  <c r="P29" i="1"/>
  <c r="G29" i="1"/>
  <c r="B29" i="1"/>
  <c r="N28" i="1"/>
  <c r="E28" i="1"/>
  <c r="Q27" i="1"/>
  <c r="L27" i="1"/>
  <c r="C27" i="1"/>
  <c r="O26" i="1"/>
  <c r="G26" i="1"/>
  <c r="R25" i="1"/>
  <c r="M25" i="1"/>
  <c r="E25" i="1"/>
  <c r="P24" i="1"/>
  <c r="J24" i="1"/>
  <c r="C24" i="1"/>
  <c r="N23" i="1"/>
  <c r="F23" i="1"/>
  <c r="D22" i="1"/>
  <c r="P21" i="1"/>
  <c r="G21" i="1"/>
  <c r="B21" i="1"/>
  <c r="N20" i="1"/>
  <c r="E20" i="1"/>
  <c r="Q19" i="1"/>
  <c r="L19" i="1"/>
  <c r="C19" i="1"/>
  <c r="D18" i="1"/>
  <c r="P17" i="1"/>
  <c r="G17" i="1"/>
  <c r="B17" i="1"/>
  <c r="D16" i="1"/>
  <c r="O15" i="1"/>
  <c r="G15" i="1"/>
  <c r="B15" i="1"/>
  <c r="D14" i="1"/>
  <c r="B11" i="1"/>
  <c r="B9" i="1"/>
  <c r="B7" i="1"/>
  <c r="E4" i="1"/>
  <c r="B22" i="6"/>
  <c r="C17" i="6"/>
  <c r="F8" i="6"/>
  <c r="G6" i="6"/>
  <c r="M136" i="1"/>
  <c r="M130" i="1"/>
  <c r="S112" i="1"/>
  <c r="S110" i="1"/>
  <c r="P103" i="1"/>
  <c r="C102" i="1"/>
  <c r="F101" i="1"/>
  <c r="L100" i="1"/>
  <c r="P99" i="1"/>
  <c r="B99" i="1"/>
  <c r="E98" i="1"/>
  <c r="L97" i="1"/>
  <c r="O96" i="1"/>
  <c r="G95" i="1"/>
  <c r="C94" i="1"/>
  <c r="D92" i="1"/>
  <c r="E90" i="1"/>
  <c r="G88" i="1"/>
  <c r="B87" i="1"/>
  <c r="C85" i="1"/>
  <c r="E83" i="1"/>
  <c r="F81" i="1"/>
  <c r="G79" i="1"/>
  <c r="C78" i="1"/>
  <c r="D76" i="1"/>
  <c r="E74" i="1"/>
  <c r="G72" i="1"/>
  <c r="B71" i="1"/>
  <c r="C69" i="1"/>
  <c r="E67" i="1"/>
  <c r="F65" i="1"/>
  <c r="A22" i="6"/>
  <c r="G14" i="6"/>
  <c r="B8" i="6"/>
  <c r="C6" i="6"/>
  <c r="G4" i="6"/>
  <c r="O129" i="1"/>
  <c r="M121" i="1"/>
  <c r="R101" i="1"/>
  <c r="J100" i="1"/>
  <c r="R98" i="1"/>
  <c r="G97" i="1"/>
  <c r="F95" i="1"/>
  <c r="C92" i="1"/>
  <c r="E88" i="1"/>
  <c r="B85" i="1"/>
  <c r="E81" i="1"/>
  <c r="G77" i="1"/>
  <c r="D74" i="1"/>
  <c r="G70" i="1"/>
  <c r="C67" i="1"/>
  <c r="G63" i="1"/>
  <c r="C62" i="1"/>
  <c r="D60" i="1"/>
  <c r="E58" i="1"/>
  <c r="G56" i="1"/>
  <c r="B55" i="1"/>
  <c r="C53" i="1"/>
  <c r="E51" i="1"/>
  <c r="F49" i="1"/>
  <c r="G47" i="1"/>
  <c r="C46" i="1"/>
  <c r="D44" i="1"/>
  <c r="E42" i="1"/>
  <c r="G40" i="1"/>
  <c r="B39" i="1"/>
  <c r="C37" i="1"/>
  <c r="E35" i="1"/>
  <c r="F33" i="1"/>
  <c r="G31" i="1"/>
  <c r="C30" i="1"/>
  <c r="F29" i="1"/>
  <c r="L28" i="1"/>
  <c r="P27" i="1"/>
  <c r="B27" i="1"/>
  <c r="E26" i="1"/>
  <c r="L25" i="1"/>
  <c r="O24" i="1"/>
  <c r="R23" i="1"/>
  <c r="E23" i="1"/>
  <c r="N21" i="1"/>
  <c r="R20" i="1"/>
  <c r="D20" i="1"/>
  <c r="G19" i="1"/>
  <c r="C18" i="1"/>
  <c r="F17" i="1"/>
  <c r="B16" i="1"/>
  <c r="F15" i="1"/>
  <c r="C14" i="1"/>
  <c r="F8" i="1"/>
  <c r="B4" i="1"/>
  <c r="B17" i="6"/>
  <c r="N6" i="6"/>
  <c r="E5" i="6"/>
  <c r="O103" i="1"/>
  <c r="N99" i="1"/>
  <c r="N96" i="1"/>
  <c r="G86" i="1"/>
  <c r="C76" i="1"/>
  <c r="B69" i="1"/>
  <c r="B63" i="1"/>
  <c r="C61" i="1"/>
  <c r="F57" i="1"/>
  <c r="C54" i="1"/>
  <c r="E50" i="1"/>
  <c r="B47" i="1"/>
  <c r="E43" i="1"/>
  <c r="G39" i="1"/>
  <c r="D36" i="1"/>
  <c r="G32" i="1"/>
  <c r="N29" i="1"/>
  <c r="D28" i="1"/>
  <c r="N26" i="1"/>
  <c r="C25" i="1"/>
  <c r="M23" i="1"/>
  <c r="C22" i="1"/>
  <c r="L20" i="1"/>
  <c r="B19" i="1"/>
  <c r="J16" i="1"/>
  <c r="F10" i="1"/>
  <c r="M132" i="1"/>
  <c r="G102" i="1"/>
  <c r="F99" i="1"/>
  <c r="P97" i="1"/>
  <c r="E89" i="1"/>
  <c r="D82" i="1"/>
  <c r="C75" i="1"/>
  <c r="C68" i="1"/>
  <c r="G62" i="1"/>
  <c r="C59" i="1"/>
  <c r="F55" i="1"/>
  <c r="C52" i="1"/>
  <c r="D50" i="1"/>
  <c r="G46" i="1"/>
  <c r="C43" i="1"/>
  <c r="F39" i="1"/>
  <c r="C36" i="1"/>
  <c r="E32" i="1"/>
  <c r="M29" i="1"/>
  <c r="C28" i="1"/>
  <c r="L26" i="1"/>
  <c r="B25" i="1"/>
  <c r="L23" i="1"/>
  <c r="E21" i="1"/>
  <c r="N19" i="1"/>
  <c r="M17" i="1"/>
  <c r="M15" i="1"/>
  <c r="B10" i="1"/>
  <c r="H19" i="6"/>
  <c r="M140" i="1"/>
  <c r="M101" i="1"/>
  <c r="C100" i="1"/>
  <c r="L98" i="1"/>
  <c r="B97" i="1"/>
  <c r="G94" i="1"/>
  <c r="C91" i="1"/>
  <c r="F87" i="1"/>
  <c r="C84" i="1"/>
  <c r="E80" i="1"/>
  <c r="B77" i="1"/>
  <c r="E73" i="1"/>
  <c r="G69" i="1"/>
  <c r="D66" i="1"/>
  <c r="F63" i="1"/>
  <c r="G61" i="1"/>
  <c r="C60" i="1"/>
  <c r="D58" i="1"/>
  <c r="E56" i="1"/>
  <c r="G54" i="1"/>
  <c r="B53" i="1"/>
  <c r="C51" i="1"/>
  <c r="E49" i="1"/>
  <c r="F47" i="1"/>
  <c r="G45" i="1"/>
  <c r="C44" i="1"/>
  <c r="D42" i="1"/>
  <c r="E40" i="1"/>
  <c r="G38" i="1"/>
  <c r="B37" i="1"/>
  <c r="C35" i="1"/>
  <c r="E33" i="1"/>
  <c r="F31" i="1"/>
  <c r="R29" i="1"/>
  <c r="E29" i="1"/>
  <c r="J28" i="1"/>
  <c r="N27" i="1"/>
  <c r="R26" i="1"/>
  <c r="D26" i="1"/>
  <c r="G25" i="1"/>
  <c r="N24" i="1"/>
  <c r="Q23" i="1"/>
  <c r="C23" i="1"/>
  <c r="G22" i="1"/>
  <c r="M21" i="1"/>
  <c r="P20" i="1"/>
  <c r="C20" i="1"/>
  <c r="F19" i="1"/>
  <c r="R17" i="1"/>
  <c r="E17" i="1"/>
  <c r="R15" i="1"/>
  <c r="D15" i="1"/>
  <c r="B14" i="1"/>
  <c r="B8" i="1"/>
  <c r="M8" i="6"/>
  <c r="E3" i="6"/>
  <c r="S135" i="1"/>
  <c r="M110" i="1"/>
  <c r="E101" i="1"/>
  <c r="D98" i="1"/>
  <c r="G93" i="1"/>
  <c r="D90" i="1"/>
  <c r="C83" i="1"/>
  <c r="F79" i="1"/>
  <c r="E72" i="1"/>
  <c r="E65" i="1"/>
  <c r="E59" i="1"/>
  <c r="G55" i="1"/>
  <c r="D52" i="1"/>
  <c r="G48" i="1"/>
  <c r="C45" i="1"/>
  <c r="F41" i="1"/>
  <c r="C38" i="1"/>
  <c r="E34" i="1"/>
  <c r="B31" i="1"/>
  <c r="R28" i="1"/>
  <c r="G27" i="1"/>
  <c r="Q25" i="1"/>
  <c r="G24" i="1"/>
  <c r="F21" i="1"/>
  <c r="P19" i="1"/>
  <c r="N17" i="1"/>
  <c r="N15" i="1"/>
  <c r="G14" i="1"/>
  <c r="B6" i="1"/>
  <c r="S109" i="1"/>
  <c r="P100" i="1"/>
  <c r="E96" i="1"/>
  <c r="B93" i="1"/>
  <c r="G85" i="1"/>
  <c r="G78" i="1"/>
  <c r="F71" i="1"/>
  <c r="E64" i="1"/>
  <c r="B61" i="1"/>
  <c r="E57" i="1"/>
  <c r="G53" i="1"/>
  <c r="E48" i="1"/>
  <c r="B45" i="1"/>
  <c r="E41" i="1"/>
  <c r="G37" i="1"/>
  <c r="D34" i="1"/>
  <c r="G30" i="1"/>
  <c r="P28" i="1"/>
  <c r="F27" i="1"/>
  <c r="P25" i="1"/>
  <c r="E24" i="1"/>
  <c r="R21" i="1"/>
  <c r="J20" i="1"/>
  <c r="G18" i="1"/>
  <c r="F16" i="1"/>
  <c r="F14" i="1"/>
  <c r="E5" i="1"/>
  <c r="H109" i="1" l="1"/>
  <c r="B110" i="1"/>
  <c r="H125" i="1"/>
  <c r="B130" i="1"/>
  <c r="B122" i="1"/>
  <c r="N22" i="1"/>
  <c r="D119" i="1"/>
  <c r="O22" i="1"/>
  <c r="H110" i="1"/>
  <c r="H112" i="1"/>
  <c r="B120" i="1"/>
  <c r="B126" i="1"/>
  <c r="J22" i="1"/>
  <c r="P22" i="1"/>
  <c r="H118" i="1"/>
  <c r="D123" i="1"/>
  <c r="B128" i="1"/>
  <c r="P2" i="6"/>
  <c r="H111" i="1"/>
  <c r="B123" i="1"/>
  <c r="L22" i="1"/>
  <c r="R22" i="1"/>
  <c r="H117" i="1"/>
  <c r="B119" i="1"/>
  <c r="H124" i="1"/>
  <c r="H129" i="1"/>
  <c r="M22" i="1"/>
  <c r="Q22" i="1"/>
  <c r="B109" i="1"/>
  <c r="B111" i="1"/>
  <c r="B112" i="1"/>
  <c r="B117" i="1"/>
  <c r="D118" i="1"/>
  <c r="H121" i="1"/>
  <c r="D124" i="1"/>
  <c r="H127" i="1"/>
  <c r="H131" i="1"/>
  <c r="H119" i="1"/>
  <c r="D120" i="1"/>
  <c r="B121" i="1"/>
  <c r="D122" i="1"/>
  <c r="H123" i="1"/>
  <c r="B125" i="1"/>
  <c r="H126" i="1"/>
  <c r="H128" i="1"/>
  <c r="H130" i="1"/>
  <c r="D117" i="1"/>
  <c r="B118" i="1"/>
  <c r="H120" i="1"/>
  <c r="D121" i="1"/>
  <c r="H122" i="1"/>
  <c r="B124" i="1"/>
  <c r="D125" i="1"/>
  <c r="B127" i="1"/>
  <c r="B129" i="1"/>
  <c r="B131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27" i="6"/>
  <c r="P19" i="6"/>
  <c r="P9" i="6"/>
  <c r="P5" i="6"/>
  <c r="P26" i="6"/>
  <c r="P22" i="6"/>
  <c r="P14" i="6"/>
  <c r="P6" i="6"/>
  <c r="P23" i="6"/>
  <c r="P13" i="6"/>
  <c r="P4" i="6"/>
  <c r="P18" i="6"/>
  <c r="P12" i="6"/>
  <c r="P15" i="6"/>
  <c r="P8" i="6"/>
  <c r="J19" i="6"/>
  <c r="J7" i="6"/>
  <c r="J9" i="6"/>
  <c r="J22" i="6"/>
  <c r="J21" i="6"/>
  <c r="J15" i="6"/>
  <c r="J17" i="6"/>
  <c r="J20" i="6"/>
  <c r="J23" i="6"/>
  <c r="J5" i="6"/>
  <c r="J18" i="6"/>
  <c r="J16" i="6"/>
  <c r="J6" i="6"/>
  <c r="J8" i="6"/>
</calcChain>
</file>

<file path=xl/sharedStrings.xml><?xml version="1.0" encoding="utf-8"?>
<sst xmlns="http://schemas.openxmlformats.org/spreadsheetml/2006/main" count="605" uniqueCount="308">
  <si>
    <t>d19040905.IB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</si>
  <si>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</si>
  <si>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</si>
  <si>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</si>
  <si>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</si>
  <si>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</si>
  <si>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</si>
  <si>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</si>
  <si>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</si>
  <si>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</si>
  <si>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</si>
  <si>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</si>
  <si>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</si>
  <si>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</si>
  <si>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</si>
  <si>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</si>
  <si>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</si>
  <si>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</si>
  <si>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</si>
  <si>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</si>
  <si>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</si>
  <si>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</si>
  <si>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</si>
  <si>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041452020.IB</t>
  </si>
  <si>
    <t>主体级别</t>
  </si>
  <si>
    <t>AAA</t>
  </si>
  <si>
    <t>101652036.IB</t>
  </si>
  <si>
    <t>*选择性黏贴</t>
  </si>
  <si>
    <t>011437009.IB</t>
  </si>
  <si>
    <t>数据年度</t>
  </si>
  <si>
    <t>2017年</t>
  </si>
  <si>
    <t>122147.SH</t>
  </si>
  <si>
    <t>总资产</t>
  </si>
  <si>
    <t>041469013.IB</t>
  </si>
  <si>
    <t>负债率</t>
  </si>
  <si>
    <t>1082190.IB</t>
  </si>
  <si>
    <t>流动比率</t>
  </si>
  <si>
    <t>041469010.IB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</si>
  <si>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</si>
  <si>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</si>
  <si>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</si>
  <si>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</si>
  <si>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</si>
  <si>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</si>
  <si>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</si>
  <si>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</si>
  <si>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</si>
  <si>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</si>
  <si>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</si>
  <si>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</si>
  <si>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</si>
  <si>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</si>
  <si>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</si>
  <si>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</si>
  <si>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</si>
  <si>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</si>
  <si>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</si>
  <si>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</si>
  <si>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</si>
  <si>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</si>
  <si>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</si>
  <si>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</si>
  <si>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</si>
  <si>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</si>
  <si>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</si>
  <si>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</si>
  <si>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</si>
  <si>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</si>
  <si>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</si>
  <si>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</si>
  <si>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</si>
  <si>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</si>
  <si>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</si>
  <si>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</si>
  <si>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</si>
  <si>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</si>
  <si>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</si>
  <si>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</si>
  <si>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</si>
  <si>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</si>
  <si>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</si>
  <si>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</si>
  <si>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</si>
  <si>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</si>
  <si>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</si>
  <si>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</si>
  <si>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</si>
  <si>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</si>
  <si>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</si>
  <si>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</si>
  <si>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</si>
  <si>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</si>
  <si>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</si>
  <si>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</si>
  <si>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</si>
  <si>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</si>
  <si>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</si>
  <si>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</si>
  <si>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</si>
  <si>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</si>
  <si>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</si>
  <si>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</si>
  <si>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</si>
  <si>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</si>
  <si>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</si>
  <si>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</si>
  <si>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</si>
  <si>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</si>
  <si>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</si>
  <si>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</si>
  <si>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</si>
  <si>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</si>
  <si>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</si>
  <si>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</si>
  <si>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</si>
  <si>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</si>
  <si>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</si>
  <si>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</si>
  <si>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</si>
  <si>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</si>
  <si>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</si>
  <si>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041900090.IB</t>
  </si>
  <si>
    <t>20190307</t>
  </si>
  <si>
    <t>19西南水泥CP001</t>
  </si>
  <si>
    <t>011802463.IB</t>
  </si>
  <si>
    <t>20181211</t>
  </si>
  <si>
    <t>18西南水泥SCP009</t>
  </si>
  <si>
    <t>011802341.IB</t>
  </si>
  <si>
    <t>20181127</t>
  </si>
  <si>
    <t>18西南水泥SCP008</t>
  </si>
  <si>
    <t>011802047.IB</t>
  </si>
  <si>
    <t>20181112</t>
  </si>
  <si>
    <t>18西南水泥SCP007</t>
  </si>
  <si>
    <t>011801931.IB</t>
  </si>
  <si>
    <t>20181011</t>
  </si>
  <si>
    <t>18西南水泥SCP006</t>
  </si>
  <si>
    <t>041800312.IB</t>
  </si>
  <si>
    <t>20180822</t>
  </si>
  <si>
    <t>18西南水泥CP001</t>
  </si>
  <si>
    <t>011801503.IB</t>
  </si>
  <si>
    <t>20180809</t>
  </si>
  <si>
    <t>18西南水泥SCP005</t>
  </si>
  <si>
    <t>011801346.IB</t>
  </si>
  <si>
    <t>20180719</t>
  </si>
  <si>
    <t>18西南水泥SCP004</t>
  </si>
  <si>
    <t>011801063.IB</t>
  </si>
  <si>
    <t>20180605</t>
  </si>
  <si>
    <t>18西南水泥SCP003</t>
  </si>
  <si>
    <t>011800636.IB</t>
  </si>
  <si>
    <t>20180409</t>
  </si>
  <si>
    <t>18西南水泥SCP002</t>
  </si>
  <si>
    <t>011800120.IB</t>
  </si>
  <si>
    <t>20180122</t>
  </si>
  <si>
    <t>18西南水泥SCP001</t>
  </si>
  <si>
    <t>011760187.IB</t>
  </si>
  <si>
    <t>20171205</t>
  </si>
  <si>
    <t>17西南水泥SCP005</t>
  </si>
  <si>
    <t>011752079.IB</t>
  </si>
  <si>
    <t>20171107</t>
  </si>
  <si>
    <t>17西南水泥SCP004</t>
  </si>
  <si>
    <t>011773003.IB</t>
  </si>
  <si>
    <t>20171011</t>
  </si>
  <si>
    <t>17西南水泥SCP003</t>
  </si>
  <si>
    <t>041760040.IB</t>
  </si>
  <si>
    <t>20170814</t>
  </si>
  <si>
    <t>17西南水泥CP003</t>
  </si>
  <si>
    <t>041760038.IB</t>
  </si>
  <si>
    <t>20170713</t>
  </si>
  <si>
    <t>17西南水泥CP002</t>
  </si>
  <si>
    <t>041760036.IB</t>
  </si>
  <si>
    <t>20170630</t>
  </si>
  <si>
    <t>17西南水泥CP001</t>
  </si>
  <si>
    <t>011773001.IB</t>
  </si>
  <si>
    <t>20170523</t>
  </si>
  <si>
    <t>17西南水泥SCP002</t>
  </si>
  <si>
    <t>011758037.IB</t>
  </si>
  <si>
    <t>20170420</t>
  </si>
  <si>
    <t>17西南水泥SCP001</t>
  </si>
  <si>
    <t>011698721.IB</t>
  </si>
  <si>
    <t>20161028</t>
  </si>
  <si>
    <t>16西南水泥SCP005</t>
  </si>
  <si>
    <t>011698626.IB</t>
  </si>
  <si>
    <t>20161019</t>
  </si>
  <si>
    <t>16西南水泥SCP004</t>
  </si>
  <si>
    <t>031673011.IB</t>
  </si>
  <si>
    <t>16西南水泥PPN001</t>
  </si>
  <si>
    <t>041654052.IB</t>
  </si>
  <si>
    <t>20160818</t>
  </si>
  <si>
    <t>16西南水泥CP002</t>
  </si>
  <si>
    <t>011698249.IB</t>
  </si>
  <si>
    <t>20160810</t>
  </si>
  <si>
    <t>16西南水泥SCP003</t>
  </si>
  <si>
    <t>011699343.IB</t>
  </si>
  <si>
    <t>20160303</t>
  </si>
  <si>
    <t>16西南水泥SCP002</t>
  </si>
  <si>
    <t>041654008.IB</t>
  </si>
  <si>
    <t>20160222</t>
  </si>
  <si>
    <t>16西南水泥CP001</t>
  </si>
  <si>
    <t>011699074.IB</t>
  </si>
  <si>
    <t>20160114</t>
  </si>
  <si>
    <t>16西南水泥SCP001</t>
  </si>
  <si>
    <t>011599541.IB</t>
  </si>
  <si>
    <t>20151013</t>
  </si>
  <si>
    <t>15西南水泥SCP002</t>
  </si>
  <si>
    <t>011599306.IB</t>
  </si>
  <si>
    <t>20150601</t>
  </si>
  <si>
    <t>15西南水泥SCP001</t>
  </si>
  <si>
    <t>041554002.IB</t>
  </si>
  <si>
    <t>20150121</t>
  </si>
  <si>
    <t>15西南水泥CP001</t>
  </si>
  <si>
    <t>041454080.IB</t>
  </si>
  <si>
    <t>20141205</t>
  </si>
  <si>
    <t>14西南水泥CP002</t>
  </si>
  <si>
    <t>041454066.IB</t>
  </si>
  <si>
    <t>20141016</t>
  </si>
  <si>
    <t>14西南水泥CP001</t>
  </si>
  <si>
    <t>历史主体评级</t>
  </si>
  <si>
    <t>发布日期</t>
  </si>
  <si>
    <t>主体资信级别</t>
  </si>
  <si>
    <t>评级展望</t>
  </si>
  <si>
    <t>评级机构</t>
  </si>
  <si>
    <t>20190115</t>
  </si>
  <si>
    <t>稳定</t>
  </si>
  <si>
    <t>联合资信评估有限公司</t>
  </si>
  <si>
    <t>20180711</t>
  </si>
  <si>
    <t>20180130</t>
  </si>
  <si>
    <t>AA+</t>
  </si>
  <si>
    <t>20170809</t>
  </si>
  <si>
    <t>20170710</t>
  </si>
  <si>
    <t>20170315</t>
  </si>
  <si>
    <t>20170221</t>
  </si>
  <si>
    <t>20160614</t>
  </si>
  <si>
    <t>20160304</t>
  </si>
  <si>
    <t>20151021</t>
  </si>
  <si>
    <t>20150721</t>
  </si>
  <si>
    <t>20150416</t>
  </si>
  <si>
    <t>20141209</t>
  </si>
  <si>
    <t>20141106</t>
  </si>
  <si>
    <t>20140530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</si>
  <si>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</si>
  <si>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</si>
  <si>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</si>
  <si>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</si>
  <si>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</si>
  <si>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</si>
  <si>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</si>
  <si>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</si>
  <si>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</si>
  <si>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</si>
  <si>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北新建材集团有限公司</t>
  </si>
  <si>
    <t>AA稳定上调至AA+稳定</t>
  </si>
  <si>
    <t>联合信用评级有限公司</t>
  </si>
  <si>
    <t>公司作为中国建材集团“新型房屋”产业发展的承担者，中国建材集团通过促进旗下新型房屋业务板块的整合，从资金和资源方面给予公司大力支持。贸易业务稳定发展，作为国内规模较大的综合性木材进口商，SPF进口量全国领先，具有一定市场影响力，木材贸易具有一定优势地位。公司持有中国建材17.61%的股权，中国建材与中国中材合并后，中国建材进一步扩大，能够为公司提供稳定且较大规模的投资收益。公司资产质量高，债务负担轻，对全部债务的偿还能力很强。</t>
  </si>
  <si>
    <t>安徽海螺水泥股份有限公司</t>
  </si>
  <si>
    <t>A3稳定上调至A2稳定</t>
  </si>
  <si>
    <t>穆迪公司</t>
  </si>
  <si>
    <t>西南水泥有限公司</t>
  </si>
  <si>
    <t>AA+稳定上调至AAA稳定</t>
  </si>
  <si>
    <t>跟踪期内，水泥行业景气度有所回升，公司水泥类产品销量、售价有所回升，保供能力
凸显，收入利润水平均有所增长，盈利能力和经营获现能力均有所改善，债务规模有所下降。公司主要布局的西南区域基础设施建设投资空间广阔，未来区域水泥需求有望增长；此外，随着环保要求不断提高、国家逐步推进供给侧结构性改革、错峰生产和行业自律继续推进，水泥行业集中度有望继续提升，水泥价格有望维持高位，公司在规模、保供能力、成本和管理等方面的优势也将更加突出。</t>
  </si>
  <si>
    <t>海南瑞泽新型建材股份有限公司</t>
  </si>
  <si>
    <t>AA-稳定上调至AA稳定</t>
  </si>
  <si>
    <t>鹏元资信评估有限公司</t>
  </si>
  <si>
    <t>受市场需求提升等因素影响，公司收入及利润规模均有大幅度提升；收购广东绿润环境管理有限公司丰富了公司收入来u按，广东绿润项目规模较大且期限较长，未来收入来源较有保障，且收购完成后公司净资产规模进一步提升；三亚大兴园林在执行合同较多，后续可确认收入规模较大，为园林绿化业务收入提供一定保障。</t>
  </si>
  <si>
    <t>华新水泥股份有限公司</t>
  </si>
  <si>
    <t>中诚信证券评估有限公司</t>
  </si>
  <si>
    <t>2017年，在国家加强环保执法、深化供给侧结构性改革等政策推动背景下，水泥市场景气度回升明显，带动公司收入规模及经营效益大幅提升。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</si>
  <si>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</si>
  <si>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</si>
  <si>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</si>
  <si>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</si>
  <si>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</si>
  <si>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</si>
  <si>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</si>
  <si>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</si>
  <si>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</si>
  <si>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</si>
  <si>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</si>
  <si>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</si>
  <si>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</si>
  <si>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</si>
  <si>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</si>
  <si>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</si>
  <si>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</si>
  <si>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</si>
  <si>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</si>
  <si>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</si>
  <si>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</si>
  <si>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</si>
  <si>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</si>
  <si>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</si>
  <si>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</si>
  <si>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</si>
  <si>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</si>
  <si>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</si>
  <si>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中央国有企业</t>
  </si>
  <si>
    <t>材料--材料Ⅱ--建材Ⅲ--建材</t>
  </si>
  <si>
    <t>四川省成都市中国(四川)自由贸易试验区成都高新区天府三街218号1栋1单元25层2501号,26层2601号</t>
  </si>
  <si>
    <t>2011年，西南水泥组建之后，根据国家产业政策“控制增量、优化存量、减量发展”的思路开展大规模的联合重组，提高了西南区域的市场集中度，在联合重组的基础上，充分发挥央企在行业整合、经济结构调整方面的作用，通过做好行业进而实现做好企业的目标，改变了行业亏损运行的状态。截至2013年12月31日，西南水泥已经成为了西南地区最大的水泥企业，水泥产能达到了1.14亿吨，区域产能占比达到了33%。公司在西南地区主要竞争对手包括拉法基瑞安、峨胜水泥、红狮水泥。西南水泥相继在四川、云南、贵州、重庆组建了区域公司，这四家区域公司已经成为当地最大的水泥企业，产能占比分别达到了44%、23%、36%、22%，市场占有率分别达到了20.62%，15.69%，18.59%，14.07%，市场占有率均为省市第一名。</t>
  </si>
  <si>
    <t>中国建材股份有限公司</t>
  </si>
  <si>
    <t>上海圳通股权投资管理有限公司</t>
  </si>
  <si>
    <t>北京华辰普金资产管理中心(有限合伙)</t>
  </si>
  <si>
    <t/>
  </si>
  <si>
    <t>A-1</t>
  </si>
  <si>
    <t>南方水泥有限公司</t>
  </si>
  <si>
    <t>华润水泥控股有限公司</t>
  </si>
  <si>
    <t>中国中材股份有限公司</t>
  </si>
  <si>
    <t>北新集团建材股份有限公司</t>
  </si>
  <si>
    <t>外资企业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</si>
</sst>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西南水泥有限公司</v>
      </c>
      <c r="C4" s="117"/>
      <c r="D4" s="57" t="s">
        <v>3</v>
      </c>
      <c r="E4" s="116" t="str">
        <f>[1]!s_info_nature(A2)</f>
        <v>中央国有企业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材料--材料Ⅱ--建材Ⅲ--建材</v>
      </c>
      <c r="C5" s="117"/>
      <c r="D5" s="57" t="s">
        <v>5</v>
      </c>
      <c r="E5" s="116" t="str">
        <f>[1]!b_issuer_regaddress(A2)</f>
        <v>四川省成都市中国(四川)自由贸易试验区成都高新区天府三街218号1栋1单元25层2501号,26层2601号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2011年，西南水泥组建之后，根据国家产业政策“控制增量、优化存量、减量发展”的思路开展大规模的联合重组，提高了西南区域的市场集中度，在联合重组的基础上，充分发挥央企在行业整合、经济结构调整方面的作用，通过做好行业进而实现做好企业的目标，改变了行业亏损运行的状态。截至2013年12月31日，西南水泥已经成为了西南地区最大的水泥企业，水泥产能达到了1.14亿吨，区域产能占比达到了33%。公司在西南地区主要竞争对手包括拉法基瑞安、峨胜水泥、红狮水泥。西南水泥相继在四川、云南、贵州、重庆组建了区域公司，这四家区域公司已经成为当地最大的水泥企业，产能占比分别达到了44%、23%、36%、22%，市场占有率分别达到了20.62%，15.69%，18.59%，14.07%，市场占有率均为省市第一名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中国建材股份有限公司</v>
      </c>
      <c r="C7" s="117"/>
      <c r="D7" s="117"/>
      <c r="E7" s="117"/>
      <c r="F7" s="60">
        <f>[1]!b_issuer_propofshareholder($A$2,"",1)%</f>
        <v>0.88699996948242188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 t="str">
        <f>[1]!b_issuer_shareholder(A2,"",2)</f>
        <v>上海圳通股权投资管理有限公司</v>
      </c>
      <c r="C8" s="117"/>
      <c r="D8" s="117"/>
      <c r="E8" s="117"/>
      <c r="F8" s="60">
        <f>[1]!b_issuer_propofshareholder($A$2,"",2)%</f>
        <v>6.3000001907348627E-2</v>
      </c>
      <c r="G8" s="59"/>
      <c r="H8" s="20"/>
      <c r="M8" s="25"/>
      <c r="O8" s="25"/>
      <c r="P8" s="62"/>
    </row>
    <row r="9" spans="1:20" s="17" customFormat="1" x14ac:dyDescent="0.25">
      <c r="A9" s="58"/>
      <c r="B9" s="119" t="str">
        <f>[1]!b_issuer_shareholder(A2,"",3)</f>
        <v>北京华辰普金资产管理中心(有限合伙)</v>
      </c>
      <c r="C9" s="117"/>
      <c r="D9" s="117"/>
      <c r="E9" s="117"/>
      <c r="F9" s="60">
        <f>[1]!b_issuer_propofshareholder($A$2,"",3)%</f>
        <v>0.05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d19040905.IB</v>
      </c>
      <c r="K14" s="26"/>
      <c r="L14" s="27" t="str">
        <f>T15</f>
        <v>041452020.IB</v>
      </c>
      <c r="M14" s="27" t="str">
        <f>T16</f>
        <v>101652036.IB</v>
      </c>
      <c r="N14" s="27" t="str">
        <f>T17</f>
        <v>011437009.IB</v>
      </c>
      <c r="O14" s="27" t="str">
        <f>T18</f>
        <v>122147.SH</v>
      </c>
      <c r="P14" s="27" t="str">
        <f>T19</f>
        <v>041469013.IB</v>
      </c>
      <c r="Q14" s="27" t="str">
        <f>T20</f>
        <v>1082190.IB</v>
      </c>
      <c r="R14" s="5" t="str">
        <f>T21</f>
        <v>041469010.IB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西南水泥有限公司</v>
      </c>
      <c r="K15" s="135"/>
      <c r="L15" s="8" t="str">
        <f>[1]!b_info_issuer(L14)</f>
        <v>南方水泥有限公司</v>
      </c>
      <c r="M15" s="8" t="str">
        <f>[1]!b_info_issuer(M14)</f>
        <v>华润水泥控股有限公司</v>
      </c>
      <c r="N15" s="8" t="str">
        <f>[1]!b_info_issuer(N14)</f>
        <v>中国建材股份有限公司</v>
      </c>
      <c r="O15" s="8" t="str">
        <f>[1]!b_info_issuer(O14)</f>
        <v>华新水泥股份有限公司</v>
      </c>
      <c r="P15" s="8" t="str">
        <f>[1]!b_info_issuer(P14)</f>
        <v>中国中材股份有限公司</v>
      </c>
      <c r="Q15" s="8" t="str">
        <f>[1]!b_info_issuer(Q14)</f>
        <v>华新水泥股份有限公司</v>
      </c>
      <c r="R15" s="8" t="str">
        <f>[1]!b_info_issuer(R14)</f>
        <v>北新集团建材股份有限公司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中央国有企业</v>
      </c>
      <c r="K17" s="121"/>
      <c r="L17" s="66" t="str">
        <f>[1]!s_info_nature(L14)</f>
        <v>中央国有企业</v>
      </c>
      <c r="M17" s="66" t="str">
        <f>[1]!s_info_nature(M14)</f>
        <v>中央国有企业</v>
      </c>
      <c r="N17" s="66" t="str">
        <f>[1]!s_info_nature(N14)</f>
        <v>中央国有企业</v>
      </c>
      <c r="O17" s="66" t="str">
        <f>[1]!s_info_nature(O14)</f>
        <v>外资企业</v>
      </c>
      <c r="P17" s="66" t="str">
        <f>[1]!s_info_nature(P14)</f>
        <v>中央国有企业</v>
      </c>
      <c r="Q17" s="66" t="str">
        <f>[1]!s_info_nature(Q14)</f>
        <v>外资企业</v>
      </c>
      <c r="R17" s="66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705.43279471559993</v>
      </c>
      <c r="K19" s="121"/>
      <c r="L19" s="67">
        <f>[1]!b_stm07_bs(L14,74,L13,1)/100000000</f>
        <v>899.11356875600006</v>
      </c>
      <c r="M19" s="67">
        <f>[1]!b_stm07_bs(M14,74,M13,1)/100000000</f>
        <v>565.26602000000003</v>
      </c>
      <c r="N19" s="67">
        <f>[1]!b_stm07_bs(N14,74,N13,1)/100000000</f>
        <v>3470.2428340644001</v>
      </c>
      <c r="O19" s="67">
        <f>[1]!b_stm07_bs(O14,74,O13,1)/100000000</f>
        <v>304.99323197000001</v>
      </c>
      <c r="P19" s="67">
        <f>[1]!b_stm07_bs(P14,74,P13,1)/100000000</f>
        <v>1063.8812653678999</v>
      </c>
      <c r="Q19" s="67">
        <f>[1]!b_stm07_bs(Q14,74,Q13,1)/100000000</f>
        <v>304.99323197000001</v>
      </c>
      <c r="R19" s="67">
        <f>[1]!b_stm07_bs(R14,74,R13,1)/100000000</f>
        <v>161.10681436209998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0.81536900000000001</v>
      </c>
      <c r="K20" s="121"/>
      <c r="L20" s="10">
        <f>[1]!s_fa_debttoassets(L14,L13)/100</f>
        <v>0.75760000000000005</v>
      </c>
      <c r="M20" s="10">
        <f>[1]!s_fa_debttoassets(M14,M13)/100</f>
        <v>0</v>
      </c>
      <c r="N20" s="10">
        <f>[1]!s_fa_debttoassets(N14,N13)/100</f>
        <v>0.75391200000000003</v>
      </c>
      <c r="O20" s="10">
        <f>[1]!s_fa_debttoassets(O14,O13)/100</f>
        <v>0.56865999999999994</v>
      </c>
      <c r="P20" s="10">
        <f>[1]!s_fa_debttoassets(P14,P13)/100</f>
        <v>0.63305500000000003</v>
      </c>
      <c r="Q20" s="10">
        <f>[1]!s_fa_debttoassets(Q14,Q13)/100</f>
        <v>0.56865999999999994</v>
      </c>
      <c r="R20" s="10">
        <f>[1]!s_fa_debttoassets(R14,R13)/100</f>
        <v>0.224386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0.25900000000000001</v>
      </c>
      <c r="K21" s="121"/>
      <c r="L21" s="67">
        <f>[1]!s_fa_current(L14,L13)</f>
        <v>0.55420000000000003</v>
      </c>
      <c r="M21" s="67">
        <f>[1]!s_fa_current(M14,M13)</f>
        <v>0</v>
      </c>
      <c r="N21" s="67">
        <f>[1]!s_fa_current(N14,N13)</f>
        <v>0.62470000000000003</v>
      </c>
      <c r="O21" s="67">
        <f>[1]!s_fa_current(O14,O13)</f>
        <v>0.94879999999999998</v>
      </c>
      <c r="P21" s="67">
        <f>[1]!s_fa_current(P14,P13)</f>
        <v>0.95389999999999997</v>
      </c>
      <c r="Q21" s="67">
        <f>[1]!s_fa_current(Q14,Q13)</f>
        <v>0.94879999999999998</v>
      </c>
      <c r="R21" s="67">
        <f>[1]!s_fa_current(R14,R13)</f>
        <v>1.9095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1.3225849340004179</v>
      </c>
      <c r="K22" s="121"/>
      <c r="L22" s="65">
        <f>(公式页!L96+公式页!L97+公式页!L98+公式页!L99+公式页!L100+公式页!L101)/公式页!L103</f>
        <v>1.865597984861002</v>
      </c>
      <c r="M22" s="65">
        <f t="shared" ref="M22:R22" si="0">(M96+M97+M98+M99+M100+M101)/M103</f>
        <v>0</v>
      </c>
      <c r="N22" s="65">
        <f t="shared" si="0"/>
        <v>1.751103129298144</v>
      </c>
      <c r="O22" s="65">
        <f t="shared" si="0"/>
        <v>0.7823278163853723</v>
      </c>
      <c r="P22" s="65">
        <f t="shared" si="0"/>
        <v>0.83395963002864693</v>
      </c>
      <c r="Q22" s="65">
        <f t="shared" si="0"/>
        <v>0.7823278163853723</v>
      </c>
      <c r="R22" s="65">
        <f t="shared" si="0"/>
        <v>0.13687736005909915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0</v>
      </c>
      <c r="K23" s="121"/>
      <c r="L23" s="67">
        <f>[1]!s_fa_ebitdatodebt(L14,L13)</f>
        <v>0.12139999999999999</v>
      </c>
      <c r="M23" s="67">
        <f>[1]!s_fa_ebitdatodebt(M14,M13)</f>
        <v>0</v>
      </c>
      <c r="N23" s="67">
        <f>[1]!s_fa_ebitdatodebt(N14,N13)</f>
        <v>0.1056</v>
      </c>
      <c r="O23" s="67">
        <f>[1]!s_fa_ebitdatodebt(O14,O13)</f>
        <v>0.28420000000000001</v>
      </c>
      <c r="P23" s="67">
        <f>[1]!s_fa_ebitdatodebt(P14,P13)</f>
        <v>0.14280000000000001</v>
      </c>
      <c r="Q23" s="67">
        <f>[1]!s_fa_ebitdatodebt(Q14,Q13)</f>
        <v>0.28420000000000001</v>
      </c>
      <c r="R23" s="67">
        <f>[1]!s_fa_ebitdatodebt(R14,R13)</f>
        <v>0.89149999999999996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225.97148339700001</v>
      </c>
      <c r="K24" s="121"/>
      <c r="L24" s="67">
        <f>[1]!b_stm07_is(L14,9,L13,1)/100000000</f>
        <v>431.66612730269998</v>
      </c>
      <c r="M24" s="67">
        <f>[1]!b_stm07_is(M14,9,M13,1)/100000000</f>
        <v>299.58427999999998</v>
      </c>
      <c r="N24" s="67">
        <f>[1]!b_stm07_is(N14,9,N13,1)/100000000</f>
        <v>1300.6308594861</v>
      </c>
      <c r="O24" s="67">
        <f>[1]!b_stm07_is(O14,9,O13,1)/100000000</f>
        <v>208.89291990000001</v>
      </c>
      <c r="P24" s="67">
        <f>[1]!b_stm07_is(P14,9,P13,1)/100000000</f>
        <v>569.89891043310001</v>
      </c>
      <c r="Q24" s="67">
        <f>[1]!b_stm07_is(Q14,9,Q13,1)/100000000</f>
        <v>208.89291990000001</v>
      </c>
      <c r="R24" s="67">
        <f>[1]!b_stm07_is(R14,9,R13,1)/100000000</f>
        <v>111.64343454600001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1.1661999999999999</v>
      </c>
      <c r="K25" s="121"/>
      <c r="L25" s="11">
        <f>[1]!s_fa_salescashintoor(L14,L13)%</f>
        <v>1.1323000000000001</v>
      </c>
      <c r="M25" s="11">
        <f>[1]!s_fa_salescashintoor(M14,M13)%</f>
        <v>0</v>
      </c>
      <c r="N25" s="11">
        <f>[1]!s_fa_salescashintoor(N14,N13)%</f>
        <v>1.0851999999999999</v>
      </c>
      <c r="O25" s="11">
        <f>[1]!s_fa_salescashintoor(O14,O13)%</f>
        <v>1.1392</v>
      </c>
      <c r="P25" s="11">
        <f>[1]!s_fa_salescashintoor(P14,P13)%</f>
        <v>0.85170000000000001</v>
      </c>
      <c r="Q25" s="11">
        <f>[1]!s_fa_salescashintoor(Q14,Q13)%</f>
        <v>1.1392</v>
      </c>
      <c r="R25" s="11">
        <f>[1]!s_fa_salescashintoor(R14,R13)%</f>
        <v>1.1246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0.27696399999999999</v>
      </c>
      <c r="K26" s="121"/>
      <c r="L26" s="11">
        <f>[1]!s_fa_grossprofitmargin(L14,L13)%</f>
        <v>0.27035300000000001</v>
      </c>
      <c r="M26" s="11">
        <f>[1]!s_fa_grossprofitmargin(M14,M13)%</f>
        <v>0</v>
      </c>
      <c r="N26" s="11">
        <f>[1]!s_fa_grossprofitmargin(N14,N13)%</f>
        <v>0.285385</v>
      </c>
      <c r="O26" s="11">
        <f>[1]!s_fa_grossprofitmargin(O14,O13)%</f>
        <v>0.29550100000000001</v>
      </c>
      <c r="P26" s="11">
        <f>[1]!s_fa_grossprofitmargin(P14,P13)%</f>
        <v>0.24538900000000002</v>
      </c>
      <c r="Q26" s="11">
        <f>[1]!s_fa_grossprofitmargin(Q14,Q13)%</f>
        <v>0.29550100000000001</v>
      </c>
      <c r="R26" s="11">
        <f>[1]!s_fa_grossprofitmargin(R14,R13)%</f>
        <v>0.37229599999999996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8.6230445084999996</v>
      </c>
      <c r="K27" s="121"/>
      <c r="L27" s="68">
        <f>[1]!b_stm07_is(L14,60,L13,1)/100000000</f>
        <v>18.318167031800002</v>
      </c>
      <c r="M27" s="68">
        <f>[1]!b_stm07_is(M14,60,M13,1)/100000000</f>
        <v>35.926169999999999</v>
      </c>
      <c r="N27" s="68">
        <f>[1]!b_stm07_is(N14,60,N13,1)/100000000</f>
        <v>63.401380311899999</v>
      </c>
      <c r="O27" s="68">
        <f>[1]!b_stm07_is(O14,60,O13,1)/100000000</f>
        <v>22.117582280000001</v>
      </c>
      <c r="P27" s="68">
        <f>[1]!b_stm07_is(P14,60,P13,1)/100000000</f>
        <v>34.850988341899999</v>
      </c>
      <c r="Q27" s="68">
        <f>[1]!b_stm07_is(Q14,60,Q13,1)/100000000</f>
        <v>22.117582280000001</v>
      </c>
      <c r="R27" s="68">
        <f>[1]!b_stm07_is(R14,60,R13,1)/100000000</f>
        <v>23.548978303600002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6.6637000000000002E-2</v>
      </c>
      <c r="K28" s="121"/>
      <c r="L28" s="10">
        <f>[1]!s_fa_roe(L14,L13)%</f>
        <v>8.5792999999999994E-2</v>
      </c>
      <c r="M28" s="10">
        <f>[1]!s_fa_roe(M14,M13)%</f>
        <v>0</v>
      </c>
      <c r="N28" s="10">
        <f>[1]!s_fa_roe(N14,N13)%</f>
        <v>6.6968E-2</v>
      </c>
      <c r="O28" s="10">
        <f>[1]!s_fa_roe(O14,O13)%</f>
        <v>0.18978500000000001</v>
      </c>
      <c r="P28" s="10">
        <f>[1]!s_fa_roe(P14,P13)%</f>
        <v>9.8958999999999991E-2</v>
      </c>
      <c r="Q28" s="10">
        <f>[1]!s_fa_roe(Q14,Q13)%</f>
        <v>0.18978500000000001</v>
      </c>
      <c r="R28" s="10">
        <f>[1]!s_fa_roe(R14,R13)%</f>
        <v>0.20569199999999999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39.851011532199998</v>
      </c>
      <c r="K29" s="121"/>
      <c r="L29" s="68">
        <f>[1]!b_stm07_cs(L14,39,L13,1)/100000000</f>
        <v>81.558544604799991</v>
      </c>
      <c r="M29" s="68">
        <f>[1]!b_stm07_cs(M14,39,M13,1)/100000000</f>
        <v>66.129469999999998</v>
      </c>
      <c r="N29" s="68">
        <f>[1]!b_stm07_cs(N14,39,N13,1)/100000000</f>
        <v>222.7011679709</v>
      </c>
      <c r="O29" s="68">
        <f>[1]!b_stm07_cs(O14,39,O13,1)/100000000</f>
        <v>39.040760480000003</v>
      </c>
      <c r="P29" s="68">
        <f>[1]!b_stm07_cs(P14,39,P13,1)/100000000</f>
        <v>29.881560769899998</v>
      </c>
      <c r="Q29" s="68">
        <f>[1]!b_stm07_cs(Q14,39,Q13,1)/100000000</f>
        <v>39.040760480000003</v>
      </c>
      <c r="R29" s="68">
        <f>[1]!b_stm07_cs(R14,39,R13,1)/100000000</f>
        <v>26.541944355300004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11186000000</v>
      </c>
      <c r="K96" s="70"/>
      <c r="L96" s="70">
        <f>[1]!b_stm07_bs(L14,75,L13,1)</f>
        <v>19898036784.830002</v>
      </c>
      <c r="M96" s="70">
        <f>[1]!b_stm07_bs(M14,75,M13,1)</f>
        <v>0</v>
      </c>
      <c r="N96" s="70">
        <f>[1]!b_stm07_bs(N14,75,N13,1)</f>
        <v>79420772051.970001</v>
      </c>
      <c r="O96" s="70">
        <f>[1]!b_stm07_bs(O14,75,O13,1)</f>
        <v>1141500000</v>
      </c>
      <c r="P96" s="70">
        <f>[1]!b_stm07_bs(P14,75,P13,1)</f>
        <v>13644188904.17</v>
      </c>
      <c r="Q96" s="70">
        <f>[1]!b_stm07_bs(Q14,75,Q13,1)</f>
        <v>1141500000</v>
      </c>
      <c r="R96" s="70">
        <f>[1]!b_stm07_bs(R14,75,R13,1)</f>
        <v>800100000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116792104.81</v>
      </c>
      <c r="K97" s="70"/>
      <c r="L97" s="70">
        <f>[1]!b_stm07_bs(L14,82,L13,1)</f>
        <v>416288076.57999998</v>
      </c>
      <c r="M97" s="70">
        <f>[1]!b_stm07_bs(M14,82,M13,1)</f>
        <v>0</v>
      </c>
      <c r="N97" s="70">
        <f>[1]!b_stm07_bs(N14,82,N13,1)</f>
        <v>507643170.43000001</v>
      </c>
      <c r="O97" s="70">
        <f>[1]!b_stm07_bs(O14,82,O13,1)</f>
        <v>113171188</v>
      </c>
      <c r="P97" s="70">
        <f>[1]!b_stm07_bs(P14,82,P13,1)</f>
        <v>237748281.78999999</v>
      </c>
      <c r="Q97" s="70">
        <f>[1]!b_stm07_bs(Q14,82,Q13,1)</f>
        <v>113171188</v>
      </c>
      <c r="R97" s="70">
        <f>[1]!b_stm07_bs(R14,82,R13,1)</f>
        <v>42915596.409999996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2853181826.6500001</v>
      </c>
      <c r="K98" s="70"/>
      <c r="L98" s="70">
        <f>[1]!b_stm07_bs(L14,88,L13,1)</f>
        <v>5787028677.7200003</v>
      </c>
      <c r="M98" s="70">
        <f>[1]!b_stm07_bs(M14,88,M13,1)</f>
        <v>0</v>
      </c>
      <c r="N98" s="70">
        <f>[1]!b_stm07_bs(N14,88,N13,1)</f>
        <v>23714061703.709999</v>
      </c>
      <c r="O98" s="70">
        <f>[1]!b_stm07_bs(O14,88,O13,1)</f>
        <v>1682733582</v>
      </c>
      <c r="P98" s="70">
        <f>[1]!b_stm07_bs(P14,88,P13,1)</f>
        <v>3506068812.77</v>
      </c>
      <c r="Q98" s="70">
        <f>[1]!b_stm07_bs(Q14,88,Q13,1)</f>
        <v>1682733582</v>
      </c>
      <c r="R98" s="70">
        <f>[1]!b_stm07_bs(R14,88,R13,1)</f>
        <v>579885000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3070000000</v>
      </c>
      <c r="K100" s="70"/>
      <c r="L100" s="70">
        <f>[1]!b_stm07_bs(L14,94,L13,1)</f>
        <v>9227480000</v>
      </c>
      <c r="M100" s="70">
        <f>[1]!b_stm07_bs(M14,94,M13,1)</f>
        <v>0</v>
      </c>
      <c r="N100" s="70">
        <f>[1]!b_stm07_bs(N14,94,N13,1)</f>
        <v>21286900253.150002</v>
      </c>
      <c r="O100" s="70">
        <f>[1]!b_stm07_bs(O14,94,O13,1)</f>
        <v>4058959121</v>
      </c>
      <c r="P100" s="70">
        <f>[1]!b_stm07_bs(P14,94,P13,1)</f>
        <v>7089569974.25</v>
      </c>
      <c r="Q100" s="70">
        <f>[1]!b_stm07_bs(Q14,94,Q13,1)</f>
        <v>4058959121</v>
      </c>
      <c r="R100" s="70">
        <f>[1]!b_stm07_bs(R14,94,R13,1)</f>
        <v>287474000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0</v>
      </c>
      <c r="K101" s="70"/>
      <c r="L101" s="70">
        <f>[1]!b_stm07_bs(L14,95,L13,1)</f>
        <v>5330938958.8800001</v>
      </c>
      <c r="M101" s="70">
        <f>[1]!b_stm07_bs(M14,95,M13,1)</f>
        <v>0</v>
      </c>
      <c r="N101" s="70">
        <f>[1]!b_stm07_bs(N14,95,N13,1)</f>
        <v>24611959925.220001</v>
      </c>
      <c r="O101" s="70">
        <f>[1]!b_stm07_bs(O14,95,O13,1)</f>
        <v>3295605346</v>
      </c>
      <c r="P101" s="70">
        <f>[1]!b_stm07_bs(P14,95,P13,1)</f>
        <v>8079012732.4899998</v>
      </c>
      <c r="Q101" s="70">
        <f>[1]!b_stm07_bs(Q14,95,Q13,1)</f>
        <v>3295605346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13024474639.49</v>
      </c>
      <c r="K103" s="70"/>
      <c r="L103" s="70">
        <f>[1]!b_stm07_bs(L14,141,L13,1)</f>
        <v>21794498508.23</v>
      </c>
      <c r="M103" s="70">
        <f>[1]!b_stm07_bs(M14,141,M13,1)</f>
        <v>30482441000</v>
      </c>
      <c r="N103" s="70">
        <f>[1]!b_stm07_bs(N14,141,N13,1)</f>
        <v>85398360954.570007</v>
      </c>
      <c r="O103" s="70">
        <f>[1]!b_stm07_bs(O14,141,O13,1)</f>
        <v>13155571132</v>
      </c>
      <c r="P103" s="70">
        <f>[1]!b_stm07_bs(P14,141,P13,1)</f>
        <v>39038566776.129997</v>
      </c>
      <c r="Q103" s="70">
        <f>[1]!b_stm07_bs(Q14,141,Q13,1)</f>
        <v>13155571132</v>
      </c>
      <c r="R103" s="70">
        <f>[1]!b_stm07_bs(R14,141,R13,1)</f>
        <v>12495672006.469999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d19040905.IB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0.81536900000000001</v>
      </c>
      <c r="C109" s="54" t="s">
        <v>36</v>
      </c>
      <c r="D109" s="71">
        <f>[1]!s_fa_current(A2,B2)</f>
        <v>0.25900000000000001</v>
      </c>
      <c r="E109" s="54" t="s">
        <v>41</v>
      </c>
      <c r="F109" s="72">
        <f>[1]!s_fa_salescashintoor(A2,B2)/100</f>
        <v>1.1661999999999999</v>
      </c>
      <c r="G109" s="54" t="s">
        <v>42</v>
      </c>
      <c r="H109" s="12">
        <f>S109/100</f>
        <v>0.27696399999999999</v>
      </c>
      <c r="I109" s="54"/>
      <c r="J109" s="16"/>
      <c r="K109" s="25"/>
      <c r="L109" s="34" t="s">
        <v>61</v>
      </c>
      <c r="M109" s="73">
        <f>[1]!s_fa_debttoassets(A2,B2)</f>
        <v>81.536900000000003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27.696400000000001</v>
      </c>
    </row>
    <row r="110" spans="1:19" ht="15.75" customHeight="1" x14ac:dyDescent="0.25">
      <c r="A110" s="54" t="s">
        <v>62</v>
      </c>
      <c r="B110" s="12">
        <f>M110/100</f>
        <v>0.18342800000000001</v>
      </c>
      <c r="C110" s="54" t="s">
        <v>63</v>
      </c>
      <c r="D110" s="72">
        <f>[1]!s_fa_quick(A2,B2)</f>
        <v>0.18940000000000001</v>
      </c>
      <c r="E110" s="54" t="s">
        <v>64</v>
      </c>
      <c r="F110" s="71">
        <f>[1]!s_fa_arturn(A2,B2)</f>
        <v>11.04</v>
      </c>
      <c r="G110" s="54" t="s">
        <v>65</v>
      </c>
      <c r="H110" s="12">
        <f>S110/100</f>
        <v>5.4494000000000001E-2</v>
      </c>
      <c r="I110" s="54"/>
      <c r="J110" s="16"/>
      <c r="L110" s="54" t="s">
        <v>62</v>
      </c>
      <c r="M110" s="73">
        <f>[1]!s_fa_catoassets(A2,B2)</f>
        <v>18.3428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5.4493999999999998</v>
      </c>
    </row>
    <row r="111" spans="1:19" ht="15" customHeight="1" x14ac:dyDescent="0.25">
      <c r="A111" s="54" t="s">
        <v>66</v>
      </c>
      <c r="B111" s="12">
        <f>M111/100</f>
        <v>0.86841800000000002</v>
      </c>
      <c r="C111" s="54" t="s">
        <v>39</v>
      </c>
      <c r="D111" s="72">
        <f>[1]!s_fa_ebitdatodebt(A2,B2)</f>
        <v>0</v>
      </c>
      <c r="E111" s="54" t="s">
        <v>67</v>
      </c>
      <c r="F111" s="71">
        <f>[1]!s_fa_invturn(A2,B2)</f>
        <v>4.5610999999999997</v>
      </c>
      <c r="G111" s="54" t="s">
        <v>45</v>
      </c>
      <c r="H111" s="12">
        <f>S111/100</f>
        <v>6.6637000000000002E-2</v>
      </c>
      <c r="I111" s="54"/>
      <c r="J111" s="16"/>
      <c r="L111" s="54" t="s">
        <v>66</v>
      </c>
      <c r="M111" s="73">
        <f>[1]!s_fa_currentdebttodebt(A2,B2)</f>
        <v>86.841800000000006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6.6637000000000004</v>
      </c>
    </row>
    <row r="112" spans="1:19" ht="14.25" customHeight="1" x14ac:dyDescent="0.25">
      <c r="A112" s="54" t="s">
        <v>38</v>
      </c>
      <c r="B112" s="75">
        <f>(M116+M117+M118+M119+M120+M121)/M123</f>
        <v>1.3225849340004179</v>
      </c>
      <c r="C112" s="54" t="s">
        <v>68</v>
      </c>
      <c r="D112" s="72">
        <f>[1]!s_fa_ebittointerest(A2,B2)</f>
        <v>1.5235000000000001</v>
      </c>
      <c r="E112" s="54" t="s">
        <v>69</v>
      </c>
      <c r="F112" s="71">
        <f>[1]!s_fa_caturn(A2,B2)</f>
        <v>1.6316999999999999</v>
      </c>
      <c r="G112" s="54" t="s">
        <v>70</v>
      </c>
      <c r="H112" s="12">
        <f>S112/100</f>
        <v>4.8608000000000005E-2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4.8608000000000002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0.31309999999999999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11186000000</v>
      </c>
    </row>
    <row r="117" spans="1:21" ht="14.25" customHeight="1" x14ac:dyDescent="0.25">
      <c r="A117" s="54" t="s">
        <v>77</v>
      </c>
      <c r="B117" s="72">
        <f t="shared" ref="B117:B131" si="1">M127/100000000</f>
        <v>29.534270229099999</v>
      </c>
      <c r="C117" s="54" t="s">
        <v>78</v>
      </c>
      <c r="D117" s="75">
        <f t="shared" ref="D117:D125" si="2">O127/100000000</f>
        <v>225.97148339700001</v>
      </c>
      <c r="E117" s="128" t="s">
        <v>79</v>
      </c>
      <c r="F117" s="121"/>
      <c r="G117" s="121"/>
      <c r="H117" s="129">
        <f t="shared" ref="H117:H131" si="3">S127/100000000</f>
        <v>263.52753063040001</v>
      </c>
      <c r="I117" s="121"/>
      <c r="J117" s="121"/>
      <c r="L117" s="17" t="s">
        <v>48</v>
      </c>
      <c r="M117" s="70">
        <f>[1]!b_stm07_bs(K107,82,L107,1)</f>
        <v>116792104.81</v>
      </c>
    </row>
    <row r="118" spans="1:21" ht="14.25" customHeight="1" x14ac:dyDescent="0.25">
      <c r="A118" s="54" t="s">
        <v>80</v>
      </c>
      <c r="B118" s="72">
        <f t="shared" si="1"/>
        <v>19.857698789699999</v>
      </c>
      <c r="C118" s="54" t="s">
        <v>81</v>
      </c>
      <c r="D118" s="75">
        <f t="shared" si="2"/>
        <v>215.67883093540001</v>
      </c>
      <c r="E118" s="128" t="s">
        <v>82</v>
      </c>
      <c r="F118" s="121"/>
      <c r="G118" s="121"/>
      <c r="H118" s="129">
        <f t="shared" si="3"/>
        <v>1.6936629666999998</v>
      </c>
      <c r="I118" s="121"/>
      <c r="J118" s="121"/>
      <c r="L118" s="17" t="s">
        <v>49</v>
      </c>
      <c r="M118" s="70">
        <f>[1]!b_stm07_bs(K107,88,L107,1)</f>
        <v>2853181826.6500001</v>
      </c>
    </row>
    <row r="119" spans="1:21" ht="14.25" customHeight="1" x14ac:dyDescent="0.25">
      <c r="A119" s="54" t="s">
        <v>83</v>
      </c>
      <c r="B119" s="72">
        <f t="shared" si="1"/>
        <v>19.2790026895</v>
      </c>
      <c r="C119" s="54" t="s">
        <v>84</v>
      </c>
      <c r="D119" s="75">
        <f t="shared" si="2"/>
        <v>163.3855406221</v>
      </c>
      <c r="E119" s="128" t="s">
        <v>85</v>
      </c>
      <c r="F119" s="121"/>
      <c r="G119" s="121"/>
      <c r="H119" s="130">
        <f t="shared" si="3"/>
        <v>267.08354730259998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320.66601281110002</v>
      </c>
      <c r="C120" s="54" t="s">
        <v>87</v>
      </c>
      <c r="D120" s="75">
        <f t="shared" si="2"/>
        <v>12.379136115</v>
      </c>
      <c r="E120" s="128" t="s">
        <v>88</v>
      </c>
      <c r="F120" s="121"/>
      <c r="G120" s="121"/>
      <c r="H120" s="129">
        <f t="shared" si="3"/>
        <v>175.46730617830002</v>
      </c>
      <c r="I120" s="121"/>
      <c r="J120" s="121"/>
      <c r="L120" s="17" t="s">
        <v>51</v>
      </c>
      <c r="M120" s="70">
        <f>[1]!b_stm07_bs(K107,94,L107,1)</f>
        <v>3070000000</v>
      </c>
    </row>
    <row r="121" spans="1:21" ht="14.25" customHeight="1" x14ac:dyDescent="0.25">
      <c r="A121" s="54" t="s">
        <v>89</v>
      </c>
      <c r="B121" s="72">
        <f t="shared" si="1"/>
        <v>34.1767485385</v>
      </c>
      <c r="C121" s="54" t="s">
        <v>90</v>
      </c>
      <c r="D121" s="75">
        <f t="shared" si="2"/>
        <v>12.575285864300001</v>
      </c>
      <c r="E121" s="128" t="s">
        <v>91</v>
      </c>
      <c r="F121" s="121"/>
      <c r="G121" s="121"/>
      <c r="H121" s="129">
        <f t="shared" si="3"/>
        <v>15.959804475599999</v>
      </c>
      <c r="I121" s="121"/>
      <c r="J121" s="121"/>
      <c r="L121" s="17" t="s">
        <v>52</v>
      </c>
      <c r="M121" s="70">
        <f>[1]!b_stm07_bs(K107,95,L107,1)</f>
        <v>0</v>
      </c>
    </row>
    <row r="122" spans="1:21" ht="14.25" customHeight="1" x14ac:dyDescent="0.25">
      <c r="A122" s="54" t="s">
        <v>92</v>
      </c>
      <c r="B122" s="72">
        <f t="shared" si="1"/>
        <v>42.5810071728</v>
      </c>
      <c r="C122" s="54" t="s">
        <v>93</v>
      </c>
      <c r="D122" s="75">
        <f t="shared" si="2"/>
        <v>23.3790437414</v>
      </c>
      <c r="E122" s="128" t="s">
        <v>94</v>
      </c>
      <c r="F122" s="121"/>
      <c r="G122" s="121"/>
      <c r="H122" s="130">
        <f t="shared" si="3"/>
        <v>227.23253577040001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705.43279471559993</v>
      </c>
      <c r="C123" s="54" t="s">
        <v>96</v>
      </c>
      <c r="D123" s="75">
        <f t="shared" si="2"/>
        <v>12.3141257049</v>
      </c>
      <c r="E123" s="128" t="s">
        <v>97</v>
      </c>
      <c r="F123" s="121"/>
      <c r="G123" s="121"/>
      <c r="H123" s="130">
        <f t="shared" si="3"/>
        <v>39.851011532199998</v>
      </c>
      <c r="I123" s="121"/>
      <c r="J123" s="121"/>
      <c r="L123" s="17" t="s">
        <v>53</v>
      </c>
      <c r="M123" s="70">
        <f>[1]!b_stm07_bs(K107,141,L107,1)</f>
        <v>13024474639.49</v>
      </c>
    </row>
    <row r="124" spans="1:21" ht="14.25" customHeight="1" x14ac:dyDescent="0.25">
      <c r="A124" s="54" t="s">
        <v>98</v>
      </c>
      <c r="B124" s="72">
        <f t="shared" si="1"/>
        <v>111.86</v>
      </c>
      <c r="C124" s="54" t="s">
        <v>99</v>
      </c>
      <c r="D124" s="75">
        <f t="shared" si="2"/>
        <v>12.055896496500001</v>
      </c>
      <c r="E124" s="128" t="s">
        <v>100</v>
      </c>
      <c r="F124" s="121"/>
      <c r="G124" s="121"/>
      <c r="H124" s="130">
        <f t="shared" si="3"/>
        <v>-10.7970017504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28.5318182665</v>
      </c>
      <c r="C125" s="54" t="s">
        <v>43</v>
      </c>
      <c r="D125" s="75">
        <f t="shared" si="2"/>
        <v>8.6230445084999996</v>
      </c>
      <c r="E125" s="128" t="s">
        <v>102</v>
      </c>
      <c r="F125" s="121"/>
      <c r="G125" s="121"/>
      <c r="H125" s="129">
        <f t="shared" si="3"/>
        <v>0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225.31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30.7</v>
      </c>
      <c r="C127" s="54"/>
      <c r="D127" s="79"/>
      <c r="E127" s="128" t="s">
        <v>106</v>
      </c>
      <c r="F127" s="121"/>
      <c r="G127" s="121"/>
      <c r="H127" s="129">
        <f t="shared" si="3"/>
        <v>0</v>
      </c>
      <c r="I127" s="121"/>
      <c r="J127" s="121"/>
      <c r="L127" s="54" t="s">
        <v>77</v>
      </c>
      <c r="M127" s="74">
        <f>[1]!b_stm07_bs(K107,9,L107,1)</f>
        <v>2953427022.9099998</v>
      </c>
      <c r="N127" s="54" t="s">
        <v>78</v>
      </c>
      <c r="O127" s="74">
        <f>[1]!b_stm07_is(K107,83,L107,1)</f>
        <v>22597148339.700001</v>
      </c>
      <c r="P127" s="128" t="s">
        <v>79</v>
      </c>
      <c r="Q127" s="121"/>
      <c r="R127" s="121"/>
      <c r="S127" s="133">
        <f>[1]!b_stm07_cs(K107,9,L107,1)</f>
        <v>26352753063.040001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0</v>
      </c>
      <c r="C128" s="54"/>
      <c r="D128" s="79"/>
      <c r="E128" s="128" t="s">
        <v>108</v>
      </c>
      <c r="F128" s="121"/>
      <c r="G128" s="121"/>
      <c r="H128" s="130">
        <f t="shared" si="3"/>
        <v>264.34182505109999</v>
      </c>
      <c r="I128" s="121"/>
      <c r="J128" s="121"/>
      <c r="L128" s="54" t="s">
        <v>80</v>
      </c>
      <c r="M128" s="74">
        <f>[1]!b_stm07_bs(K107,12,L107,1)</f>
        <v>1985769878.97</v>
      </c>
      <c r="N128" s="54" t="s">
        <v>81</v>
      </c>
      <c r="O128" s="74">
        <f>[1]!b_stm07_is(K107,84,L107,1)</f>
        <v>21567883093.540001</v>
      </c>
      <c r="P128" s="128" t="s">
        <v>82</v>
      </c>
      <c r="Q128" s="121"/>
      <c r="R128" s="121"/>
      <c r="S128" s="133">
        <f>[1]!b_stm07_cs(K107,11,L107,1)</f>
        <v>169366296.66999999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575.18804832069998</v>
      </c>
      <c r="C129" s="14"/>
      <c r="D129" s="13"/>
      <c r="E129" s="128" t="s">
        <v>110</v>
      </c>
      <c r="F129" s="121"/>
      <c r="G129" s="121"/>
      <c r="H129" s="129">
        <f t="shared" si="3"/>
        <v>241.04</v>
      </c>
      <c r="I129" s="121"/>
      <c r="J129" s="121"/>
      <c r="L129" s="54" t="s">
        <v>83</v>
      </c>
      <c r="M129" s="74">
        <f>[1]!b_stm07_bs(K107,13,L107,1)</f>
        <v>1927900268.95</v>
      </c>
      <c r="N129" s="54" t="s">
        <v>84</v>
      </c>
      <c r="O129" s="74">
        <f>[1]!b_stm07_is(K107,10,L107,1)</f>
        <v>16338554062.209999</v>
      </c>
      <c r="P129" s="128" t="s">
        <v>85</v>
      </c>
      <c r="Q129" s="121"/>
      <c r="R129" s="121"/>
      <c r="S129" s="134">
        <f>[1]!b_stm07_cs(K107,25,L107,1)</f>
        <v>26708354730.259998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130.24474639490001</v>
      </c>
      <c r="C130" s="14"/>
      <c r="D130" s="13"/>
      <c r="E130" s="128" t="s">
        <v>112</v>
      </c>
      <c r="F130" s="121"/>
      <c r="G130" s="121"/>
      <c r="H130" s="129">
        <f t="shared" si="3"/>
        <v>305.8392394352</v>
      </c>
      <c r="I130" s="121"/>
      <c r="J130" s="121"/>
      <c r="L130" s="54" t="s">
        <v>86</v>
      </c>
      <c r="M130" s="74">
        <f>[1]!b_stm07_bs(K107,31,L107,1)</f>
        <v>32066601281.110001</v>
      </c>
      <c r="N130" s="54" t="s">
        <v>87</v>
      </c>
      <c r="O130" s="74">
        <f>[1]!b_stm07_is(K107,12,L107,1)</f>
        <v>1237913611.5</v>
      </c>
      <c r="P130" s="128" t="s">
        <v>88</v>
      </c>
      <c r="Q130" s="121"/>
      <c r="R130" s="121"/>
      <c r="S130" s="133">
        <f>[1]!b_stm07_cs(K107,26,L107,1)</f>
        <v>17546730617.830002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705.43279471559993</v>
      </c>
      <c r="C131" s="14"/>
      <c r="D131" s="13"/>
      <c r="E131" s="128" t="s">
        <v>114</v>
      </c>
      <c r="F131" s="121"/>
      <c r="G131" s="121"/>
      <c r="H131" s="130">
        <f t="shared" si="3"/>
        <v>-41.497414384099997</v>
      </c>
      <c r="I131" s="121"/>
      <c r="J131" s="121"/>
      <c r="L131" s="54" t="s">
        <v>89</v>
      </c>
      <c r="M131" s="74">
        <f>[1]!b_stm07_bs(K107,33,L107,1)</f>
        <v>3417674853.8499999</v>
      </c>
      <c r="N131" s="54" t="s">
        <v>90</v>
      </c>
      <c r="O131" s="74">
        <f>[1]!b_stm07_is(K107,13,L107,1)</f>
        <v>1257528586.4300001</v>
      </c>
      <c r="P131" s="128" t="s">
        <v>91</v>
      </c>
      <c r="Q131" s="121"/>
      <c r="R131" s="121"/>
      <c r="S131" s="133">
        <f>[1]!b_stm07_cs(K107,29,L107,1)</f>
        <v>1595980447.5599999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4258100717.2800002</v>
      </c>
      <c r="N132" s="54" t="s">
        <v>93</v>
      </c>
      <c r="O132" s="74">
        <f>[1]!b_stm07_is(K107,14,L107,1)</f>
        <v>2337904374.1399999</v>
      </c>
      <c r="P132" s="128" t="s">
        <v>94</v>
      </c>
      <c r="Q132" s="121"/>
      <c r="R132" s="121"/>
      <c r="S132" s="134">
        <f>[1]!b_stm07_cs(K107,37,L107,1)</f>
        <v>22723253577.040001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70543279471.559998</v>
      </c>
      <c r="N133" s="54" t="s">
        <v>96</v>
      </c>
      <c r="O133" s="74">
        <f>[1]!b_stm07_is(K107,48,L107,1)</f>
        <v>1231412570.49</v>
      </c>
      <c r="P133" s="128" t="s">
        <v>97</v>
      </c>
      <c r="Q133" s="121"/>
      <c r="R133" s="121"/>
      <c r="S133" s="134">
        <f>[1]!b_stm07_cs(K107,39,L107,1)</f>
        <v>3985101153.2199998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11186000000</v>
      </c>
      <c r="N134" s="54" t="s">
        <v>99</v>
      </c>
      <c r="O134" s="74">
        <f>[1]!b_stm07_is(K107,55,L107,1)</f>
        <v>1205589649.6500001</v>
      </c>
      <c r="P134" s="128" t="s">
        <v>100</v>
      </c>
      <c r="Q134" s="121"/>
      <c r="R134" s="121"/>
      <c r="S134" s="134">
        <f>[1]!b_stm07_cs(K107,59,L107,1)</f>
        <v>-1079700175.04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2853181826.6500001</v>
      </c>
      <c r="N135" s="54" t="s">
        <v>43</v>
      </c>
      <c r="O135" s="74">
        <f>[1]!b_stm07_is(K107,60,L107,1)</f>
        <v>862304450.85000002</v>
      </c>
      <c r="P135" s="128" t="s">
        <v>102</v>
      </c>
      <c r="Q135" s="121"/>
      <c r="R135" s="121"/>
      <c r="S135" s="133">
        <f>[1]!b_stm07_cs(K107,60,L107,1)</f>
        <v>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22531000000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3070000000</v>
      </c>
      <c r="N137" s="54"/>
      <c r="O137" s="79"/>
      <c r="P137" s="128" t="s">
        <v>106</v>
      </c>
      <c r="Q137" s="121"/>
      <c r="R137" s="121"/>
      <c r="S137" s="133">
        <f>[1]!b_stm07_cs(K107,63,L107,1)</f>
        <v>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0</v>
      </c>
      <c r="N138" s="54"/>
      <c r="O138" s="79"/>
      <c r="P138" s="128" t="s">
        <v>108</v>
      </c>
      <c r="Q138" s="121"/>
      <c r="R138" s="121"/>
      <c r="S138" s="134">
        <f>[1]!b_stm07_cs(K107,68,L107,1)</f>
        <v>26434182505.110001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57518804832.07</v>
      </c>
      <c r="N139" s="14"/>
      <c r="O139" s="13"/>
      <c r="P139" s="128" t="s">
        <v>110</v>
      </c>
      <c r="Q139" s="121"/>
      <c r="R139" s="121"/>
      <c r="S139" s="133">
        <f>[1]!b_stm07_cs(K107,69,L107,1)</f>
        <v>24104000000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13024474639.49</v>
      </c>
      <c r="N140" s="14"/>
      <c r="O140" s="13"/>
      <c r="P140" s="128" t="s">
        <v>112</v>
      </c>
      <c r="Q140" s="121"/>
      <c r="R140" s="121"/>
      <c r="S140" s="133">
        <f>[1]!b_stm07_cs(K107,75,L107,1)</f>
        <v>30583923943.52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70543279471.559998</v>
      </c>
      <c r="N141" s="14"/>
      <c r="O141" s="13"/>
      <c r="P141" s="128" t="s">
        <v>114</v>
      </c>
      <c r="Q141" s="121"/>
      <c r="R141" s="121"/>
      <c r="S141" s="134">
        <f>[1]!b_stm07_cs(K107,77,L107,1)</f>
        <v>-4149741438.4099998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256</v>
      </c>
      <c r="C2" s="117"/>
      <c r="D2" s="57" t="s">
        <v>3</v>
      </c>
      <c r="E2" s="116" t="s">
        <v>294</v>
      </c>
      <c r="F2" s="117"/>
      <c r="G2" s="117"/>
    </row>
    <row r="3" spans="1:12" ht="14.25" customHeight="1" x14ac:dyDescent="0.25">
      <c r="A3" s="57" t="s">
        <v>4</v>
      </c>
      <c r="B3" s="116" t="s">
        <v>295</v>
      </c>
      <c r="C3" s="117"/>
      <c r="D3" s="57" t="s">
        <v>5</v>
      </c>
      <c r="E3" s="116" t="s">
        <v>296</v>
      </c>
      <c r="F3" s="117"/>
      <c r="G3" s="117"/>
    </row>
    <row r="4" spans="1:12" ht="113.25" customHeight="1" x14ac:dyDescent="0.25">
      <c r="A4" s="57" t="s">
        <v>6</v>
      </c>
      <c r="B4" s="118" t="s">
        <v>297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298</v>
      </c>
      <c r="C5" s="117"/>
      <c r="D5" s="117"/>
      <c r="E5" s="117"/>
      <c r="F5" s="138">
        <v>0.88699996948242188</v>
      </c>
      <c r="G5" s="117"/>
    </row>
    <row r="6" spans="1:12" ht="11.25" customHeight="1" x14ac:dyDescent="0.25">
      <c r="A6" s="81" t="s">
        <v>116</v>
      </c>
      <c r="B6" s="137" t="s">
        <v>299</v>
      </c>
      <c r="C6" s="117"/>
      <c r="D6" s="117"/>
      <c r="E6" s="117"/>
      <c r="F6" s="138">
        <v>6.3000001907348627E-2</v>
      </c>
      <c r="G6" s="117"/>
    </row>
    <row r="7" spans="1:12" ht="11.25" customHeight="1" x14ac:dyDescent="0.25">
      <c r="A7" s="81" t="s">
        <v>117</v>
      </c>
      <c r="B7" s="137" t="s">
        <v>300</v>
      </c>
      <c r="C7" s="117"/>
      <c r="D7" s="117"/>
      <c r="E7" s="117"/>
      <c r="F7" s="138">
        <v>0.05</v>
      </c>
      <c r="G7" s="117"/>
    </row>
    <row r="8" spans="1:12" ht="11.25" customHeight="1" x14ac:dyDescent="0.25">
      <c r="A8" s="81" t="s">
        <v>118</v>
      </c>
      <c r="B8" s="137" t="s">
        <v>301</v>
      </c>
      <c r="C8" s="117"/>
      <c r="D8" s="117"/>
      <c r="E8" s="117"/>
      <c r="F8" s="138" t="s">
        <v>301</v>
      </c>
      <c r="G8" s="117"/>
    </row>
    <row r="9" spans="1:12" ht="11.25" customHeight="1" x14ac:dyDescent="0.25">
      <c r="A9" s="81" t="s">
        <v>119</v>
      </c>
      <c r="B9" s="137" t="s">
        <v>301</v>
      </c>
      <c r="C9" s="117"/>
      <c r="D9" s="117"/>
      <c r="E9" s="117"/>
      <c r="F9" s="138" t="s">
        <v>301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3.39</v>
      </c>
      <c r="E13" s="63">
        <v>0.91803278688524592</v>
      </c>
      <c r="F13" s="64" t="s">
        <v>302</v>
      </c>
      <c r="G13" s="63">
        <v>10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3.8</v>
      </c>
      <c r="E14" s="82">
        <v>0.19726027397260273</v>
      </c>
      <c r="F14">
        <v>0</v>
      </c>
      <c r="G14" s="63">
        <v>8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3.88</v>
      </c>
      <c r="E15" s="82">
        <v>0.35068493150684932</v>
      </c>
      <c r="F15">
        <v>0</v>
      </c>
      <c r="G15" s="63">
        <v>12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3.94</v>
      </c>
      <c r="E16" s="82">
        <v>0.29315068493150687</v>
      </c>
      <c r="F16">
        <v>0</v>
      </c>
      <c r="G16" s="63">
        <v>11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3.92</v>
      </c>
      <c r="E17" s="82">
        <v>0.25479452054794521</v>
      </c>
      <c r="F17">
        <v>0</v>
      </c>
      <c r="G17" s="63">
        <v>10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4.0999999999999996</v>
      </c>
      <c r="E18" s="82">
        <v>0.37260273972602742</v>
      </c>
      <c r="F18" t="s">
        <v>302</v>
      </c>
      <c r="G18" s="63">
        <v>10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3">
        <v>3.87</v>
      </c>
      <c r="E19" s="82">
        <v>5.4794520547945206E-3</v>
      </c>
      <c r="F19">
        <v>0</v>
      </c>
      <c r="G19" s="63">
        <v>7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3">
        <v>4.42</v>
      </c>
      <c r="E20" s="82">
        <v>2.4657534246575342E-2</v>
      </c>
      <c r="F20">
        <v>0</v>
      </c>
      <c r="G20" s="63">
        <v>10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3">
        <v>5.08</v>
      </c>
      <c r="E21" s="82">
        <v>0</v>
      </c>
      <c r="F21">
        <v>0</v>
      </c>
      <c r="G21" s="63">
        <v>5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3">
        <v>4.8</v>
      </c>
      <c r="E22" s="82">
        <v>0</v>
      </c>
      <c r="F22">
        <v>0</v>
      </c>
      <c r="G22" s="63">
        <v>10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63">
        <v>5.39</v>
      </c>
      <c r="E23" s="82">
        <v>0</v>
      </c>
      <c r="F23">
        <v>0</v>
      </c>
      <c r="G23" s="63">
        <v>6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63">
        <v>5.42</v>
      </c>
      <c r="E24" s="82">
        <v>0</v>
      </c>
      <c r="F24">
        <v>0</v>
      </c>
      <c r="G24" s="63">
        <v>6</v>
      </c>
    </row>
    <row r="25" spans="1:7" ht="14.4" customHeight="1" x14ac:dyDescent="0.25">
      <c r="A25" t="s">
        <v>157</v>
      </c>
      <c r="B25" t="s">
        <v>158</v>
      </c>
      <c r="C25" t="s">
        <v>159</v>
      </c>
      <c r="D25" s="63">
        <v>5.0999999999999996</v>
      </c>
      <c r="E25" s="82">
        <v>0</v>
      </c>
      <c r="F25">
        <v>0</v>
      </c>
      <c r="G25" s="63">
        <v>10</v>
      </c>
    </row>
    <row r="26" spans="1:7" ht="14.4" customHeight="1" x14ac:dyDescent="0.25">
      <c r="A26" t="s">
        <v>160</v>
      </c>
      <c r="B26" t="s">
        <v>161</v>
      </c>
      <c r="C26" t="s">
        <v>162</v>
      </c>
      <c r="D26" s="63">
        <v>4.88</v>
      </c>
      <c r="E26" s="82">
        <v>0</v>
      </c>
      <c r="F26">
        <v>0</v>
      </c>
      <c r="G26" s="63">
        <v>10</v>
      </c>
    </row>
    <row r="27" spans="1:7" ht="14.4" customHeight="1" x14ac:dyDescent="0.25">
      <c r="A27" t="s">
        <v>163</v>
      </c>
      <c r="B27" t="s">
        <v>164</v>
      </c>
      <c r="C27" t="s">
        <v>165</v>
      </c>
      <c r="D27" s="63">
        <v>4.72</v>
      </c>
      <c r="E27" s="82">
        <v>0</v>
      </c>
      <c r="F27" t="s">
        <v>302</v>
      </c>
      <c r="G27" s="63">
        <v>10</v>
      </c>
    </row>
    <row r="28" spans="1:7" ht="14.4" customHeight="1" x14ac:dyDescent="0.25">
      <c r="A28" t="s">
        <v>166</v>
      </c>
      <c r="B28" t="s">
        <v>167</v>
      </c>
      <c r="C28" t="s">
        <v>168</v>
      </c>
      <c r="D28" s="63">
        <v>4.68</v>
      </c>
      <c r="E28" s="82">
        <v>0</v>
      </c>
      <c r="F28" t="s">
        <v>302</v>
      </c>
      <c r="G28" s="63">
        <v>10</v>
      </c>
    </row>
    <row r="29" spans="1:7" ht="14.4" customHeight="1" x14ac:dyDescent="0.25">
      <c r="A29" t="s">
        <v>169</v>
      </c>
      <c r="B29" t="s">
        <v>170</v>
      </c>
      <c r="C29" t="s">
        <v>171</v>
      </c>
      <c r="D29" s="63">
        <v>4.79</v>
      </c>
      <c r="E29" s="82">
        <v>0</v>
      </c>
      <c r="F29" t="s">
        <v>302</v>
      </c>
      <c r="G29" s="63">
        <v>10</v>
      </c>
    </row>
    <row r="30" spans="1:7" ht="14.4" customHeight="1" x14ac:dyDescent="0.25">
      <c r="A30" t="s">
        <v>172</v>
      </c>
      <c r="B30" t="s">
        <v>173</v>
      </c>
      <c r="C30" t="s">
        <v>174</v>
      </c>
      <c r="D30" s="63">
        <v>5.37</v>
      </c>
      <c r="E30" s="82">
        <v>0</v>
      </c>
      <c r="F30">
        <v>0</v>
      </c>
      <c r="G30" s="63">
        <v>10</v>
      </c>
    </row>
    <row r="31" spans="1:7" ht="14.4" customHeight="1" x14ac:dyDescent="0.25">
      <c r="A31" t="s">
        <v>175</v>
      </c>
      <c r="B31" t="s">
        <v>176</v>
      </c>
      <c r="C31" t="s">
        <v>177</v>
      </c>
      <c r="D31" s="63">
        <v>4.9800000000000004</v>
      </c>
      <c r="E31" s="82">
        <v>0</v>
      </c>
      <c r="F31">
        <v>0</v>
      </c>
      <c r="G31" s="63">
        <v>10</v>
      </c>
    </row>
    <row r="32" spans="1:7" ht="14.4" customHeight="1" x14ac:dyDescent="0.25">
      <c r="A32" t="s">
        <v>178</v>
      </c>
      <c r="B32" t="s">
        <v>179</v>
      </c>
      <c r="C32" t="s">
        <v>180</v>
      </c>
      <c r="D32" s="63">
        <v>3.42</v>
      </c>
      <c r="E32" s="82">
        <v>0</v>
      </c>
      <c r="F32">
        <v>0</v>
      </c>
      <c r="G32" s="63">
        <v>20</v>
      </c>
    </row>
    <row r="33" spans="1:7" ht="14.4" customHeight="1" x14ac:dyDescent="0.25">
      <c r="A33" t="s">
        <v>181</v>
      </c>
      <c r="B33" t="s">
        <v>182</v>
      </c>
      <c r="C33" t="s">
        <v>183</v>
      </c>
      <c r="D33" s="63">
        <v>3.2</v>
      </c>
      <c r="E33" s="82">
        <v>0</v>
      </c>
      <c r="F33">
        <v>0</v>
      </c>
      <c r="G33" s="63">
        <v>10</v>
      </c>
    </row>
    <row r="34" spans="1:7" ht="14.4" customHeight="1" x14ac:dyDescent="0.25">
      <c r="A34" t="s">
        <v>184</v>
      </c>
      <c r="B34" t="s">
        <v>182</v>
      </c>
      <c r="C34" t="s">
        <v>185</v>
      </c>
      <c r="D34" s="63">
        <v>4.7</v>
      </c>
      <c r="E34" s="82">
        <v>0</v>
      </c>
      <c r="F34">
        <v>0</v>
      </c>
      <c r="G34" s="63">
        <v>5</v>
      </c>
    </row>
    <row r="35" spans="1:7" ht="14.4" customHeight="1" x14ac:dyDescent="0.25">
      <c r="A35" t="s">
        <v>186</v>
      </c>
      <c r="B35" t="s">
        <v>187</v>
      </c>
      <c r="C35" t="s">
        <v>188</v>
      </c>
      <c r="D35" s="63">
        <v>3.4</v>
      </c>
      <c r="E35" s="82">
        <v>0</v>
      </c>
      <c r="F35" t="s">
        <v>302</v>
      </c>
      <c r="G35" s="63">
        <v>15</v>
      </c>
    </row>
    <row r="36" spans="1:7" ht="14.4" customHeight="1" x14ac:dyDescent="0.25">
      <c r="A36" t="s">
        <v>189</v>
      </c>
      <c r="B36" t="s">
        <v>190</v>
      </c>
      <c r="C36" t="s">
        <v>191</v>
      </c>
      <c r="D36" s="63">
        <v>3.4</v>
      </c>
      <c r="E36" s="82">
        <v>0</v>
      </c>
      <c r="F36">
        <v>0</v>
      </c>
      <c r="G36" s="63">
        <v>10</v>
      </c>
    </row>
    <row r="37" spans="1:7" ht="14.4" customHeight="1" x14ac:dyDescent="0.25">
      <c r="A37" t="s">
        <v>192</v>
      </c>
      <c r="B37" t="s">
        <v>193</v>
      </c>
      <c r="C37" t="s">
        <v>194</v>
      </c>
      <c r="D37" s="63">
        <v>3.5</v>
      </c>
      <c r="E37" s="82">
        <v>0</v>
      </c>
      <c r="F37">
        <v>0</v>
      </c>
      <c r="G37" s="63">
        <v>20</v>
      </c>
    </row>
    <row r="38" spans="1:7" ht="14.4" customHeight="1" x14ac:dyDescent="0.25">
      <c r="A38" t="s">
        <v>195</v>
      </c>
      <c r="B38" t="s">
        <v>196</v>
      </c>
      <c r="C38" t="s">
        <v>197</v>
      </c>
      <c r="D38" s="63">
        <v>3.7</v>
      </c>
      <c r="E38" s="82">
        <v>0</v>
      </c>
      <c r="F38" t="s">
        <v>302</v>
      </c>
      <c r="G38" s="63">
        <v>15</v>
      </c>
    </row>
    <row r="39" spans="1:7" ht="14.4" customHeight="1" x14ac:dyDescent="0.25">
      <c r="A39" t="s">
        <v>198</v>
      </c>
      <c r="B39" t="s">
        <v>199</v>
      </c>
      <c r="C39" t="s">
        <v>200</v>
      </c>
      <c r="D39" s="63">
        <v>3.69</v>
      </c>
      <c r="E39" s="82">
        <v>0</v>
      </c>
      <c r="F39">
        <v>0</v>
      </c>
      <c r="G39" s="63">
        <v>15</v>
      </c>
    </row>
    <row r="40" spans="1:7" ht="14.4" customHeight="1" x14ac:dyDescent="0.25">
      <c r="A40" t="s">
        <v>201</v>
      </c>
      <c r="B40" t="s">
        <v>202</v>
      </c>
      <c r="C40" t="s">
        <v>203</v>
      </c>
      <c r="D40" s="63">
        <v>3.77</v>
      </c>
      <c r="E40" s="82">
        <v>0</v>
      </c>
      <c r="F40">
        <v>0</v>
      </c>
      <c r="G40" s="63">
        <v>20</v>
      </c>
    </row>
    <row r="41" spans="1:7" ht="14.4" customHeight="1" x14ac:dyDescent="0.25">
      <c r="A41" t="s">
        <v>204</v>
      </c>
      <c r="B41" t="s">
        <v>205</v>
      </c>
      <c r="C41" t="s">
        <v>206</v>
      </c>
      <c r="D41" s="63">
        <v>4.5</v>
      </c>
      <c r="E41" s="82">
        <v>0</v>
      </c>
      <c r="F41">
        <v>0</v>
      </c>
      <c r="G41" s="63">
        <v>20</v>
      </c>
    </row>
    <row r="42" spans="1:7" ht="14.4" customHeight="1" x14ac:dyDescent="0.25">
      <c r="A42" t="s">
        <v>207</v>
      </c>
      <c r="B42" t="s">
        <v>208</v>
      </c>
      <c r="C42" t="s">
        <v>209</v>
      </c>
      <c r="D42" s="63">
        <v>5.09</v>
      </c>
      <c r="E42" s="82">
        <v>0</v>
      </c>
      <c r="F42" t="s">
        <v>302</v>
      </c>
      <c r="G42" s="63">
        <v>8</v>
      </c>
    </row>
    <row r="43" spans="1:7" ht="14.4" customHeight="1" x14ac:dyDescent="0.25">
      <c r="A43" t="s">
        <v>210</v>
      </c>
      <c r="B43" t="s">
        <v>211</v>
      </c>
      <c r="C43" t="s">
        <v>212</v>
      </c>
      <c r="D43" s="63">
        <v>5.5</v>
      </c>
      <c r="E43" s="82">
        <v>0</v>
      </c>
      <c r="F43" t="s">
        <v>302</v>
      </c>
      <c r="G43" s="63">
        <v>7</v>
      </c>
    </row>
    <row r="44" spans="1:7" ht="14.4" customHeight="1" x14ac:dyDescent="0.25">
      <c r="A44" t="s">
        <v>213</v>
      </c>
      <c r="B44" t="s">
        <v>214</v>
      </c>
      <c r="C44" t="s">
        <v>215</v>
      </c>
      <c r="D44" s="63">
        <v>4.75</v>
      </c>
      <c r="E44" s="82">
        <v>0</v>
      </c>
      <c r="F44" t="s">
        <v>302</v>
      </c>
      <c r="G44" s="63">
        <v>15</v>
      </c>
    </row>
    <row r="45" spans="1:7" ht="14.4" customHeight="1" x14ac:dyDescent="0.25">
      <c r="D45" s="63"/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1:7" ht="14.4" customHeight="1" x14ac:dyDescent="0.25">
      <c r="D49" s="63"/>
      <c r="E49" s="82"/>
      <c r="G49" s="63"/>
    </row>
    <row r="50" spans="1:7" ht="14.4" customHeight="1" x14ac:dyDescent="0.25">
      <c r="A50" s="140" t="s">
        <v>216</v>
      </c>
      <c r="B50" s="140"/>
      <c r="C50" s="140"/>
      <c r="D50" s="140"/>
      <c r="E50" s="82"/>
      <c r="G50" s="63"/>
    </row>
    <row r="51" spans="1:7" ht="14.4" customHeight="1" x14ac:dyDescent="0.25">
      <c r="A51" s="83" t="s">
        <v>217</v>
      </c>
      <c r="B51" s="83" t="s">
        <v>218</v>
      </c>
      <c r="C51" s="83" t="s">
        <v>219</v>
      </c>
      <c r="D51" s="84" t="s">
        <v>220</v>
      </c>
      <c r="E51" s="82"/>
      <c r="G51" s="63"/>
    </row>
    <row r="52" spans="1:7" ht="14.4" customHeight="1" x14ac:dyDescent="0.25">
      <c r="A52" t="s">
        <v>221</v>
      </c>
      <c r="B52" t="s">
        <v>25</v>
      </c>
      <c r="C52" t="s">
        <v>222</v>
      </c>
      <c r="D52" s="63" t="s">
        <v>223</v>
      </c>
      <c r="E52" s="82"/>
      <c r="G52" s="63"/>
    </row>
    <row r="53" spans="1:7" ht="14.4" customHeight="1" x14ac:dyDescent="0.25">
      <c r="A53" t="s">
        <v>224</v>
      </c>
      <c r="B53" t="s">
        <v>25</v>
      </c>
      <c r="C53" t="s">
        <v>222</v>
      </c>
      <c r="D53" s="63" t="s">
        <v>223</v>
      </c>
      <c r="E53" s="82"/>
      <c r="G53" s="63"/>
    </row>
    <row r="54" spans="1:7" ht="14.4" customHeight="1" x14ac:dyDescent="0.25">
      <c r="A54" t="s">
        <v>225</v>
      </c>
      <c r="B54" t="s">
        <v>226</v>
      </c>
      <c r="C54" t="s">
        <v>222</v>
      </c>
      <c r="D54" s="63" t="s">
        <v>223</v>
      </c>
      <c r="E54" s="82"/>
      <c r="G54" s="63"/>
    </row>
    <row r="55" spans="1:7" ht="14.4" customHeight="1" x14ac:dyDescent="0.25">
      <c r="A55" t="s">
        <v>227</v>
      </c>
      <c r="B55" t="s">
        <v>226</v>
      </c>
      <c r="C55" t="s">
        <v>222</v>
      </c>
      <c r="D55" s="63" t="s">
        <v>223</v>
      </c>
      <c r="E55" s="82"/>
      <c r="G55" s="63"/>
    </row>
    <row r="56" spans="1:7" ht="14.4" customHeight="1" x14ac:dyDescent="0.25">
      <c r="A56" t="s">
        <v>228</v>
      </c>
      <c r="B56" t="s">
        <v>226</v>
      </c>
      <c r="C56" t="s">
        <v>222</v>
      </c>
      <c r="D56" s="63" t="s">
        <v>223</v>
      </c>
      <c r="E56" s="82"/>
      <c r="G56" s="63"/>
    </row>
    <row r="57" spans="1:7" ht="14.4" customHeight="1" x14ac:dyDescent="0.25">
      <c r="A57" t="s">
        <v>229</v>
      </c>
      <c r="B57" t="s">
        <v>226</v>
      </c>
      <c r="C57" t="s">
        <v>222</v>
      </c>
      <c r="D57" s="63" t="s">
        <v>223</v>
      </c>
      <c r="E57" s="82"/>
      <c r="G57" s="63"/>
    </row>
    <row r="58" spans="1:7" ht="14.4" customHeight="1" x14ac:dyDescent="0.25">
      <c r="A58" t="s">
        <v>230</v>
      </c>
      <c r="B58" t="s">
        <v>226</v>
      </c>
      <c r="C58" t="s">
        <v>222</v>
      </c>
      <c r="D58" s="63" t="s">
        <v>223</v>
      </c>
      <c r="E58" s="82"/>
      <c r="G58" s="63"/>
    </row>
    <row r="59" spans="1:7" ht="14.4" customHeight="1" x14ac:dyDescent="0.25">
      <c r="A59" t="s">
        <v>231</v>
      </c>
      <c r="B59" t="s">
        <v>226</v>
      </c>
      <c r="C59" t="s">
        <v>222</v>
      </c>
      <c r="D59" s="63" t="s">
        <v>223</v>
      </c>
      <c r="E59" s="82"/>
      <c r="G59" s="63"/>
    </row>
    <row r="60" spans="1:7" ht="14.4" customHeight="1" x14ac:dyDescent="0.25">
      <c r="A60" t="s">
        <v>232</v>
      </c>
      <c r="B60" t="s">
        <v>226</v>
      </c>
      <c r="C60" t="s">
        <v>222</v>
      </c>
      <c r="D60" s="63" t="s">
        <v>223</v>
      </c>
      <c r="E60" s="82"/>
      <c r="G60" s="63"/>
    </row>
    <row r="61" spans="1:7" ht="14.4" customHeight="1" x14ac:dyDescent="0.25">
      <c r="A61" t="s">
        <v>233</v>
      </c>
      <c r="B61" t="s">
        <v>226</v>
      </c>
      <c r="C61" t="s">
        <v>222</v>
      </c>
      <c r="D61" s="63" t="s">
        <v>223</v>
      </c>
      <c r="E61" s="82"/>
      <c r="G61" s="63"/>
    </row>
    <row r="62" spans="1:7" ht="14.4" customHeight="1" x14ac:dyDescent="0.25">
      <c r="A62" t="s">
        <v>234</v>
      </c>
      <c r="B62" t="s">
        <v>226</v>
      </c>
      <c r="C62" t="s">
        <v>222</v>
      </c>
      <c r="D62" s="63" t="s">
        <v>223</v>
      </c>
      <c r="E62" s="82"/>
      <c r="G62" s="63"/>
    </row>
    <row r="63" spans="1:7" ht="14.4" customHeight="1" x14ac:dyDescent="0.25">
      <c r="A63" t="s">
        <v>235</v>
      </c>
      <c r="B63" t="s">
        <v>226</v>
      </c>
      <c r="C63" t="s">
        <v>222</v>
      </c>
      <c r="D63" s="63" t="s">
        <v>223</v>
      </c>
      <c r="E63" s="82"/>
      <c r="G63" s="63"/>
    </row>
    <row r="64" spans="1:7" ht="14.4" customHeight="1" x14ac:dyDescent="0.25">
      <c r="A64" t="s">
        <v>236</v>
      </c>
      <c r="B64" t="s">
        <v>226</v>
      </c>
      <c r="C64" t="s">
        <v>222</v>
      </c>
      <c r="D64" s="63" t="s">
        <v>223</v>
      </c>
      <c r="E64" s="82"/>
      <c r="G64" s="63"/>
    </row>
    <row r="65" spans="1:7" ht="14.4" customHeight="1" x14ac:dyDescent="0.25">
      <c r="A65" t="s">
        <v>237</v>
      </c>
      <c r="B65" t="s">
        <v>226</v>
      </c>
      <c r="C65" t="s">
        <v>222</v>
      </c>
      <c r="D65" s="63" t="s">
        <v>223</v>
      </c>
      <c r="E65" s="82"/>
      <c r="G65" s="63"/>
    </row>
    <row r="66" spans="1:7" ht="14.4" customHeight="1" x14ac:dyDescent="0.25">
      <c r="A66" t="s">
        <v>238</v>
      </c>
      <c r="B66" t="s">
        <v>226</v>
      </c>
      <c r="C66" t="s">
        <v>222</v>
      </c>
      <c r="D66" s="63" t="s">
        <v>223</v>
      </c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239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50:D50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0.81536900000000001</v>
      </c>
      <c r="C4" s="57" t="s">
        <v>36</v>
      </c>
      <c r="D4" s="86">
        <v>0.25900000000000001</v>
      </c>
      <c r="E4" s="57" t="s">
        <v>41</v>
      </c>
      <c r="F4" s="85">
        <v>1.1661999999999999</v>
      </c>
      <c r="G4" s="57" t="s">
        <v>42</v>
      </c>
      <c r="H4" s="85">
        <v>0.27696399999999999</v>
      </c>
      <c r="I4" s="57"/>
      <c r="J4" s="87"/>
    </row>
    <row r="5" spans="1:10" ht="15.75" customHeight="1" x14ac:dyDescent="0.25">
      <c r="A5" s="57" t="s">
        <v>62</v>
      </c>
      <c r="B5" s="85">
        <v>0.18342800000000001</v>
      </c>
      <c r="C5" s="57" t="s">
        <v>63</v>
      </c>
      <c r="D5" s="86">
        <v>0.18940000000000001</v>
      </c>
      <c r="E5" s="57" t="s">
        <v>64</v>
      </c>
      <c r="F5" s="86">
        <v>11.04</v>
      </c>
      <c r="G5" s="57" t="s">
        <v>65</v>
      </c>
      <c r="H5" s="85">
        <v>5.4494000000000001E-2</v>
      </c>
      <c r="I5" s="57"/>
      <c r="J5" s="87"/>
    </row>
    <row r="6" spans="1:10" ht="15" customHeight="1" x14ac:dyDescent="0.25">
      <c r="A6" s="57" t="s">
        <v>66</v>
      </c>
      <c r="B6" s="85">
        <v>0.86841800000000002</v>
      </c>
      <c r="C6" s="57" t="s">
        <v>39</v>
      </c>
      <c r="D6" s="88">
        <v>0</v>
      </c>
      <c r="E6" s="57" t="s">
        <v>67</v>
      </c>
      <c r="F6" s="86">
        <v>4.5610999999999997</v>
      </c>
      <c r="G6" s="57" t="s">
        <v>45</v>
      </c>
      <c r="H6" s="85">
        <v>6.6637000000000002E-2</v>
      </c>
      <c r="I6" s="57"/>
      <c r="J6" s="87"/>
    </row>
    <row r="7" spans="1:10" ht="14.25" customHeight="1" x14ac:dyDescent="0.25">
      <c r="A7" s="57" t="s">
        <v>38</v>
      </c>
      <c r="B7" s="88">
        <v>1.3225849340004179</v>
      </c>
      <c r="C7" s="57" t="s">
        <v>68</v>
      </c>
      <c r="D7" s="88">
        <v>1.5235000000000001</v>
      </c>
      <c r="E7" s="57" t="s">
        <v>69</v>
      </c>
      <c r="F7" s="86">
        <v>1.6316999999999999</v>
      </c>
      <c r="G7" s="57" t="s">
        <v>70</v>
      </c>
      <c r="H7" s="85">
        <v>4.8608000000000005E-2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0.31309999999999999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29.534270229099999</v>
      </c>
      <c r="C12" s="57" t="s">
        <v>78</v>
      </c>
      <c r="D12" s="88">
        <v>225.97148339700001</v>
      </c>
      <c r="E12" s="144" t="s">
        <v>79</v>
      </c>
      <c r="F12" s="117"/>
      <c r="G12" s="117"/>
      <c r="H12" s="145">
        <v>263.52753063040001</v>
      </c>
      <c r="I12" s="117"/>
      <c r="J12" s="117"/>
    </row>
    <row r="13" spans="1:10" ht="14.25" customHeight="1" x14ac:dyDescent="0.25">
      <c r="A13" s="57" t="s">
        <v>80</v>
      </c>
      <c r="B13" s="91">
        <v>19.857698789699999</v>
      </c>
      <c r="C13" s="57" t="s">
        <v>81</v>
      </c>
      <c r="D13" s="88">
        <v>215.67883093540001</v>
      </c>
      <c r="E13" s="144" t="s">
        <v>82</v>
      </c>
      <c r="F13" s="117"/>
      <c r="G13" s="117"/>
      <c r="H13" s="145">
        <v>1.6936629666999998</v>
      </c>
      <c r="I13" s="117"/>
      <c r="J13" s="117"/>
    </row>
    <row r="14" spans="1:10" ht="14.25" customHeight="1" x14ac:dyDescent="0.25">
      <c r="A14" s="57" t="s">
        <v>83</v>
      </c>
      <c r="B14" s="91">
        <v>19.2790026895</v>
      </c>
      <c r="C14" s="57" t="s">
        <v>84</v>
      </c>
      <c r="D14" s="88">
        <v>163.3855406221</v>
      </c>
      <c r="E14" s="144" t="s">
        <v>85</v>
      </c>
      <c r="F14" s="117"/>
      <c r="G14" s="117"/>
      <c r="H14" s="145">
        <v>267.08354730259998</v>
      </c>
      <c r="I14" s="117"/>
      <c r="J14" s="117"/>
    </row>
    <row r="15" spans="1:10" ht="14.25" customHeight="1" x14ac:dyDescent="0.25">
      <c r="A15" s="57" t="s">
        <v>86</v>
      </c>
      <c r="B15" s="91">
        <v>320.66601281110002</v>
      </c>
      <c r="C15" s="57" t="s">
        <v>87</v>
      </c>
      <c r="D15" s="88">
        <v>12.379136115</v>
      </c>
      <c r="E15" s="144" t="s">
        <v>88</v>
      </c>
      <c r="F15" s="117"/>
      <c r="G15" s="117"/>
      <c r="H15" s="145">
        <v>175.46730617830002</v>
      </c>
      <c r="I15" s="117"/>
      <c r="J15" s="117"/>
    </row>
    <row r="16" spans="1:10" ht="14.25" customHeight="1" x14ac:dyDescent="0.25">
      <c r="A16" s="57" t="s">
        <v>89</v>
      </c>
      <c r="B16" s="91">
        <v>34.1767485385</v>
      </c>
      <c r="C16" s="57" t="s">
        <v>90</v>
      </c>
      <c r="D16" s="88">
        <v>12.575285864300001</v>
      </c>
      <c r="E16" s="144" t="s">
        <v>91</v>
      </c>
      <c r="F16" s="117"/>
      <c r="G16" s="117"/>
      <c r="H16" s="145">
        <v>15.959804475599999</v>
      </c>
      <c r="I16" s="117"/>
      <c r="J16" s="117"/>
    </row>
    <row r="17" spans="1:10" ht="14.25" customHeight="1" x14ac:dyDescent="0.25">
      <c r="A17" s="57" t="s">
        <v>92</v>
      </c>
      <c r="B17" s="91">
        <v>42.5810071728</v>
      </c>
      <c r="C17" s="57" t="s">
        <v>93</v>
      </c>
      <c r="D17" s="88">
        <v>23.3790437414</v>
      </c>
      <c r="E17" s="144" t="s">
        <v>94</v>
      </c>
      <c r="F17" s="117"/>
      <c r="G17" s="117"/>
      <c r="H17" s="145">
        <v>227.23253577040001</v>
      </c>
      <c r="I17" s="117"/>
      <c r="J17" s="117"/>
    </row>
    <row r="18" spans="1:10" ht="14.25" customHeight="1" x14ac:dyDescent="0.25">
      <c r="A18" s="57" t="s">
        <v>95</v>
      </c>
      <c r="B18" s="91">
        <v>705.43279471559993</v>
      </c>
      <c r="C18" s="57" t="s">
        <v>96</v>
      </c>
      <c r="D18" s="88">
        <v>12.3141257049</v>
      </c>
      <c r="E18" s="144" t="s">
        <v>97</v>
      </c>
      <c r="F18" s="117"/>
      <c r="G18" s="117"/>
      <c r="H18" s="145">
        <v>39.851011532199998</v>
      </c>
      <c r="I18" s="117"/>
      <c r="J18" s="117"/>
    </row>
    <row r="19" spans="1:10" ht="14.25" customHeight="1" x14ac:dyDescent="0.25">
      <c r="A19" s="57" t="s">
        <v>98</v>
      </c>
      <c r="B19" s="91">
        <v>111.86</v>
      </c>
      <c r="C19" s="57" t="s">
        <v>99</v>
      </c>
      <c r="D19" s="88">
        <v>12.055896496500001</v>
      </c>
      <c r="E19" s="144" t="s">
        <v>100</v>
      </c>
      <c r="F19" s="117"/>
      <c r="G19" s="117"/>
      <c r="H19" s="145">
        <v>-10.7970017504</v>
      </c>
      <c r="I19" s="117"/>
      <c r="J19" s="117"/>
    </row>
    <row r="20" spans="1:10" ht="27" customHeight="1" x14ac:dyDescent="0.25">
      <c r="A20" s="57" t="s">
        <v>101</v>
      </c>
      <c r="B20" s="91">
        <v>28.5318182665</v>
      </c>
      <c r="C20" s="57" t="s">
        <v>43</v>
      </c>
      <c r="D20" s="88">
        <v>8.6230445084999996</v>
      </c>
      <c r="E20" s="144" t="s">
        <v>102</v>
      </c>
      <c r="F20" s="117"/>
      <c r="G20" s="117"/>
      <c r="H20" s="145">
        <v>0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225.31</v>
      </c>
      <c r="I21" s="117"/>
      <c r="J21" s="117"/>
    </row>
    <row r="22" spans="1:10" ht="14.25" customHeight="1" x14ac:dyDescent="0.25">
      <c r="A22" s="57" t="s">
        <v>105</v>
      </c>
      <c r="B22" s="91">
        <v>30.7</v>
      </c>
      <c r="C22" s="57"/>
      <c r="D22" s="92"/>
      <c r="E22" s="144" t="s">
        <v>106</v>
      </c>
      <c r="F22" s="117"/>
      <c r="G22" s="117"/>
      <c r="H22" s="145">
        <v>0</v>
      </c>
      <c r="I22" s="117"/>
      <c r="J22" s="117"/>
    </row>
    <row r="23" spans="1:10" ht="14.25" customHeight="1" x14ac:dyDescent="0.25">
      <c r="A23" s="57" t="s">
        <v>107</v>
      </c>
      <c r="B23" s="91">
        <v>0</v>
      </c>
      <c r="C23" s="57"/>
      <c r="D23" s="92"/>
      <c r="E23" s="144" t="s">
        <v>108</v>
      </c>
      <c r="F23" s="117"/>
      <c r="G23" s="117"/>
      <c r="H23" s="145">
        <v>264.34182505109999</v>
      </c>
      <c r="I23" s="117"/>
      <c r="J23" s="117"/>
    </row>
    <row r="24" spans="1:10" ht="14.25" customHeight="1" x14ac:dyDescent="0.25">
      <c r="A24" s="57" t="s">
        <v>109</v>
      </c>
      <c r="B24" s="91">
        <v>575.18804832069998</v>
      </c>
      <c r="C24" s="93"/>
      <c r="D24" s="90"/>
      <c r="E24" s="144" t="s">
        <v>110</v>
      </c>
      <c r="F24" s="117"/>
      <c r="G24" s="117"/>
      <c r="H24" s="145">
        <v>241.04</v>
      </c>
      <c r="I24" s="117"/>
      <c r="J24" s="117"/>
    </row>
    <row r="25" spans="1:10" ht="14.25" customHeight="1" x14ac:dyDescent="0.25">
      <c r="A25" s="57" t="s">
        <v>111</v>
      </c>
      <c r="B25" s="91">
        <v>130.24474639490001</v>
      </c>
      <c r="C25" s="93"/>
      <c r="D25" s="90"/>
      <c r="E25" s="144" t="s">
        <v>112</v>
      </c>
      <c r="F25" s="117"/>
      <c r="G25" s="117"/>
      <c r="H25" s="145">
        <v>305.8392394352</v>
      </c>
      <c r="I25" s="117"/>
      <c r="J25" s="117"/>
    </row>
    <row r="26" spans="1:10" ht="14.25" customHeight="1" x14ac:dyDescent="0.25">
      <c r="A26" s="94" t="s">
        <v>113</v>
      </c>
      <c r="B26" s="91">
        <v>705.43279471559993</v>
      </c>
      <c r="C26" s="93"/>
      <c r="D26" s="90"/>
      <c r="E26" s="144" t="s">
        <v>114</v>
      </c>
      <c r="F26" s="117"/>
      <c r="G26" s="117"/>
      <c r="H26" s="145">
        <v>-41.497414384099997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240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256</v>
      </c>
      <c r="C2" s="43" t="s">
        <v>241</v>
      </c>
      <c r="D2" s="43" t="s">
        <v>303</v>
      </c>
      <c r="E2" s="43" t="s">
        <v>304</v>
      </c>
      <c r="F2" s="43" t="s">
        <v>298</v>
      </c>
      <c r="G2" s="43" t="s">
        <v>263</v>
      </c>
      <c r="H2" s="43" t="s">
        <v>305</v>
      </c>
      <c r="I2" s="43" t="s">
        <v>263</v>
      </c>
      <c r="J2" s="43" t="s">
        <v>306</v>
      </c>
    </row>
    <row r="3" spans="1:10" x14ac:dyDescent="0.25">
      <c r="A3" s="54" t="s">
        <v>24</v>
      </c>
      <c r="B3" s="96" t="s">
        <v>25</v>
      </c>
      <c r="C3" s="97" t="s">
        <v>242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294</v>
      </c>
      <c r="C4" s="97" t="s">
        <v>242</v>
      </c>
      <c r="D4" s="98" t="s">
        <v>294</v>
      </c>
      <c r="E4" s="98" t="s">
        <v>294</v>
      </c>
      <c r="F4" s="98" t="s">
        <v>294</v>
      </c>
      <c r="G4" s="98" t="s">
        <v>307</v>
      </c>
      <c r="H4" s="98" t="s">
        <v>294</v>
      </c>
      <c r="I4" s="98" t="s">
        <v>307</v>
      </c>
      <c r="J4" s="98" t="s">
        <v>294</v>
      </c>
    </row>
    <row r="5" spans="1:10" s="7" customFormat="1" x14ac:dyDescent="0.25">
      <c r="A5" s="9" t="s">
        <v>29</v>
      </c>
      <c r="B5" s="99" t="s">
        <v>30</v>
      </c>
      <c r="C5" s="97" t="s">
        <v>242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705.43279471559993</v>
      </c>
      <c r="C6" s="97">
        <v>967.08528092719996</v>
      </c>
      <c r="D6" s="100">
        <v>899.11356875600006</v>
      </c>
      <c r="E6" s="100">
        <v>565.26602000000003</v>
      </c>
      <c r="F6" s="100">
        <v>3470.2428340644001</v>
      </c>
      <c r="G6" s="100">
        <v>304.99323197000001</v>
      </c>
      <c r="H6" s="100">
        <v>1063.8812653678999</v>
      </c>
      <c r="I6" s="100">
        <v>304.99323197000001</v>
      </c>
      <c r="J6" s="100">
        <v>161.10681436209998</v>
      </c>
    </row>
    <row r="7" spans="1:10" x14ac:dyDescent="0.25">
      <c r="A7" s="54" t="s">
        <v>34</v>
      </c>
      <c r="B7" s="44">
        <v>0.81536900000000001</v>
      </c>
      <c r="C7" s="97">
        <v>0.5008961428571429</v>
      </c>
      <c r="D7" s="44">
        <v>0.75760000000000005</v>
      </c>
      <c r="E7" s="44">
        <v>0</v>
      </c>
      <c r="F7" s="44">
        <v>0.75391200000000003</v>
      </c>
      <c r="G7" s="44">
        <v>0.56865999999999994</v>
      </c>
      <c r="H7" s="44">
        <v>0.63305500000000003</v>
      </c>
      <c r="I7" s="44">
        <v>0.56865999999999994</v>
      </c>
      <c r="J7" s="44">
        <v>0.224386</v>
      </c>
    </row>
    <row r="8" spans="1:10" x14ac:dyDescent="0.25">
      <c r="A8" s="54" t="s">
        <v>36</v>
      </c>
      <c r="B8" s="100">
        <v>0.25900000000000001</v>
      </c>
      <c r="C8" s="97">
        <v>0.84855714285714279</v>
      </c>
      <c r="D8" s="100">
        <v>0.55420000000000003</v>
      </c>
      <c r="E8" s="100">
        <v>0</v>
      </c>
      <c r="F8" s="100">
        <v>0.62470000000000003</v>
      </c>
      <c r="G8" s="100">
        <v>0.94879999999999998</v>
      </c>
      <c r="H8" s="100">
        <v>0.95389999999999997</v>
      </c>
      <c r="I8" s="100">
        <v>0.94879999999999998</v>
      </c>
      <c r="J8" s="100">
        <v>1.9095</v>
      </c>
    </row>
    <row r="9" spans="1:10" x14ac:dyDescent="0.25">
      <c r="A9" s="54" t="s">
        <v>38</v>
      </c>
      <c r="B9" s="96">
        <v>1.3225849340004179</v>
      </c>
      <c r="C9" s="97">
        <v>0.87888481957394815</v>
      </c>
      <c r="D9" s="96">
        <v>1.865597984861002</v>
      </c>
      <c r="E9" s="96">
        <v>0</v>
      </c>
      <c r="F9" s="96">
        <v>1.751103129298144</v>
      </c>
      <c r="G9" s="96">
        <v>0.7823278163853723</v>
      </c>
      <c r="H9" s="96">
        <v>0.83395963002864693</v>
      </c>
      <c r="I9" s="96">
        <v>0.7823278163853723</v>
      </c>
      <c r="J9" s="96">
        <v>0.13687736005909915</v>
      </c>
    </row>
    <row r="10" spans="1:10" ht="21.6" customHeight="1" x14ac:dyDescent="0.25">
      <c r="A10" s="54" t="s">
        <v>39</v>
      </c>
      <c r="B10" s="100">
        <v>0</v>
      </c>
      <c r="C10" s="97">
        <v>0.26138571428571428</v>
      </c>
      <c r="D10" s="100">
        <v>0.12139999999999999</v>
      </c>
      <c r="E10" s="100">
        <v>0</v>
      </c>
      <c r="F10" s="100">
        <v>0.1056</v>
      </c>
      <c r="G10" s="100">
        <v>0.28420000000000001</v>
      </c>
      <c r="H10" s="100">
        <v>0.14280000000000001</v>
      </c>
      <c r="I10" s="100">
        <v>0.28420000000000001</v>
      </c>
      <c r="J10" s="100">
        <v>0.89149999999999996</v>
      </c>
    </row>
    <row r="11" spans="1:10" x14ac:dyDescent="0.25">
      <c r="A11" s="54" t="s">
        <v>40</v>
      </c>
      <c r="B11" s="100">
        <v>225.97148339700001</v>
      </c>
      <c r="C11" s="97">
        <v>447.31563593827144</v>
      </c>
      <c r="D11" s="100">
        <v>431.66612730269998</v>
      </c>
      <c r="E11" s="100">
        <v>299.58427999999998</v>
      </c>
      <c r="F11" s="100">
        <v>1300.6308594861</v>
      </c>
      <c r="G11" s="100">
        <v>208.89291990000001</v>
      </c>
      <c r="H11" s="100">
        <v>569.89891043310001</v>
      </c>
      <c r="I11" s="100">
        <v>208.89291990000001</v>
      </c>
      <c r="J11" s="100">
        <v>111.64343454600001</v>
      </c>
    </row>
    <row r="12" spans="1:10" s="7" customFormat="1" x14ac:dyDescent="0.25">
      <c r="A12" s="9" t="s">
        <v>41</v>
      </c>
      <c r="B12" s="45">
        <v>1.1661999999999999</v>
      </c>
      <c r="C12" s="97">
        <v>0.92459999999999998</v>
      </c>
      <c r="D12" s="45">
        <v>1.1323000000000001</v>
      </c>
      <c r="E12" s="45">
        <v>0</v>
      </c>
      <c r="F12" s="45">
        <v>1.0851999999999999</v>
      </c>
      <c r="G12" s="45">
        <v>1.1392</v>
      </c>
      <c r="H12" s="45">
        <v>0.85170000000000001</v>
      </c>
      <c r="I12" s="45">
        <v>1.1392</v>
      </c>
      <c r="J12" s="45">
        <v>1.1246</v>
      </c>
    </row>
    <row r="13" spans="1:10" s="7" customFormat="1" x14ac:dyDescent="0.25">
      <c r="A13" s="9" t="s">
        <v>42</v>
      </c>
      <c r="B13" s="45">
        <v>0.27696399999999999</v>
      </c>
      <c r="C13" s="97">
        <v>0.2520607142857143</v>
      </c>
      <c r="D13" s="45">
        <v>0.27035300000000001</v>
      </c>
      <c r="E13" s="45">
        <v>0</v>
      </c>
      <c r="F13" s="45">
        <v>0.285385</v>
      </c>
      <c r="G13" s="45">
        <v>0.29550100000000001</v>
      </c>
      <c r="H13" s="45">
        <v>0.24538900000000002</v>
      </c>
      <c r="I13" s="45">
        <v>0.29550100000000001</v>
      </c>
      <c r="J13" s="45">
        <v>0.37229599999999996</v>
      </c>
    </row>
    <row r="14" spans="1:10" s="7" customFormat="1" x14ac:dyDescent="0.25">
      <c r="A14" s="9" t="s">
        <v>43</v>
      </c>
      <c r="B14" s="101">
        <v>8.6230445084999996</v>
      </c>
      <c r="C14" s="97">
        <v>31.468692649885714</v>
      </c>
      <c r="D14" s="101">
        <v>18.318167031800002</v>
      </c>
      <c r="E14" s="101">
        <v>35.926169999999999</v>
      </c>
      <c r="F14" s="101">
        <v>63.401380311899999</v>
      </c>
      <c r="G14" s="101">
        <v>22.117582280000001</v>
      </c>
      <c r="H14" s="101">
        <v>34.850988341899999</v>
      </c>
      <c r="I14" s="101">
        <v>22.117582280000001</v>
      </c>
      <c r="J14" s="101">
        <v>23.548978303600002</v>
      </c>
    </row>
    <row r="15" spans="1:10" x14ac:dyDescent="0.25">
      <c r="A15" s="54" t="s">
        <v>45</v>
      </c>
      <c r="B15" s="44">
        <v>6.6637000000000002E-2</v>
      </c>
      <c r="C15" s="97">
        <v>0.11956885714285714</v>
      </c>
      <c r="D15" s="44">
        <v>8.5792999999999994E-2</v>
      </c>
      <c r="E15" s="44">
        <v>0</v>
      </c>
      <c r="F15" s="44">
        <v>6.6968E-2</v>
      </c>
      <c r="G15" s="44">
        <v>0.18978500000000001</v>
      </c>
      <c r="H15" s="44">
        <v>9.8958999999999991E-2</v>
      </c>
      <c r="I15" s="44">
        <v>0.18978500000000001</v>
      </c>
      <c r="J15" s="44">
        <v>0.20569199999999999</v>
      </c>
    </row>
    <row r="16" spans="1:10" s="7" customFormat="1" ht="25.8" customHeight="1" x14ac:dyDescent="0.25">
      <c r="A16" s="9" t="s">
        <v>46</v>
      </c>
      <c r="B16" s="101">
        <v>39.851011532199998</v>
      </c>
      <c r="C16" s="97">
        <v>72.127744094414297</v>
      </c>
      <c r="D16" s="101">
        <v>81.558544604799991</v>
      </c>
      <c r="E16" s="101">
        <v>66.129469999999998</v>
      </c>
      <c r="F16" s="101">
        <v>222.7011679709</v>
      </c>
      <c r="G16" s="101">
        <v>39.040760480000003</v>
      </c>
      <c r="H16" s="101">
        <v>29.881560769899998</v>
      </c>
      <c r="I16" s="101">
        <v>39.040760480000003</v>
      </c>
      <c r="J16" s="101">
        <v>26.541944355300004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243</v>
      </c>
      <c r="B1" s="121"/>
      <c r="C1" s="121"/>
      <c r="D1" s="121"/>
      <c r="E1" s="121"/>
      <c r="F1" s="121"/>
    </row>
    <row r="2" spans="1:6" x14ac:dyDescent="0.25">
      <c r="A2" s="51" t="s">
        <v>244</v>
      </c>
      <c r="B2" s="50" t="s">
        <v>245</v>
      </c>
      <c r="C2" s="50" t="s">
        <v>246</v>
      </c>
      <c r="D2" s="50" t="s">
        <v>247</v>
      </c>
      <c r="E2" s="50" t="s">
        <v>220</v>
      </c>
      <c r="F2" s="50" t="s">
        <v>248</v>
      </c>
    </row>
    <row r="3" spans="1:6" ht="48" customHeight="1" x14ac:dyDescent="0.25">
      <c r="A3" s="103">
        <v>43532</v>
      </c>
      <c r="B3" s="52" t="s">
        <v>249</v>
      </c>
      <c r="C3" s="104" t="s">
        <v>250</v>
      </c>
      <c r="D3" s="104"/>
      <c r="E3" s="52" t="s">
        <v>251</v>
      </c>
      <c r="F3" s="104" t="s">
        <v>252</v>
      </c>
    </row>
    <row r="4" spans="1:6" ht="49.5" customHeight="1" x14ac:dyDescent="0.25">
      <c r="A4" s="103">
        <v>43349</v>
      </c>
      <c r="B4" s="52" t="s">
        <v>253</v>
      </c>
      <c r="C4" s="104" t="s">
        <v>254</v>
      </c>
      <c r="D4" s="104"/>
      <c r="E4" s="52" t="s">
        <v>255</v>
      </c>
      <c r="F4" s="104"/>
    </row>
    <row r="5" spans="1:6" ht="91.2" x14ac:dyDescent="0.25">
      <c r="A5" s="103">
        <v>43292</v>
      </c>
      <c r="B5" s="52" t="s">
        <v>256</v>
      </c>
      <c r="C5" s="104" t="s">
        <v>257</v>
      </c>
      <c r="D5" s="104"/>
      <c r="E5" s="52" t="s">
        <v>223</v>
      </c>
      <c r="F5" s="104" t="s">
        <v>258</v>
      </c>
    </row>
    <row r="6" spans="1:6" ht="57" x14ac:dyDescent="0.25">
      <c r="A6" s="103">
        <v>43241</v>
      </c>
      <c r="B6" s="52" t="s">
        <v>259</v>
      </c>
      <c r="C6" s="104" t="s">
        <v>260</v>
      </c>
      <c r="D6" s="104"/>
      <c r="E6" s="52" t="s">
        <v>261</v>
      </c>
      <c r="F6" s="104" t="s">
        <v>262</v>
      </c>
    </row>
    <row r="7" spans="1:6" ht="34.200000000000003" x14ac:dyDescent="0.25">
      <c r="A7" s="103">
        <v>43210</v>
      </c>
      <c r="B7" s="52" t="s">
        <v>263</v>
      </c>
      <c r="C7" s="104" t="s">
        <v>257</v>
      </c>
      <c r="D7" s="104"/>
      <c r="E7" s="52" t="s">
        <v>264</v>
      </c>
      <c r="F7" s="104" t="s">
        <v>265</v>
      </c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3" spans="1:6" x14ac:dyDescent="0.25">
      <c r="A23" s="140" t="s">
        <v>266</v>
      </c>
      <c r="B23" s="140"/>
      <c r="C23" s="140"/>
      <c r="D23" s="140"/>
      <c r="E23" s="140"/>
      <c r="F23" s="140"/>
    </row>
    <row r="24" spans="1:6" x14ac:dyDescent="0.25">
      <c r="A24" s="83" t="s">
        <v>244</v>
      </c>
      <c r="B24" s="83" t="s">
        <v>245</v>
      </c>
      <c r="C24" s="83" t="s">
        <v>267</v>
      </c>
      <c r="D24" s="83" t="s">
        <v>268</v>
      </c>
      <c r="E24" s="83" t="s">
        <v>220</v>
      </c>
      <c r="F24" s="83" t="s">
        <v>248</v>
      </c>
    </row>
  </sheetData>
  <mergeCells count="2">
    <mergeCell ref="A1:F1"/>
    <mergeCell ref="A23:F23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269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270</v>
      </c>
      <c r="B2" s="55" t="s">
        <v>271</v>
      </c>
      <c r="C2" s="55" t="s">
        <v>272</v>
      </c>
      <c r="D2" s="55" t="s">
        <v>273</v>
      </c>
      <c r="E2" s="55" t="s">
        <v>274</v>
      </c>
      <c r="F2" s="55" t="s">
        <v>275</v>
      </c>
      <c r="G2" s="55" t="s">
        <v>276</v>
      </c>
      <c r="H2" s="55" t="s">
        <v>16</v>
      </c>
      <c r="I2" s="55" t="s">
        <v>277</v>
      </c>
      <c r="J2" s="55" t="s">
        <v>278</v>
      </c>
      <c r="K2" s="55" t="s">
        <v>279</v>
      </c>
      <c r="L2" s="55" t="s">
        <v>280</v>
      </c>
      <c r="M2" s="55" t="s">
        <v>19</v>
      </c>
      <c r="N2" s="55" t="s">
        <v>281</v>
      </c>
      <c r="O2" s="3"/>
      <c r="P2" s="107" t="str">
        <f ca="1">Q2</f>
        <v>2019-04-09</v>
      </c>
      <c r="Q2" s="1" t="str">
        <f ca="1">[1]!td(R2-1)</f>
        <v>2019-04-09</v>
      </c>
      <c r="R2" s="3">
        <f ca="1">TODAY()</f>
        <v>43565</v>
      </c>
    </row>
    <row r="3" spans="1:18" ht="15.75" customHeight="1" x14ac:dyDescent="0.25">
      <c r="A3" s="108" t="str">
        <f>[1]!b_info_name(L3)</f>
        <v>19西南水泥CP002</v>
      </c>
      <c r="B3" s="2" t="str">
        <f>[1]!b_issue_firstissue(L3)</f>
        <v>2019-04-11</v>
      </c>
      <c r="C3" s="108">
        <f>[1]!b_info_term(L3)</f>
        <v>1</v>
      </c>
      <c r="D3" s="109" t="str">
        <f>[1]!issuerrating(L3)</f>
        <v>AAA</v>
      </c>
      <c r="E3" s="109" t="str">
        <f>[1]!b_info_creditrating(L3)</f>
        <v>A-1</v>
      </c>
      <c r="F3" s="108" t="str">
        <f>[1]!b_rate_creditratingagency(L3)</f>
        <v>联合资信评估有限公司</v>
      </c>
      <c r="G3" s="110">
        <f>[1]!b_agency_guarantor(L3)</f>
        <v>0</v>
      </c>
      <c r="H3" s="111" t="s">
        <v>282</v>
      </c>
      <c r="I3" s="65"/>
      <c r="J3" s="112" t="s">
        <v>282</v>
      </c>
      <c r="K3" s="113"/>
      <c r="L3" s="41" t="str">
        <f>公式页!A2</f>
        <v>d19040905.IB</v>
      </c>
      <c r="M3" s="111" t="s">
        <v>282</v>
      </c>
      <c r="N3" s="108" t="str">
        <f>[1]!b_agency_leadunderwriter(L3)</f>
        <v>兴业银行股份有限公司,北京银行股份有限公司</v>
      </c>
      <c r="P3" s="106" t="str">
        <f t="shared" ref="P3:P29" ca="1" si="0">$P$2</f>
        <v>2019-04-09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3.6543999999999999</v>
      </c>
      <c r="K4" s="113">
        <f>K3</f>
        <v>0</v>
      </c>
      <c r="L4" s="4" t="s">
        <v>283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2019-04-09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2019-04-09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2019-04-09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2019-04-09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2019-04-09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2019-04-09</v>
      </c>
    </row>
    <row r="10" spans="1:18" x14ac:dyDescent="0.25">
      <c r="P10" s="106" t="str">
        <f t="shared" ca="1" si="0"/>
        <v>2019-04-09</v>
      </c>
    </row>
    <row r="11" spans="1:18" x14ac:dyDescent="0.25">
      <c r="P11" s="106" t="str">
        <f t="shared" ca="1" si="0"/>
        <v>2019-04-09</v>
      </c>
    </row>
    <row r="12" spans="1:18" x14ac:dyDescent="0.25">
      <c r="A12" s="147" t="s">
        <v>284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2019-04-09</v>
      </c>
    </row>
    <row r="13" spans="1:18" s="1" customFormat="1" ht="43.2" customHeight="1" x14ac:dyDescent="0.25">
      <c r="A13" s="55" t="s">
        <v>270</v>
      </c>
      <c r="B13" s="55" t="s">
        <v>271</v>
      </c>
      <c r="C13" s="55" t="s">
        <v>272</v>
      </c>
      <c r="D13" s="55" t="s">
        <v>273</v>
      </c>
      <c r="E13" s="55" t="s">
        <v>274</v>
      </c>
      <c r="F13" s="55" t="s">
        <v>275</v>
      </c>
      <c r="G13" s="55" t="s">
        <v>276</v>
      </c>
      <c r="H13" s="55" t="s">
        <v>16</v>
      </c>
      <c r="I13" s="55" t="s">
        <v>277</v>
      </c>
      <c r="J13" s="55" t="s">
        <v>278</v>
      </c>
      <c r="K13" s="55" t="s">
        <v>279</v>
      </c>
      <c r="L13" s="55" t="s">
        <v>280</v>
      </c>
      <c r="M13" s="55" t="s">
        <v>19</v>
      </c>
      <c r="N13" s="55" t="s">
        <v>281</v>
      </c>
      <c r="P13" s="106" t="str">
        <f t="shared" ca="1" si="0"/>
        <v>2019-04-09</v>
      </c>
    </row>
    <row r="14" spans="1:18" ht="15.75" customHeight="1" x14ac:dyDescent="0.25">
      <c r="A14" s="108" t="str">
        <f>[1]!b_info_name(L14)</f>
        <v>19西南水泥CP002</v>
      </c>
      <c r="B14" s="2" t="str">
        <f>[1]!b_issue_firstissue(L14)</f>
        <v>2019-04-11</v>
      </c>
      <c r="C14" s="108">
        <f>[1]!b_info_term(L14)</f>
        <v>1</v>
      </c>
      <c r="D14" s="109" t="str">
        <f>[1]!issuerrating(L14)</f>
        <v>AAA</v>
      </c>
      <c r="E14" s="109" t="str">
        <f>[1]!b_info_creditrating(L14)</f>
        <v>A-1</v>
      </c>
      <c r="F14" s="108" t="str">
        <f>[1]!b_rate_creditratingagency(L14)</f>
        <v>联合资信评估有限公司</v>
      </c>
      <c r="G14" s="110">
        <f>[1]!b_agency_guarantor(L14)</f>
        <v>0</v>
      </c>
      <c r="H14" s="111" t="s">
        <v>282</v>
      </c>
      <c r="I14" s="65"/>
      <c r="J14" s="112" t="s">
        <v>282</v>
      </c>
      <c r="K14" s="113">
        <f>K3</f>
        <v>0</v>
      </c>
      <c r="L14" s="42" t="str">
        <f>L3</f>
        <v>d19040905.IB</v>
      </c>
      <c r="M14" s="111" t="s">
        <v>282</v>
      </c>
      <c r="N14" s="108" t="str">
        <f>[1]!b_agency_leadunderwriter(L14)</f>
        <v>兴业银行股份有限公司,北京银行股份有限公司</v>
      </c>
      <c r="P14" s="106" t="str">
        <f t="shared" ca="1" si="0"/>
        <v>2019-04-09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285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2019-04-09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286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2019-04-09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287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2019-04-09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288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2019-04-09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289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2019-04-09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290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2019-04-09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291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2019-04-09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292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2019-04-09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293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2019-04-09</v>
      </c>
    </row>
    <row r="24" spans="1:16" x14ac:dyDescent="0.25">
      <c r="P24" s="106" t="str">
        <f t="shared" ca="1" si="0"/>
        <v>2019-04-09</v>
      </c>
    </row>
    <row r="25" spans="1:16" x14ac:dyDescent="0.25">
      <c r="P25" s="106" t="str">
        <f t="shared" ca="1" si="0"/>
        <v>2019-04-09</v>
      </c>
    </row>
    <row r="26" spans="1:16" x14ac:dyDescent="0.25">
      <c r="P26" s="106" t="str">
        <f t="shared" ca="1" si="0"/>
        <v>2019-04-09</v>
      </c>
    </row>
    <row r="27" spans="1:16" x14ac:dyDescent="0.25">
      <c r="P27" s="106" t="str">
        <f t="shared" ca="1" si="0"/>
        <v>2019-04-09</v>
      </c>
    </row>
    <row r="28" spans="1:16" x14ac:dyDescent="0.25">
      <c r="P28" s="106" t="str">
        <f t="shared" ca="1" si="0"/>
        <v>2019-04-09</v>
      </c>
    </row>
    <row r="29" spans="1:16" x14ac:dyDescent="0.25">
      <c r="P29" s="106" t="str">
        <f t="shared" ca="1" si="0"/>
        <v>2019-04-09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2019-04-10T08:04:29Z</dcterms:modified>
</cp:coreProperties>
</file>