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1新券信评\"/>
    </mc:Choice>
  </mc:AlternateContent>
  <xr:revisionPtr revIDLastSave="0" documentId="13_ncr:1_{CFD906F3-DA57-45A2-BA33-2F39DDD331D3}"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Q2"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E72" i="1"/>
  <c r="E71" i="1"/>
  <c r="E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E73" i="1"/>
  <c r="C72" i="1"/>
  <c r="C71" i="1"/>
  <c r="D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C73" i="1"/>
  <c r="G71" i="1"/>
  <c r="B71" i="1"/>
  <c r="C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G72" i="1"/>
  <c r="F71" i="1"/>
  <c r="G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L22" i="1" l="1"/>
  <c r="P22" i="1"/>
  <c r="H110" i="1"/>
  <c r="D117" i="1"/>
  <c r="B118" i="1"/>
  <c r="H120" i="1"/>
  <c r="D121" i="1"/>
  <c r="H122" i="1"/>
  <c r="B124" i="1"/>
  <c r="D125" i="1"/>
  <c r="B127" i="1"/>
  <c r="B129" i="1"/>
  <c r="B131" i="1"/>
  <c r="M22" i="1"/>
  <c r="Q22" i="1"/>
  <c r="B109" i="1"/>
  <c r="B111" i="1"/>
  <c r="B112" i="1"/>
  <c r="H117" i="1"/>
  <c r="D118" i="1"/>
  <c r="B119" i="1"/>
  <c r="H121" i="1"/>
  <c r="B123" i="1"/>
  <c r="D124" i="1"/>
  <c r="H125" i="1"/>
  <c r="H127" i="1"/>
  <c r="H129" i="1"/>
  <c r="H131" i="1"/>
  <c r="N22" i="1"/>
  <c r="R22" i="1"/>
  <c r="H109" i="1"/>
  <c r="H111" i="1"/>
  <c r="H118" i="1"/>
  <c r="D119" i="1"/>
  <c r="B120" i="1"/>
  <c r="B122" i="1"/>
  <c r="D123" i="1"/>
  <c r="H124" i="1"/>
  <c r="B126" i="1"/>
  <c r="B128" i="1"/>
  <c r="B130" i="1"/>
  <c r="J22" i="1"/>
  <c r="O22" i="1"/>
  <c r="B110" i="1"/>
  <c r="H112" i="1"/>
  <c r="B117" i="1"/>
  <c r="H119" i="1"/>
  <c r="D120" i="1"/>
  <c r="B121" i="1"/>
  <c r="D122" i="1"/>
  <c r="H123" i="1"/>
  <c r="B125" i="1"/>
  <c r="H126" i="1"/>
  <c r="H128" i="1"/>
  <c r="H130"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9" i="6"/>
  <c r="J22" i="6"/>
  <c r="J15" i="6"/>
  <c r="J21" i="6"/>
  <c r="J16" i="6"/>
  <c r="J23" i="6"/>
  <c r="J5" i="6"/>
  <c r="J18" i="6"/>
  <c r="J20" i="6"/>
  <c r="J6" i="6"/>
  <c r="J19" i="6"/>
  <c r="J7" i="6"/>
</calcChain>
</file>

<file path=xl/sharedStrings.xml><?xml version="1.0" encoding="utf-8"?>
<sst xmlns="http://schemas.openxmlformats.org/spreadsheetml/2006/main" count="518" uniqueCount="236">
  <si>
    <t>q19040912.IB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</si>
  <si>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</si>
  <si>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</si>
  <si>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</si>
  <si>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</si>
  <si>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</si>
  <si>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</si>
  <si>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</si>
  <si>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</si>
  <si>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</si>
  <si>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</si>
  <si>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</si>
  <si>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</si>
  <si>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</si>
  <si>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</si>
  <si>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</si>
  <si>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</si>
  <si>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</si>
  <si>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</si>
  <si>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</si>
  <si>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</si>
  <si>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</si>
  <si>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</si>
  <si>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041653011.IB</t>
  </si>
  <si>
    <t>主体级别</t>
  </si>
  <si>
    <t>AA+</t>
  </si>
  <si>
    <t>122067.SH</t>
  </si>
  <si>
    <t>*选择性黏贴</t>
  </si>
  <si>
    <t>101552038.IB</t>
  </si>
  <si>
    <t>数据年度</t>
  </si>
  <si>
    <t>2017年</t>
  </si>
  <si>
    <t>011699281.IB</t>
  </si>
  <si>
    <t>总资产</t>
  </si>
  <si>
    <t>101364015.IB</t>
  </si>
  <si>
    <t>负债率</t>
  </si>
  <si>
    <t>011699299.IB</t>
  </si>
  <si>
    <t>流动比率</t>
  </si>
  <si>
    <t>118516.SZ</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</si>
  <si>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</si>
  <si>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</si>
  <si>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</si>
  <si>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</si>
  <si>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</si>
  <si>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</si>
  <si>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</si>
  <si>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</si>
  <si>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</si>
  <si>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</si>
  <si>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</si>
  <si>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</si>
  <si>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</si>
  <si>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</si>
  <si>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</si>
  <si>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</si>
  <si>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</si>
  <si>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</si>
  <si>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</si>
  <si>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</si>
  <si>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</si>
  <si>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</si>
  <si>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</si>
  <si>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</si>
  <si>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</si>
  <si>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</si>
  <si>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</si>
  <si>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</si>
  <si>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</si>
  <si>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</si>
  <si>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</si>
  <si>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</si>
  <si>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</si>
  <si>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</si>
  <si>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</si>
  <si>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</si>
  <si>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</si>
  <si>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</si>
  <si>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</si>
  <si>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</si>
  <si>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</si>
  <si>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</si>
  <si>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</si>
  <si>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</si>
  <si>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</si>
  <si>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</si>
  <si>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</si>
  <si>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</si>
  <si>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</si>
  <si>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</si>
  <si>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</si>
  <si>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</si>
  <si>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</si>
  <si>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</si>
  <si>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</si>
  <si>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</si>
  <si>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</si>
  <si>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</si>
  <si>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</si>
  <si>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</si>
  <si>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</si>
  <si>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</si>
  <si>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</si>
  <si>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</si>
  <si>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</si>
  <si>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</si>
  <si>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</si>
  <si>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</si>
  <si>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</si>
  <si>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</si>
  <si>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</si>
  <si>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</si>
  <si>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</si>
  <si>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</si>
  <si>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</si>
  <si>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</si>
  <si>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</si>
  <si>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</si>
  <si>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</si>
  <si>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</si>
  <si>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</si>
  <si>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</si>
  <si>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</si>
  <si>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118684.SZ</t>
  </si>
  <si>
    <t>20160601</t>
  </si>
  <si>
    <t>16辽方01</t>
  </si>
  <si>
    <t>031390365.IB</t>
  </si>
  <si>
    <t>20131030</t>
  </si>
  <si>
    <t>13辽方大PPN001</t>
  </si>
  <si>
    <t>1382189.IB</t>
  </si>
  <si>
    <t>20130418</t>
  </si>
  <si>
    <t>13辽方大MTN1</t>
  </si>
  <si>
    <t>1280021.IB</t>
  </si>
  <si>
    <t>20120222</t>
  </si>
  <si>
    <t>12辽方大债02</t>
  </si>
  <si>
    <t>122746.SH</t>
  </si>
  <si>
    <t>12方大02</t>
  </si>
  <si>
    <t>1280020.IB</t>
  </si>
  <si>
    <t>12辽方大债01</t>
  </si>
  <si>
    <t>122745.SH</t>
  </si>
  <si>
    <t>12方大01</t>
  </si>
  <si>
    <t>历史主体评级</t>
  </si>
  <si>
    <t>发布日期</t>
  </si>
  <si>
    <t>主体资信级别</t>
  </si>
  <si>
    <t>评级展望</t>
  </si>
  <si>
    <t>评级机构</t>
  </si>
  <si>
    <t>20190311</t>
  </si>
  <si>
    <t>稳定</t>
  </si>
  <si>
    <t>中诚信国际信用评级有限责任公司</t>
  </si>
  <si>
    <t>20180622</t>
  </si>
  <si>
    <t>20170915</t>
  </si>
  <si>
    <t>20170627</t>
  </si>
  <si>
    <t>AA</t>
  </si>
  <si>
    <t>20160627</t>
  </si>
  <si>
    <t>20150626</t>
  </si>
  <si>
    <t>20141014</t>
  </si>
  <si>
    <t>20130731</t>
  </si>
  <si>
    <t>20130219</t>
  </si>
  <si>
    <t>20120507</t>
  </si>
  <si>
    <t>20110718</t>
  </si>
  <si>
    <t>AA-</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</si>
  <si>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</si>
  <si>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</si>
  <si>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</si>
  <si>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</si>
  <si>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</si>
  <si>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</si>
  <si>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</si>
  <si>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</si>
  <si>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</si>
  <si>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</si>
  <si>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内蒙古包钢钢联股份有限公司</t>
  </si>
  <si>
    <t>AA+稳定上调至AAA稳定</t>
  </si>
  <si>
    <t>联合资信评估有限公司</t>
  </si>
  <si>
    <t>跟踪器内，受钢铁行业景气度回暖，公司钢材量价齐升及尾矿资源的开发利用影响，受规模大幅增加；公司收购宝山矿业公司白云鄂博资源综合利用工程相关资产将会加快公司尾矿库资源的开发利用，2017年收入和利润同比大幅增长，稀土利润贡献大，未来也将成为公司新的业绩增长点。</t>
  </si>
  <si>
    <t>马钢(集团)控股有限公司</t>
  </si>
  <si>
    <t>近年来公司大力推进产品转型升级，在关闭落后产能的同时加大了附加价值较高的板材产品生产并大力开发高速车轮及符合市场需求的精品棒、型材产品；2017年随着自身将本增效的开展及刚才市场好转，公司收入及盈利水平大幅提升；此外受益于经营利润积累，公司资产负债表及总资本化比率逐年下降，资本结构较优。</t>
  </si>
  <si>
    <t>马鞍山钢铁股份有限公司</t>
  </si>
  <si>
    <t>公司产品以板材、型钢、线棒材等钢材产品为主，产品售价易受钢铁市场行情影响，近年来受益于钢铁市场回暖公司盈利水大幅提升。公司资产以非流动资产为主，流动资产中应收账款账龄较短，存货跌价风险较低，资产质量良好；近年来，公司短期债务占比较高，但整体债务负担较适宜。</t>
  </si>
  <si>
    <t>南京钢铁股份有限公司</t>
  </si>
  <si>
    <t>AA稳定上调至AA+稳定</t>
  </si>
  <si>
    <t>上海新世纪资信评估投资服务有限公司</t>
  </si>
  <si>
    <t>2017 年以来随着钢铁价格的大幅上涨和产品销量的增长，南钢股份经营状况良好，盈利能力显著增强；同时也反映了随着公司获得外部机构对子公司增资和完成非公开发行股票，公司资本实力增强，资产负债率显著下降，财务质量得到改善。</t>
  </si>
  <si>
    <t>安阳钢铁股份有限公司</t>
  </si>
  <si>
    <t>AA-稳定上调至AA稳定</t>
  </si>
  <si>
    <t>2017年，受环保限产影响，公司钢材产、销量均有所下降，但受益于钢材价格的回升及产品结构的调整优化，业务规模和盈利能力均大幅提升；同时安阳钢铁大幅增加环保支出，主要污染排放物指标优于国家特别限值排放要求，或将在环保限产差别化政策下受益。</t>
  </si>
  <si>
    <t>近一年来同行业发债企业主体评级下调情况</t>
  </si>
  <si>
    <t>主体资信级别下调</t>
  </si>
  <si>
    <t>主体评级展望下调</t>
  </si>
  <si>
    <t>重庆钢铁集团矿业有限公司</t>
  </si>
  <si>
    <t>AA-负面下调至A+列入观察名单</t>
  </si>
  <si>
    <t>中诚信证券评估有限公司</t>
  </si>
  <si>
    <t>2017年受益于下游钢铁行业回暖，公司整体业务规模和毛利情况均有所回升，但当年发生大额债权重组损失和资产减值损失，负面影响公司最终盈利能力。</t>
  </si>
  <si>
    <t>新疆金特钢铁股份有限公司</t>
  </si>
  <si>
    <t>B-负面下调至CC负面</t>
  </si>
  <si>
    <t>鹏元资信评估有限公司</t>
  </si>
  <si>
    <t>公司生产经营情况逐渐恶化，已经出现严重的资不抵债的状况，所有银行账户已被查封，公司处于停产状态，且预计未来可预见期间内并不会得到好转.2018年5月15召开的债券持有人会议对债券进行一定比例的偿付。</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</si>
  <si>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</si>
  <si>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</si>
  <si>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</si>
  <si>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</si>
  <si>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</si>
  <si>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</si>
  <si>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</si>
  <si>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</si>
  <si>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</si>
  <si>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</si>
  <si>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</si>
  <si>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</si>
  <si>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</si>
  <si>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</si>
  <si>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</si>
  <si>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</si>
  <si>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</si>
  <si>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</si>
  <si>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</si>
  <si>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</si>
  <si>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</si>
  <si>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</si>
  <si>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</si>
  <si>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</si>
  <si>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</si>
  <si>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辽宁方大集团实业有限公司</t>
  </si>
  <si>
    <t>民营企业</t>
  </si>
  <si>
    <t>工业--资本货物--综合类Ⅲ--综合类行业</t>
  </si>
  <si>
    <t>辽宁省沈阳市铁西区北四西路6号</t>
  </si>
  <si>
    <t>辽宁方大集团实业有限公司是一家以实业投资为主体的大型控股集团公司，多年来始终秉承“有利于政府、有利于企业、有利于职工”的企业发展理念，凭借良好的社会形象、高度的社会责任感，通过投入巨额资金、引进先进技术和企业管理理念、建立科学规范的公司治理结构和高效的运营机制等措施，成功收购整合了九家国有企业。辽宁方大集团重组企业后，全面履行收购承诺，按期完成职工就业安置、偿还职工集资款、股权分置改革、债权债务重组等四项改制工作，同时对被收购企业进行技术改造和产业结构调整，建立起完善的企业管理体制和激励机制，将被收购企业从严重的财务危机和陈旧的经营机制中拯救出来，生产潜力得到充分挖掘。所有被收购企业均在转制当年扭亏为盈，实现了良好的经济效益和社会效益。</t>
  </si>
  <si>
    <t>北京方大国际实业投资有限公司</t>
  </si>
  <si>
    <t>抚顺市兰岭矿业有限责任公司</t>
  </si>
  <si>
    <t/>
  </si>
  <si>
    <t>新兴铸管股份有限公司</t>
  </si>
  <si>
    <t>芜湖新兴铸管有限责任公司</t>
  </si>
  <si>
    <t>本溪钢铁(集团)有限责任公司</t>
  </si>
  <si>
    <t>酒泉钢铁(集团)有限责任公司</t>
  </si>
  <si>
    <t>包头钢铁(集团)有限责任公司</t>
  </si>
  <si>
    <t>莱芜钢铁集团有限公司</t>
  </si>
  <si>
    <t>中央国有企业</t>
  </si>
  <si>
    <t>地方国有企业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</si>
</sst>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辽宁方大集团实业有限公司</v>
      </c>
      <c r="C4" s="120"/>
      <c r="D4" s="57" t="s">
        <v>3</v>
      </c>
      <c r="E4" s="119" t="str">
        <f>[1]!s_info_nature(A2)</f>
        <v>民营企业</v>
      </c>
      <c r="F4" s="120"/>
      <c r="G4" s="120"/>
      <c r="H4" s="19"/>
    </row>
    <row r="5" spans="1:20" s="17" customFormat="1" ht="14.25" customHeight="1" x14ac:dyDescent="0.25">
      <c r="A5" s="57" t="s">
        <v>4</v>
      </c>
      <c r="B5" s="119" t="str">
        <f>[1]!b_issuer_windindustry(A2,9)</f>
        <v>工业--资本货物--综合类Ⅲ--综合类行业</v>
      </c>
      <c r="C5" s="120"/>
      <c r="D5" s="57" t="s">
        <v>5</v>
      </c>
      <c r="E5" s="119" t="str">
        <f>[1]!b_issuer_regaddress(A2)</f>
        <v>辽宁省沈阳市铁西区北四西路6号</v>
      </c>
      <c r="F5" s="120"/>
      <c r="G5" s="120"/>
    </row>
    <row r="6" spans="1:20" s="17" customFormat="1" ht="81" customHeight="1" x14ac:dyDescent="0.25">
      <c r="A6" s="57" t="s">
        <v>6</v>
      </c>
      <c r="B6" s="121" t="str">
        <f>[1]!s_info_briefing(A2)</f>
        <v>辽宁方大集团实业有限公司是一家以实业投资为主体的大型控股集团公司，多年来始终秉承“有利于政府、有利于企业、有利于职工”的企业发展理念，凭借良好的社会形象、高度的社会责任感，通过投入巨额资金、引进先进技术和企业管理理念、建立科学规范的公司治理结构和高效的运营机制等措施，成功收购整合了九家国有企业。辽宁方大集团重组企业后，全面履行收购承诺，按期完成职工就业安置、偿还职工集资款、股权分置改革、债权债务重组等四项改制工作，同时对被收购企业进行技术改造和产业结构调整，建立起完善的企业管理体制和激励机制，将被收购企业从严重的财务危机和陈旧的经营机制中拯救出来，生产潜力得到充分挖掘。所有被收购企业均在转制当年扭亏为盈，实现了良好的经济效益和社会效益。</v>
      </c>
      <c r="C6" s="120"/>
      <c r="D6" s="120"/>
      <c r="E6" s="120"/>
      <c r="F6" s="120"/>
      <c r="G6" s="120"/>
    </row>
    <row r="7" spans="1:20" s="17" customFormat="1" x14ac:dyDescent="0.25">
      <c r="A7" s="59" t="s">
        <v>7</v>
      </c>
      <c r="B7" s="122" t="str">
        <f>[1]!b_issuer_shareholder(A2,"",1)</f>
        <v>北京方大国际实业投资有限公司</v>
      </c>
      <c r="C7" s="120"/>
      <c r="D7" s="120"/>
      <c r="E7" s="120"/>
      <c r="F7" s="61">
        <f>[1]!b_issuer_propofshareholder($A$2,"",1)%</f>
        <v>0.99199996948242186</v>
      </c>
      <c r="G7" s="60"/>
      <c r="H7" s="20" t="s">
        <v>8</v>
      </c>
      <c r="M7" s="24">
        <v>42004</v>
      </c>
      <c r="N7" s="24">
        <v>42369</v>
      </c>
      <c r="O7" s="24">
        <v>41639</v>
      </c>
      <c r="P7" s="62" t="s">
        <v>9</v>
      </c>
      <c r="Q7" s="62" t="s">
        <v>10</v>
      </c>
      <c r="R7" s="62" t="s">
        <v>11</v>
      </c>
    </row>
    <row r="8" spans="1:20" s="17" customFormat="1" x14ac:dyDescent="0.25">
      <c r="A8" s="59"/>
      <c r="B8" s="122" t="str">
        <f>[1]!b_issuer_shareholder(A2,"",2)</f>
        <v>抚顺市兰岭矿业有限责任公司</v>
      </c>
      <c r="C8" s="120"/>
      <c r="D8" s="120"/>
      <c r="E8" s="120"/>
      <c r="F8" s="61">
        <f>[1]!b_issuer_propofshareholder($A$2,"",2)%</f>
        <v>8.0000001192092902E-3</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q19040912.IB</v>
      </c>
      <c r="K14" s="26"/>
      <c r="L14" s="27" t="str">
        <f>T15</f>
        <v>041653011.IB</v>
      </c>
      <c r="M14" s="27" t="str">
        <f>T16</f>
        <v>122067.SH</v>
      </c>
      <c r="N14" s="27" t="str">
        <f>T17</f>
        <v>101552038.IB</v>
      </c>
      <c r="O14" s="27" t="str">
        <f>T18</f>
        <v>011699281.IB</v>
      </c>
      <c r="P14" s="27" t="str">
        <f>T19</f>
        <v>101364015.IB</v>
      </c>
      <c r="Q14" s="27" t="str">
        <f>T20</f>
        <v>011699299.IB</v>
      </c>
      <c r="R14" s="5" t="str">
        <f>T21</f>
        <v>118516.SZ</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辽宁方大集团实业有限公司</v>
      </c>
      <c r="K15" s="138"/>
      <c r="L15" s="8" t="str">
        <f>[1]!b_info_issuer(L14)</f>
        <v>新兴铸管股份有限公司</v>
      </c>
      <c r="M15" s="8" t="str">
        <f>[1]!b_info_issuer(M14)</f>
        <v>南京钢铁股份有限公司</v>
      </c>
      <c r="N15" s="8" t="str">
        <f>[1]!b_info_issuer(N14)</f>
        <v>芜湖新兴铸管有限责任公司</v>
      </c>
      <c r="O15" s="8" t="str">
        <f>[1]!b_info_issuer(O14)</f>
        <v>本溪钢铁(集团)有限责任公司</v>
      </c>
      <c r="P15" s="8" t="str">
        <f>[1]!b_info_issuer(P14)</f>
        <v>酒泉钢铁(集团)有限责任公司</v>
      </c>
      <c r="Q15" s="8" t="str">
        <f>[1]!b_info_issuer(Q14)</f>
        <v>包头钢铁(集团)有限责任公司</v>
      </c>
      <c r="R15" s="8" t="str">
        <f>[1]!b_info_issuer(R14)</f>
        <v>莱芜钢铁集团有限公司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民营企业</v>
      </c>
      <c r="K17" s="124"/>
      <c r="L17" s="67" t="str">
        <f>[1]!s_info_nature(L14)</f>
        <v>中央国有企业</v>
      </c>
      <c r="M17" s="67" t="str">
        <f>[1]!s_info_nature(M14)</f>
        <v>民营企业</v>
      </c>
      <c r="N17" s="67" t="str">
        <f>[1]!s_info_nature(N14)</f>
        <v>中央国有企业</v>
      </c>
      <c r="O17" s="67" t="str">
        <f>[1]!s_info_nature(O14)</f>
        <v>地方国有企业</v>
      </c>
      <c r="P17" s="67" t="str">
        <f>[1]!s_info_nature(P14)</f>
        <v>地方国有企业</v>
      </c>
      <c r="Q17" s="67" t="str">
        <f>[1]!s_info_nature(Q14)</f>
        <v>地方国有企业</v>
      </c>
      <c r="R17" s="67" t="str">
        <f>[1]!s_info_nature(R14)</f>
        <v>地方国有企业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516.94126375719998</v>
      </c>
      <c r="K19" s="124"/>
      <c r="L19" s="68">
        <f>[1]!b_stm07_bs(L14,74,L13,1)/100000000</f>
        <v>490.32653529300001</v>
      </c>
      <c r="M19" s="68">
        <f>[1]!b_stm07_bs(M14,74,M13,1)/100000000</f>
        <v>377.35444348850001</v>
      </c>
      <c r="N19" s="68">
        <f>[1]!b_stm07_bs(N14,74,N13,1)/100000000</f>
        <v>170.7861409395</v>
      </c>
      <c r="O19" s="68">
        <f>[1]!b_stm07_bs(O14,74,O13,1)/100000000</f>
        <v>1035.697636629</v>
      </c>
      <c r="P19" s="68">
        <f>[1]!b_stm07_bs(P14,74,P13,1)/100000000</f>
        <v>1110.9240953232002</v>
      </c>
      <c r="Q19" s="68">
        <f>[1]!b_stm07_bs(Q14,74,Q13,1)/100000000</f>
        <v>1747.0051801666</v>
      </c>
      <c r="R19" s="68">
        <f>[1]!b_stm07_bs(R14,74,R13,1)/100000000</f>
        <v>1777.1229267644001</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0.49845999999999996</v>
      </c>
      <c r="K20" s="124"/>
      <c r="L20" s="10">
        <f>[1]!s_fa_debttoassets(L14,L13)/100</f>
        <v>0.57944899999999999</v>
      </c>
      <c r="M20" s="10">
        <f>[1]!s_fa_debttoassets(M14,M13)/100</f>
        <v>0.58771399999999996</v>
      </c>
      <c r="N20" s="10">
        <f>[1]!s_fa_debttoassets(N14,N13)/100</f>
        <v>0.57697200000000004</v>
      </c>
      <c r="O20" s="10">
        <f>[1]!s_fa_debttoassets(O14,O13)/100</f>
        <v>0.84972899999999996</v>
      </c>
      <c r="P20" s="10">
        <f>[1]!s_fa_debttoassets(P14,P13)/100</f>
        <v>0.74091099999999999</v>
      </c>
      <c r="Q20" s="10">
        <f>[1]!s_fa_debttoassets(Q14,Q13)/100</f>
        <v>0.80507999999999991</v>
      </c>
      <c r="R20" s="10">
        <f>[1]!s_fa_debttoassets(R14,R13)/100</f>
        <v>0.78987300000000005</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1.3461000000000001</v>
      </c>
      <c r="K21" s="124"/>
      <c r="L21" s="68">
        <f>[1]!s_fa_current(L14,L13)</f>
        <v>1.0289999999999999</v>
      </c>
      <c r="M21" s="68">
        <f>[1]!s_fa_current(M14,M13)</f>
        <v>0.66100000000000003</v>
      </c>
      <c r="N21" s="68">
        <f>[1]!s_fa_current(N14,N13)</f>
        <v>0.85419999999999996</v>
      </c>
      <c r="O21" s="68">
        <f>[1]!s_fa_current(O14,O13)</f>
        <v>0.73370000000000002</v>
      </c>
      <c r="P21" s="68">
        <f>[1]!s_fa_current(P14,P13)</f>
        <v>0.45569999999999999</v>
      </c>
      <c r="Q21" s="68">
        <f>[1]!s_fa_current(Q14,Q13)</f>
        <v>0.58960000000000001</v>
      </c>
      <c r="R21" s="68">
        <f>[1]!s_fa_current(R14,R13)</f>
        <v>1.21</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0.35608254216915924</v>
      </c>
      <c r="K22" s="124"/>
      <c r="L22" s="66">
        <f>(公式页!L96+公式页!L97+公式页!L98+公式页!L99+公式页!L100+公式页!L101)/公式页!L103</f>
        <v>0.79031676132637529</v>
      </c>
      <c r="M22" s="66">
        <f t="shared" ref="M22:R22" si="0">(M96+M97+M98+M99+M100+M101)/M103</f>
        <v>0.45299369065722012</v>
      </c>
      <c r="N22" s="66">
        <f t="shared" si="0"/>
        <v>0.8328349659279074</v>
      </c>
      <c r="O22" s="66">
        <f t="shared" si="0"/>
        <v>3.8343080463769592</v>
      </c>
      <c r="P22" s="66">
        <f t="shared" si="0"/>
        <v>1.910350921517614</v>
      </c>
      <c r="Q22" s="66">
        <f t="shared" si="0"/>
        <v>1.598881614611398</v>
      </c>
      <c r="R22" s="66">
        <f t="shared" si="0"/>
        <v>2.3702940367851961</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0.64280000000000004</v>
      </c>
      <c r="K23" s="124"/>
      <c r="L23" s="68">
        <f>[1]!s_fa_ebitdatodebt(L14,L13)</f>
        <v>0.1148</v>
      </c>
      <c r="M23" s="68">
        <f>[1]!s_fa_ebitdatodebt(M14,M13)</f>
        <v>0.26029999999999998</v>
      </c>
      <c r="N23" s="68">
        <f>[1]!s_fa_ebitdatodebt(N14,N13)</f>
        <v>0.1389</v>
      </c>
      <c r="O23" s="68">
        <f>[1]!s_fa_ebitdatodebt(O14,O13)</f>
        <v>6.6400000000000001E-2</v>
      </c>
      <c r="P23" s="68">
        <f>[1]!s_fa_ebitdatodebt(P14,P13)</f>
        <v>7.8399999999999997E-2</v>
      </c>
      <c r="Q23" s="68">
        <f>[1]!s_fa_ebitdatodebt(Q14,Q13)</f>
        <v>6.25E-2</v>
      </c>
      <c r="R23" s="68">
        <f>[1]!s_fa_ebitdatodebt(R14,R13)</f>
        <v>7.6899999999999996E-2</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677.27863525129999</v>
      </c>
      <c r="K24" s="124"/>
      <c r="L24" s="68">
        <f>[1]!b_stm07_is(L14,9,L13,1)/100000000</f>
        <v>412.66372331970001</v>
      </c>
      <c r="M24" s="68">
        <f>[1]!b_stm07_is(M14,9,M13,1)/100000000</f>
        <v>376.00664145809998</v>
      </c>
      <c r="N24" s="68">
        <f>[1]!b_stm07_is(N14,9,N13,1)/100000000</f>
        <v>143.1025915404</v>
      </c>
      <c r="O24" s="68">
        <f>[1]!b_stm07_is(O14,9,O13,1)/100000000</f>
        <v>421.14747805970001</v>
      </c>
      <c r="P24" s="68">
        <f>[1]!b_stm07_is(P14,9,P13,1)/100000000</f>
        <v>874.36517242100001</v>
      </c>
      <c r="Q24" s="68">
        <f>[1]!b_stm07_is(Q14,9,Q13,1)/100000000</f>
        <v>682.30788989300004</v>
      </c>
      <c r="R24" s="68">
        <f>[1]!b_stm07_is(R14,9,R13,1)/100000000</f>
        <v>683.0264267197</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0.80249999999999999</v>
      </c>
      <c r="K25" s="124"/>
      <c r="L25" s="11">
        <f>[1]!s_fa_salescashintoor(L14,L13)%</f>
        <v>0.82299999999999995</v>
      </c>
      <c r="M25" s="11">
        <f>[1]!s_fa_salescashintoor(M14,M13)%</f>
        <v>0.84570000000000012</v>
      </c>
      <c r="N25" s="11">
        <f>[1]!s_fa_salescashintoor(N14,N13)%</f>
        <v>0.65790000000000004</v>
      </c>
      <c r="O25" s="11">
        <f>[1]!s_fa_salescashintoor(O14,O13)%</f>
        <v>1.069</v>
      </c>
      <c r="P25" s="11">
        <f>[1]!s_fa_salescashintoor(P14,P13)%</f>
        <v>1.0351999999999999</v>
      </c>
      <c r="Q25" s="11">
        <f>[1]!s_fa_salescashintoor(Q14,Q13)%</f>
        <v>1.0371999999999999</v>
      </c>
      <c r="R25" s="11">
        <f>[1]!s_fa_salescashintoor(R14,R13)%</f>
        <v>0.85540000000000005</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0.330266</v>
      </c>
      <c r="K26" s="124"/>
      <c r="L26" s="11">
        <f>[1]!s_fa_grossprofitmargin(L14,L13)%</f>
        <v>0.10799300000000001</v>
      </c>
      <c r="M26" s="11">
        <f>[1]!s_fa_grossprofitmargin(M14,M13)%</f>
        <v>0.163415</v>
      </c>
      <c r="N26" s="11">
        <f>[1]!s_fa_grossprofitmargin(N14,N13)%</f>
        <v>9.9991999999999998E-2</v>
      </c>
      <c r="O26" s="11">
        <f>[1]!s_fa_grossprofitmargin(O14,O13)%</f>
        <v>0.13685700000000001</v>
      </c>
      <c r="P26" s="11">
        <f>[1]!s_fa_grossprofitmargin(P14,P13)%</f>
        <v>0.113093</v>
      </c>
      <c r="Q26" s="11">
        <f>[1]!s_fa_grossprofitmargin(Q14,Q13)%</f>
        <v>0.17257600000000001</v>
      </c>
      <c r="R26" s="11">
        <f>[1]!s_fa_grossprofitmargin(R14,R13)%</f>
        <v>0.18440699999999999</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102.62917658870001</v>
      </c>
      <c r="K27" s="124"/>
      <c r="L27" s="69">
        <f>[1]!b_stm07_is(L14,60,L13,1)/100000000</f>
        <v>10.6563331507</v>
      </c>
      <c r="M27" s="69">
        <f>[1]!b_stm07_is(M14,60,M13,1)/100000000</f>
        <v>34.006877453000001</v>
      </c>
      <c r="N27" s="69">
        <f>[1]!b_stm07_is(N14,60,N13,1)/100000000</f>
        <v>4.3052746357</v>
      </c>
      <c r="O27" s="69">
        <f>[1]!b_stm07_is(O14,60,O13,1)/100000000</f>
        <v>2.0413918467999999</v>
      </c>
      <c r="P27" s="69">
        <f>[1]!b_stm07_is(P14,60,P13,1)/100000000</f>
        <v>3.3068316133999995</v>
      </c>
      <c r="Q27" s="69">
        <f>[1]!b_stm07_is(Q14,60,Q13,1)/100000000</f>
        <v>1.2481112179</v>
      </c>
      <c r="R27" s="69">
        <f>[1]!b_stm07_is(R14,60,R13,1)/100000000</f>
        <v>43.068873895400003</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0.548952</v>
      </c>
      <c r="K28" s="124"/>
      <c r="L28" s="10">
        <f>[1]!s_fa_roe(L14,L13)%</f>
        <v>5.9043999999999999E-2</v>
      </c>
      <c r="M28" s="10">
        <f>[1]!s_fa_roe(M14,M13)%</f>
        <v>0.34904000000000002</v>
      </c>
      <c r="N28" s="10">
        <f>[1]!s_fa_roe(N14,N13)%</f>
        <v>6.0235999999999998E-2</v>
      </c>
      <c r="O28" s="10">
        <f>[1]!s_fa_roe(O14,O13)%</f>
        <v>-1.6886000000000002E-2</v>
      </c>
      <c r="P28" s="10">
        <f>[1]!s_fa_roe(P14,P13)%</f>
        <v>7.1660000000000005E-3</v>
      </c>
      <c r="Q28" s="10">
        <f>[1]!s_fa_roe(Q14,Q13)%</f>
        <v>-0.15990299999999999</v>
      </c>
      <c r="R28" s="10">
        <f>[1]!s_fa_roe(R14,R13)%</f>
        <v>5.1056999999999998E-2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139.30817412350001</v>
      </c>
      <c r="K29" s="124"/>
      <c r="L29" s="69">
        <f>[1]!b_stm07_cs(L14,39,L13,1)/100000000</f>
        <v>36.842584005200003</v>
      </c>
      <c r="M29" s="69">
        <f>[1]!b_stm07_cs(M14,39,M13,1)/100000000</f>
        <v>23.612662752600002</v>
      </c>
      <c r="N29" s="69">
        <f>[1]!b_stm07_cs(N14,39,N13,1)/100000000</f>
        <v>22.0889353462</v>
      </c>
      <c r="O29" s="69">
        <f>[1]!b_stm07_cs(O14,39,O13,1)/100000000</f>
        <v>31.0277411834</v>
      </c>
      <c r="P29" s="69">
        <f>[1]!b_stm07_cs(P14,39,P13,1)/100000000</f>
        <v>42.730699867199995</v>
      </c>
      <c r="Q29" s="69">
        <f>[1]!b_stm07_cs(Q14,39,Q13,1)/100000000</f>
        <v>72.814359716300004</v>
      </c>
      <c r="R29" s="69">
        <f>[1]!b_stm07_cs(R14,39,R13,1)/100000000</f>
        <v>-171.54637611929999</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3344513727.9699998</v>
      </c>
      <c r="K96" s="71"/>
      <c r="L96" s="71">
        <f>[1]!b_stm07_bs(L14,75,L13,1)</f>
        <v>10366037762.58</v>
      </c>
      <c r="M96" s="71">
        <f>[1]!b_stm07_bs(M14,75,M13,1)</f>
        <v>3303988051.7199998</v>
      </c>
      <c r="N96" s="71">
        <f>[1]!b_stm07_bs(N14,75,N13,1)</f>
        <v>3299277755.3200002</v>
      </c>
      <c r="O96" s="71">
        <f>[1]!b_stm07_bs(O14,75,O13,1)</f>
        <v>45388861443.080002</v>
      </c>
      <c r="P96" s="71">
        <f>[1]!b_stm07_bs(P14,75,P13,1)</f>
        <v>41110176900</v>
      </c>
      <c r="Q96" s="71">
        <f>[1]!b_stm07_bs(Q14,75,Q13,1)</f>
        <v>26121748426.73</v>
      </c>
      <c r="R96" s="71">
        <f>[1]!b_stm07_bs(R14,75,R13,1)</f>
        <v>31693397295.959999</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142192303.12</v>
      </c>
      <c r="K97" s="71"/>
      <c r="L97" s="71">
        <f>[1]!b_stm07_bs(L14,82,L13,1)</f>
        <v>80195542.379999995</v>
      </c>
      <c r="M97" s="71">
        <f>[1]!b_stm07_bs(M14,82,M13,1)</f>
        <v>162443890.16999999</v>
      </c>
      <c r="N97" s="71">
        <f>[1]!b_stm07_bs(N14,82,N13,1)</f>
        <v>6798730.2599999998</v>
      </c>
      <c r="O97" s="71">
        <f>[1]!b_stm07_bs(O14,82,O13,1)</f>
        <v>192768469.13</v>
      </c>
      <c r="P97" s="71">
        <f>[1]!b_stm07_bs(P14,82,P13,1)</f>
        <v>112262232.68000001</v>
      </c>
      <c r="Q97" s="71">
        <f>[1]!b_stm07_bs(Q14,82,Q13,1)</f>
        <v>408375917.16000003</v>
      </c>
      <c r="R97" s="71">
        <f>[1]!b_stm07_bs(R14,82,R13,1)</f>
        <v>1177412514.96</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2852997267.8200002</v>
      </c>
      <c r="K98" s="71"/>
      <c r="L98" s="71">
        <f>[1]!b_stm07_bs(L14,88,L13,1)</f>
        <v>1265433809.5599999</v>
      </c>
      <c r="M98" s="71">
        <f>[1]!b_stm07_bs(M14,88,M13,1)</f>
        <v>2862390265.3699999</v>
      </c>
      <c r="N98" s="71">
        <f>[1]!b_stm07_bs(N14,88,N13,1)</f>
        <v>989433809.55999994</v>
      </c>
      <c r="O98" s="71">
        <f>[1]!b_stm07_bs(O14,88,O13,1)</f>
        <v>5051540590.8400002</v>
      </c>
      <c r="P98" s="71">
        <f>[1]!b_stm07_bs(P14,88,P13,1)</f>
        <v>1592058438.1300001</v>
      </c>
      <c r="Q98" s="71">
        <f>[1]!b_stm07_bs(Q14,88,Q13,1)</f>
        <v>8921799016.9799995</v>
      </c>
      <c r="R98" s="71">
        <f>[1]!b_stm07_bs(R14,88,R13,1)</f>
        <v>6510691695.7299995</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2393895544.8400002</v>
      </c>
      <c r="K100" s="71"/>
      <c r="L100" s="71">
        <f>[1]!b_stm07_bs(L14,94,L13,1)</f>
        <v>1595409004.74</v>
      </c>
      <c r="M100" s="71">
        <f>[1]!b_stm07_bs(M14,94,M13,1)</f>
        <v>718762000</v>
      </c>
      <c r="N100" s="71">
        <f>[1]!b_stm07_bs(N14,94,N13,1)</f>
        <v>721500000</v>
      </c>
      <c r="O100" s="71">
        <f>[1]!b_stm07_bs(O14,94,O13,1)</f>
        <v>4044215378.1900001</v>
      </c>
      <c r="P100" s="71">
        <f>[1]!b_stm07_bs(P14,94,P13,1)</f>
        <v>12170694049.120001</v>
      </c>
      <c r="Q100" s="71">
        <f>[1]!b_stm07_bs(Q14,94,Q13,1)</f>
        <v>9905077065.2700005</v>
      </c>
      <c r="R100" s="71">
        <f>[1]!b_stm07_bs(R14,94,R13,1)</f>
        <v>8349736520.6800003</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498439012.43000001</v>
      </c>
      <c r="K101" s="71"/>
      <c r="L101" s="71">
        <f>[1]!b_stm07_bs(L14,95,L13,1)</f>
        <v>2989836984.5599999</v>
      </c>
      <c r="M101" s="71">
        <f>[1]!b_stm07_bs(M14,95,M13,1)</f>
        <v>0</v>
      </c>
      <c r="N101" s="71">
        <f>[1]!b_stm07_bs(N14,95,N13,1)</f>
        <v>1000000000</v>
      </c>
      <c r="O101" s="71">
        <f>[1]!b_stm07_bs(O14,95,O13,1)</f>
        <v>5001728439.8500004</v>
      </c>
      <c r="P101" s="71">
        <f>[1]!b_stm07_bs(P14,95,P13,1)</f>
        <v>0</v>
      </c>
      <c r="Q101" s="71">
        <f>[1]!b_stm07_bs(Q14,95,Q13,1)</f>
        <v>9089133292.2600002</v>
      </c>
      <c r="R101" s="71">
        <f>[1]!b_stm07_bs(R14,95,R13,1)</f>
        <v>40780529877.57</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25926679246.73</v>
      </c>
      <c r="K103" s="71"/>
      <c r="L103" s="71">
        <f>[1]!b_stm07_bs(L14,141,L13,1)</f>
        <v>20620735762.290001</v>
      </c>
      <c r="M103" s="71">
        <f>[1]!b_stm07_bs(M14,141,M13,1)</f>
        <v>15557797719.07</v>
      </c>
      <c r="N103" s="71">
        <f>[1]!b_stm07_bs(N14,141,N13,1)</f>
        <v>7224733039.9200001</v>
      </c>
      <c r="O103" s="71">
        <f>[1]!b_stm07_bs(O14,141,O13,1)</f>
        <v>15564506972.120001</v>
      </c>
      <c r="P103" s="71">
        <f>[1]!b_stm07_bs(P14,141,P13,1)</f>
        <v>28782770223.310001</v>
      </c>
      <c r="Q103" s="71">
        <f>[1]!b_stm07_bs(Q14,141,Q13,1)</f>
        <v>34052636055.630001</v>
      </c>
      <c r="R103" s="71">
        <f>[1]!b_stm07_bs(R14,141,R13,1)</f>
        <v>37342104621.309998</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q19040912.IB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0.49845999999999996</v>
      </c>
      <c r="C109" s="54" t="s">
        <v>36</v>
      </c>
      <c r="D109" s="72">
        <f>[1]!s_fa_current(A2,B2)</f>
        <v>1.3461000000000001</v>
      </c>
      <c r="E109" s="54" t="s">
        <v>41</v>
      </c>
      <c r="F109" s="73">
        <f>[1]!s_fa_salescashintoor(A2,B2)/100</f>
        <v>0.80249999999999999</v>
      </c>
      <c r="G109" s="54" t="s">
        <v>42</v>
      </c>
      <c r="H109" s="12">
        <f>S109/100</f>
        <v>0.330266</v>
      </c>
      <c r="I109" s="54"/>
      <c r="J109" s="16"/>
      <c r="K109" s="25"/>
      <c r="L109" s="34" t="s">
        <v>61</v>
      </c>
      <c r="M109" s="74">
        <f>[1]!s_fa_debttoassets(A2,B2)</f>
        <v>49.845999999999997</v>
      </c>
      <c r="N109" s="54" t="s">
        <v>36</v>
      </c>
      <c r="O109" s="35"/>
      <c r="P109" s="54" t="s">
        <v>41</v>
      </c>
      <c r="Q109" s="35"/>
      <c r="R109" s="54" t="s">
        <v>42</v>
      </c>
      <c r="S109" s="75">
        <f>[1]!s_fa_grossprofitmargin(A2,B2)</f>
        <v>33.026600000000002</v>
      </c>
    </row>
    <row r="110" spans="1:19" ht="15.75" customHeight="1" x14ac:dyDescent="0.25">
      <c r="A110" s="54" t="s">
        <v>62</v>
      </c>
      <c r="B110" s="12">
        <f>M110/100</f>
        <v>0.57298699999999991</v>
      </c>
      <c r="C110" s="54" t="s">
        <v>63</v>
      </c>
      <c r="D110" s="73">
        <f>[1]!s_fa_quick(A2,B2)</f>
        <v>1.1195999999999999</v>
      </c>
      <c r="E110" s="54" t="s">
        <v>64</v>
      </c>
      <c r="F110" s="72">
        <f>[1]!s_fa_arturn(A2,B2)</f>
        <v>42.305700000000002</v>
      </c>
      <c r="G110" s="54" t="s">
        <v>65</v>
      </c>
      <c r="H110" s="12">
        <f>S110/100</f>
        <v>0.21487700000000001</v>
      </c>
      <c r="I110" s="54"/>
      <c r="J110" s="16"/>
      <c r="L110" s="54" t="s">
        <v>62</v>
      </c>
      <c r="M110" s="74">
        <f>[1]!s_fa_catoassets(A2,B2)</f>
        <v>57.298699999999997</v>
      </c>
      <c r="N110" s="54" t="s">
        <v>63</v>
      </c>
      <c r="O110" s="35"/>
      <c r="P110" s="54" t="s">
        <v>64</v>
      </c>
      <c r="Q110" s="73"/>
      <c r="R110" s="54" t="s">
        <v>65</v>
      </c>
      <c r="S110" s="75">
        <f>[1]!s_fa_optogr(A2,B2)</f>
        <v>21.4877</v>
      </c>
    </row>
    <row r="111" spans="1:19" ht="15" customHeight="1" x14ac:dyDescent="0.25">
      <c r="A111" s="54" t="s">
        <v>66</v>
      </c>
      <c r="B111" s="12">
        <f>M111/100</f>
        <v>0.85396899999999998</v>
      </c>
      <c r="C111" s="54" t="s">
        <v>39</v>
      </c>
      <c r="D111" s="73">
        <f>[1]!s_fa_ebitdatodebt(A2,B2)</f>
        <v>0.64280000000000004</v>
      </c>
      <c r="E111" s="54" t="s">
        <v>67</v>
      </c>
      <c r="F111" s="72">
        <f>[1]!s_fa_invturn(A2,B2)</f>
        <v>8.5350999999999999</v>
      </c>
      <c r="G111" s="54" t="s">
        <v>45</v>
      </c>
      <c r="H111" s="12">
        <f>S111/100</f>
        <v>0.548952</v>
      </c>
      <c r="I111" s="54"/>
      <c r="J111" s="16"/>
      <c r="L111" s="54" t="s">
        <v>66</v>
      </c>
      <c r="M111" s="74">
        <f>[1]!s_fa_currentdebttodebt(A2,B2)</f>
        <v>85.396900000000002</v>
      </c>
      <c r="N111" s="54" t="s">
        <v>39</v>
      </c>
      <c r="O111" s="35"/>
      <c r="P111" s="54" t="s">
        <v>67</v>
      </c>
      <c r="Q111" s="35"/>
      <c r="R111" s="54" t="s">
        <v>45</v>
      </c>
      <c r="S111" s="75">
        <f>[1]!s_fa_roe(A2,B2)</f>
        <v>54.895200000000003</v>
      </c>
    </row>
    <row r="112" spans="1:19" ht="14.25" customHeight="1" x14ac:dyDescent="0.25">
      <c r="A112" s="54" t="s">
        <v>38</v>
      </c>
      <c r="B112" s="76">
        <f>(M116+M117+M118+M119+M120+M121)/M123</f>
        <v>0.35608254216915924</v>
      </c>
      <c r="C112" s="54" t="s">
        <v>68</v>
      </c>
      <c r="D112" s="73">
        <f>[1]!s_fa_ebittointerest(A2,B2)</f>
        <v>33.631</v>
      </c>
      <c r="E112" s="54" t="s">
        <v>69</v>
      </c>
      <c r="F112" s="72">
        <f>[1]!s_fa_caturn(A2,B2)</f>
        <v>2.3237999999999999</v>
      </c>
      <c r="G112" s="54" t="s">
        <v>70</v>
      </c>
      <c r="H112" s="12">
        <f>S112/100</f>
        <v>0.28553099999999998</v>
      </c>
      <c r="I112" s="54"/>
      <c r="J112" s="16"/>
      <c r="L112" s="54" t="s">
        <v>38</v>
      </c>
      <c r="M112" s="77"/>
      <c r="N112" s="54" t="s">
        <v>68</v>
      </c>
      <c r="O112" s="35"/>
      <c r="P112" s="54" t="s">
        <v>69</v>
      </c>
      <c r="Q112" s="35"/>
      <c r="R112" s="54" t="s">
        <v>70</v>
      </c>
      <c r="S112" s="75">
        <f>[1]!s_fa_roa2(A2,B2)</f>
        <v>28.553100000000001</v>
      </c>
    </row>
    <row r="113" spans="1:21" x14ac:dyDescent="0.25">
      <c r="A113" s="30"/>
      <c r="B113" s="31"/>
      <c r="C113" s="30"/>
      <c r="D113" s="32"/>
      <c r="E113" s="30" t="s">
        <v>71</v>
      </c>
      <c r="F113" s="78">
        <f>[1]!s_fa_dupont_faturnover(A2,B2)</f>
        <v>1.3151999999999999</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3344513727.9699998</v>
      </c>
    </row>
    <row r="117" spans="1:21" ht="14.25" customHeight="1" x14ac:dyDescent="0.25">
      <c r="A117" s="54" t="s">
        <v>77</v>
      </c>
      <c r="B117" s="73">
        <f t="shared" ref="B117:B131" si="1">M127/100000000</f>
        <v>63.327768947700008</v>
      </c>
      <c r="C117" s="54" t="s">
        <v>78</v>
      </c>
      <c r="D117" s="76">
        <f t="shared" ref="D117:D125" si="2">O127/100000000</f>
        <v>677.27863525129999</v>
      </c>
      <c r="E117" s="131" t="s">
        <v>79</v>
      </c>
      <c r="F117" s="124"/>
      <c r="G117" s="124"/>
      <c r="H117" s="132">
        <f t="shared" ref="H117:H131" si="3">S127/100000000</f>
        <v>543.53857465639999</v>
      </c>
      <c r="I117" s="124"/>
      <c r="J117" s="124"/>
      <c r="L117" s="17" t="s">
        <v>48</v>
      </c>
      <c r="M117" s="71">
        <f>[1]!b_stm07_bs(K107,82,L107,1)</f>
        <v>142192303.12</v>
      </c>
    </row>
    <row r="118" spans="1:21" ht="14.25" customHeight="1" x14ac:dyDescent="0.25">
      <c r="A118" s="54" t="s">
        <v>80</v>
      </c>
      <c r="B118" s="73">
        <f t="shared" si="1"/>
        <v>12.8173505701</v>
      </c>
      <c r="C118" s="54" t="s">
        <v>81</v>
      </c>
      <c r="D118" s="76">
        <f t="shared" si="2"/>
        <v>533.78316950429996</v>
      </c>
      <c r="E118" s="131" t="s">
        <v>82</v>
      </c>
      <c r="F118" s="124"/>
      <c r="G118" s="124"/>
      <c r="H118" s="132">
        <f t="shared" si="3"/>
        <v>64.464458232700011</v>
      </c>
      <c r="I118" s="124"/>
      <c r="J118" s="124"/>
      <c r="L118" s="17" t="s">
        <v>49</v>
      </c>
      <c r="M118" s="71">
        <f>[1]!b_stm07_bs(K107,88,L107,1)</f>
        <v>2852997267.8200002</v>
      </c>
    </row>
    <row r="119" spans="1:21" ht="14.25" customHeight="1" x14ac:dyDescent="0.25">
      <c r="A119" s="54" t="s">
        <v>83</v>
      </c>
      <c r="B119" s="73">
        <f t="shared" si="1"/>
        <v>24.751864530399999</v>
      </c>
      <c r="C119" s="54" t="s">
        <v>84</v>
      </c>
      <c r="D119" s="76">
        <f t="shared" si="2"/>
        <v>453.59648804910006</v>
      </c>
      <c r="E119" s="131" t="s">
        <v>85</v>
      </c>
      <c r="F119" s="124"/>
      <c r="G119" s="124"/>
      <c r="H119" s="133">
        <f t="shared" si="3"/>
        <v>609.09260441729998</v>
      </c>
      <c r="I119" s="124"/>
      <c r="J119" s="124"/>
      <c r="L119" s="17" t="s">
        <v>50</v>
      </c>
      <c r="M119" s="71">
        <f>[1]!b_stm07_bs(K107,147,L107,1)</f>
        <v>0</v>
      </c>
    </row>
    <row r="120" spans="1:21" ht="14.25" customHeight="1" x14ac:dyDescent="0.25">
      <c r="A120" s="54" t="s">
        <v>86</v>
      </c>
      <c r="B120" s="73">
        <f t="shared" si="1"/>
        <v>145.74017308660001</v>
      </c>
      <c r="C120" s="54" t="s">
        <v>87</v>
      </c>
      <c r="D120" s="76">
        <f t="shared" si="2"/>
        <v>4.9994686904000005</v>
      </c>
      <c r="E120" s="131" t="s">
        <v>88</v>
      </c>
      <c r="F120" s="124"/>
      <c r="G120" s="124"/>
      <c r="H120" s="132">
        <f t="shared" si="3"/>
        <v>283.68566917819999</v>
      </c>
      <c r="I120" s="124"/>
      <c r="J120" s="124"/>
      <c r="L120" s="17" t="s">
        <v>51</v>
      </c>
      <c r="M120" s="71">
        <f>[1]!b_stm07_bs(K107,94,L107,1)</f>
        <v>2393895544.8400002</v>
      </c>
    </row>
    <row r="121" spans="1:21" ht="14.25" customHeight="1" x14ac:dyDescent="0.25">
      <c r="A121" s="54" t="s">
        <v>89</v>
      </c>
      <c r="B121" s="73">
        <f t="shared" si="1"/>
        <v>11.677624546900001</v>
      </c>
      <c r="C121" s="54" t="s">
        <v>90</v>
      </c>
      <c r="D121" s="76">
        <f t="shared" si="2"/>
        <v>38.674271483699997</v>
      </c>
      <c r="E121" s="131" t="s">
        <v>91</v>
      </c>
      <c r="F121" s="124"/>
      <c r="G121" s="124"/>
      <c r="H121" s="132">
        <f t="shared" si="3"/>
        <v>88.685169075000005</v>
      </c>
      <c r="I121" s="124"/>
      <c r="J121" s="124"/>
      <c r="L121" s="17" t="s">
        <v>52</v>
      </c>
      <c r="M121" s="71">
        <f>[1]!b_stm07_bs(K107,95,L107,1)</f>
        <v>498439012.43000001</v>
      </c>
    </row>
    <row r="122" spans="1:21" ht="14.25" customHeight="1" x14ac:dyDescent="0.25">
      <c r="A122" s="54" t="s">
        <v>92</v>
      </c>
      <c r="B122" s="73">
        <f t="shared" si="1"/>
        <v>34.895310343600002</v>
      </c>
      <c r="C122" s="54" t="s">
        <v>93</v>
      </c>
      <c r="D122" s="76">
        <f t="shared" si="2"/>
        <v>4.837087672</v>
      </c>
      <c r="E122" s="131" t="s">
        <v>94</v>
      </c>
      <c r="F122" s="124"/>
      <c r="G122" s="124"/>
      <c r="H122" s="133">
        <f t="shared" si="3"/>
        <v>469.78443029379997</v>
      </c>
      <c r="I122" s="124"/>
      <c r="J122" s="124"/>
      <c r="L122" s="17"/>
      <c r="M122" s="17"/>
    </row>
    <row r="123" spans="1:21" ht="14.25" customHeight="1" x14ac:dyDescent="0.25">
      <c r="A123" s="54" t="s">
        <v>95</v>
      </c>
      <c r="B123" s="79">
        <f t="shared" si="1"/>
        <v>516.94126375719998</v>
      </c>
      <c r="C123" s="54" t="s">
        <v>96</v>
      </c>
      <c r="D123" s="76">
        <f t="shared" si="2"/>
        <v>145.53141906690001</v>
      </c>
      <c r="E123" s="131" t="s">
        <v>97</v>
      </c>
      <c r="F123" s="124"/>
      <c r="G123" s="124"/>
      <c r="H123" s="133">
        <f t="shared" si="3"/>
        <v>139.30817412350001</v>
      </c>
      <c r="I123" s="124"/>
      <c r="J123" s="124"/>
      <c r="L123" s="17" t="s">
        <v>53</v>
      </c>
      <c r="M123" s="71">
        <f>[1]!b_stm07_bs(K107,141,L107,1)</f>
        <v>25926679246.73</v>
      </c>
    </row>
    <row r="124" spans="1:21" ht="14.25" customHeight="1" x14ac:dyDescent="0.25">
      <c r="A124" s="54" t="s">
        <v>98</v>
      </c>
      <c r="B124" s="73">
        <f t="shared" si="1"/>
        <v>33.445137279699999</v>
      </c>
      <c r="C124" s="54" t="s">
        <v>99</v>
      </c>
      <c r="D124" s="76">
        <f t="shared" si="2"/>
        <v>142.66961231089999</v>
      </c>
      <c r="E124" s="131" t="s">
        <v>100</v>
      </c>
      <c r="F124" s="124"/>
      <c r="G124" s="124"/>
      <c r="H124" s="133">
        <f t="shared" si="3"/>
        <v>-61.276064169399994</v>
      </c>
      <c r="I124" s="124"/>
      <c r="J124" s="124"/>
      <c r="L124" s="17"/>
      <c r="M124" s="17"/>
    </row>
    <row r="125" spans="1:21" ht="27" customHeight="1" x14ac:dyDescent="0.25">
      <c r="A125" s="54" t="s">
        <v>101</v>
      </c>
      <c r="B125" s="73">
        <f t="shared" si="1"/>
        <v>28.5299726782</v>
      </c>
      <c r="C125" s="54" t="s">
        <v>43</v>
      </c>
      <c r="D125" s="76">
        <f t="shared" si="2"/>
        <v>102.62917658870001</v>
      </c>
      <c r="E125" s="131" t="s">
        <v>102</v>
      </c>
      <c r="F125" s="124"/>
      <c r="G125" s="124"/>
      <c r="H125" s="132">
        <f t="shared" si="3"/>
        <v>3.2797613999999999</v>
      </c>
      <c r="I125" s="124"/>
      <c r="J125" s="124"/>
      <c r="L125" s="17"/>
      <c r="M125" s="17"/>
    </row>
    <row r="126" spans="1:21" ht="16.5" customHeight="1" x14ac:dyDescent="0.25">
      <c r="A126" s="54" t="s">
        <v>103</v>
      </c>
      <c r="B126" s="73">
        <f t="shared" si="1"/>
        <v>0</v>
      </c>
      <c r="C126" s="54"/>
      <c r="D126" s="80"/>
      <c r="E126" s="131" t="s">
        <v>104</v>
      </c>
      <c r="F126" s="124"/>
      <c r="G126" s="124"/>
      <c r="H126" s="132">
        <f t="shared" si="3"/>
        <v>126.51149440440001</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23.938955448400002</v>
      </c>
      <c r="C127" s="54"/>
      <c r="D127" s="80"/>
      <c r="E127" s="131" t="s">
        <v>106</v>
      </c>
      <c r="F127" s="124"/>
      <c r="G127" s="124"/>
      <c r="H127" s="132">
        <f t="shared" si="3"/>
        <v>0</v>
      </c>
      <c r="I127" s="124"/>
      <c r="J127" s="124"/>
      <c r="L127" s="54" t="s">
        <v>77</v>
      </c>
      <c r="M127" s="75">
        <f>[1]!b_stm07_bs(K107,9,L107,1)</f>
        <v>6332776894.7700005</v>
      </c>
      <c r="N127" s="54" t="s">
        <v>78</v>
      </c>
      <c r="O127" s="75">
        <f>[1]!b_stm07_is(K107,83,L107,1)</f>
        <v>67727863525.129997</v>
      </c>
      <c r="P127" s="131" t="s">
        <v>79</v>
      </c>
      <c r="Q127" s="124"/>
      <c r="R127" s="124"/>
      <c r="S127" s="136">
        <f>[1]!b_stm07_cs(K107,9,L107,1)</f>
        <v>54353857465.639999</v>
      </c>
      <c r="T127" s="135"/>
      <c r="U127" s="135"/>
    </row>
    <row r="128" spans="1:21" ht="14.25" customHeight="1" x14ac:dyDescent="0.25">
      <c r="A128" s="54" t="s">
        <v>107</v>
      </c>
      <c r="B128" s="73">
        <f t="shared" si="1"/>
        <v>4.9843901242999999</v>
      </c>
      <c r="C128" s="54"/>
      <c r="D128" s="80"/>
      <c r="E128" s="131" t="s">
        <v>108</v>
      </c>
      <c r="F128" s="124"/>
      <c r="G128" s="124"/>
      <c r="H128" s="133">
        <f t="shared" si="3"/>
        <v>129.79125580440001</v>
      </c>
      <c r="I128" s="124"/>
      <c r="J128" s="124"/>
      <c r="L128" s="54" t="s">
        <v>80</v>
      </c>
      <c r="M128" s="75">
        <f>[1]!b_stm07_bs(K107,12,L107,1)</f>
        <v>1281735057.01</v>
      </c>
      <c r="N128" s="54" t="s">
        <v>81</v>
      </c>
      <c r="O128" s="75">
        <f>[1]!b_stm07_is(K107,84,L107,1)</f>
        <v>53378316950.43</v>
      </c>
      <c r="P128" s="131" t="s">
        <v>82</v>
      </c>
      <c r="Q128" s="124"/>
      <c r="R128" s="124"/>
      <c r="S128" s="136">
        <f>[1]!b_stm07_cs(K107,11,L107,1)</f>
        <v>6446445823.2700005</v>
      </c>
      <c r="T128" s="135"/>
      <c r="U128" s="135"/>
    </row>
    <row r="129" spans="1:21" ht="14.25" customHeight="1" x14ac:dyDescent="0.25">
      <c r="A129" s="54" t="s">
        <v>109</v>
      </c>
      <c r="B129" s="79">
        <f t="shared" si="1"/>
        <v>257.6744712899</v>
      </c>
      <c r="C129" s="14"/>
      <c r="D129" s="13"/>
      <c r="E129" s="131" t="s">
        <v>110</v>
      </c>
      <c r="F129" s="124"/>
      <c r="G129" s="124"/>
      <c r="H129" s="132">
        <f t="shared" si="3"/>
        <v>171.03049004549999</v>
      </c>
      <c r="I129" s="124"/>
      <c r="J129" s="124"/>
      <c r="L129" s="54" t="s">
        <v>83</v>
      </c>
      <c r="M129" s="75">
        <f>[1]!b_stm07_bs(K107,13,L107,1)</f>
        <v>2475186453.04</v>
      </c>
      <c r="N129" s="54" t="s">
        <v>84</v>
      </c>
      <c r="O129" s="75">
        <f>[1]!b_stm07_is(K107,10,L107,1)</f>
        <v>45359648804.910004</v>
      </c>
      <c r="P129" s="131" t="s">
        <v>85</v>
      </c>
      <c r="Q129" s="124"/>
      <c r="R129" s="124"/>
      <c r="S129" s="137">
        <f>[1]!b_stm07_cs(K107,25,L107,1)</f>
        <v>60909260441.730003</v>
      </c>
      <c r="T129" s="135"/>
      <c r="U129" s="135"/>
    </row>
    <row r="130" spans="1:21" ht="14.25" customHeight="1" x14ac:dyDescent="0.25">
      <c r="A130" s="54" t="s">
        <v>111</v>
      </c>
      <c r="B130" s="79">
        <f t="shared" si="1"/>
        <v>259.26679246729998</v>
      </c>
      <c r="C130" s="14"/>
      <c r="D130" s="13"/>
      <c r="E130" s="131" t="s">
        <v>112</v>
      </c>
      <c r="F130" s="124"/>
      <c r="G130" s="124"/>
      <c r="H130" s="132">
        <f t="shared" si="3"/>
        <v>207.14565139250001</v>
      </c>
      <c r="I130" s="124"/>
      <c r="J130" s="124"/>
      <c r="L130" s="54" t="s">
        <v>86</v>
      </c>
      <c r="M130" s="75">
        <f>[1]!b_stm07_bs(K107,31,L107,1)</f>
        <v>14574017308.66</v>
      </c>
      <c r="N130" s="54" t="s">
        <v>87</v>
      </c>
      <c r="O130" s="75">
        <f>[1]!b_stm07_is(K107,12,L107,1)</f>
        <v>499946869.04000002</v>
      </c>
      <c r="P130" s="131" t="s">
        <v>88</v>
      </c>
      <c r="Q130" s="124"/>
      <c r="R130" s="124"/>
      <c r="S130" s="136">
        <f>[1]!b_stm07_cs(K107,26,L107,1)</f>
        <v>28368566917.82</v>
      </c>
      <c r="T130" s="135"/>
      <c r="U130" s="135"/>
    </row>
    <row r="131" spans="1:21" ht="14.25" customHeight="1" x14ac:dyDescent="0.25">
      <c r="A131" s="15" t="s">
        <v>113</v>
      </c>
      <c r="B131" s="79">
        <f t="shared" si="1"/>
        <v>516.94126375719998</v>
      </c>
      <c r="C131" s="14"/>
      <c r="D131" s="13"/>
      <c r="E131" s="131" t="s">
        <v>114</v>
      </c>
      <c r="F131" s="124"/>
      <c r="G131" s="124"/>
      <c r="H131" s="133">
        <f t="shared" si="3"/>
        <v>-77.354395588100004</v>
      </c>
      <c r="I131" s="124"/>
      <c r="J131" s="124"/>
      <c r="L131" s="54" t="s">
        <v>89</v>
      </c>
      <c r="M131" s="75">
        <f>[1]!b_stm07_bs(K107,33,L107,1)</f>
        <v>1167762454.6900001</v>
      </c>
      <c r="N131" s="54" t="s">
        <v>90</v>
      </c>
      <c r="O131" s="75">
        <f>[1]!b_stm07_is(K107,13,L107,1)</f>
        <v>3867427148.3699999</v>
      </c>
      <c r="P131" s="131" t="s">
        <v>91</v>
      </c>
      <c r="Q131" s="124"/>
      <c r="R131" s="124"/>
      <c r="S131" s="136">
        <f>[1]!b_stm07_cs(K107,29,L107,1)</f>
        <v>8868516907.5</v>
      </c>
      <c r="T131" s="135"/>
      <c r="U131" s="135"/>
    </row>
    <row r="132" spans="1:21" x14ac:dyDescent="0.25">
      <c r="L132" s="54" t="s">
        <v>92</v>
      </c>
      <c r="M132" s="75">
        <f>[1]!b_stm07_bs(K107,37,L107,1)</f>
        <v>3489531034.3600001</v>
      </c>
      <c r="N132" s="54" t="s">
        <v>93</v>
      </c>
      <c r="O132" s="75">
        <f>[1]!b_stm07_is(K107,14,L107,1)</f>
        <v>483708767.19999999</v>
      </c>
      <c r="P132" s="131" t="s">
        <v>94</v>
      </c>
      <c r="Q132" s="124"/>
      <c r="R132" s="124"/>
      <c r="S132" s="137">
        <f>[1]!b_stm07_cs(K107,37,L107,1)</f>
        <v>46978443029.379997</v>
      </c>
      <c r="T132" s="135"/>
      <c r="U132" s="135"/>
    </row>
    <row r="133" spans="1:21" x14ac:dyDescent="0.25">
      <c r="L133" s="54" t="s">
        <v>95</v>
      </c>
      <c r="M133" s="81">
        <f>[1]!b_stm07_bs(K107,74,L107,1)</f>
        <v>51694126375.720001</v>
      </c>
      <c r="N133" s="54" t="s">
        <v>96</v>
      </c>
      <c r="O133" s="75">
        <f>[1]!b_stm07_is(K107,48,L107,1)</f>
        <v>14553141906.690001</v>
      </c>
      <c r="P133" s="131" t="s">
        <v>97</v>
      </c>
      <c r="Q133" s="124"/>
      <c r="R133" s="124"/>
      <c r="S133" s="137">
        <f>[1]!b_stm07_cs(K107,39,L107,1)</f>
        <v>13930817412.35</v>
      </c>
      <c r="T133" s="135"/>
      <c r="U133" s="135"/>
    </row>
    <row r="134" spans="1:21" x14ac:dyDescent="0.25">
      <c r="L134" s="54" t="s">
        <v>98</v>
      </c>
      <c r="M134" s="75">
        <f>[1]!b_stm07_bs(K107,75,L107,1)</f>
        <v>3344513727.9699998</v>
      </c>
      <c r="N134" s="54" t="s">
        <v>99</v>
      </c>
      <c r="O134" s="75">
        <f>[1]!b_stm07_is(K107,55,L107,1)</f>
        <v>14266961231.09</v>
      </c>
      <c r="P134" s="131" t="s">
        <v>100</v>
      </c>
      <c r="Q134" s="124"/>
      <c r="R134" s="124"/>
      <c r="S134" s="137">
        <f>[1]!b_stm07_cs(K107,59,L107,1)</f>
        <v>-6127606416.9399996</v>
      </c>
      <c r="T134" s="135"/>
      <c r="U134" s="135"/>
    </row>
    <row r="135" spans="1:21" ht="32.4" customHeight="1" x14ac:dyDescent="0.25">
      <c r="L135" s="54" t="s">
        <v>101</v>
      </c>
      <c r="M135" s="75">
        <f>[1]!b_stm07_bs(K107,88,L107,1)</f>
        <v>2852997267.8200002</v>
      </c>
      <c r="N135" s="54" t="s">
        <v>43</v>
      </c>
      <c r="O135" s="75">
        <f>[1]!b_stm07_is(K107,60,L107,1)</f>
        <v>10262917658.870001</v>
      </c>
      <c r="P135" s="131" t="s">
        <v>102</v>
      </c>
      <c r="Q135" s="124"/>
      <c r="R135" s="124"/>
      <c r="S135" s="136">
        <f>[1]!b_stm07_cs(K107,60,L107,1)</f>
        <v>327976140</v>
      </c>
      <c r="T135" s="135"/>
      <c r="U135" s="135"/>
    </row>
    <row r="136" spans="1:21" ht="21.6" customHeight="1" x14ac:dyDescent="0.25">
      <c r="L136" s="54" t="s">
        <v>103</v>
      </c>
      <c r="M136" s="75">
        <f>[1]!b_stm07_bs(K107,147,L107,1)</f>
        <v>0</v>
      </c>
      <c r="N136" s="54"/>
      <c r="O136" s="80"/>
      <c r="P136" s="131" t="s">
        <v>104</v>
      </c>
      <c r="Q136" s="124"/>
      <c r="R136" s="124"/>
      <c r="S136" s="136">
        <f>[1]!b_stm07_cs(K107,61,L107,1)</f>
        <v>12651149440.440001</v>
      </c>
      <c r="T136" s="135"/>
      <c r="U136" s="135"/>
    </row>
    <row r="137" spans="1:21" x14ac:dyDescent="0.25">
      <c r="L137" s="54" t="s">
        <v>105</v>
      </c>
      <c r="M137" s="75">
        <f>[1]!b_stm07_bs(K107,94,L107,1)</f>
        <v>2393895544.8400002</v>
      </c>
      <c r="N137" s="54"/>
      <c r="O137" s="80"/>
      <c r="P137" s="131" t="s">
        <v>106</v>
      </c>
      <c r="Q137" s="124"/>
      <c r="R137" s="124"/>
      <c r="S137" s="136">
        <f>[1]!b_stm07_cs(K107,63,L107,1)</f>
        <v>0</v>
      </c>
      <c r="T137" s="135"/>
      <c r="U137" s="135"/>
    </row>
    <row r="138" spans="1:21" x14ac:dyDescent="0.25">
      <c r="L138" s="54" t="s">
        <v>107</v>
      </c>
      <c r="M138" s="75">
        <f>[1]!b_stm07_bs(K107,95,L107,1)</f>
        <v>498439012.43000001</v>
      </c>
      <c r="N138" s="54"/>
      <c r="O138" s="80"/>
      <c r="P138" s="131" t="s">
        <v>108</v>
      </c>
      <c r="Q138" s="124"/>
      <c r="R138" s="124"/>
      <c r="S138" s="137">
        <f>[1]!b_stm07_cs(K107,68,L107,1)</f>
        <v>12979125580.440001</v>
      </c>
      <c r="T138" s="135"/>
      <c r="U138" s="135"/>
    </row>
    <row r="139" spans="1:21" x14ac:dyDescent="0.25">
      <c r="L139" s="54" t="s">
        <v>109</v>
      </c>
      <c r="M139" s="81">
        <f>[1]!b_stm07_bs(K107,128,L107,1)</f>
        <v>25767447128.990002</v>
      </c>
      <c r="N139" s="14"/>
      <c r="O139" s="13"/>
      <c r="P139" s="131" t="s">
        <v>110</v>
      </c>
      <c r="Q139" s="124"/>
      <c r="R139" s="124"/>
      <c r="S139" s="136">
        <f>[1]!b_stm07_cs(K107,69,L107,1)</f>
        <v>17103049004.549999</v>
      </c>
      <c r="T139" s="135"/>
      <c r="U139" s="135"/>
    </row>
    <row r="140" spans="1:21" ht="21.6" customHeight="1" x14ac:dyDescent="0.25">
      <c r="L140" s="54" t="s">
        <v>111</v>
      </c>
      <c r="M140" s="81">
        <f>[1]!b_stm07_bs(K107,141,L107,1)</f>
        <v>25926679246.73</v>
      </c>
      <c r="N140" s="14"/>
      <c r="O140" s="13"/>
      <c r="P140" s="131" t="s">
        <v>112</v>
      </c>
      <c r="Q140" s="124"/>
      <c r="R140" s="124"/>
      <c r="S140" s="136">
        <f>[1]!b_stm07_cs(K107,75,L107,1)</f>
        <v>20714565139.25</v>
      </c>
      <c r="T140" s="135"/>
      <c r="U140" s="135"/>
    </row>
    <row r="141" spans="1:21" ht="21.6" customHeight="1" x14ac:dyDescent="0.25">
      <c r="L141" s="15" t="s">
        <v>113</v>
      </c>
      <c r="M141" s="81">
        <f>[1]!b_stm07_bs(K107,145,L107,1)</f>
        <v>51694126375.720001</v>
      </c>
      <c r="N141" s="14"/>
      <c r="O141" s="13"/>
      <c r="P141" s="131" t="s">
        <v>114</v>
      </c>
      <c r="Q141" s="124"/>
      <c r="R141" s="124"/>
      <c r="S141" s="137">
        <f>[1]!b_stm07_cs(K107,77,L107,1)</f>
        <v>-7735439558.8100004</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220</v>
      </c>
      <c r="C2" s="120"/>
      <c r="D2" s="57" t="s">
        <v>3</v>
      </c>
      <c r="E2" s="119" t="s">
        <v>221</v>
      </c>
      <c r="F2" s="120"/>
      <c r="G2" s="120"/>
    </row>
    <row r="3" spans="1:12" ht="14.25" customHeight="1" x14ac:dyDescent="0.25">
      <c r="A3" s="57" t="s">
        <v>4</v>
      </c>
      <c r="B3" s="119" t="s">
        <v>222</v>
      </c>
      <c r="C3" s="120"/>
      <c r="D3" s="57" t="s">
        <v>5</v>
      </c>
      <c r="E3" s="119" t="s">
        <v>223</v>
      </c>
      <c r="F3" s="120"/>
      <c r="G3" s="120"/>
    </row>
    <row r="4" spans="1:12" ht="113.25" customHeight="1" x14ac:dyDescent="0.25">
      <c r="A4" s="57" t="s">
        <v>6</v>
      </c>
      <c r="B4" s="121" t="s">
        <v>224</v>
      </c>
      <c r="C4" s="120"/>
      <c r="D4" s="120"/>
      <c r="E4" s="120"/>
      <c r="F4" s="120"/>
      <c r="G4" s="120"/>
    </row>
    <row r="5" spans="1:12" ht="14.4" x14ac:dyDescent="0.25">
      <c r="A5" s="82" t="s">
        <v>115</v>
      </c>
      <c r="B5" s="140" t="s">
        <v>225</v>
      </c>
      <c r="C5" s="120"/>
      <c r="D5" s="120"/>
      <c r="E5" s="120"/>
      <c r="F5" s="141">
        <v>0.99199996948242186</v>
      </c>
      <c r="G5" s="120"/>
    </row>
    <row r="6" spans="1:12" ht="11.25" customHeight="1" x14ac:dyDescent="0.25">
      <c r="A6" s="82" t="s">
        <v>116</v>
      </c>
      <c r="B6" s="140" t="s">
        <v>226</v>
      </c>
      <c r="C6" s="120"/>
      <c r="D6" s="120"/>
      <c r="E6" s="120"/>
      <c r="F6" s="141">
        <v>8.0000001192092902E-3</v>
      </c>
      <c r="G6" s="120"/>
    </row>
    <row r="7" spans="1:12" ht="11.25" customHeight="1" x14ac:dyDescent="0.25">
      <c r="A7" s="82" t="s">
        <v>117</v>
      </c>
      <c r="B7" s="140" t="s">
        <v>227</v>
      </c>
      <c r="C7" s="120"/>
      <c r="D7" s="120"/>
      <c r="E7" s="120"/>
      <c r="F7" s="141" t="s">
        <v>227</v>
      </c>
      <c r="G7" s="120"/>
    </row>
    <row r="8" spans="1:12" ht="11.25" customHeight="1" x14ac:dyDescent="0.25">
      <c r="A8" s="82" t="s">
        <v>118</v>
      </c>
      <c r="B8" s="140" t="s">
        <v>227</v>
      </c>
      <c r="C8" s="120"/>
      <c r="D8" s="120"/>
      <c r="E8" s="120"/>
      <c r="F8" s="141" t="s">
        <v>227</v>
      </c>
      <c r="G8" s="120"/>
    </row>
    <row r="9" spans="1:12" ht="11.25" customHeight="1" x14ac:dyDescent="0.25">
      <c r="A9" s="82" t="s">
        <v>119</v>
      </c>
      <c r="B9" s="140" t="s">
        <v>227</v>
      </c>
      <c r="C9" s="120"/>
      <c r="D9" s="120"/>
      <c r="E9" s="120"/>
      <c r="F9" s="141" t="s">
        <v>227</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6.5</v>
      </c>
      <c r="E13" s="64">
        <v>0.14246575342465753</v>
      </c>
      <c r="F13" s="65">
        <v>0</v>
      </c>
      <c r="G13" s="64">
        <v>3</v>
      </c>
    </row>
    <row r="14" spans="1:12" ht="14.4" customHeight="1" x14ac:dyDescent="0.25">
      <c r="A14" t="s">
        <v>124</v>
      </c>
      <c r="B14" t="s">
        <v>125</v>
      </c>
      <c r="C14" t="s">
        <v>126</v>
      </c>
      <c r="D14" s="64">
        <v>7.6</v>
      </c>
      <c r="E14" s="83">
        <v>0</v>
      </c>
      <c r="F14">
        <v>0</v>
      </c>
      <c r="G14" s="64">
        <v>10</v>
      </c>
    </row>
    <row r="15" spans="1:12" ht="14.4" customHeight="1" x14ac:dyDescent="0.25">
      <c r="A15" t="s">
        <v>127</v>
      </c>
      <c r="B15" t="s">
        <v>128</v>
      </c>
      <c r="C15" t="s">
        <v>129</v>
      </c>
      <c r="D15" s="64">
        <v>5.55</v>
      </c>
      <c r="E15" s="83">
        <v>0</v>
      </c>
      <c r="F15" t="s">
        <v>25</v>
      </c>
      <c r="G15" s="64">
        <v>15</v>
      </c>
    </row>
    <row r="16" spans="1:12" ht="14.4" customHeight="1" x14ac:dyDescent="0.25">
      <c r="A16" t="s">
        <v>130</v>
      </c>
      <c r="B16" t="s">
        <v>131</v>
      </c>
      <c r="C16" t="s">
        <v>132</v>
      </c>
      <c r="D16" s="64">
        <v>8.2899999999999991</v>
      </c>
      <c r="E16" s="83">
        <v>0</v>
      </c>
      <c r="F16" t="s">
        <v>25</v>
      </c>
      <c r="G16" s="64">
        <v>5</v>
      </c>
    </row>
    <row r="17" spans="1:7" ht="14.4" customHeight="1" x14ac:dyDescent="0.25">
      <c r="A17" t="s">
        <v>133</v>
      </c>
      <c r="B17" t="s">
        <v>131</v>
      </c>
      <c r="C17" t="s">
        <v>134</v>
      </c>
      <c r="D17" s="64">
        <v>8.2899999999999991</v>
      </c>
      <c r="E17" s="83">
        <v>0</v>
      </c>
      <c r="F17" t="s">
        <v>25</v>
      </c>
      <c r="G17" s="64">
        <v>5</v>
      </c>
    </row>
    <row r="18" spans="1:7" ht="14.4" customHeight="1" x14ac:dyDescent="0.25">
      <c r="A18" t="s">
        <v>135</v>
      </c>
      <c r="B18" t="s">
        <v>131</v>
      </c>
      <c r="C18" t="s">
        <v>136</v>
      </c>
      <c r="D18" s="64">
        <v>8.09</v>
      </c>
      <c r="E18" s="83">
        <v>0</v>
      </c>
      <c r="F18" t="s">
        <v>25</v>
      </c>
      <c r="G18" s="64">
        <v>5</v>
      </c>
    </row>
    <row r="19" spans="1:7" ht="14.4" customHeight="1" x14ac:dyDescent="0.25">
      <c r="A19" t="s">
        <v>137</v>
      </c>
      <c r="B19" t="s">
        <v>131</v>
      </c>
      <c r="C19" t="s">
        <v>138</v>
      </c>
      <c r="D19" s="64">
        <v>8.09</v>
      </c>
      <c r="E19" s="83">
        <v>0</v>
      </c>
      <c r="F19" t="s">
        <v>25</v>
      </c>
      <c r="G19" s="64">
        <v>5</v>
      </c>
    </row>
    <row r="20" spans="1:7" ht="14.4" customHeight="1" x14ac:dyDescent="0.25">
      <c r="D20" s="64"/>
      <c r="E20" s="83"/>
      <c r="G20" s="64"/>
    </row>
    <row r="21" spans="1:7" ht="14.4" customHeight="1" x14ac:dyDescent="0.25">
      <c r="D21" s="64"/>
      <c r="E21" s="83"/>
      <c r="G21" s="64"/>
    </row>
    <row r="22" spans="1:7" ht="14.4" customHeight="1" x14ac:dyDescent="0.25">
      <c r="D22" s="64"/>
      <c r="E22" s="83"/>
      <c r="G22" s="64"/>
    </row>
    <row r="23" spans="1:7" ht="14.4" customHeight="1" x14ac:dyDescent="0.25">
      <c r="D23" s="64"/>
      <c r="E23" s="83"/>
      <c r="G23" s="64"/>
    </row>
    <row r="24" spans="1:7" ht="14.4" customHeight="1" x14ac:dyDescent="0.25">
      <c r="D24" s="64"/>
      <c r="E24" s="83"/>
      <c r="G24" s="64"/>
    </row>
    <row r="25" spans="1:7" ht="14.4" customHeight="1" x14ac:dyDescent="0.25">
      <c r="A25" s="143" t="s">
        <v>139</v>
      </c>
      <c r="B25" s="143"/>
      <c r="C25" s="143"/>
      <c r="D25" s="143"/>
      <c r="E25" s="83"/>
      <c r="G25" s="64"/>
    </row>
    <row r="26" spans="1:7" ht="14.4" customHeight="1" x14ac:dyDescent="0.25">
      <c r="A26" s="84" t="s">
        <v>140</v>
      </c>
      <c r="B26" s="84" t="s">
        <v>141</v>
      </c>
      <c r="C26" s="84" t="s">
        <v>142</v>
      </c>
      <c r="D26" s="85" t="s">
        <v>143</v>
      </c>
      <c r="E26" s="83"/>
      <c r="G26" s="64"/>
    </row>
    <row r="27" spans="1:7" ht="14.4" customHeight="1" x14ac:dyDescent="0.25">
      <c r="A27" t="s">
        <v>144</v>
      </c>
      <c r="B27" t="s">
        <v>25</v>
      </c>
      <c r="C27" t="s">
        <v>145</v>
      </c>
      <c r="D27" s="64" t="s">
        <v>146</v>
      </c>
      <c r="E27" s="83"/>
      <c r="G27" s="64"/>
    </row>
    <row r="28" spans="1:7" ht="14.4" customHeight="1" x14ac:dyDescent="0.25">
      <c r="A28" t="s">
        <v>147</v>
      </c>
      <c r="B28" t="s">
        <v>25</v>
      </c>
      <c r="C28" t="s">
        <v>145</v>
      </c>
      <c r="D28" s="64" t="s">
        <v>146</v>
      </c>
      <c r="E28" s="83"/>
      <c r="G28" s="64"/>
    </row>
    <row r="29" spans="1:7" ht="14.4" customHeight="1" x14ac:dyDescent="0.25">
      <c r="A29" t="s">
        <v>148</v>
      </c>
      <c r="B29" t="s">
        <v>25</v>
      </c>
      <c r="C29" t="s">
        <v>145</v>
      </c>
      <c r="D29" s="64" t="s">
        <v>146</v>
      </c>
      <c r="E29" s="83"/>
      <c r="G29" s="64"/>
    </row>
    <row r="30" spans="1:7" ht="14.4" customHeight="1" x14ac:dyDescent="0.25">
      <c r="A30" t="s">
        <v>149</v>
      </c>
      <c r="B30" t="s">
        <v>150</v>
      </c>
      <c r="C30" t="s">
        <v>145</v>
      </c>
      <c r="D30" s="64" t="s">
        <v>146</v>
      </c>
      <c r="E30" s="83"/>
      <c r="G30" s="64"/>
    </row>
    <row r="31" spans="1:7" ht="14.4" customHeight="1" x14ac:dyDescent="0.25">
      <c r="A31" t="s">
        <v>151</v>
      </c>
      <c r="B31" t="s">
        <v>150</v>
      </c>
      <c r="C31" t="s">
        <v>145</v>
      </c>
      <c r="D31" s="64" t="s">
        <v>146</v>
      </c>
      <c r="E31" s="83"/>
      <c r="G31" s="64"/>
    </row>
    <row r="32" spans="1:7" ht="14.4" customHeight="1" x14ac:dyDescent="0.25">
      <c r="A32" t="s">
        <v>152</v>
      </c>
      <c r="B32" t="s">
        <v>150</v>
      </c>
      <c r="C32" t="s">
        <v>145</v>
      </c>
      <c r="D32" s="64" t="s">
        <v>146</v>
      </c>
      <c r="E32" s="83"/>
      <c r="G32" s="64"/>
    </row>
    <row r="33" spans="1:7" ht="14.4" customHeight="1" x14ac:dyDescent="0.25">
      <c r="A33" t="s">
        <v>153</v>
      </c>
      <c r="B33" t="s">
        <v>150</v>
      </c>
      <c r="C33" t="s">
        <v>145</v>
      </c>
      <c r="D33" s="64" t="s">
        <v>146</v>
      </c>
      <c r="E33" s="83"/>
      <c r="G33" s="64"/>
    </row>
    <row r="34" spans="1:7" ht="14.4" customHeight="1" x14ac:dyDescent="0.25">
      <c r="A34" t="s">
        <v>154</v>
      </c>
      <c r="B34" t="s">
        <v>150</v>
      </c>
      <c r="C34" t="s">
        <v>145</v>
      </c>
      <c r="D34" s="64" t="s">
        <v>146</v>
      </c>
      <c r="E34" s="83"/>
      <c r="G34" s="64"/>
    </row>
    <row r="35" spans="1:7" ht="14.4" customHeight="1" x14ac:dyDescent="0.25">
      <c r="A35" t="s">
        <v>155</v>
      </c>
      <c r="B35" t="s">
        <v>150</v>
      </c>
      <c r="C35" t="s">
        <v>145</v>
      </c>
      <c r="D35" s="64" t="s">
        <v>146</v>
      </c>
      <c r="E35" s="83"/>
      <c r="G35" s="64"/>
    </row>
    <row r="36" spans="1:7" ht="14.4" customHeight="1" x14ac:dyDescent="0.25">
      <c r="A36" t="s">
        <v>156</v>
      </c>
      <c r="B36" t="s">
        <v>150</v>
      </c>
      <c r="C36" t="s">
        <v>145</v>
      </c>
      <c r="D36" s="64" t="s">
        <v>146</v>
      </c>
      <c r="E36" s="83"/>
      <c r="G36" s="64"/>
    </row>
    <row r="37" spans="1:7" ht="14.4" customHeight="1" x14ac:dyDescent="0.25">
      <c r="A37" t="s">
        <v>157</v>
      </c>
      <c r="B37" t="s">
        <v>158</v>
      </c>
      <c r="C37" t="s">
        <v>145</v>
      </c>
      <c r="D37" s="64" t="s">
        <v>146</v>
      </c>
      <c r="E37" s="83"/>
      <c r="G37" s="64"/>
    </row>
    <row r="38" spans="1:7" ht="14.4" customHeight="1" x14ac:dyDescent="0.25">
      <c r="D38" s="64"/>
      <c r="E38" s="83"/>
      <c r="G38" s="64"/>
    </row>
    <row r="39" spans="1:7" ht="14.4" customHeight="1" x14ac:dyDescent="0.25">
      <c r="D39" s="64"/>
      <c r="E39" s="83"/>
      <c r="G39" s="64"/>
    </row>
    <row r="40" spans="1:7" ht="14.4" customHeight="1" x14ac:dyDescent="0.25">
      <c r="D40" s="64"/>
      <c r="E40" s="83"/>
      <c r="G40" s="64"/>
    </row>
    <row r="41" spans="1:7" ht="14.4" customHeight="1" x14ac:dyDescent="0.25">
      <c r="D41" s="64"/>
      <c r="E41" s="83"/>
      <c r="G41" s="64"/>
    </row>
    <row r="42" spans="1:7" ht="14.4" customHeight="1" x14ac:dyDescent="0.25">
      <c r="D42" s="64"/>
      <c r="E42" s="83"/>
      <c r="G42" s="64"/>
    </row>
    <row r="43" spans="1:7" ht="14.4" customHeight="1" x14ac:dyDescent="0.25">
      <c r="D43" s="64"/>
      <c r="E43" s="83"/>
      <c r="G43" s="64"/>
    </row>
    <row r="44" spans="1:7" ht="14.4" customHeight="1" x14ac:dyDescent="0.25">
      <c r="D44" s="64"/>
      <c r="E44" s="83"/>
      <c r="G44" s="64"/>
    </row>
    <row r="45" spans="1:7" ht="14.4" customHeight="1" x14ac:dyDescent="0.25">
      <c r="D45" s="64"/>
      <c r="E45" s="83"/>
      <c r="G45" s="64"/>
    </row>
    <row r="46" spans="1:7" ht="14.4" customHeight="1" x14ac:dyDescent="0.25">
      <c r="D46" s="64"/>
      <c r="E46" s="83"/>
      <c r="G46" s="64"/>
    </row>
    <row r="47" spans="1:7" ht="14.4" customHeight="1" x14ac:dyDescent="0.25">
      <c r="D47" s="64"/>
      <c r="E47" s="83"/>
      <c r="G47" s="64"/>
    </row>
    <row r="48" spans="1:7" ht="14.4" customHeight="1" x14ac:dyDescent="0.25">
      <c r="D48" s="64"/>
      <c r="E48" s="83"/>
      <c r="G48" s="64"/>
    </row>
    <row r="49" spans="4:7" ht="14.4" customHeight="1" x14ac:dyDescent="0.25">
      <c r="D49" s="64"/>
      <c r="E49" s="83"/>
      <c r="G49" s="64"/>
    </row>
    <row r="50" spans="4:7" ht="14.4" customHeight="1" x14ac:dyDescent="0.25">
      <c r="D50" s="64"/>
      <c r="E50" s="83"/>
      <c r="G50" s="64"/>
    </row>
    <row r="51" spans="4:7" ht="14.4" customHeight="1" x14ac:dyDescent="0.25">
      <c r="D51" s="64"/>
      <c r="E51" s="83"/>
      <c r="G51" s="64"/>
    </row>
    <row r="52" spans="4:7" ht="14.4" customHeight="1" x14ac:dyDescent="0.25">
      <c r="D52" s="64"/>
      <c r="E52" s="83"/>
      <c r="G52" s="64"/>
    </row>
    <row r="53" spans="4:7" ht="14.4" customHeight="1" x14ac:dyDescent="0.25">
      <c r="D53" s="64"/>
      <c r="E53" s="83"/>
      <c r="G53" s="64"/>
    </row>
    <row r="54" spans="4:7" ht="14.4" customHeight="1" x14ac:dyDescent="0.25">
      <c r="D54" s="64"/>
      <c r="E54" s="83"/>
      <c r="G54" s="64"/>
    </row>
    <row r="55" spans="4:7" ht="14.4" customHeight="1" x14ac:dyDescent="0.25">
      <c r="D55" s="64"/>
      <c r="E55" s="83"/>
      <c r="G55" s="64"/>
    </row>
    <row r="56" spans="4:7" ht="14.4" customHeight="1" x14ac:dyDescent="0.25">
      <c r="D56" s="64"/>
      <c r="E56" s="83"/>
      <c r="G56" s="64"/>
    </row>
    <row r="57" spans="4:7" ht="14.4" customHeight="1" x14ac:dyDescent="0.25">
      <c r="D57" s="64"/>
      <c r="E57" s="83"/>
      <c r="G57" s="64"/>
    </row>
    <row r="58" spans="4:7" ht="14.4" customHeight="1" x14ac:dyDescent="0.25">
      <c r="D58" s="64"/>
      <c r="E58" s="83"/>
      <c r="G58" s="64"/>
    </row>
    <row r="59" spans="4:7" ht="14.4" customHeight="1" x14ac:dyDescent="0.25">
      <c r="D59" s="64"/>
      <c r="E59" s="83"/>
      <c r="G59" s="64"/>
    </row>
    <row r="60" spans="4:7" ht="14.4" customHeight="1" x14ac:dyDescent="0.25">
      <c r="D60" s="64"/>
      <c r="E60" s="83"/>
      <c r="G60" s="64"/>
    </row>
    <row r="61" spans="4:7" ht="14.4" customHeight="1" x14ac:dyDescent="0.25">
      <c r="D61" s="64"/>
      <c r="E61" s="83"/>
      <c r="G61" s="64"/>
    </row>
    <row r="62" spans="4:7" ht="14.4" customHeight="1" x14ac:dyDescent="0.25">
      <c r="D62" s="64"/>
      <c r="E62" s="83"/>
      <c r="G62" s="64"/>
    </row>
    <row r="63" spans="4:7" ht="14.4" customHeight="1" x14ac:dyDescent="0.25">
      <c r="D63" s="64"/>
      <c r="E63" s="83"/>
      <c r="G63" s="64"/>
    </row>
    <row r="64" spans="4: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159</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25:D25"/>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0.49845999999999996</v>
      </c>
      <c r="C4" s="57" t="s">
        <v>36</v>
      </c>
      <c r="D4" s="87">
        <v>1.3461000000000001</v>
      </c>
      <c r="E4" s="57" t="s">
        <v>41</v>
      </c>
      <c r="F4" s="86">
        <v>0.80249999999999999</v>
      </c>
      <c r="G4" s="57" t="s">
        <v>42</v>
      </c>
      <c r="H4" s="86">
        <v>0.330266</v>
      </c>
      <c r="I4" s="57"/>
      <c r="J4" s="88"/>
    </row>
    <row r="5" spans="1:10" ht="15.75" customHeight="1" x14ac:dyDescent="0.25">
      <c r="A5" s="57" t="s">
        <v>62</v>
      </c>
      <c r="B5" s="86">
        <v>0.57298699999999991</v>
      </c>
      <c r="C5" s="57" t="s">
        <v>63</v>
      </c>
      <c r="D5" s="87">
        <v>1.1195999999999999</v>
      </c>
      <c r="E5" s="57" t="s">
        <v>64</v>
      </c>
      <c r="F5" s="87">
        <v>42.305700000000002</v>
      </c>
      <c r="G5" s="57" t="s">
        <v>65</v>
      </c>
      <c r="H5" s="86">
        <v>0.21487700000000001</v>
      </c>
      <c r="I5" s="57"/>
      <c r="J5" s="88"/>
    </row>
    <row r="6" spans="1:10" ht="15" customHeight="1" x14ac:dyDescent="0.25">
      <c r="A6" s="57" t="s">
        <v>66</v>
      </c>
      <c r="B6" s="86">
        <v>0.85396899999999998</v>
      </c>
      <c r="C6" s="57" t="s">
        <v>39</v>
      </c>
      <c r="D6" s="89">
        <v>0.64280000000000004</v>
      </c>
      <c r="E6" s="57" t="s">
        <v>67</v>
      </c>
      <c r="F6" s="87">
        <v>8.5350999999999999</v>
      </c>
      <c r="G6" s="57" t="s">
        <v>45</v>
      </c>
      <c r="H6" s="86">
        <v>0.548952</v>
      </c>
      <c r="I6" s="57"/>
      <c r="J6" s="88"/>
    </row>
    <row r="7" spans="1:10" ht="14.25" customHeight="1" x14ac:dyDescent="0.25">
      <c r="A7" s="57" t="s">
        <v>38</v>
      </c>
      <c r="B7" s="89">
        <v>0.35608254216915924</v>
      </c>
      <c r="C7" s="57" t="s">
        <v>68</v>
      </c>
      <c r="D7" s="89">
        <v>33.631</v>
      </c>
      <c r="E7" s="57" t="s">
        <v>69</v>
      </c>
      <c r="F7" s="87">
        <v>2.3237999999999999</v>
      </c>
      <c r="G7" s="57" t="s">
        <v>70</v>
      </c>
      <c r="H7" s="86">
        <v>0.28553099999999998</v>
      </c>
      <c r="I7" s="57"/>
      <c r="J7" s="88"/>
    </row>
    <row r="8" spans="1:10" x14ac:dyDescent="0.25">
      <c r="A8" s="57"/>
      <c r="B8" s="90"/>
      <c r="C8" s="57"/>
      <c r="D8" s="91"/>
      <c r="E8" s="57" t="s">
        <v>71</v>
      </c>
      <c r="F8" s="87">
        <v>1.3151999999999999</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63.327768947700008</v>
      </c>
      <c r="C12" s="57" t="s">
        <v>78</v>
      </c>
      <c r="D12" s="89">
        <v>677.27863525129999</v>
      </c>
      <c r="E12" s="147" t="s">
        <v>79</v>
      </c>
      <c r="F12" s="120"/>
      <c r="G12" s="120"/>
      <c r="H12" s="148">
        <v>543.53857465639999</v>
      </c>
      <c r="I12" s="120"/>
      <c r="J12" s="120"/>
    </row>
    <row r="13" spans="1:10" ht="14.25" customHeight="1" x14ac:dyDescent="0.25">
      <c r="A13" s="57" t="s">
        <v>80</v>
      </c>
      <c r="B13" s="92">
        <v>12.8173505701</v>
      </c>
      <c r="C13" s="57" t="s">
        <v>81</v>
      </c>
      <c r="D13" s="89">
        <v>533.78316950429996</v>
      </c>
      <c r="E13" s="147" t="s">
        <v>82</v>
      </c>
      <c r="F13" s="120"/>
      <c r="G13" s="120"/>
      <c r="H13" s="148">
        <v>64.464458232700011</v>
      </c>
      <c r="I13" s="120"/>
      <c r="J13" s="120"/>
    </row>
    <row r="14" spans="1:10" ht="14.25" customHeight="1" x14ac:dyDescent="0.25">
      <c r="A14" s="57" t="s">
        <v>83</v>
      </c>
      <c r="B14" s="92">
        <v>24.751864530399999</v>
      </c>
      <c r="C14" s="57" t="s">
        <v>84</v>
      </c>
      <c r="D14" s="89">
        <v>453.59648804910006</v>
      </c>
      <c r="E14" s="147" t="s">
        <v>85</v>
      </c>
      <c r="F14" s="120"/>
      <c r="G14" s="120"/>
      <c r="H14" s="148">
        <v>609.09260441729998</v>
      </c>
      <c r="I14" s="120"/>
      <c r="J14" s="120"/>
    </row>
    <row r="15" spans="1:10" ht="14.25" customHeight="1" x14ac:dyDescent="0.25">
      <c r="A15" s="57" t="s">
        <v>86</v>
      </c>
      <c r="B15" s="92">
        <v>145.74017308660001</v>
      </c>
      <c r="C15" s="57" t="s">
        <v>87</v>
      </c>
      <c r="D15" s="89">
        <v>4.9994686904000005</v>
      </c>
      <c r="E15" s="147" t="s">
        <v>88</v>
      </c>
      <c r="F15" s="120"/>
      <c r="G15" s="120"/>
      <c r="H15" s="148">
        <v>283.68566917819999</v>
      </c>
      <c r="I15" s="120"/>
      <c r="J15" s="120"/>
    </row>
    <row r="16" spans="1:10" ht="14.25" customHeight="1" x14ac:dyDescent="0.25">
      <c r="A16" s="57" t="s">
        <v>89</v>
      </c>
      <c r="B16" s="92">
        <v>11.677624546900001</v>
      </c>
      <c r="C16" s="57" t="s">
        <v>90</v>
      </c>
      <c r="D16" s="89">
        <v>38.674271483699997</v>
      </c>
      <c r="E16" s="147" t="s">
        <v>91</v>
      </c>
      <c r="F16" s="120"/>
      <c r="G16" s="120"/>
      <c r="H16" s="148">
        <v>88.685169075000005</v>
      </c>
      <c r="I16" s="120"/>
      <c r="J16" s="120"/>
    </row>
    <row r="17" spans="1:10" ht="14.25" customHeight="1" x14ac:dyDescent="0.25">
      <c r="A17" s="57" t="s">
        <v>92</v>
      </c>
      <c r="B17" s="92">
        <v>34.895310343600002</v>
      </c>
      <c r="C17" s="57" t="s">
        <v>93</v>
      </c>
      <c r="D17" s="89">
        <v>4.837087672</v>
      </c>
      <c r="E17" s="147" t="s">
        <v>94</v>
      </c>
      <c r="F17" s="120"/>
      <c r="G17" s="120"/>
      <c r="H17" s="148">
        <v>469.78443029379997</v>
      </c>
      <c r="I17" s="120"/>
      <c r="J17" s="120"/>
    </row>
    <row r="18" spans="1:10" ht="14.25" customHeight="1" x14ac:dyDescent="0.25">
      <c r="A18" s="57" t="s">
        <v>95</v>
      </c>
      <c r="B18" s="92">
        <v>516.94126375719998</v>
      </c>
      <c r="C18" s="57" t="s">
        <v>96</v>
      </c>
      <c r="D18" s="89">
        <v>145.53141906690001</v>
      </c>
      <c r="E18" s="147" t="s">
        <v>97</v>
      </c>
      <c r="F18" s="120"/>
      <c r="G18" s="120"/>
      <c r="H18" s="148">
        <v>139.30817412350001</v>
      </c>
      <c r="I18" s="120"/>
      <c r="J18" s="120"/>
    </row>
    <row r="19" spans="1:10" ht="14.25" customHeight="1" x14ac:dyDescent="0.25">
      <c r="A19" s="57" t="s">
        <v>98</v>
      </c>
      <c r="B19" s="92">
        <v>33.445137279699999</v>
      </c>
      <c r="C19" s="57" t="s">
        <v>99</v>
      </c>
      <c r="D19" s="89">
        <v>142.66961231089999</v>
      </c>
      <c r="E19" s="147" t="s">
        <v>100</v>
      </c>
      <c r="F19" s="120"/>
      <c r="G19" s="120"/>
      <c r="H19" s="148">
        <v>-61.276064169399994</v>
      </c>
      <c r="I19" s="120"/>
      <c r="J19" s="120"/>
    </row>
    <row r="20" spans="1:10" ht="27" customHeight="1" x14ac:dyDescent="0.25">
      <c r="A20" s="57" t="s">
        <v>101</v>
      </c>
      <c r="B20" s="92">
        <v>28.5299726782</v>
      </c>
      <c r="C20" s="57" t="s">
        <v>43</v>
      </c>
      <c r="D20" s="89">
        <v>102.62917658870001</v>
      </c>
      <c r="E20" s="147" t="s">
        <v>102</v>
      </c>
      <c r="F20" s="120"/>
      <c r="G20" s="120"/>
      <c r="H20" s="148">
        <v>3.2797613999999999</v>
      </c>
      <c r="I20" s="120"/>
      <c r="J20" s="120"/>
    </row>
    <row r="21" spans="1:10" ht="16.5" customHeight="1" x14ac:dyDescent="0.25">
      <c r="A21" s="57" t="s">
        <v>103</v>
      </c>
      <c r="B21" s="92">
        <v>0</v>
      </c>
      <c r="C21" s="57"/>
      <c r="D21" s="93"/>
      <c r="E21" s="147" t="s">
        <v>104</v>
      </c>
      <c r="F21" s="120"/>
      <c r="G21" s="120"/>
      <c r="H21" s="148">
        <v>126.51149440440001</v>
      </c>
      <c r="I21" s="120"/>
      <c r="J21" s="120"/>
    </row>
    <row r="22" spans="1:10" ht="14.25" customHeight="1" x14ac:dyDescent="0.25">
      <c r="A22" s="57" t="s">
        <v>105</v>
      </c>
      <c r="B22" s="92">
        <v>23.938955448400002</v>
      </c>
      <c r="C22" s="57"/>
      <c r="D22" s="93"/>
      <c r="E22" s="147" t="s">
        <v>106</v>
      </c>
      <c r="F22" s="120"/>
      <c r="G22" s="120"/>
      <c r="H22" s="148">
        <v>0</v>
      </c>
      <c r="I22" s="120"/>
      <c r="J22" s="120"/>
    </row>
    <row r="23" spans="1:10" ht="14.25" customHeight="1" x14ac:dyDescent="0.25">
      <c r="A23" s="57" t="s">
        <v>107</v>
      </c>
      <c r="B23" s="92">
        <v>4.9843901242999999</v>
      </c>
      <c r="C23" s="57"/>
      <c r="D23" s="93"/>
      <c r="E23" s="147" t="s">
        <v>108</v>
      </c>
      <c r="F23" s="120"/>
      <c r="G23" s="120"/>
      <c r="H23" s="148">
        <v>129.79125580440001</v>
      </c>
      <c r="I23" s="120"/>
      <c r="J23" s="120"/>
    </row>
    <row r="24" spans="1:10" ht="14.25" customHeight="1" x14ac:dyDescent="0.25">
      <c r="A24" s="57" t="s">
        <v>109</v>
      </c>
      <c r="B24" s="92">
        <v>257.6744712899</v>
      </c>
      <c r="C24" s="94"/>
      <c r="D24" s="91"/>
      <c r="E24" s="147" t="s">
        <v>110</v>
      </c>
      <c r="F24" s="120"/>
      <c r="G24" s="120"/>
      <c r="H24" s="148">
        <v>171.03049004549999</v>
      </c>
      <c r="I24" s="120"/>
      <c r="J24" s="120"/>
    </row>
    <row r="25" spans="1:10" ht="14.25" customHeight="1" x14ac:dyDescent="0.25">
      <c r="A25" s="57" t="s">
        <v>111</v>
      </c>
      <c r="B25" s="92">
        <v>259.26679246729998</v>
      </c>
      <c r="C25" s="94"/>
      <c r="D25" s="91"/>
      <c r="E25" s="147" t="s">
        <v>112</v>
      </c>
      <c r="F25" s="120"/>
      <c r="G25" s="120"/>
      <c r="H25" s="148">
        <v>207.14565139250001</v>
      </c>
      <c r="I25" s="120"/>
      <c r="J25" s="120"/>
    </row>
    <row r="26" spans="1:10" ht="14.25" customHeight="1" x14ac:dyDescent="0.25">
      <c r="A26" s="95" t="s">
        <v>113</v>
      </c>
      <c r="B26" s="92">
        <v>516.94126375719998</v>
      </c>
      <c r="C26" s="94"/>
      <c r="D26" s="91"/>
      <c r="E26" s="147" t="s">
        <v>114</v>
      </c>
      <c r="F26" s="120"/>
      <c r="G26" s="120"/>
      <c r="H26" s="148">
        <v>-77.354395588100004</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160</v>
      </c>
      <c r="B1" s="124"/>
      <c r="C1" s="124"/>
      <c r="D1" s="124"/>
      <c r="E1" s="124"/>
      <c r="F1" s="124"/>
      <c r="G1" s="124"/>
      <c r="H1" s="124"/>
      <c r="I1" s="124"/>
    </row>
    <row r="2" spans="1:10" ht="46.5" customHeight="1" x14ac:dyDescent="0.25">
      <c r="A2" s="54" t="s">
        <v>22</v>
      </c>
      <c r="B2" s="43" t="s">
        <v>220</v>
      </c>
      <c r="C2" s="43" t="s">
        <v>161</v>
      </c>
      <c r="D2" s="43" t="s">
        <v>228</v>
      </c>
      <c r="E2" s="43" t="s">
        <v>177</v>
      </c>
      <c r="F2" s="43" t="s">
        <v>229</v>
      </c>
      <c r="G2" s="43" t="s">
        <v>230</v>
      </c>
      <c r="H2" s="43" t="s">
        <v>231</v>
      </c>
      <c r="I2" s="43" t="s">
        <v>232</v>
      </c>
      <c r="J2" s="43" t="s">
        <v>233</v>
      </c>
    </row>
    <row r="3" spans="1:10" x14ac:dyDescent="0.25">
      <c r="A3" s="54" t="s">
        <v>24</v>
      </c>
      <c r="B3" s="97" t="s">
        <v>25</v>
      </c>
      <c r="C3" s="98" t="s">
        <v>162</v>
      </c>
      <c r="D3" s="97" t="s">
        <v>25</v>
      </c>
      <c r="E3" s="97" t="s">
        <v>25</v>
      </c>
      <c r="F3" s="97" t="s">
        <v>25</v>
      </c>
      <c r="G3" s="97" t="s">
        <v>25</v>
      </c>
      <c r="H3" s="97" t="s">
        <v>25</v>
      </c>
      <c r="I3" s="97" t="s">
        <v>25</v>
      </c>
      <c r="J3" s="97" t="s">
        <v>25</v>
      </c>
    </row>
    <row r="4" spans="1:10" s="7" customFormat="1" ht="21.6" x14ac:dyDescent="0.25">
      <c r="A4" s="9" t="s">
        <v>3</v>
      </c>
      <c r="B4" s="99" t="s">
        <v>221</v>
      </c>
      <c r="C4" s="98" t="s">
        <v>162</v>
      </c>
      <c r="D4" s="99" t="s">
        <v>234</v>
      </c>
      <c r="E4" s="99" t="s">
        <v>221</v>
      </c>
      <c r="F4" s="99" t="s">
        <v>234</v>
      </c>
      <c r="G4" s="99" t="s">
        <v>235</v>
      </c>
      <c r="H4" s="99" t="s">
        <v>235</v>
      </c>
      <c r="I4" s="99" t="s">
        <v>235</v>
      </c>
      <c r="J4" s="99" t="s">
        <v>235</v>
      </c>
    </row>
    <row r="5" spans="1:10" s="7" customFormat="1" x14ac:dyDescent="0.25">
      <c r="A5" s="9" t="s">
        <v>29</v>
      </c>
      <c r="B5" s="100" t="s">
        <v>30</v>
      </c>
      <c r="C5" s="98" t="s">
        <v>162</v>
      </c>
      <c r="D5" s="100" t="s">
        <v>30</v>
      </c>
      <c r="E5" s="100" t="s">
        <v>30</v>
      </c>
      <c r="F5" s="100" t="s">
        <v>30</v>
      </c>
      <c r="G5" s="100" t="s">
        <v>30</v>
      </c>
      <c r="H5" s="100" t="s">
        <v>30</v>
      </c>
      <c r="I5" s="100" t="s">
        <v>30</v>
      </c>
      <c r="J5" s="100" t="s">
        <v>30</v>
      </c>
    </row>
    <row r="6" spans="1:10" x14ac:dyDescent="0.25">
      <c r="A6" s="54" t="s">
        <v>32</v>
      </c>
      <c r="B6" s="101">
        <v>516.94126375719998</v>
      </c>
      <c r="C6" s="98">
        <v>958.45956551488587</v>
      </c>
      <c r="D6" s="101">
        <v>490.32653529300001</v>
      </c>
      <c r="E6" s="101">
        <v>377.35444348850001</v>
      </c>
      <c r="F6" s="101">
        <v>170.7861409395</v>
      </c>
      <c r="G6" s="101">
        <v>1035.697636629</v>
      </c>
      <c r="H6" s="101">
        <v>1110.9240953232002</v>
      </c>
      <c r="I6" s="101">
        <v>1747.0051801666</v>
      </c>
      <c r="J6" s="101">
        <v>1777.1229267644001</v>
      </c>
    </row>
    <row r="7" spans="1:10" x14ac:dyDescent="0.25">
      <c r="A7" s="54" t="s">
        <v>34</v>
      </c>
      <c r="B7" s="44">
        <v>0.49845999999999996</v>
      </c>
      <c r="C7" s="98">
        <v>0.70424685714285717</v>
      </c>
      <c r="D7" s="44">
        <v>0.57944899999999999</v>
      </c>
      <c r="E7" s="44">
        <v>0.58771399999999996</v>
      </c>
      <c r="F7" s="44">
        <v>0.57697200000000004</v>
      </c>
      <c r="G7" s="44">
        <v>0.84972899999999996</v>
      </c>
      <c r="H7" s="44">
        <v>0.74091099999999999</v>
      </c>
      <c r="I7" s="44">
        <v>0.80507999999999991</v>
      </c>
      <c r="J7" s="44">
        <v>0.78987300000000005</v>
      </c>
    </row>
    <row r="8" spans="1:10" x14ac:dyDescent="0.25">
      <c r="A8" s="54" t="s">
        <v>36</v>
      </c>
      <c r="B8" s="101">
        <v>1.3461000000000001</v>
      </c>
      <c r="C8" s="98">
        <v>0.79045714285714286</v>
      </c>
      <c r="D8" s="101">
        <v>1.0289999999999999</v>
      </c>
      <c r="E8" s="101">
        <v>0.66100000000000003</v>
      </c>
      <c r="F8" s="101">
        <v>0.85419999999999996</v>
      </c>
      <c r="G8" s="101">
        <v>0.73370000000000002</v>
      </c>
      <c r="H8" s="101">
        <v>0.45569999999999999</v>
      </c>
      <c r="I8" s="101">
        <v>0.58960000000000001</v>
      </c>
      <c r="J8" s="101">
        <v>1.21</v>
      </c>
    </row>
    <row r="9" spans="1:10" x14ac:dyDescent="0.25">
      <c r="A9" s="54" t="s">
        <v>38</v>
      </c>
      <c r="B9" s="97">
        <v>0.35608254216915924</v>
      </c>
      <c r="C9" s="98">
        <v>1.6842828624575243</v>
      </c>
      <c r="D9" s="97">
        <v>0.79031676132637529</v>
      </c>
      <c r="E9" s="97">
        <v>0.45299369065722012</v>
      </c>
      <c r="F9" s="97">
        <v>0.8328349659279074</v>
      </c>
      <c r="G9" s="97">
        <v>3.8343080463769592</v>
      </c>
      <c r="H9" s="97">
        <v>1.910350921517614</v>
      </c>
      <c r="I9" s="97">
        <v>1.598881614611398</v>
      </c>
      <c r="J9" s="97">
        <v>2.3702940367851961</v>
      </c>
    </row>
    <row r="10" spans="1:10" ht="21.6" customHeight="1" x14ac:dyDescent="0.25">
      <c r="A10" s="54" t="s">
        <v>39</v>
      </c>
      <c r="B10" s="101">
        <v>0.64280000000000004</v>
      </c>
      <c r="C10" s="98">
        <v>0.11402857142857144</v>
      </c>
      <c r="D10" s="101">
        <v>0.1148</v>
      </c>
      <c r="E10" s="101">
        <v>0.26029999999999998</v>
      </c>
      <c r="F10" s="101">
        <v>0.1389</v>
      </c>
      <c r="G10" s="101">
        <v>6.6400000000000001E-2</v>
      </c>
      <c r="H10" s="101">
        <v>7.8399999999999997E-2</v>
      </c>
      <c r="I10" s="101">
        <v>6.25E-2</v>
      </c>
      <c r="J10" s="101">
        <v>7.6899999999999996E-2</v>
      </c>
    </row>
    <row r="11" spans="1:10" x14ac:dyDescent="0.25">
      <c r="A11" s="54" t="s">
        <v>40</v>
      </c>
      <c r="B11" s="101">
        <v>677.27863525129999</v>
      </c>
      <c r="C11" s="98">
        <v>513.23141763022863</v>
      </c>
      <c r="D11" s="101">
        <v>412.66372331970001</v>
      </c>
      <c r="E11" s="101">
        <v>376.00664145809998</v>
      </c>
      <c r="F11" s="101">
        <v>143.1025915404</v>
      </c>
      <c r="G11" s="101">
        <v>421.14747805970001</v>
      </c>
      <c r="H11" s="101">
        <v>874.36517242100001</v>
      </c>
      <c r="I11" s="101">
        <v>682.30788989300004</v>
      </c>
      <c r="J11" s="101">
        <v>683.0264267197</v>
      </c>
    </row>
    <row r="12" spans="1:10" s="7" customFormat="1" x14ac:dyDescent="0.25">
      <c r="A12" s="9" t="s">
        <v>41</v>
      </c>
      <c r="B12" s="45">
        <v>0.80249999999999999</v>
      </c>
      <c r="C12" s="98">
        <v>0.90334285714285723</v>
      </c>
      <c r="D12" s="45">
        <v>0.82299999999999995</v>
      </c>
      <c r="E12" s="45">
        <v>0.84570000000000012</v>
      </c>
      <c r="F12" s="45">
        <v>0.65790000000000004</v>
      </c>
      <c r="G12" s="45">
        <v>1.069</v>
      </c>
      <c r="H12" s="45">
        <v>1.0351999999999999</v>
      </c>
      <c r="I12" s="45">
        <v>1.0371999999999999</v>
      </c>
      <c r="J12" s="45">
        <v>0.85540000000000005</v>
      </c>
    </row>
    <row r="13" spans="1:10" s="7" customFormat="1" x14ac:dyDescent="0.25">
      <c r="A13" s="9" t="s">
        <v>42</v>
      </c>
      <c r="B13" s="45">
        <v>0.330266</v>
      </c>
      <c r="C13" s="98">
        <v>0.13976185714285713</v>
      </c>
      <c r="D13" s="45">
        <v>0.10799300000000001</v>
      </c>
      <c r="E13" s="45">
        <v>0.163415</v>
      </c>
      <c r="F13" s="45">
        <v>9.9991999999999998E-2</v>
      </c>
      <c r="G13" s="45">
        <v>0.13685700000000001</v>
      </c>
      <c r="H13" s="45">
        <v>0.113093</v>
      </c>
      <c r="I13" s="45">
        <v>0.17257600000000001</v>
      </c>
      <c r="J13" s="45">
        <v>0.18440699999999999</v>
      </c>
    </row>
    <row r="14" spans="1:10" s="7" customFormat="1" x14ac:dyDescent="0.25">
      <c r="A14" s="9" t="s">
        <v>43</v>
      </c>
      <c r="B14" s="102">
        <v>102.62917658870001</v>
      </c>
      <c r="C14" s="98">
        <v>14.090527687557143</v>
      </c>
      <c r="D14" s="102">
        <v>10.6563331507</v>
      </c>
      <c r="E14" s="102">
        <v>34.006877453000001</v>
      </c>
      <c r="F14" s="102">
        <v>4.3052746357</v>
      </c>
      <c r="G14" s="102">
        <v>2.0413918467999999</v>
      </c>
      <c r="H14" s="102">
        <v>3.3068316133999995</v>
      </c>
      <c r="I14" s="102">
        <v>1.2481112179</v>
      </c>
      <c r="J14" s="102">
        <v>43.068873895400003</v>
      </c>
    </row>
    <row r="15" spans="1:10" x14ac:dyDescent="0.25">
      <c r="A15" s="54" t="s">
        <v>45</v>
      </c>
      <c r="B15" s="44">
        <v>0.548952</v>
      </c>
      <c r="C15" s="98">
        <v>4.9964857142857144E-2</v>
      </c>
      <c r="D15" s="44">
        <v>5.9043999999999999E-2</v>
      </c>
      <c r="E15" s="44">
        <v>0.34904000000000002</v>
      </c>
      <c r="F15" s="44">
        <v>6.0235999999999998E-2</v>
      </c>
      <c r="G15" s="44">
        <v>-1.6886000000000002E-2</v>
      </c>
      <c r="H15" s="44">
        <v>7.1660000000000005E-3</v>
      </c>
      <c r="I15" s="44">
        <v>-0.15990299999999999</v>
      </c>
      <c r="J15" s="44">
        <v>5.1056999999999998E-2</v>
      </c>
    </row>
    <row r="16" spans="1:10" s="7" customFormat="1" ht="25.8" customHeight="1" x14ac:dyDescent="0.25">
      <c r="A16" s="9" t="s">
        <v>46</v>
      </c>
      <c r="B16" s="102">
        <v>139.30817412350001</v>
      </c>
      <c r="C16" s="98">
        <v>8.224372393085714</v>
      </c>
      <c r="D16" s="102">
        <v>36.842584005200003</v>
      </c>
      <c r="E16" s="102">
        <v>23.612662752600002</v>
      </c>
      <c r="F16" s="102">
        <v>22.0889353462</v>
      </c>
      <c r="G16" s="102">
        <v>31.0277411834</v>
      </c>
      <c r="H16" s="102">
        <v>42.730699867199995</v>
      </c>
      <c r="I16" s="102">
        <v>72.814359716300004</v>
      </c>
      <c r="J16" s="102">
        <v>-171.54637611929999</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163</v>
      </c>
      <c r="B1" s="124"/>
      <c r="C1" s="124"/>
      <c r="D1" s="124"/>
      <c r="E1" s="124"/>
      <c r="F1" s="124"/>
    </row>
    <row r="2" spans="1:6" x14ac:dyDescent="0.25">
      <c r="A2" s="51" t="s">
        <v>164</v>
      </c>
      <c r="B2" s="50" t="s">
        <v>165</v>
      </c>
      <c r="C2" s="50" t="s">
        <v>166</v>
      </c>
      <c r="D2" s="50" t="s">
        <v>167</v>
      </c>
      <c r="E2" s="50" t="s">
        <v>143</v>
      </c>
      <c r="F2" s="50" t="s">
        <v>168</v>
      </c>
    </row>
    <row r="3" spans="1:6" ht="48" customHeight="1" x14ac:dyDescent="0.25">
      <c r="A3" s="104">
        <v>43294</v>
      </c>
      <c r="B3" s="52" t="s">
        <v>169</v>
      </c>
      <c r="C3" s="105" t="s">
        <v>170</v>
      </c>
      <c r="D3" s="105"/>
      <c r="E3" s="52" t="s">
        <v>171</v>
      </c>
      <c r="F3" s="105" t="s">
        <v>172</v>
      </c>
    </row>
    <row r="4" spans="1:6" ht="49.5" customHeight="1" x14ac:dyDescent="0.25">
      <c r="A4" s="104">
        <v>43266</v>
      </c>
      <c r="B4" s="52" t="s">
        <v>173</v>
      </c>
      <c r="C4" s="105" t="s">
        <v>170</v>
      </c>
      <c r="D4" s="105"/>
      <c r="E4" s="52" t="s">
        <v>146</v>
      </c>
      <c r="F4" s="105" t="s">
        <v>174</v>
      </c>
    </row>
    <row r="5" spans="1:6" ht="57" x14ac:dyDescent="0.25">
      <c r="A5" s="104">
        <v>43234</v>
      </c>
      <c r="B5" s="52" t="s">
        <v>175</v>
      </c>
      <c r="C5" s="105" t="s">
        <v>170</v>
      </c>
      <c r="D5" s="105"/>
      <c r="E5" s="52" t="s">
        <v>146</v>
      </c>
      <c r="F5" s="105" t="s">
        <v>176</v>
      </c>
    </row>
    <row r="6" spans="1:6" ht="45.6" x14ac:dyDescent="0.25">
      <c r="A6" s="104">
        <v>43203</v>
      </c>
      <c r="B6" s="52" t="s">
        <v>177</v>
      </c>
      <c r="C6" s="105" t="s">
        <v>178</v>
      </c>
      <c r="D6" s="105"/>
      <c r="E6" s="52" t="s">
        <v>179</v>
      </c>
      <c r="F6" s="105" t="s">
        <v>180</v>
      </c>
    </row>
    <row r="7" spans="1:6" ht="45.6" x14ac:dyDescent="0.25">
      <c r="A7" s="104">
        <v>43202</v>
      </c>
      <c r="B7" s="52" t="s">
        <v>181</v>
      </c>
      <c r="C7" s="105" t="s">
        <v>182</v>
      </c>
      <c r="D7" s="105"/>
      <c r="E7" s="52"/>
      <c r="F7" s="105" t="s">
        <v>183</v>
      </c>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3" spans="1:6" x14ac:dyDescent="0.25">
      <c r="A23" s="143" t="s">
        <v>184</v>
      </c>
      <c r="B23" s="143"/>
      <c r="C23" s="143"/>
      <c r="D23" s="143"/>
      <c r="E23" s="143"/>
      <c r="F23" s="143"/>
    </row>
    <row r="24" spans="1:6" x14ac:dyDescent="0.25">
      <c r="A24" s="84" t="s">
        <v>164</v>
      </c>
      <c r="B24" s="84" t="s">
        <v>165</v>
      </c>
      <c r="C24" s="84" t="s">
        <v>185</v>
      </c>
      <c r="D24" s="84" t="s">
        <v>186</v>
      </c>
      <c r="E24" s="84" t="s">
        <v>143</v>
      </c>
      <c r="F24" s="84" t="s">
        <v>168</v>
      </c>
    </row>
    <row r="25" spans="1:6" x14ac:dyDescent="0.25">
      <c r="A25" s="107">
        <v>43273</v>
      </c>
      <c r="B25" s="58" t="s">
        <v>187</v>
      </c>
      <c r="C25" s="108" t="s">
        <v>188</v>
      </c>
      <c r="D25" s="108"/>
      <c r="E25" s="58" t="s">
        <v>189</v>
      </c>
      <c r="F25" s="108" t="s">
        <v>190</v>
      </c>
    </row>
    <row r="26" spans="1:6" x14ac:dyDescent="0.25">
      <c r="A26" s="107">
        <v>43241</v>
      </c>
      <c r="B26" s="58" t="s">
        <v>191</v>
      </c>
      <c r="C26" s="108" t="s">
        <v>192</v>
      </c>
      <c r="D26" s="108"/>
      <c r="E26" s="58" t="s">
        <v>193</v>
      </c>
      <c r="F26" s="108" t="s">
        <v>194</v>
      </c>
    </row>
  </sheetData>
  <mergeCells count="2">
    <mergeCell ref="A1:F1"/>
    <mergeCell ref="A23:F2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195</v>
      </c>
      <c r="B1" s="124"/>
      <c r="C1" s="124"/>
      <c r="D1" s="124"/>
      <c r="E1" s="124"/>
      <c r="F1" s="124"/>
      <c r="G1" s="124"/>
      <c r="H1" s="124"/>
      <c r="I1" s="124"/>
      <c r="J1" s="124"/>
      <c r="K1" s="124"/>
      <c r="L1" s="124"/>
      <c r="M1" s="124"/>
      <c r="N1" s="124"/>
    </row>
    <row r="2" spans="1:18" s="1" customFormat="1" ht="25.5" customHeight="1" x14ac:dyDescent="0.25">
      <c r="A2" s="55" t="s">
        <v>196</v>
      </c>
      <c r="B2" s="55" t="s">
        <v>197</v>
      </c>
      <c r="C2" s="55" t="s">
        <v>198</v>
      </c>
      <c r="D2" s="55" t="s">
        <v>199</v>
      </c>
      <c r="E2" s="55" t="s">
        <v>200</v>
      </c>
      <c r="F2" s="55" t="s">
        <v>201</v>
      </c>
      <c r="G2" s="55" t="s">
        <v>202</v>
      </c>
      <c r="H2" s="55" t="s">
        <v>16</v>
      </c>
      <c r="I2" s="55" t="s">
        <v>203</v>
      </c>
      <c r="J2" s="55" t="s">
        <v>204</v>
      </c>
      <c r="K2" s="55" t="s">
        <v>205</v>
      </c>
      <c r="L2" s="55" t="s">
        <v>206</v>
      </c>
      <c r="M2" s="55" t="s">
        <v>19</v>
      </c>
      <c r="N2" s="55" t="s">
        <v>207</v>
      </c>
      <c r="O2" s="3"/>
      <c r="P2" s="110" t="str">
        <f ca="1">Q2</f>
        <v>2019-04-09</v>
      </c>
      <c r="Q2" s="1" t="str">
        <f ca="1">[1]!td(R2-1)</f>
        <v>2019-04-09</v>
      </c>
      <c r="R2" s="3">
        <f ca="1">TODAY()</f>
        <v>43565</v>
      </c>
    </row>
    <row r="3" spans="1:18" ht="15.75" customHeight="1" x14ac:dyDescent="0.25">
      <c r="A3" s="111" t="str">
        <f>[1]!b_info_name(L3)</f>
        <v>19辽方大MTN001</v>
      </c>
      <c r="B3" s="2" t="str">
        <f>[1]!b_issue_firstissue(L3)</f>
        <v>2019-04-11</v>
      </c>
      <c r="C3" s="111">
        <f>[1]!b_info_term(L3)</f>
        <v>5</v>
      </c>
      <c r="D3" s="112" t="str">
        <f>[1]!issuerrating(L3)</f>
        <v>AA+</v>
      </c>
      <c r="E3" s="112" t="str">
        <f>[1]!b_info_creditrating(L3)</f>
        <v>AA+</v>
      </c>
      <c r="F3" s="111" t="str">
        <f>[1]!b_rate_creditratingagency(L3)</f>
        <v>中诚信国际信用评级有限责任公司</v>
      </c>
      <c r="G3" s="113">
        <f>[1]!b_agency_guarantor(L3)</f>
        <v>0</v>
      </c>
      <c r="H3" s="114" t="s">
        <v>208</v>
      </c>
      <c r="I3" s="66"/>
      <c r="J3" s="115" t="s">
        <v>208</v>
      </c>
      <c r="K3" s="116"/>
      <c r="L3" s="41" t="str">
        <f>公式页!A2</f>
        <v>q19040912.IB</v>
      </c>
      <c r="M3" s="114" t="s">
        <v>208</v>
      </c>
      <c r="N3" s="111" t="str">
        <f>[1]!b_agency_leadunderwriter(L3)</f>
        <v>中国银河证券股份有限公司,中国民生银行股份有限公司</v>
      </c>
      <c r="P3" s="109" t="str">
        <f t="shared" ref="P3:P29" ca="1" si="0">$P$2</f>
        <v>2019-04-09</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3.6543999999999999</v>
      </c>
      <c r="K4" s="116">
        <f>K3</f>
        <v>0</v>
      </c>
      <c r="L4" s="4" t="s">
        <v>209</v>
      </c>
      <c r="M4" s="114">
        <f>[1]!b_info_issueamount(L4)/100000000</f>
        <v>5</v>
      </c>
      <c r="N4" s="111" t="str">
        <f>[1]!b_agency_leadunderwriter(L4)</f>
        <v>上海浦东发展银行股份有限公司,中国国际金融股份有限公司</v>
      </c>
      <c r="P4" s="109" t="str">
        <f t="shared" ca="1" si="0"/>
        <v>2019-04-09</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2019-04-09</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2019-04-09</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2019-04-09</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2019-04-09</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2019-04-09</v>
      </c>
    </row>
    <row r="10" spans="1:18" x14ac:dyDescent="0.25">
      <c r="P10" s="109" t="str">
        <f t="shared" ca="1" si="0"/>
        <v>2019-04-09</v>
      </c>
    </row>
    <row r="11" spans="1:18" x14ac:dyDescent="0.25">
      <c r="P11" s="109" t="str">
        <f t="shared" ca="1" si="0"/>
        <v>2019-04-09</v>
      </c>
    </row>
    <row r="12" spans="1:18" x14ac:dyDescent="0.25">
      <c r="A12" s="150" t="s">
        <v>210</v>
      </c>
      <c r="B12" s="124"/>
      <c r="C12" s="124"/>
      <c r="D12" s="124"/>
      <c r="E12" s="124"/>
      <c r="F12" s="124"/>
      <c r="G12" s="124"/>
      <c r="H12" s="124"/>
      <c r="I12" s="124"/>
      <c r="J12" s="124"/>
      <c r="K12" s="124"/>
      <c r="L12" s="124"/>
      <c r="M12" s="124"/>
      <c r="N12" s="124"/>
      <c r="P12" s="109" t="str">
        <f t="shared" ca="1" si="0"/>
        <v>2019-04-09</v>
      </c>
    </row>
    <row r="13" spans="1:18" s="1" customFormat="1" ht="43.2" customHeight="1" x14ac:dyDescent="0.25">
      <c r="A13" s="55" t="s">
        <v>196</v>
      </c>
      <c r="B13" s="55" t="s">
        <v>197</v>
      </c>
      <c r="C13" s="55" t="s">
        <v>198</v>
      </c>
      <c r="D13" s="55" t="s">
        <v>199</v>
      </c>
      <c r="E13" s="55" t="s">
        <v>200</v>
      </c>
      <c r="F13" s="55" t="s">
        <v>201</v>
      </c>
      <c r="G13" s="55" t="s">
        <v>202</v>
      </c>
      <c r="H13" s="55" t="s">
        <v>16</v>
      </c>
      <c r="I13" s="55" t="s">
        <v>203</v>
      </c>
      <c r="J13" s="55" t="s">
        <v>204</v>
      </c>
      <c r="K13" s="55" t="s">
        <v>205</v>
      </c>
      <c r="L13" s="55" t="s">
        <v>206</v>
      </c>
      <c r="M13" s="55" t="s">
        <v>19</v>
      </c>
      <c r="N13" s="55" t="s">
        <v>207</v>
      </c>
      <c r="P13" s="109" t="str">
        <f t="shared" ca="1" si="0"/>
        <v>2019-04-09</v>
      </c>
    </row>
    <row r="14" spans="1:18" ht="15.75" customHeight="1" x14ac:dyDescent="0.25">
      <c r="A14" s="111" t="str">
        <f>[1]!b_info_name(L14)</f>
        <v>19辽方大MTN001</v>
      </c>
      <c r="B14" s="2" t="str">
        <f>[1]!b_issue_firstissue(L14)</f>
        <v>2019-04-11</v>
      </c>
      <c r="C14" s="111">
        <f>[1]!b_info_term(L14)</f>
        <v>5</v>
      </c>
      <c r="D14" s="112" t="str">
        <f>[1]!issuerrating(L14)</f>
        <v>AA+</v>
      </c>
      <c r="E14" s="112" t="str">
        <f>[1]!b_info_creditrating(L14)</f>
        <v>AA+</v>
      </c>
      <c r="F14" s="111" t="str">
        <f>[1]!b_rate_creditratingagency(L14)</f>
        <v>中诚信国际信用评级有限责任公司</v>
      </c>
      <c r="G14" s="113">
        <f>[1]!b_agency_guarantor(L14)</f>
        <v>0</v>
      </c>
      <c r="H14" s="114" t="s">
        <v>208</v>
      </c>
      <c r="I14" s="66"/>
      <c r="J14" s="115" t="s">
        <v>208</v>
      </c>
      <c r="K14" s="116">
        <f>K3</f>
        <v>0</v>
      </c>
      <c r="L14" s="42" t="str">
        <f>L3</f>
        <v>q19040912.IB</v>
      </c>
      <c r="M14" s="114" t="s">
        <v>208</v>
      </c>
      <c r="N14" s="111" t="str">
        <f>[1]!b_agency_leadunderwriter(L14)</f>
        <v>中国银河证券股份有限公司,中国民生银行股份有限公司</v>
      </c>
      <c r="P14" s="109" t="str">
        <f t="shared" ca="1" si="0"/>
        <v>2019-04-09</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211</v>
      </c>
      <c r="M15" s="114">
        <f>[1]!b_info_issueamount(L15)/100000000</f>
        <v>5</v>
      </c>
      <c r="N15" s="111" t="str">
        <f>[1]!b_agency_leadunderwriter(L15)</f>
        <v>招商银行股份有限公司</v>
      </c>
      <c r="O15" t="str">
        <f>[1]!b_issuer_windindustry(L15,4)</f>
        <v>西药</v>
      </c>
      <c r="P15" s="109" t="str">
        <f t="shared" ca="1" si="0"/>
        <v>2019-04-09</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212</v>
      </c>
      <c r="M16" s="114">
        <f>[1]!b_info_issueamount(L16)/100000000</f>
        <v>6</v>
      </c>
      <c r="N16" s="111" t="str">
        <f>[1]!b_agency_leadunderwriter(L16)</f>
        <v>北京银行股份有限公司</v>
      </c>
      <c r="O16" t="str">
        <f>[1]!b_issuer_windindustry(L16,4)</f>
        <v>化肥与农用化工</v>
      </c>
      <c r="P16" s="109" t="str">
        <f t="shared" ca="1" si="0"/>
        <v>2019-04-09</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213</v>
      </c>
      <c r="M17" s="114">
        <f>[1]!b_info_issueamount(L17)/100000000</f>
        <v>3.5</v>
      </c>
      <c r="N17" s="111" t="str">
        <f>[1]!b_agency_leadunderwriter(L17)</f>
        <v>华夏银行股份有限公司</v>
      </c>
      <c r="O17" t="str">
        <f>[1]!b_issuer_windindustry(L17,4)</f>
        <v>食品加工与肉类</v>
      </c>
      <c r="P17" s="109" t="str">
        <f t="shared" ca="1" si="0"/>
        <v>2019-04-09</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214</v>
      </c>
      <c r="M18" s="114">
        <f>[1]!b_info_issueamount(L18)/100000000</f>
        <v>3</v>
      </c>
      <c r="N18" s="111" t="str">
        <f>[1]!b_agency_leadunderwriter(L18)</f>
        <v>兴业银行股份有限公司</v>
      </c>
      <c r="O18" t="str">
        <f>[1]!b_issuer_windindustry(L18,4)</f>
        <v>工业机械</v>
      </c>
      <c r="P18" s="109" t="str">
        <f t="shared" ca="1" si="0"/>
        <v>2019-04-09</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215</v>
      </c>
      <c r="M19" s="114">
        <f>[1]!b_info_issueamount(L19)/100000000</f>
        <v>3</v>
      </c>
      <c r="N19" s="111" t="str">
        <f>[1]!b_agency_leadunderwriter(L19)</f>
        <v>中国银行股份有限公司</v>
      </c>
      <c r="O19" t="str">
        <f>[1]!b_issuer_windindustry(L19,4)</f>
        <v>半导体产品</v>
      </c>
      <c r="P19" s="109" t="str">
        <f t="shared" ca="1" si="0"/>
        <v>2019-04-09</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216</v>
      </c>
      <c r="M20" s="114">
        <f>[1]!b_info_issueamount(L20)/100000000</f>
        <v>5</v>
      </c>
      <c r="N20" s="111" t="str">
        <f>[1]!b_agency_leadunderwriter(L20)</f>
        <v>中国银行股份有限公司</v>
      </c>
      <c r="O20" t="str">
        <f>[1]!b_issuer_windindustry(L20,4)</f>
        <v>医疗保健用品</v>
      </c>
      <c r="P20" s="109" t="str">
        <f t="shared" ca="1" si="0"/>
        <v>2019-04-09</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217</v>
      </c>
      <c r="M21" s="114">
        <f>[1]!b_info_issueamount(L21)/100000000</f>
        <v>2</v>
      </c>
      <c r="N21" s="111" t="str">
        <f>[1]!b_agency_leadunderwriter(L21)</f>
        <v>中国银行股份有限公司</v>
      </c>
      <c r="O21" t="str">
        <f>[1]!b_issuer_windindustry(L21,4)</f>
        <v>食品加工与肉类</v>
      </c>
      <c r="P21" s="109" t="str">
        <f t="shared" ca="1" si="0"/>
        <v>2019-04-09</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218</v>
      </c>
      <c r="M22" s="114">
        <f>[1]!b_info_issueamount(L22)/100000000</f>
        <v>4</v>
      </c>
      <c r="N22" s="111" t="str">
        <f>[1]!b_agency_leadunderwriter(L22)</f>
        <v>中国工商银行股份有限公司</v>
      </c>
      <c r="O22" t="str">
        <f>[1]!b_issuer_windindustry(L22,4)</f>
        <v>酒店、度假村与豪华游轮</v>
      </c>
      <c r="P22" s="109" t="str">
        <f t="shared" ca="1" si="0"/>
        <v>2019-04-09</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219</v>
      </c>
      <c r="M23" s="114">
        <f>[1]!b_info_issueamount(L23)/100000000</f>
        <v>4</v>
      </c>
      <c r="N23" s="111" t="str">
        <f>[1]!b_agency_leadunderwriter(L23)</f>
        <v>中国银行股份有限公司</v>
      </c>
      <c r="O23" t="str">
        <f>[1]!b_issuer_windindustry(L23,4)</f>
        <v>金属非金属</v>
      </c>
      <c r="P23" s="109" t="str">
        <f t="shared" ca="1" si="0"/>
        <v>2019-04-09</v>
      </c>
    </row>
    <row r="24" spans="1:16" x14ac:dyDescent="0.25">
      <c r="P24" s="109" t="str">
        <f t="shared" ca="1" si="0"/>
        <v>2019-04-09</v>
      </c>
    </row>
    <row r="25" spans="1:16" x14ac:dyDescent="0.25">
      <c r="P25" s="109" t="str">
        <f t="shared" ca="1" si="0"/>
        <v>2019-04-09</v>
      </c>
    </row>
    <row r="26" spans="1:16" x14ac:dyDescent="0.25">
      <c r="P26" s="109" t="str">
        <f t="shared" ca="1" si="0"/>
        <v>2019-04-09</v>
      </c>
    </row>
    <row r="27" spans="1:16" x14ac:dyDescent="0.25">
      <c r="P27" s="109" t="str">
        <f t="shared" ca="1" si="0"/>
        <v>2019-04-09</v>
      </c>
    </row>
    <row r="28" spans="1:16" x14ac:dyDescent="0.25">
      <c r="P28" s="109" t="str">
        <f t="shared" ca="1" si="0"/>
        <v>2019-04-09</v>
      </c>
    </row>
    <row r="29" spans="1:16" x14ac:dyDescent="0.25">
      <c r="P29" s="109" t="str">
        <f t="shared" ca="1" si="0"/>
        <v>2019-04-09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2019-04-10T07:55:02Z</dcterms:modified>
</cp:coreProperties>
</file>