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023249C8-F6F2-422E-89C9-84365C3DB2C0}"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C59" i="1"/>
  <c r="G56" i="1"/>
  <c r="E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C50" i="1"/>
  <c r="E49" i="1"/>
  <c r="C48" i="1"/>
  <c r="G46" i="1"/>
  <c r="E45" i="1"/>
  <c r="E43" i="1"/>
  <c r="C42" i="1"/>
  <c r="G40" i="1"/>
  <c r="E39" i="1"/>
  <c r="C38" i="1"/>
  <c r="G36" i="1"/>
  <c r="C36" i="1"/>
  <c r="G34" i="1"/>
  <c r="G32" i="1"/>
  <c r="E31" i="1"/>
  <c r="C30" i="1"/>
  <c r="E29" i="1"/>
  <c r="N28" i="1"/>
  <c r="P27" i="1"/>
  <c r="R26" i="1"/>
  <c r="C26" i="1"/>
  <c r="L25" i="1"/>
  <c r="G24" i="1"/>
  <c r="P23" i="1"/>
  <c r="G22" i="1"/>
  <c r="L21" i="1"/>
  <c r="N20" i="1"/>
  <c r="P19" i="1"/>
  <c r="G18" i="1"/>
  <c r="E58" i="1"/>
  <c r="E56" i="1"/>
  <c r="C55" i="1"/>
  <c r="C54" i="1"/>
  <c r="E53" i="1"/>
  <c r="G52" i="1"/>
  <c r="C52" i="1"/>
  <c r="E51" i="1"/>
  <c r="G57" i="1"/>
  <c r="C56" i="1"/>
  <c r="G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C34" i="1"/>
  <c r="L29" i="1"/>
  <c r="G28" i="1"/>
  <c r="L27" i="1"/>
  <c r="N26" i="1"/>
  <c r="P25" i="1"/>
  <c r="R24" i="1"/>
  <c r="C24" i="1"/>
  <c r="E23" i="1"/>
  <c r="P21" i="1"/>
  <c r="R20" i="1"/>
  <c r="C20" i="1"/>
  <c r="E19" i="1"/>
  <c r="P17" i="1"/>
  <c r="C57" i="1"/>
  <c r="G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G50" i="1"/>
  <c r="G48" i="1"/>
  <c r="E47" i="1"/>
  <c r="C46" i="1"/>
  <c r="G44" i="1"/>
  <c r="C44" i="1"/>
  <c r="G42" i="1"/>
  <c r="E41" i="1"/>
  <c r="C40" i="1"/>
  <c r="G38" i="1"/>
  <c r="E37" i="1"/>
  <c r="E35" i="1"/>
  <c r="E33" i="1"/>
  <c r="C32" i="1"/>
  <c r="G30" i="1"/>
  <c r="P29" i="1"/>
  <c r="R28" i="1"/>
  <c r="C28" i="1"/>
  <c r="E27" i="1"/>
  <c r="G26" i="1"/>
  <c r="E25" i="1"/>
  <c r="N24" i="1"/>
  <c r="L23" i="1"/>
  <c r="C22" i="1"/>
  <c r="E21" i="1"/>
  <c r="G20" i="1"/>
  <c r="L19" i="1"/>
  <c r="C18" i="1"/>
  <c r="L17" i="1"/>
  <c r="G16" i="1"/>
  <c r="E15" i="1"/>
  <c r="F8" i="1"/>
  <c r="E17" i="1"/>
  <c r="G14" i="1"/>
  <c r="B6" i="1"/>
  <c r="C16" i="1"/>
  <c r="R16" i="1"/>
  <c r="P15" i="1"/>
  <c r="C14" i="1"/>
  <c r="B4" i="1"/>
  <c r="L15" i="1"/>
  <c r="F10" i="1"/>
  <c r="N16" i="1"/>
  <c r="M22" i="1" l="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22" i="6"/>
  <c r="J19" i="6"/>
  <c r="J21" i="6"/>
  <c r="J7" i="6"/>
  <c r="J16" i="6"/>
  <c r="J8" i="6"/>
  <c r="J17" i="6"/>
  <c r="J9" i="6"/>
  <c r="J15" i="6"/>
</calcChain>
</file>

<file path=xl/sharedStrings.xml><?xml version="1.0" encoding="utf-8"?>
<sst xmlns="http://schemas.openxmlformats.org/spreadsheetml/2006/main" count="543" uniqueCount="204">
  <si>
    <t>q19040817.IB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</si>
  <si>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</si>
  <si>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</si>
  <si>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</si>
  <si>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</si>
  <si>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</si>
  <si>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</si>
  <si>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</si>
  <si>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</si>
  <si>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</si>
  <si>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</si>
  <si>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</si>
  <si>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</si>
  <si>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</si>
  <si>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</si>
  <si>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</si>
  <si>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</si>
  <si>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</si>
  <si>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</si>
  <si>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</si>
  <si>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</si>
  <si>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</si>
  <si>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</si>
  <si>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</si>
  <si>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</si>
  <si>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</si>
  <si>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</si>
  <si>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</si>
  <si>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</si>
  <si>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</si>
  <si>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</si>
  <si>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</si>
  <si>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</si>
  <si>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</si>
  <si>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</si>
  <si>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</si>
  <si>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</si>
  <si>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</si>
  <si>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</si>
  <si>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</si>
  <si>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</si>
  <si>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</si>
  <si>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</si>
  <si>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</si>
  <si>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</si>
  <si>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</si>
  <si>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</si>
  <si>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</si>
  <si>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</si>
  <si>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</si>
  <si>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</si>
  <si>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</si>
  <si>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</si>
  <si>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</si>
  <si>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</si>
  <si>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</si>
  <si>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</si>
  <si>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</si>
  <si>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</si>
  <si>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</si>
  <si>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</si>
  <si>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</si>
  <si>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</si>
  <si>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</si>
  <si>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</si>
  <si>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</si>
  <si>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</si>
  <si>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</si>
  <si>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</si>
  <si>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</si>
  <si>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</si>
  <si>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</si>
  <si>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</si>
  <si>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</si>
  <si>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</si>
  <si>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</si>
  <si>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</si>
  <si>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</si>
  <si>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</si>
  <si>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</si>
  <si>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</si>
  <si>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</si>
  <si>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</si>
  <si>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</si>
  <si>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</si>
  <si>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</si>
  <si>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</si>
  <si>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</si>
  <si>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</si>
  <si>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</si>
  <si>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</si>
  <si>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</si>
  <si>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</si>
  <si>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</si>
  <si>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</si>
  <si>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</si>
  <si>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</si>
  <si>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</si>
  <si>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</si>
  <si>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</si>
  <si>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</si>
  <si>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</si>
  <si>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</si>
  <si>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</si>
  <si>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</si>
  <si>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</si>
  <si>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</si>
  <si>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</si>
  <si>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</si>
  <si>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</si>
  <si>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</si>
  <si>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</si>
  <si>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</si>
  <si>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031800225.IB</t>
  </si>
  <si>
    <t>20180416</t>
  </si>
  <si>
    <t>18高科技投PPN001</t>
  </si>
  <si>
    <t>031771041.IB</t>
  </si>
  <si>
    <t>20171219</t>
  </si>
  <si>
    <t>17高科技投PPN002</t>
  </si>
  <si>
    <t>031771034.IB</t>
  </si>
  <si>
    <t>20171013</t>
  </si>
  <si>
    <t>17高科技投PPN001</t>
  </si>
  <si>
    <t>031671035.IB</t>
  </si>
  <si>
    <t>20161017</t>
  </si>
  <si>
    <t>16高科技投PPN001</t>
  </si>
  <si>
    <t>历史主体评级</t>
  </si>
  <si>
    <t>发布日期</t>
  </si>
  <si>
    <t>主体资信级别</t>
  </si>
  <si>
    <t>评级展望</t>
  </si>
  <si>
    <t>评级机构</t>
  </si>
  <si>
    <t>20181204</t>
  </si>
  <si>
    <t>AAA</t>
  </si>
  <si>
    <t>稳定</t>
  </si>
  <si>
    <t>中诚信国际信用评级有限责任公司</t>
  </si>
  <si>
    <t>20171011</t>
  </si>
  <si>
    <t>AA+</t>
  </si>
  <si>
    <t>--</t>
  </si>
  <si>
    <t>上海新世纪资信评估投资服务有限公司</t>
  </si>
  <si>
    <t>20160128</t>
  </si>
  <si>
    <t>最新前五大股东（持股比例）</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</si>
  <si>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</si>
  <si>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</si>
  <si>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</si>
  <si>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</si>
  <si>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</si>
  <si>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</si>
  <si>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</si>
  <si>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</si>
  <si>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</si>
  <si>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</si>
  <si>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</si>
  <si>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</si>
  <si>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</si>
  <si>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</si>
  <si>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</si>
  <si>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</si>
  <si>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</si>
  <si>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</si>
  <si>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</si>
  <si>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</si>
  <si>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</si>
  <si>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</si>
  <si>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</si>
  <si>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</si>
  <si>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</si>
  <si>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</si>
  <si>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</si>
  <si>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</si>
  <si>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</si>
  <si>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</si>
  <si>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</si>
  <si>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</si>
  <si>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</si>
  <si>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</si>
  <si>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</si>
  <si>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</si>
  <si>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</si>
  <si>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</si>
  <si>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</si>
  <si>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</si>
  <si>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</si>
  <si>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</si>
  <si>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</si>
  <si>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</si>
  <si>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</si>
  <si>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</si>
  <si>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</si>
  <si>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</si>
  <si>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</si>
  <si>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</si>
  <si>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</si>
  <si>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</si>
  <si>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</si>
  <si>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</si>
  <si>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</si>
  <si>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</si>
  <si>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</si>
  <si>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江苏高科技投资集团有限公司</t>
  </si>
  <si>
    <t>地方国有企业</t>
  </si>
  <si>
    <t>金融--多元金融--多元金融服务--多领域控股</t>
  </si>
  <si>
    <t>江苏省南京市山西路128号</t>
  </si>
  <si>
    <t>江苏高科技投资集团始创于1992年，是中国最早设立的专业化创业投资机构之一。近年来，在省委省政府的正确领导和社会各界的鼎力支持下，集团全面落实科学发展观，坚持以人为本，打造出一支国内一流的专家型投资队伍；努力开拓创新，形成了一套适应企业快速发展的管理体制和运营机制；遵循创业投资规律，构建了覆盖全省、辐射全国的投资网络。集团先后获得“中国科技产业投资奖”、“中国最具影响的本土风险投资机构”、“中国最具竞争力的创投机构”、“中国最佳增值服务创投机构”等荣誉。集团为首批国家级科技创新引导基金参股试点合作机构，先后主导和参与发起基金36个，管理资本规模达160亿元。累计投资了近300个科技型创业企业，投资地域遍及全国，投资领域覆盖新能源、新材料、现代装备制造、生物医疗、电子信息、现代服务业、文化产业等。培育出了无锡尚德、中国传动、北京超图、康力电梯等24家上市公司，另外还有近40个企业符合或基本符合上市条件。经投资支持的创业企业已成长为科技创新典范和行业的排头兵，创造了显著的经济效益和社会效益。</t>
  </si>
  <si>
    <t>江苏省人民政府</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</si>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</sst>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江苏高科技投资集团有限公司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江苏省南京市山西路128号</v>
      </c>
      <c r="F5" s="120"/>
      <c r="G5" s="120"/>
    </row>
    <row r="6" spans="1:20" s="17" customFormat="1" ht="81" customHeight="1" x14ac:dyDescent="0.25">
      <c r="A6" s="57" t="s">
        <v>6</v>
      </c>
      <c r="B6" s="121" t="str">
        <f>[1]!s_info_briefing(A2)</f>
        <v>江苏高科技投资集团始创于1992年，是中国最早设立的专业化创业投资机构之一。近年来，在省委省政府的正确领导和社会各界的鼎力支持下，集团全面落实科学发展观，坚持以人为本，打造出一支国内一流的专家型投资队伍；努力开拓创新，形成了一套适应企业快速发展的管理体制和运营机制；遵循创业投资规律，构建了覆盖全省、辐射全国的投资网络。集团先后获得“中国科技产业投资奖”、“中国最具影响的本土风险投资机构”、“中国最具竞争力的创投机构”、“中国最佳增值服务创投机构”等荣誉。集团为首批国家级科技创新引导基金参股试点合作机构，先后主导和参与发起基金36个，管理资本规模达160亿元。累计投资了近300个科技型创业企业，投资地域遍及全国，投资领域覆盖新能源、新材料、现代装备制造、生物医疗、电子信息、现代服务业、文化产业等。培育出了无锡尚德、中国传动、北京超图、康力电梯等24家上市公司，另外还有近40个企业符合或基本符合上市条件。经投资支持的创业企业已成长为科技创新典范和行业的排头兵，创造了显著的经济效益和社会效益。</v>
      </c>
      <c r="C6" s="120"/>
      <c r="D6" s="120"/>
      <c r="E6" s="120"/>
      <c r="F6" s="120"/>
      <c r="G6" s="120"/>
    </row>
    <row r="7" spans="1:20" s="17" customFormat="1" x14ac:dyDescent="0.25">
      <c r="A7" s="59" t="s">
        <v>7</v>
      </c>
      <c r="B7" s="122" t="str">
        <f>[1]!b_issuer_shareholder(A2,"",1)</f>
        <v>江苏省人民政府</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q19040817.IB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江苏高科技投资集团有限公司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153.18276126860002</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0.37737000000000004</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0.63849999999999996</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0.10558519275929534</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0.1217</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7.0675775476</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0.72070000000000012</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0.93273200000000001</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6.0183164744000006</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6.3230999999999996E-2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2.1439393911</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7031506.8499999996</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0</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1000000000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9537620574.75</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q19040817.IB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0.37737000000000004</v>
      </c>
      <c r="C109" s="54" t="s">
        <v>29</v>
      </c>
      <c r="D109" s="72">
        <f>[1]!s_fa_current(A2,B2)</f>
        <v>0.63849999999999996</v>
      </c>
      <c r="E109" s="54" t="s">
        <v>33</v>
      </c>
      <c r="F109" s="73">
        <f>[1]!s_fa_salescashintoor(A2,B2)/100</f>
        <v>0.72070000000000012</v>
      </c>
      <c r="G109" s="54" t="s">
        <v>34</v>
      </c>
      <c r="H109" s="12">
        <f>S109/100</f>
        <v>0.93273200000000001</v>
      </c>
      <c r="I109" s="54"/>
      <c r="J109" s="16"/>
      <c r="K109" s="25"/>
      <c r="L109" s="34" t="s">
        <v>53</v>
      </c>
      <c r="M109" s="74">
        <f>[1]!s_fa_debttoassets(A2,B2)</f>
        <v>37.737000000000002</v>
      </c>
      <c r="N109" s="54" t="s">
        <v>29</v>
      </c>
      <c r="O109" s="35"/>
      <c r="P109" s="54" t="s">
        <v>33</v>
      </c>
      <c r="Q109" s="35"/>
      <c r="R109" s="54" t="s">
        <v>34</v>
      </c>
      <c r="S109" s="75">
        <f>[1]!s_fa_grossprofitmargin(A2,B2)</f>
        <v>93.273200000000003</v>
      </c>
    </row>
    <row r="110" spans="1:19" ht="15.75" customHeight="1" x14ac:dyDescent="0.25">
      <c r="A110" s="54" t="s">
        <v>54</v>
      </c>
      <c r="B110" s="12">
        <f>M110/100</f>
        <v>0.13555400000000001</v>
      </c>
      <c r="C110" s="54" t="s">
        <v>55</v>
      </c>
      <c r="D110" s="73">
        <f>[1]!s_fa_quick(A2,B2)</f>
        <v>0.63600000000000001</v>
      </c>
      <c r="E110" s="54" t="s">
        <v>56</v>
      </c>
      <c r="F110" s="72">
        <f>[1]!s_fa_arturn(A2,B2)</f>
        <v>0</v>
      </c>
      <c r="G110" s="54" t="s">
        <v>57</v>
      </c>
      <c r="H110" s="12">
        <f>S110/100</f>
        <v>0.90200199999999997</v>
      </c>
      <c r="I110" s="54"/>
      <c r="J110" s="16"/>
      <c r="L110" s="54" t="s">
        <v>54</v>
      </c>
      <c r="M110" s="74">
        <f>[1]!s_fa_catoassets(A2,B2)</f>
        <v>13.555400000000001</v>
      </c>
      <c r="N110" s="54" t="s">
        <v>55</v>
      </c>
      <c r="O110" s="35"/>
      <c r="P110" s="54" t="s">
        <v>56</v>
      </c>
      <c r="Q110" s="73"/>
      <c r="R110" s="54" t="s">
        <v>57</v>
      </c>
      <c r="S110" s="75">
        <f>[1]!s_fa_optogr(A2,B2)</f>
        <v>90.200199999999995</v>
      </c>
    </row>
    <row r="111" spans="1:19" ht="15" customHeight="1" x14ac:dyDescent="0.25">
      <c r="A111" s="54" t="s">
        <v>58</v>
      </c>
      <c r="B111" s="12">
        <f>M111/100</f>
        <v>0.56261000000000005</v>
      </c>
      <c r="C111" s="54" t="s">
        <v>31</v>
      </c>
      <c r="D111" s="73">
        <f>[1]!s_fa_ebitdatodebt(A2,B2)</f>
        <v>0.1217</v>
      </c>
      <c r="E111" s="54" t="s">
        <v>59</v>
      </c>
      <c r="F111" s="72">
        <f>[1]!s_fa_invturn(A2,B2)</f>
        <v>1.9117999999999999</v>
      </c>
      <c r="G111" s="54" t="s">
        <v>37</v>
      </c>
      <c r="H111" s="12">
        <f>S111/100</f>
        <v>6.3230999999999996E-2</v>
      </c>
      <c r="I111" s="54"/>
      <c r="J111" s="16"/>
      <c r="L111" s="54" t="s">
        <v>58</v>
      </c>
      <c r="M111" s="74">
        <f>[1]!s_fa_currentdebttodebt(A2,B2)</f>
        <v>56.261000000000003</v>
      </c>
      <c r="N111" s="54" t="s">
        <v>31</v>
      </c>
      <c r="O111" s="35"/>
      <c r="P111" s="54" t="s">
        <v>59</v>
      </c>
      <c r="Q111" s="35"/>
      <c r="R111" s="54" t="s">
        <v>37</v>
      </c>
      <c r="S111" s="75">
        <f>[1]!s_fa_roe(A2,B2)</f>
        <v>6.3231000000000002</v>
      </c>
    </row>
    <row r="112" spans="1:19" ht="14.25" customHeight="1" x14ac:dyDescent="0.25">
      <c r="A112" s="54" t="s">
        <v>30</v>
      </c>
      <c r="B112" s="76">
        <f>(M116+M117+M118+M119+M120+M121)/M123</f>
        <v>0.10558519275929534</v>
      </c>
      <c r="C112" s="54" t="s">
        <v>60</v>
      </c>
      <c r="D112" s="73">
        <f>[1]!s_fa_ebittointerest(A2,B2)</f>
        <v>36.5974</v>
      </c>
      <c r="E112" s="54" t="s">
        <v>61</v>
      </c>
      <c r="F112" s="72">
        <f>[1]!s_fa_caturn(A2,B2)</f>
        <v>0.29199999999999998</v>
      </c>
      <c r="G112" s="54" t="s">
        <v>62</v>
      </c>
      <c r="H112" s="12">
        <f>S112/100</f>
        <v>4.4366000000000003E-2</v>
      </c>
      <c r="I112" s="54"/>
      <c r="J112" s="16"/>
      <c r="L112" s="54" t="s">
        <v>30</v>
      </c>
      <c r="M112" s="77"/>
      <c r="N112" s="54" t="s">
        <v>60</v>
      </c>
      <c r="O112" s="35"/>
      <c r="P112" s="54" t="s">
        <v>61</v>
      </c>
      <c r="Q112" s="35"/>
      <c r="R112" s="54" t="s">
        <v>62</v>
      </c>
      <c r="S112" s="75">
        <f>[1]!s_fa_roa2(A2,B2)</f>
        <v>4.4366000000000003</v>
      </c>
    </row>
    <row r="113" spans="1:21" x14ac:dyDescent="0.25">
      <c r="A113" s="30"/>
      <c r="B113" s="31"/>
      <c r="C113" s="30"/>
      <c r="D113" s="32"/>
      <c r="E113" s="30" t="s">
        <v>63</v>
      </c>
      <c r="F113" s="78">
        <f>[1]!s_fa_dupont_faturnover(A2,B2)</f>
        <v>4.5699999999999998E-2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0</v>
      </c>
    </row>
    <row r="117" spans="1:21" ht="14.25" customHeight="1" x14ac:dyDescent="0.25">
      <c r="A117" s="54" t="s">
        <v>69</v>
      </c>
      <c r="B117" s="73">
        <f t="shared" ref="B117:B131" si="1">M127/100000000</f>
        <v>5.2596800699999999</v>
      </c>
      <c r="C117" s="54" t="s">
        <v>70</v>
      </c>
      <c r="D117" s="76">
        <f t="shared" ref="D117:D125" si="2">O127/100000000</f>
        <v>7.0675775476</v>
      </c>
      <c r="E117" s="131" t="s">
        <v>71</v>
      </c>
      <c r="F117" s="124"/>
      <c r="G117" s="124"/>
      <c r="H117" s="132">
        <f t="shared" ref="H117:H131" si="3">S127/100000000</f>
        <v>5.0938706956999997</v>
      </c>
      <c r="I117" s="124"/>
      <c r="J117" s="124"/>
      <c r="L117" s="17" t="s">
        <v>40</v>
      </c>
      <c r="M117" s="71">
        <f>[1]!b_stm07_bs(K107,82,L107,1)</f>
        <v>7031506.8499999996</v>
      </c>
    </row>
    <row r="118" spans="1:21" ht="14.25" customHeight="1" x14ac:dyDescent="0.25">
      <c r="A118" s="54" t="s">
        <v>72</v>
      </c>
      <c r="B118" s="73">
        <f t="shared" si="1"/>
        <v>0</v>
      </c>
      <c r="C118" s="54" t="s">
        <v>73</v>
      </c>
      <c r="D118" s="76">
        <f t="shared" si="2"/>
        <v>1.1158341181</v>
      </c>
      <c r="E118" s="131" t="s">
        <v>74</v>
      </c>
      <c r="F118" s="124"/>
      <c r="G118" s="124"/>
      <c r="H118" s="132">
        <f t="shared" si="3"/>
        <v>7.4370635862999999</v>
      </c>
      <c r="I118" s="124"/>
      <c r="J118" s="124"/>
      <c r="L118" s="17" t="s">
        <v>41</v>
      </c>
      <c r="M118" s="71">
        <f>[1]!b_stm07_bs(K107,88,L107,1)</f>
        <v>0</v>
      </c>
    </row>
    <row r="119" spans="1:21" ht="14.25" customHeight="1" x14ac:dyDescent="0.25">
      <c r="A119" s="54" t="s">
        <v>75</v>
      </c>
      <c r="B119" s="73">
        <f t="shared" si="1"/>
        <v>0.73866876680000004</v>
      </c>
      <c r="C119" s="54" t="s">
        <v>76</v>
      </c>
      <c r="D119" s="76">
        <f t="shared" si="2"/>
        <v>0.47542352479999994</v>
      </c>
      <c r="E119" s="131" t="s">
        <v>77</v>
      </c>
      <c r="F119" s="124"/>
      <c r="G119" s="124"/>
      <c r="H119" s="133">
        <f t="shared" si="3"/>
        <v>12.530934282</v>
      </c>
      <c r="I119" s="124"/>
      <c r="J119" s="124"/>
      <c r="L119" s="17" t="s">
        <v>42</v>
      </c>
      <c r="M119" s="71">
        <f>[1]!b_stm07_bs(K107,147,L107,1)</f>
        <v>0</v>
      </c>
    </row>
    <row r="120" spans="1:21" ht="14.25" customHeight="1" x14ac:dyDescent="0.25">
      <c r="A120" s="54" t="s">
        <v>78</v>
      </c>
      <c r="B120" s="73">
        <f t="shared" si="1"/>
        <v>0.62883510899999995</v>
      </c>
      <c r="C120" s="54" t="s">
        <v>79</v>
      </c>
      <c r="D120" s="76">
        <f t="shared" si="2"/>
        <v>5.0345931100000005E-2</v>
      </c>
      <c r="E120" s="131" t="s">
        <v>80</v>
      </c>
      <c r="F120" s="124"/>
      <c r="G120" s="124"/>
      <c r="H120" s="132">
        <f t="shared" si="3"/>
        <v>7.6739847370000005</v>
      </c>
      <c r="I120" s="124"/>
      <c r="J120" s="124"/>
      <c r="L120" s="17" t="s">
        <v>43</v>
      </c>
      <c r="M120" s="71">
        <f>[1]!b_stm07_bs(K107,94,L107,1)</f>
        <v>0</v>
      </c>
    </row>
    <row r="121" spans="1:21" ht="14.25" customHeight="1" x14ac:dyDescent="0.25">
      <c r="A121" s="54" t="s">
        <v>81</v>
      </c>
      <c r="B121" s="73">
        <f t="shared" si="1"/>
        <v>3.9300132958999998</v>
      </c>
      <c r="C121" s="54" t="s">
        <v>82</v>
      </c>
      <c r="D121" s="76">
        <f t="shared" si="2"/>
        <v>0.43529152979999997</v>
      </c>
      <c r="E121" s="131" t="s">
        <v>83</v>
      </c>
      <c r="F121" s="124"/>
      <c r="G121" s="124"/>
      <c r="H121" s="132">
        <f t="shared" si="3"/>
        <v>0.13828635410000001</v>
      </c>
      <c r="I121" s="124"/>
      <c r="J121" s="124"/>
      <c r="L121" s="17" t="s">
        <v>44</v>
      </c>
      <c r="M121" s="71">
        <f>[1]!b_stm07_bs(K107,95,L107,1)</f>
        <v>1000000000</v>
      </c>
    </row>
    <row r="122" spans="1:21" ht="14.25" customHeight="1" x14ac:dyDescent="0.25">
      <c r="A122" s="54" t="s">
        <v>84</v>
      </c>
      <c r="B122" s="73">
        <f t="shared" si="1"/>
        <v>0</v>
      </c>
      <c r="C122" s="54" t="s">
        <v>85</v>
      </c>
      <c r="D122" s="76">
        <f t="shared" si="2"/>
        <v>0.22655445460000001</v>
      </c>
      <c r="E122" s="131" t="s">
        <v>86</v>
      </c>
      <c r="F122" s="124"/>
      <c r="G122" s="124"/>
      <c r="H122" s="133">
        <f t="shared" si="3"/>
        <v>10.3869948909</v>
      </c>
      <c r="I122" s="124"/>
      <c r="J122" s="124"/>
      <c r="L122" s="17"/>
      <c r="M122" s="17"/>
    </row>
    <row r="123" spans="1:21" ht="14.25" customHeight="1" x14ac:dyDescent="0.25">
      <c r="A123" s="54" t="s">
        <v>87</v>
      </c>
      <c r="B123" s="79">
        <f t="shared" si="1"/>
        <v>153.18276126860002</v>
      </c>
      <c r="C123" s="54" t="s">
        <v>88</v>
      </c>
      <c r="D123" s="76">
        <f t="shared" si="2"/>
        <v>6.3749715399999998</v>
      </c>
      <c r="E123" s="131" t="s">
        <v>89</v>
      </c>
      <c r="F123" s="124"/>
      <c r="G123" s="124"/>
      <c r="H123" s="133">
        <f t="shared" si="3"/>
        <v>2.1439393911</v>
      </c>
      <c r="I123" s="124"/>
      <c r="J123" s="124"/>
      <c r="L123" s="17" t="s">
        <v>45</v>
      </c>
      <c r="M123" s="71">
        <f>[1]!b_stm07_bs(K107,141,L107,1)</f>
        <v>9537620574.75</v>
      </c>
    </row>
    <row r="124" spans="1:21" ht="14.25" customHeight="1" x14ac:dyDescent="0.25">
      <c r="A124" s="54" t="s">
        <v>90</v>
      </c>
      <c r="B124" s="73">
        <f t="shared" si="1"/>
        <v>0</v>
      </c>
      <c r="C124" s="54" t="s">
        <v>91</v>
      </c>
      <c r="D124" s="76">
        <f t="shared" si="2"/>
        <v>6.6752153523000004</v>
      </c>
      <c r="E124" s="131" t="s">
        <v>92</v>
      </c>
      <c r="F124" s="124"/>
      <c r="G124" s="124"/>
      <c r="H124" s="133">
        <f t="shared" si="3"/>
        <v>-4.2346489082999996</v>
      </c>
      <c r="I124" s="124"/>
      <c r="J124" s="124"/>
      <c r="L124" s="17"/>
      <c r="M124" s="17"/>
    </row>
    <row r="125" spans="1:21" ht="27" customHeight="1" x14ac:dyDescent="0.25">
      <c r="A125" s="54" t="s">
        <v>93</v>
      </c>
      <c r="B125" s="73">
        <f t="shared" si="1"/>
        <v>0</v>
      </c>
      <c r="C125" s="54" t="s">
        <v>35</v>
      </c>
      <c r="D125" s="76">
        <f t="shared" si="2"/>
        <v>6.0183164744000006</v>
      </c>
      <c r="E125" s="131" t="s">
        <v>94</v>
      </c>
      <c r="F125" s="124"/>
      <c r="G125" s="124"/>
      <c r="H125" s="132">
        <f t="shared" si="3"/>
        <v>0</v>
      </c>
      <c r="I125" s="124"/>
      <c r="J125" s="124"/>
      <c r="L125" s="17"/>
      <c r="M125" s="17"/>
    </row>
    <row r="126" spans="1:21" ht="16.5" customHeight="1" x14ac:dyDescent="0.25">
      <c r="A126" s="54" t="s">
        <v>95</v>
      </c>
      <c r="B126" s="73">
        <f t="shared" si="1"/>
        <v>0</v>
      </c>
      <c r="C126" s="54"/>
      <c r="D126" s="80"/>
      <c r="E126" s="131" t="s">
        <v>96</v>
      </c>
      <c r="F126" s="124"/>
      <c r="G126" s="124"/>
      <c r="H126" s="132">
        <f t="shared" si="3"/>
        <v>9.9879999999999995</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0</v>
      </c>
      <c r="C127" s="54"/>
      <c r="D127" s="80"/>
      <c r="E127" s="131" t="s">
        <v>98</v>
      </c>
      <c r="F127" s="124"/>
      <c r="G127" s="124"/>
      <c r="H127" s="132">
        <f t="shared" si="3"/>
        <v>0</v>
      </c>
      <c r="I127" s="124"/>
      <c r="J127" s="124"/>
      <c r="L127" s="54" t="s">
        <v>69</v>
      </c>
      <c r="M127" s="75">
        <f>[1]!b_stm07_bs(K107,9,L107,1)</f>
        <v>525968007</v>
      </c>
      <c r="N127" s="54" t="s">
        <v>70</v>
      </c>
      <c r="O127" s="75">
        <f>[1]!b_stm07_is(K107,83,L107,1)</f>
        <v>706757754.75999999</v>
      </c>
      <c r="P127" s="131" t="s">
        <v>71</v>
      </c>
      <c r="Q127" s="124"/>
      <c r="R127" s="124"/>
      <c r="S127" s="136">
        <f>[1]!b_stm07_cs(K107,9,L107,1)</f>
        <v>509387069.56999999</v>
      </c>
      <c r="T127" s="135"/>
      <c r="U127" s="135"/>
    </row>
    <row r="128" spans="1:21" ht="14.25" customHeight="1" x14ac:dyDescent="0.25">
      <c r="A128" s="54" t="s">
        <v>99</v>
      </c>
      <c r="B128" s="73">
        <f t="shared" si="1"/>
        <v>10</v>
      </c>
      <c r="C128" s="54"/>
      <c r="D128" s="80"/>
      <c r="E128" s="131" t="s">
        <v>100</v>
      </c>
      <c r="F128" s="124"/>
      <c r="G128" s="124"/>
      <c r="H128" s="133">
        <f t="shared" si="3"/>
        <v>9.9879999999999995</v>
      </c>
      <c r="I128" s="124"/>
      <c r="J128" s="124"/>
      <c r="L128" s="54" t="s">
        <v>72</v>
      </c>
      <c r="M128" s="75">
        <f>[1]!b_stm07_bs(K107,12,L107,1)</f>
        <v>0</v>
      </c>
      <c r="N128" s="54" t="s">
        <v>73</v>
      </c>
      <c r="O128" s="75">
        <f>[1]!b_stm07_is(K107,84,L107,1)</f>
        <v>111583411.81</v>
      </c>
      <c r="P128" s="131" t="s">
        <v>74</v>
      </c>
      <c r="Q128" s="124"/>
      <c r="R128" s="124"/>
      <c r="S128" s="136">
        <f>[1]!b_stm07_cs(K107,11,L107,1)</f>
        <v>743706358.63</v>
      </c>
      <c r="T128" s="135"/>
      <c r="U128" s="135"/>
    </row>
    <row r="129" spans="1:21" ht="14.25" customHeight="1" x14ac:dyDescent="0.25">
      <c r="A129" s="54" t="s">
        <v>101</v>
      </c>
      <c r="B129" s="79">
        <f t="shared" si="1"/>
        <v>57.806555521099995</v>
      </c>
      <c r="C129" s="14"/>
      <c r="D129" s="13"/>
      <c r="E129" s="131" t="s">
        <v>102</v>
      </c>
      <c r="F129" s="124"/>
      <c r="G129" s="124"/>
      <c r="H129" s="132">
        <f t="shared" si="3"/>
        <v>5</v>
      </c>
      <c r="I129" s="124"/>
      <c r="J129" s="124"/>
      <c r="L129" s="54" t="s">
        <v>75</v>
      </c>
      <c r="M129" s="75">
        <f>[1]!b_stm07_bs(K107,13,L107,1)</f>
        <v>73866876.680000007</v>
      </c>
      <c r="N129" s="54" t="s">
        <v>76</v>
      </c>
      <c r="O129" s="75">
        <f>[1]!b_stm07_is(K107,10,L107,1)</f>
        <v>47542352.479999997</v>
      </c>
      <c r="P129" s="131" t="s">
        <v>77</v>
      </c>
      <c r="Q129" s="124"/>
      <c r="R129" s="124"/>
      <c r="S129" s="137">
        <f>[1]!b_stm07_cs(K107,25,L107,1)</f>
        <v>1253093428.2</v>
      </c>
      <c r="T129" s="135"/>
      <c r="U129" s="135"/>
    </row>
    <row r="130" spans="1:21" ht="14.25" customHeight="1" x14ac:dyDescent="0.25">
      <c r="A130" s="54" t="s">
        <v>103</v>
      </c>
      <c r="B130" s="79">
        <f t="shared" si="1"/>
        <v>95.376205747499995</v>
      </c>
      <c r="C130" s="14"/>
      <c r="D130" s="13"/>
      <c r="E130" s="131" t="s">
        <v>104</v>
      </c>
      <c r="F130" s="124"/>
      <c r="G130" s="124"/>
      <c r="H130" s="132">
        <f t="shared" si="3"/>
        <v>6.1736500000000003</v>
      </c>
      <c r="I130" s="124"/>
      <c r="J130" s="124"/>
      <c r="L130" s="54" t="s">
        <v>78</v>
      </c>
      <c r="M130" s="75">
        <f>[1]!b_stm07_bs(K107,31,L107,1)</f>
        <v>62883510.899999999</v>
      </c>
      <c r="N130" s="54" t="s">
        <v>79</v>
      </c>
      <c r="O130" s="75">
        <f>[1]!b_stm07_is(K107,12,L107,1)</f>
        <v>5034593.1100000003</v>
      </c>
      <c r="P130" s="131" t="s">
        <v>80</v>
      </c>
      <c r="Q130" s="124"/>
      <c r="R130" s="124"/>
      <c r="S130" s="136">
        <f>[1]!b_stm07_cs(K107,26,L107,1)</f>
        <v>767398473.70000005</v>
      </c>
      <c r="T130" s="135"/>
      <c r="U130" s="135"/>
    </row>
    <row r="131" spans="1:21" ht="14.25" customHeight="1" x14ac:dyDescent="0.25">
      <c r="A131" s="15" t="s">
        <v>105</v>
      </c>
      <c r="B131" s="79">
        <f t="shared" si="1"/>
        <v>153.18276126860002</v>
      </c>
      <c r="C131" s="14"/>
      <c r="D131" s="13"/>
      <c r="E131" s="131" t="s">
        <v>106</v>
      </c>
      <c r="F131" s="124"/>
      <c r="G131" s="124"/>
      <c r="H131" s="133">
        <f t="shared" si="3"/>
        <v>3.8143500000000001</v>
      </c>
      <c r="I131" s="124"/>
      <c r="J131" s="124"/>
      <c r="L131" s="54" t="s">
        <v>81</v>
      </c>
      <c r="M131" s="75">
        <f>[1]!b_stm07_bs(K107,33,L107,1)</f>
        <v>393001329.58999997</v>
      </c>
      <c r="N131" s="54" t="s">
        <v>82</v>
      </c>
      <c r="O131" s="75">
        <f>[1]!b_stm07_is(K107,13,L107,1)</f>
        <v>43529152.979999997</v>
      </c>
      <c r="P131" s="131" t="s">
        <v>83</v>
      </c>
      <c r="Q131" s="124"/>
      <c r="R131" s="124"/>
      <c r="S131" s="136">
        <f>[1]!b_stm07_cs(K107,29,L107,1)</f>
        <v>13828635.41</v>
      </c>
      <c r="T131" s="135"/>
      <c r="U131" s="135"/>
    </row>
    <row r="132" spans="1:21" x14ac:dyDescent="0.25">
      <c r="L132" s="54" t="s">
        <v>84</v>
      </c>
      <c r="M132" s="75">
        <f>[1]!b_stm07_bs(K107,37,L107,1)</f>
        <v>0</v>
      </c>
      <c r="N132" s="54" t="s">
        <v>85</v>
      </c>
      <c r="O132" s="75">
        <f>[1]!b_stm07_is(K107,14,L107,1)</f>
        <v>22655445.460000001</v>
      </c>
      <c r="P132" s="131" t="s">
        <v>86</v>
      </c>
      <c r="Q132" s="124"/>
      <c r="R132" s="124"/>
      <c r="S132" s="137">
        <f>[1]!b_stm07_cs(K107,37,L107,1)</f>
        <v>1038699489.09</v>
      </c>
      <c r="T132" s="135"/>
      <c r="U132" s="135"/>
    </row>
    <row r="133" spans="1:21" x14ac:dyDescent="0.25">
      <c r="L133" s="54" t="s">
        <v>87</v>
      </c>
      <c r="M133" s="81">
        <f>[1]!b_stm07_bs(K107,74,L107,1)</f>
        <v>15318276126.860001</v>
      </c>
      <c r="N133" s="54" t="s">
        <v>88</v>
      </c>
      <c r="O133" s="75">
        <f>[1]!b_stm07_is(K107,48,L107,1)</f>
        <v>637497154</v>
      </c>
      <c r="P133" s="131" t="s">
        <v>89</v>
      </c>
      <c r="Q133" s="124"/>
      <c r="R133" s="124"/>
      <c r="S133" s="137">
        <f>[1]!b_stm07_cs(K107,39,L107,1)</f>
        <v>214393939.11000001</v>
      </c>
      <c r="T133" s="135"/>
      <c r="U133" s="135"/>
    </row>
    <row r="134" spans="1:21" x14ac:dyDescent="0.25">
      <c r="L134" s="54" t="s">
        <v>90</v>
      </c>
      <c r="M134" s="75">
        <f>[1]!b_stm07_bs(K107,75,L107,1)</f>
        <v>0</v>
      </c>
      <c r="N134" s="54" t="s">
        <v>91</v>
      </c>
      <c r="O134" s="75">
        <f>[1]!b_stm07_is(K107,55,L107,1)</f>
        <v>667521535.23000002</v>
      </c>
      <c r="P134" s="131" t="s">
        <v>92</v>
      </c>
      <c r="Q134" s="124"/>
      <c r="R134" s="124"/>
      <c r="S134" s="137">
        <f>[1]!b_stm07_cs(K107,59,L107,1)</f>
        <v>-423464890.82999998</v>
      </c>
      <c r="T134" s="135"/>
      <c r="U134" s="135"/>
    </row>
    <row r="135" spans="1:21" ht="32.4" customHeight="1" x14ac:dyDescent="0.25">
      <c r="L135" s="54" t="s">
        <v>93</v>
      </c>
      <c r="M135" s="75">
        <f>[1]!b_stm07_bs(K107,88,L107,1)</f>
        <v>0</v>
      </c>
      <c r="N135" s="54" t="s">
        <v>35</v>
      </c>
      <c r="O135" s="75">
        <f>[1]!b_stm07_is(K107,60,L107,1)</f>
        <v>601831647.44000006</v>
      </c>
      <c r="P135" s="131" t="s">
        <v>94</v>
      </c>
      <c r="Q135" s="124"/>
      <c r="R135" s="124"/>
      <c r="S135" s="136">
        <f>[1]!b_stm07_cs(K107,60,L107,1)</f>
        <v>0</v>
      </c>
      <c r="T135" s="135"/>
      <c r="U135" s="135"/>
    </row>
    <row r="136" spans="1:21" ht="21.6" customHeight="1" x14ac:dyDescent="0.25">
      <c r="L136" s="54" t="s">
        <v>95</v>
      </c>
      <c r="M136" s="75">
        <f>[1]!b_stm07_bs(K107,147,L107,1)</f>
        <v>0</v>
      </c>
      <c r="N136" s="54"/>
      <c r="O136" s="80"/>
      <c r="P136" s="131" t="s">
        <v>96</v>
      </c>
      <c r="Q136" s="124"/>
      <c r="R136" s="124"/>
      <c r="S136" s="136">
        <f>[1]!b_stm07_cs(K107,61,L107,1)</f>
        <v>998800000</v>
      </c>
      <c r="T136" s="135"/>
      <c r="U136" s="135"/>
    </row>
    <row r="137" spans="1:21" x14ac:dyDescent="0.25">
      <c r="L137" s="54" t="s">
        <v>97</v>
      </c>
      <c r="M137" s="75">
        <f>[1]!b_stm07_bs(K107,94,L107,1)</f>
        <v>0</v>
      </c>
      <c r="N137" s="54"/>
      <c r="O137" s="80"/>
      <c r="P137" s="131" t="s">
        <v>98</v>
      </c>
      <c r="Q137" s="124"/>
      <c r="R137" s="124"/>
      <c r="S137" s="136">
        <f>[1]!b_stm07_cs(K107,63,L107,1)</f>
        <v>0</v>
      </c>
      <c r="T137" s="135"/>
      <c r="U137" s="135"/>
    </row>
    <row r="138" spans="1:21" x14ac:dyDescent="0.25">
      <c r="L138" s="54" t="s">
        <v>99</v>
      </c>
      <c r="M138" s="75">
        <f>[1]!b_stm07_bs(K107,95,L107,1)</f>
        <v>1000000000</v>
      </c>
      <c r="N138" s="54"/>
      <c r="O138" s="80"/>
      <c r="P138" s="131" t="s">
        <v>100</v>
      </c>
      <c r="Q138" s="124"/>
      <c r="R138" s="124"/>
      <c r="S138" s="137">
        <f>[1]!b_stm07_cs(K107,68,L107,1)</f>
        <v>998800000</v>
      </c>
      <c r="T138" s="135"/>
      <c r="U138" s="135"/>
    </row>
    <row r="139" spans="1:21" x14ac:dyDescent="0.25">
      <c r="L139" s="54" t="s">
        <v>101</v>
      </c>
      <c r="M139" s="81">
        <f>[1]!b_stm07_bs(K107,128,L107,1)</f>
        <v>5780655552.1099997</v>
      </c>
      <c r="N139" s="14"/>
      <c r="O139" s="13"/>
      <c r="P139" s="131" t="s">
        <v>102</v>
      </c>
      <c r="Q139" s="124"/>
      <c r="R139" s="124"/>
      <c r="S139" s="136">
        <f>[1]!b_stm07_cs(K107,69,L107,1)</f>
        <v>500000000</v>
      </c>
      <c r="T139" s="135"/>
      <c r="U139" s="135"/>
    </row>
    <row r="140" spans="1:21" ht="21.6" customHeight="1" x14ac:dyDescent="0.25">
      <c r="L140" s="54" t="s">
        <v>103</v>
      </c>
      <c r="M140" s="81">
        <f>[1]!b_stm07_bs(K107,141,L107,1)</f>
        <v>9537620574.75</v>
      </c>
      <c r="N140" s="14"/>
      <c r="O140" s="13"/>
      <c r="P140" s="131" t="s">
        <v>104</v>
      </c>
      <c r="Q140" s="124"/>
      <c r="R140" s="124"/>
      <c r="S140" s="136">
        <f>[1]!b_stm07_cs(K107,75,L107,1)</f>
        <v>617365000</v>
      </c>
      <c r="T140" s="135"/>
      <c r="U140" s="135"/>
    </row>
    <row r="141" spans="1:21" ht="21.6" customHeight="1" x14ac:dyDescent="0.25">
      <c r="L141" s="15" t="s">
        <v>105</v>
      </c>
      <c r="M141" s="81">
        <f>[1]!b_stm07_bs(K107,145,L107,1)</f>
        <v>15318276126.860001</v>
      </c>
      <c r="N141" s="14"/>
      <c r="O141" s="13"/>
      <c r="P141" s="131" t="s">
        <v>106</v>
      </c>
      <c r="Q141" s="124"/>
      <c r="R141" s="124"/>
      <c r="S141" s="137">
        <f>[1]!b_stm07_cs(K107,77,L107,1)</f>
        <v>381435000</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197</v>
      </c>
      <c r="C2" s="120"/>
      <c r="D2" s="57" t="s">
        <v>3</v>
      </c>
      <c r="E2" s="119" t="s">
        <v>198</v>
      </c>
      <c r="F2" s="120"/>
      <c r="G2" s="120"/>
    </row>
    <row r="3" spans="1:12" ht="14.25" customHeight="1" x14ac:dyDescent="0.25">
      <c r="A3" s="57" t="s">
        <v>4</v>
      </c>
      <c r="B3" s="119" t="s">
        <v>199</v>
      </c>
      <c r="C3" s="120"/>
      <c r="D3" s="57" t="s">
        <v>5</v>
      </c>
      <c r="E3" s="119" t="s">
        <v>200</v>
      </c>
      <c r="F3" s="120"/>
      <c r="G3" s="120"/>
    </row>
    <row r="4" spans="1:12" ht="113.25" customHeight="1" x14ac:dyDescent="0.25">
      <c r="A4" s="57" t="s">
        <v>6</v>
      </c>
      <c r="B4" s="121" t="s">
        <v>201</v>
      </c>
      <c r="C4" s="120"/>
      <c r="D4" s="120"/>
      <c r="E4" s="120"/>
      <c r="F4" s="120"/>
      <c r="G4" s="120"/>
    </row>
    <row r="5" spans="1:12" ht="14.4" x14ac:dyDescent="0.25">
      <c r="A5" s="82" t="s">
        <v>107</v>
      </c>
      <c r="B5" s="140" t="s">
        <v>202</v>
      </c>
      <c r="C5" s="120"/>
      <c r="D5" s="120"/>
      <c r="E5" s="120"/>
      <c r="F5" s="141">
        <v>1</v>
      </c>
      <c r="G5" s="120"/>
    </row>
    <row r="6" spans="1:12" ht="11.25" customHeight="1" x14ac:dyDescent="0.25">
      <c r="A6" s="82" t="s">
        <v>108</v>
      </c>
      <c r="B6" s="140" t="s">
        <v>203</v>
      </c>
      <c r="C6" s="120"/>
      <c r="D6" s="120"/>
      <c r="E6" s="120"/>
      <c r="F6" s="141" t="s">
        <v>203</v>
      </c>
      <c r="G6" s="120"/>
    </row>
    <row r="7" spans="1:12" ht="11.25" customHeight="1" x14ac:dyDescent="0.25">
      <c r="A7" s="82" t="s">
        <v>109</v>
      </c>
      <c r="B7" s="140" t="s">
        <v>203</v>
      </c>
      <c r="C7" s="120"/>
      <c r="D7" s="120"/>
      <c r="E7" s="120"/>
      <c r="F7" s="141" t="s">
        <v>203</v>
      </c>
      <c r="G7" s="120"/>
    </row>
    <row r="8" spans="1:12" ht="11.25" customHeight="1" x14ac:dyDescent="0.25">
      <c r="A8" s="82" t="s">
        <v>110</v>
      </c>
      <c r="B8" s="140" t="s">
        <v>203</v>
      </c>
      <c r="C8" s="120"/>
      <c r="D8" s="120"/>
      <c r="E8" s="120"/>
      <c r="F8" s="141" t="s">
        <v>203</v>
      </c>
      <c r="G8" s="120"/>
    </row>
    <row r="9" spans="1:12" ht="11.25" customHeight="1" x14ac:dyDescent="0.25">
      <c r="A9" s="82" t="s">
        <v>111</v>
      </c>
      <c r="B9" s="140" t="s">
        <v>203</v>
      </c>
      <c r="C9" s="120"/>
      <c r="D9" s="120"/>
      <c r="E9" s="120"/>
      <c r="F9" s="141" t="s">
        <v>203</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5.95</v>
      </c>
      <c r="E13" s="64">
        <v>1.9178082191780823E-2</v>
      </c>
      <c r="F13" s="65">
        <v>0</v>
      </c>
      <c r="G13" s="64">
        <v>5</v>
      </c>
    </row>
    <row r="14" spans="1:12" ht="14.4" customHeight="1" x14ac:dyDescent="0.25">
      <c r="A14" t="s">
        <v>116</v>
      </c>
      <c r="B14" t="s">
        <v>117</v>
      </c>
      <c r="C14" t="s">
        <v>118</v>
      </c>
      <c r="D14" s="64">
        <v>6.2</v>
      </c>
      <c r="E14" s="83">
        <v>1.6958904109589041</v>
      </c>
      <c r="F14">
        <v>0</v>
      </c>
      <c r="G14" s="64">
        <v>5</v>
      </c>
    </row>
    <row r="15" spans="1:12" ht="14.4" customHeight="1" x14ac:dyDescent="0.25">
      <c r="A15" t="s">
        <v>119</v>
      </c>
      <c r="B15" t="s">
        <v>120</v>
      </c>
      <c r="C15" t="s">
        <v>121</v>
      </c>
      <c r="D15" s="64">
        <v>5.7</v>
      </c>
      <c r="E15" s="83">
        <v>1.5178082191780822</v>
      </c>
      <c r="F15">
        <v>0</v>
      </c>
      <c r="G15" s="64">
        <v>5</v>
      </c>
    </row>
    <row r="16" spans="1:12" ht="14.4" customHeight="1" x14ac:dyDescent="0.25">
      <c r="A16" t="s">
        <v>122</v>
      </c>
      <c r="B16" t="s">
        <v>123</v>
      </c>
      <c r="C16" t="s">
        <v>124</v>
      </c>
      <c r="D16" s="64">
        <v>3.7</v>
      </c>
      <c r="E16" s="83">
        <v>0</v>
      </c>
      <c r="F16">
        <v>0</v>
      </c>
      <c r="G16" s="64">
        <v>5</v>
      </c>
    </row>
    <row r="17" spans="1:7" ht="14.4" customHeight="1" x14ac:dyDescent="0.25">
      <c r="D17" s="64"/>
      <c r="E17" s="83"/>
      <c r="G17" s="64"/>
    </row>
    <row r="18" spans="1:7" ht="14.4" customHeight="1" x14ac:dyDescent="0.25">
      <c r="D18" s="64"/>
      <c r="E18" s="83"/>
      <c r="G18" s="64"/>
    </row>
    <row r="19" spans="1:7" ht="14.4" customHeight="1" x14ac:dyDescent="0.25">
      <c r="D19" s="64"/>
      <c r="E19" s="83"/>
      <c r="G19" s="64"/>
    </row>
    <row r="20" spans="1:7" ht="14.4" customHeight="1" x14ac:dyDescent="0.25">
      <c r="D20" s="64"/>
      <c r="E20" s="83"/>
      <c r="G20" s="64"/>
    </row>
    <row r="21" spans="1:7" ht="14.4" customHeight="1" x14ac:dyDescent="0.25">
      <c r="D21" s="64"/>
      <c r="E21" s="83"/>
      <c r="G21" s="64"/>
    </row>
    <row r="22" spans="1:7" ht="14.4" customHeight="1" x14ac:dyDescent="0.25">
      <c r="A22" s="143" t="s">
        <v>125</v>
      </c>
      <c r="B22" s="143"/>
      <c r="C22" s="143"/>
      <c r="D22" s="143"/>
      <c r="E22" s="83"/>
      <c r="G22" s="64"/>
    </row>
    <row r="23" spans="1:7" ht="14.4" customHeight="1" x14ac:dyDescent="0.25">
      <c r="A23" s="84" t="s">
        <v>126</v>
      </c>
      <c r="B23" s="84" t="s">
        <v>127</v>
      </c>
      <c r="C23" s="84" t="s">
        <v>128</v>
      </c>
      <c r="D23" s="85" t="s">
        <v>129</v>
      </c>
      <c r="E23" s="83"/>
      <c r="G23" s="64"/>
    </row>
    <row r="24" spans="1:7" ht="14.4" customHeight="1" x14ac:dyDescent="0.25">
      <c r="A24" t="s">
        <v>130</v>
      </c>
      <c r="B24" t="s">
        <v>131</v>
      </c>
      <c r="C24" t="s">
        <v>132</v>
      </c>
      <c r="D24" s="64" t="s">
        <v>133</v>
      </c>
      <c r="E24" s="83"/>
      <c r="G24" s="64"/>
    </row>
    <row r="25" spans="1:7" ht="14.4" customHeight="1" x14ac:dyDescent="0.25">
      <c r="A25" t="s">
        <v>134</v>
      </c>
      <c r="B25" t="s">
        <v>135</v>
      </c>
      <c r="C25" t="s">
        <v>136</v>
      </c>
      <c r="D25" s="64" t="s">
        <v>137</v>
      </c>
      <c r="E25" s="83"/>
      <c r="G25" s="64"/>
    </row>
    <row r="26" spans="1:7" ht="14.4" customHeight="1" x14ac:dyDescent="0.25">
      <c r="A26" t="s">
        <v>138</v>
      </c>
      <c r="B26" t="s">
        <v>135</v>
      </c>
      <c r="C26" t="s">
        <v>132</v>
      </c>
      <c r="D26" s="64" t="s">
        <v>137</v>
      </c>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139</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2:D2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0.37737000000000004</v>
      </c>
      <c r="C4" s="57" t="s">
        <v>29</v>
      </c>
      <c r="D4" s="87">
        <v>0.63849999999999996</v>
      </c>
      <c r="E4" s="57" t="s">
        <v>33</v>
      </c>
      <c r="F4" s="86">
        <v>0.72070000000000012</v>
      </c>
      <c r="G4" s="57" t="s">
        <v>34</v>
      </c>
      <c r="H4" s="86">
        <v>0.93273200000000001</v>
      </c>
      <c r="I4" s="57"/>
      <c r="J4" s="88"/>
    </row>
    <row r="5" spans="1:10" ht="15.75" customHeight="1" x14ac:dyDescent="0.25">
      <c r="A5" s="57" t="s">
        <v>54</v>
      </c>
      <c r="B5" s="86">
        <v>0.13555400000000001</v>
      </c>
      <c r="C5" s="57" t="s">
        <v>55</v>
      </c>
      <c r="D5" s="87">
        <v>0.63600000000000001</v>
      </c>
      <c r="E5" s="57" t="s">
        <v>56</v>
      </c>
      <c r="F5" s="87">
        <v>0</v>
      </c>
      <c r="G5" s="57" t="s">
        <v>57</v>
      </c>
      <c r="H5" s="86">
        <v>0.90200199999999997</v>
      </c>
      <c r="I5" s="57"/>
      <c r="J5" s="88"/>
    </row>
    <row r="6" spans="1:10" ht="15" customHeight="1" x14ac:dyDescent="0.25">
      <c r="A6" s="57" t="s">
        <v>58</v>
      </c>
      <c r="B6" s="86">
        <v>0.56261000000000005</v>
      </c>
      <c r="C6" s="57" t="s">
        <v>31</v>
      </c>
      <c r="D6" s="89">
        <v>0.1217</v>
      </c>
      <c r="E6" s="57" t="s">
        <v>59</v>
      </c>
      <c r="F6" s="87">
        <v>1.9117999999999999</v>
      </c>
      <c r="G6" s="57" t="s">
        <v>37</v>
      </c>
      <c r="H6" s="86">
        <v>6.3230999999999996E-2</v>
      </c>
      <c r="I6" s="57"/>
      <c r="J6" s="88"/>
    </row>
    <row r="7" spans="1:10" ht="14.25" customHeight="1" x14ac:dyDescent="0.25">
      <c r="A7" s="57" t="s">
        <v>30</v>
      </c>
      <c r="B7" s="89">
        <v>0.10558519275929534</v>
      </c>
      <c r="C7" s="57" t="s">
        <v>60</v>
      </c>
      <c r="D7" s="89">
        <v>36.5974</v>
      </c>
      <c r="E7" s="57" t="s">
        <v>61</v>
      </c>
      <c r="F7" s="87">
        <v>0.29199999999999998</v>
      </c>
      <c r="G7" s="57" t="s">
        <v>62</v>
      </c>
      <c r="H7" s="86">
        <v>4.4366000000000003E-2</v>
      </c>
      <c r="I7" s="57"/>
      <c r="J7" s="88"/>
    </row>
    <row r="8" spans="1:10" x14ac:dyDescent="0.25">
      <c r="A8" s="57"/>
      <c r="B8" s="90"/>
      <c r="C8" s="57"/>
      <c r="D8" s="91"/>
      <c r="E8" s="57" t="s">
        <v>63</v>
      </c>
      <c r="F8" s="87">
        <v>4.5699999999999998E-2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5.2596800699999999</v>
      </c>
      <c r="C12" s="57" t="s">
        <v>70</v>
      </c>
      <c r="D12" s="89">
        <v>7.0675775476</v>
      </c>
      <c r="E12" s="147" t="s">
        <v>71</v>
      </c>
      <c r="F12" s="120"/>
      <c r="G12" s="120"/>
      <c r="H12" s="148">
        <v>5.0938706956999997</v>
      </c>
      <c r="I12" s="120"/>
      <c r="J12" s="120"/>
    </row>
    <row r="13" spans="1:10" ht="14.25" customHeight="1" x14ac:dyDescent="0.25">
      <c r="A13" s="57" t="s">
        <v>72</v>
      </c>
      <c r="B13" s="92">
        <v>0</v>
      </c>
      <c r="C13" s="57" t="s">
        <v>73</v>
      </c>
      <c r="D13" s="89">
        <v>1.1158341181</v>
      </c>
      <c r="E13" s="147" t="s">
        <v>74</v>
      </c>
      <c r="F13" s="120"/>
      <c r="G13" s="120"/>
      <c r="H13" s="148">
        <v>7.4370635862999999</v>
      </c>
      <c r="I13" s="120"/>
      <c r="J13" s="120"/>
    </row>
    <row r="14" spans="1:10" ht="14.25" customHeight="1" x14ac:dyDescent="0.25">
      <c r="A14" s="57" t="s">
        <v>75</v>
      </c>
      <c r="B14" s="92">
        <v>0.73866876680000004</v>
      </c>
      <c r="C14" s="57" t="s">
        <v>76</v>
      </c>
      <c r="D14" s="89">
        <v>0.47542352479999994</v>
      </c>
      <c r="E14" s="147" t="s">
        <v>77</v>
      </c>
      <c r="F14" s="120"/>
      <c r="G14" s="120"/>
      <c r="H14" s="148">
        <v>12.530934282</v>
      </c>
      <c r="I14" s="120"/>
      <c r="J14" s="120"/>
    </row>
    <row r="15" spans="1:10" ht="14.25" customHeight="1" x14ac:dyDescent="0.25">
      <c r="A15" s="57" t="s">
        <v>78</v>
      </c>
      <c r="B15" s="92">
        <v>0.62883510899999995</v>
      </c>
      <c r="C15" s="57" t="s">
        <v>79</v>
      </c>
      <c r="D15" s="89">
        <v>5.0345931100000005E-2</v>
      </c>
      <c r="E15" s="147" t="s">
        <v>80</v>
      </c>
      <c r="F15" s="120"/>
      <c r="G15" s="120"/>
      <c r="H15" s="148">
        <v>7.6739847370000005</v>
      </c>
      <c r="I15" s="120"/>
      <c r="J15" s="120"/>
    </row>
    <row r="16" spans="1:10" ht="14.25" customHeight="1" x14ac:dyDescent="0.25">
      <c r="A16" s="57" t="s">
        <v>81</v>
      </c>
      <c r="B16" s="92">
        <v>3.9300132958999998</v>
      </c>
      <c r="C16" s="57" t="s">
        <v>82</v>
      </c>
      <c r="D16" s="89">
        <v>0.43529152979999997</v>
      </c>
      <c r="E16" s="147" t="s">
        <v>83</v>
      </c>
      <c r="F16" s="120"/>
      <c r="G16" s="120"/>
      <c r="H16" s="148">
        <v>0.13828635410000001</v>
      </c>
      <c r="I16" s="120"/>
      <c r="J16" s="120"/>
    </row>
    <row r="17" spans="1:10" ht="14.25" customHeight="1" x14ac:dyDescent="0.25">
      <c r="A17" s="57" t="s">
        <v>84</v>
      </c>
      <c r="B17" s="92">
        <v>0</v>
      </c>
      <c r="C17" s="57" t="s">
        <v>85</v>
      </c>
      <c r="D17" s="89">
        <v>0.22655445460000001</v>
      </c>
      <c r="E17" s="147" t="s">
        <v>86</v>
      </c>
      <c r="F17" s="120"/>
      <c r="G17" s="120"/>
      <c r="H17" s="148">
        <v>10.3869948909</v>
      </c>
      <c r="I17" s="120"/>
      <c r="J17" s="120"/>
    </row>
    <row r="18" spans="1:10" ht="14.25" customHeight="1" x14ac:dyDescent="0.25">
      <c r="A18" s="57" t="s">
        <v>87</v>
      </c>
      <c r="B18" s="92">
        <v>153.18276126860002</v>
      </c>
      <c r="C18" s="57" t="s">
        <v>88</v>
      </c>
      <c r="D18" s="89">
        <v>6.3749715399999998</v>
      </c>
      <c r="E18" s="147" t="s">
        <v>89</v>
      </c>
      <c r="F18" s="120"/>
      <c r="G18" s="120"/>
      <c r="H18" s="148">
        <v>2.1439393911</v>
      </c>
      <c r="I18" s="120"/>
      <c r="J18" s="120"/>
    </row>
    <row r="19" spans="1:10" ht="14.25" customHeight="1" x14ac:dyDescent="0.25">
      <c r="A19" s="57" t="s">
        <v>90</v>
      </c>
      <c r="B19" s="92">
        <v>0</v>
      </c>
      <c r="C19" s="57" t="s">
        <v>91</v>
      </c>
      <c r="D19" s="89">
        <v>6.6752153523000004</v>
      </c>
      <c r="E19" s="147" t="s">
        <v>92</v>
      </c>
      <c r="F19" s="120"/>
      <c r="G19" s="120"/>
      <c r="H19" s="148">
        <v>-4.2346489082999996</v>
      </c>
      <c r="I19" s="120"/>
      <c r="J19" s="120"/>
    </row>
    <row r="20" spans="1:10" ht="27" customHeight="1" x14ac:dyDescent="0.25">
      <c r="A20" s="57" t="s">
        <v>93</v>
      </c>
      <c r="B20" s="92">
        <v>0</v>
      </c>
      <c r="C20" s="57" t="s">
        <v>35</v>
      </c>
      <c r="D20" s="89">
        <v>6.0183164744000006</v>
      </c>
      <c r="E20" s="147" t="s">
        <v>94</v>
      </c>
      <c r="F20" s="120"/>
      <c r="G20" s="120"/>
      <c r="H20" s="148">
        <v>0</v>
      </c>
      <c r="I20" s="120"/>
      <c r="J20" s="120"/>
    </row>
    <row r="21" spans="1:10" ht="16.5" customHeight="1" x14ac:dyDescent="0.25">
      <c r="A21" s="57" t="s">
        <v>95</v>
      </c>
      <c r="B21" s="92">
        <v>0</v>
      </c>
      <c r="C21" s="57"/>
      <c r="D21" s="93"/>
      <c r="E21" s="147" t="s">
        <v>96</v>
      </c>
      <c r="F21" s="120"/>
      <c r="G21" s="120"/>
      <c r="H21" s="148">
        <v>9.9879999999999995</v>
      </c>
      <c r="I21" s="120"/>
      <c r="J21" s="120"/>
    </row>
    <row r="22" spans="1:10" ht="14.25" customHeight="1" x14ac:dyDescent="0.25">
      <c r="A22" s="57" t="s">
        <v>97</v>
      </c>
      <c r="B22" s="92">
        <v>0</v>
      </c>
      <c r="C22" s="57"/>
      <c r="D22" s="93"/>
      <c r="E22" s="147" t="s">
        <v>98</v>
      </c>
      <c r="F22" s="120"/>
      <c r="G22" s="120"/>
      <c r="H22" s="148">
        <v>0</v>
      </c>
      <c r="I22" s="120"/>
      <c r="J22" s="120"/>
    </row>
    <row r="23" spans="1:10" ht="14.25" customHeight="1" x14ac:dyDescent="0.25">
      <c r="A23" s="57" t="s">
        <v>99</v>
      </c>
      <c r="B23" s="92">
        <v>10</v>
      </c>
      <c r="C23" s="57"/>
      <c r="D23" s="93"/>
      <c r="E23" s="147" t="s">
        <v>100</v>
      </c>
      <c r="F23" s="120"/>
      <c r="G23" s="120"/>
      <c r="H23" s="148">
        <v>9.9879999999999995</v>
      </c>
      <c r="I23" s="120"/>
      <c r="J23" s="120"/>
    </row>
    <row r="24" spans="1:10" ht="14.25" customHeight="1" x14ac:dyDescent="0.25">
      <c r="A24" s="57" t="s">
        <v>101</v>
      </c>
      <c r="B24" s="92">
        <v>57.806555521099995</v>
      </c>
      <c r="C24" s="94"/>
      <c r="D24" s="91"/>
      <c r="E24" s="147" t="s">
        <v>102</v>
      </c>
      <c r="F24" s="120"/>
      <c r="G24" s="120"/>
      <c r="H24" s="148">
        <v>5</v>
      </c>
      <c r="I24" s="120"/>
      <c r="J24" s="120"/>
    </row>
    <row r="25" spans="1:10" ht="14.25" customHeight="1" x14ac:dyDescent="0.25">
      <c r="A25" s="57" t="s">
        <v>103</v>
      </c>
      <c r="B25" s="92">
        <v>95.376205747499995</v>
      </c>
      <c r="C25" s="94"/>
      <c r="D25" s="91"/>
      <c r="E25" s="147" t="s">
        <v>104</v>
      </c>
      <c r="F25" s="120"/>
      <c r="G25" s="120"/>
      <c r="H25" s="148">
        <v>6.1736500000000003</v>
      </c>
      <c r="I25" s="120"/>
      <c r="J25" s="120"/>
    </row>
    <row r="26" spans="1:10" ht="14.25" customHeight="1" x14ac:dyDescent="0.25">
      <c r="A26" s="95" t="s">
        <v>105</v>
      </c>
      <c r="B26" s="92">
        <v>153.18276126860002</v>
      </c>
      <c r="C26" s="94"/>
      <c r="D26" s="91"/>
      <c r="E26" s="147" t="s">
        <v>106</v>
      </c>
      <c r="F26" s="120"/>
      <c r="G26" s="120"/>
      <c r="H26" s="148">
        <v>3.8143500000000001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140</v>
      </c>
      <c r="B1" s="124"/>
      <c r="C1" s="124"/>
      <c r="D1" s="124"/>
      <c r="E1" s="124"/>
      <c r="F1" s="124"/>
      <c r="G1" s="124"/>
      <c r="H1" s="124"/>
      <c r="I1" s="124"/>
    </row>
    <row r="2" spans="1:10" ht="46.5" customHeight="1" x14ac:dyDescent="0.25">
      <c r="A2" s="54" t="s">
        <v>22</v>
      </c>
      <c r="B2" s="43" t="s">
        <v>197</v>
      </c>
      <c r="C2" s="43" t="s">
        <v>141</v>
      </c>
      <c r="D2" s="43" t="s">
        <v>203</v>
      </c>
      <c r="E2" s="43" t="s">
        <v>203</v>
      </c>
      <c r="F2" s="43" t="s">
        <v>203</v>
      </c>
      <c r="G2" s="43" t="s">
        <v>203</v>
      </c>
      <c r="H2" s="43" t="s">
        <v>203</v>
      </c>
      <c r="I2" s="43" t="s">
        <v>203</v>
      </c>
      <c r="J2" s="43" t="s">
        <v>203</v>
      </c>
    </row>
    <row r="3" spans="1:10" x14ac:dyDescent="0.25">
      <c r="A3" s="54" t="s">
        <v>23</v>
      </c>
      <c r="B3" s="97" t="s">
        <v>131</v>
      </c>
      <c r="C3" s="98" t="s">
        <v>136</v>
      </c>
      <c r="D3" s="97" t="s">
        <v>203</v>
      </c>
      <c r="E3" s="97" t="s">
        <v>203</v>
      </c>
      <c r="F3" s="97" t="s">
        <v>203</v>
      </c>
      <c r="G3" s="97" t="s">
        <v>203</v>
      </c>
      <c r="H3" s="97" t="s">
        <v>203</v>
      </c>
      <c r="I3" s="97" t="s">
        <v>203</v>
      </c>
      <c r="J3" s="97" t="s">
        <v>203</v>
      </c>
    </row>
    <row r="4" spans="1:10" s="7" customFormat="1" ht="21.6" x14ac:dyDescent="0.25">
      <c r="A4" s="9" t="s">
        <v>3</v>
      </c>
      <c r="B4" s="99" t="s">
        <v>198</v>
      </c>
      <c r="C4" s="98" t="s">
        <v>136</v>
      </c>
      <c r="D4" s="99" t="s">
        <v>203</v>
      </c>
      <c r="E4" s="99" t="s">
        <v>203</v>
      </c>
      <c r="F4" s="99" t="s">
        <v>203</v>
      </c>
      <c r="G4" s="99" t="s">
        <v>203</v>
      </c>
      <c r="H4" s="99" t="s">
        <v>203</v>
      </c>
      <c r="I4" s="99" t="s">
        <v>203</v>
      </c>
      <c r="J4" s="99" t="s">
        <v>203</v>
      </c>
    </row>
    <row r="5" spans="1:10" s="7" customFormat="1" x14ac:dyDescent="0.25">
      <c r="A5" s="9" t="s">
        <v>25</v>
      </c>
      <c r="B5" s="100" t="s">
        <v>26</v>
      </c>
      <c r="C5" s="98" t="s">
        <v>136</v>
      </c>
      <c r="D5" s="100" t="s">
        <v>203</v>
      </c>
      <c r="E5" s="100" t="s">
        <v>203</v>
      </c>
      <c r="F5" s="100" t="s">
        <v>203</v>
      </c>
      <c r="G5" s="100" t="s">
        <v>203</v>
      </c>
      <c r="H5" s="100" t="s">
        <v>203</v>
      </c>
      <c r="I5" s="100" t="s">
        <v>203</v>
      </c>
      <c r="J5" s="100" t="s">
        <v>203</v>
      </c>
    </row>
    <row r="6" spans="1:10" x14ac:dyDescent="0.25">
      <c r="A6" s="54" t="s">
        <v>27</v>
      </c>
      <c r="B6" s="101">
        <v>153.18276126860002</v>
      </c>
      <c r="C6" s="98" t="s">
        <v>136</v>
      </c>
      <c r="D6" s="101" t="s">
        <v>203</v>
      </c>
      <c r="E6" s="101" t="s">
        <v>203</v>
      </c>
      <c r="F6" s="101" t="s">
        <v>203</v>
      </c>
      <c r="G6" s="101" t="s">
        <v>203</v>
      </c>
      <c r="H6" s="101" t="s">
        <v>203</v>
      </c>
      <c r="I6" s="101" t="s">
        <v>203</v>
      </c>
      <c r="J6" s="101" t="s">
        <v>203</v>
      </c>
    </row>
    <row r="7" spans="1:10" x14ac:dyDescent="0.25">
      <c r="A7" s="54" t="s">
        <v>28</v>
      </c>
      <c r="B7" s="44">
        <v>0.37737000000000004</v>
      </c>
      <c r="C7" s="98" t="s">
        <v>136</v>
      </c>
      <c r="D7" s="44" t="s">
        <v>203</v>
      </c>
      <c r="E7" s="44" t="s">
        <v>203</v>
      </c>
      <c r="F7" s="44" t="s">
        <v>203</v>
      </c>
      <c r="G7" s="44" t="s">
        <v>203</v>
      </c>
      <c r="H7" s="44" t="s">
        <v>203</v>
      </c>
      <c r="I7" s="44" t="s">
        <v>203</v>
      </c>
      <c r="J7" s="44" t="s">
        <v>203</v>
      </c>
    </row>
    <row r="8" spans="1:10" x14ac:dyDescent="0.25">
      <c r="A8" s="54" t="s">
        <v>29</v>
      </c>
      <c r="B8" s="101">
        <v>0.63849999999999996</v>
      </c>
      <c r="C8" s="98" t="s">
        <v>136</v>
      </c>
      <c r="D8" s="101" t="s">
        <v>203</v>
      </c>
      <c r="E8" s="101" t="s">
        <v>203</v>
      </c>
      <c r="F8" s="101" t="s">
        <v>203</v>
      </c>
      <c r="G8" s="101" t="s">
        <v>203</v>
      </c>
      <c r="H8" s="101" t="s">
        <v>203</v>
      </c>
      <c r="I8" s="101" t="s">
        <v>203</v>
      </c>
      <c r="J8" s="101" t="s">
        <v>203</v>
      </c>
    </row>
    <row r="9" spans="1:10" x14ac:dyDescent="0.25">
      <c r="A9" s="54" t="s">
        <v>30</v>
      </c>
      <c r="B9" s="97">
        <v>0.10558519275929534</v>
      </c>
      <c r="C9" s="98" t="s">
        <v>136</v>
      </c>
      <c r="D9" s="97" t="s">
        <v>203</v>
      </c>
      <c r="E9" s="97" t="s">
        <v>203</v>
      </c>
      <c r="F9" s="97" t="s">
        <v>203</v>
      </c>
      <c r="G9" s="97" t="s">
        <v>203</v>
      </c>
      <c r="H9" s="97" t="s">
        <v>203</v>
      </c>
      <c r="I9" s="97" t="s">
        <v>203</v>
      </c>
      <c r="J9" s="97" t="s">
        <v>203</v>
      </c>
    </row>
    <row r="10" spans="1:10" ht="21.6" customHeight="1" x14ac:dyDescent="0.25">
      <c r="A10" s="54" t="s">
        <v>31</v>
      </c>
      <c r="B10" s="101">
        <v>0.1217</v>
      </c>
      <c r="C10" s="98" t="s">
        <v>136</v>
      </c>
      <c r="D10" s="101" t="s">
        <v>203</v>
      </c>
      <c r="E10" s="101" t="s">
        <v>203</v>
      </c>
      <c r="F10" s="101" t="s">
        <v>203</v>
      </c>
      <c r="G10" s="101" t="s">
        <v>203</v>
      </c>
      <c r="H10" s="101" t="s">
        <v>203</v>
      </c>
      <c r="I10" s="101" t="s">
        <v>203</v>
      </c>
      <c r="J10" s="101" t="s">
        <v>203</v>
      </c>
    </row>
    <row r="11" spans="1:10" x14ac:dyDescent="0.25">
      <c r="A11" s="54" t="s">
        <v>32</v>
      </c>
      <c r="B11" s="101">
        <v>7.0675775476</v>
      </c>
      <c r="C11" s="98" t="s">
        <v>136</v>
      </c>
      <c r="D11" s="101" t="s">
        <v>203</v>
      </c>
      <c r="E11" s="101" t="s">
        <v>203</v>
      </c>
      <c r="F11" s="101" t="s">
        <v>203</v>
      </c>
      <c r="G11" s="101" t="s">
        <v>203</v>
      </c>
      <c r="H11" s="101" t="s">
        <v>203</v>
      </c>
      <c r="I11" s="101" t="s">
        <v>203</v>
      </c>
      <c r="J11" s="101" t="s">
        <v>203</v>
      </c>
    </row>
    <row r="12" spans="1:10" s="7" customFormat="1" x14ac:dyDescent="0.25">
      <c r="A12" s="9" t="s">
        <v>33</v>
      </c>
      <c r="B12" s="45">
        <v>0.72070000000000012</v>
      </c>
      <c r="C12" s="98" t="s">
        <v>136</v>
      </c>
      <c r="D12" s="45" t="s">
        <v>203</v>
      </c>
      <c r="E12" s="45" t="s">
        <v>203</v>
      </c>
      <c r="F12" s="45" t="s">
        <v>203</v>
      </c>
      <c r="G12" s="45" t="s">
        <v>203</v>
      </c>
      <c r="H12" s="45" t="s">
        <v>203</v>
      </c>
      <c r="I12" s="45" t="s">
        <v>203</v>
      </c>
      <c r="J12" s="45" t="s">
        <v>203</v>
      </c>
    </row>
    <row r="13" spans="1:10" s="7" customFormat="1" x14ac:dyDescent="0.25">
      <c r="A13" s="9" t="s">
        <v>34</v>
      </c>
      <c r="B13" s="45">
        <v>0.93273200000000001</v>
      </c>
      <c r="C13" s="98" t="s">
        <v>136</v>
      </c>
      <c r="D13" s="45" t="s">
        <v>203</v>
      </c>
      <c r="E13" s="45" t="s">
        <v>203</v>
      </c>
      <c r="F13" s="45" t="s">
        <v>203</v>
      </c>
      <c r="G13" s="45" t="s">
        <v>203</v>
      </c>
      <c r="H13" s="45" t="s">
        <v>203</v>
      </c>
      <c r="I13" s="45" t="s">
        <v>203</v>
      </c>
      <c r="J13" s="45" t="s">
        <v>203</v>
      </c>
    </row>
    <row r="14" spans="1:10" s="7" customFormat="1" x14ac:dyDescent="0.25">
      <c r="A14" s="9" t="s">
        <v>35</v>
      </c>
      <c r="B14" s="102">
        <v>6.0183164744000006</v>
      </c>
      <c r="C14" s="98" t="s">
        <v>136</v>
      </c>
      <c r="D14" s="102" t="s">
        <v>203</v>
      </c>
      <c r="E14" s="102" t="s">
        <v>203</v>
      </c>
      <c r="F14" s="102" t="s">
        <v>203</v>
      </c>
      <c r="G14" s="102" t="s">
        <v>203</v>
      </c>
      <c r="H14" s="102" t="s">
        <v>203</v>
      </c>
      <c r="I14" s="102" t="s">
        <v>203</v>
      </c>
      <c r="J14" s="102" t="s">
        <v>203</v>
      </c>
    </row>
    <row r="15" spans="1:10" x14ac:dyDescent="0.25">
      <c r="A15" s="54" t="s">
        <v>37</v>
      </c>
      <c r="B15" s="44">
        <v>6.3230999999999996E-2</v>
      </c>
      <c r="C15" s="98" t="s">
        <v>136</v>
      </c>
      <c r="D15" s="44" t="s">
        <v>203</v>
      </c>
      <c r="E15" s="44" t="s">
        <v>203</v>
      </c>
      <c r="F15" s="44" t="s">
        <v>203</v>
      </c>
      <c r="G15" s="44" t="s">
        <v>203</v>
      </c>
      <c r="H15" s="44" t="s">
        <v>203</v>
      </c>
      <c r="I15" s="44" t="s">
        <v>203</v>
      </c>
      <c r="J15" s="44" t="s">
        <v>203</v>
      </c>
    </row>
    <row r="16" spans="1:10" s="7" customFormat="1" ht="25.8" customHeight="1" x14ac:dyDescent="0.25">
      <c r="A16" s="9" t="s">
        <v>38</v>
      </c>
      <c r="B16" s="102">
        <v>2.1439393911</v>
      </c>
      <c r="C16" s="98" t="s">
        <v>136</v>
      </c>
      <c r="D16" s="102" t="s">
        <v>203</v>
      </c>
      <c r="E16" s="102" t="s">
        <v>203</v>
      </c>
      <c r="F16" s="102" t="s">
        <v>203</v>
      </c>
      <c r="G16" s="102" t="s">
        <v>203</v>
      </c>
      <c r="H16" s="102" t="s">
        <v>203</v>
      </c>
      <c r="I16" s="102" t="s">
        <v>203</v>
      </c>
      <c r="J16" s="102" t="s">
        <v>203</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142</v>
      </c>
      <c r="B1" s="124"/>
      <c r="C1" s="124"/>
      <c r="D1" s="124"/>
      <c r="E1" s="124"/>
      <c r="F1" s="124"/>
    </row>
    <row r="2" spans="1:6" x14ac:dyDescent="0.25">
      <c r="A2" s="51" t="s">
        <v>143</v>
      </c>
      <c r="B2" s="50" t="s">
        <v>144</v>
      </c>
      <c r="C2" s="50" t="s">
        <v>145</v>
      </c>
      <c r="D2" s="50" t="s">
        <v>146</v>
      </c>
      <c r="E2" s="50" t="s">
        <v>129</v>
      </c>
      <c r="F2" s="50" t="s">
        <v>147</v>
      </c>
    </row>
    <row r="3" spans="1:6" ht="48" customHeight="1" x14ac:dyDescent="0.25">
      <c r="A3" s="104">
        <v>43535</v>
      </c>
      <c r="B3" s="52" t="s">
        <v>148</v>
      </c>
      <c r="C3" s="105" t="s">
        <v>149</v>
      </c>
      <c r="D3" s="105"/>
      <c r="E3" s="52" t="s">
        <v>133</v>
      </c>
      <c r="F3" s="105" t="s">
        <v>150</v>
      </c>
    </row>
    <row r="4" spans="1:6" ht="49.5" customHeight="1" x14ac:dyDescent="0.25">
      <c r="A4" s="104">
        <v>43535</v>
      </c>
      <c r="B4" s="52" t="s">
        <v>151</v>
      </c>
      <c r="C4" s="105" t="s">
        <v>152</v>
      </c>
      <c r="D4" s="105"/>
      <c r="E4" s="52" t="s">
        <v>153</v>
      </c>
      <c r="F4" s="105"/>
    </row>
    <row r="5" spans="1:6" ht="125.4" x14ac:dyDescent="0.25">
      <c r="A5" s="104">
        <v>43438</v>
      </c>
      <c r="B5" s="52" t="s">
        <v>154</v>
      </c>
      <c r="C5" s="105" t="s">
        <v>149</v>
      </c>
      <c r="D5" s="105"/>
      <c r="E5" s="52" t="s">
        <v>155</v>
      </c>
      <c r="F5" s="105" t="s">
        <v>156</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157</v>
      </c>
      <c r="B21" s="143"/>
      <c r="C21" s="143"/>
      <c r="D21" s="143"/>
      <c r="E21" s="143"/>
      <c r="F21" s="143"/>
    </row>
    <row r="22" spans="1:6" x14ac:dyDescent="0.25">
      <c r="A22" s="84" t="s">
        <v>143</v>
      </c>
      <c r="B22" s="84" t="s">
        <v>144</v>
      </c>
      <c r="C22" s="84" t="s">
        <v>158</v>
      </c>
      <c r="D22" s="84" t="s">
        <v>159</v>
      </c>
      <c r="E22" s="84" t="s">
        <v>129</v>
      </c>
      <c r="F22" s="84" t="s">
        <v>147</v>
      </c>
    </row>
    <row r="23" spans="1:6" x14ac:dyDescent="0.25">
      <c r="A23" s="107">
        <v>43497</v>
      </c>
      <c r="B23" s="58" t="s">
        <v>160</v>
      </c>
      <c r="C23" s="108" t="s">
        <v>161</v>
      </c>
      <c r="D23" s="108"/>
      <c r="E23" s="58" t="s">
        <v>162</v>
      </c>
      <c r="F23" s="108" t="s">
        <v>163</v>
      </c>
    </row>
    <row r="24" spans="1:6" x14ac:dyDescent="0.25">
      <c r="A24" s="107">
        <v>43496</v>
      </c>
      <c r="B24" s="58" t="s">
        <v>164</v>
      </c>
      <c r="C24" s="108" t="s">
        <v>165</v>
      </c>
      <c r="D24" s="108"/>
      <c r="E24" s="58" t="s">
        <v>166</v>
      </c>
      <c r="F24" s="108" t="s">
        <v>167</v>
      </c>
    </row>
    <row r="25" spans="1:6" x14ac:dyDescent="0.25">
      <c r="A25" s="107">
        <v>43433</v>
      </c>
      <c r="B25" s="58" t="s">
        <v>168</v>
      </c>
      <c r="C25" s="108" t="s">
        <v>169</v>
      </c>
      <c r="D25" s="108"/>
      <c r="E25" s="58" t="s">
        <v>170</v>
      </c>
      <c r="F25" s="108" t="s">
        <v>171</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172</v>
      </c>
      <c r="B1" s="124"/>
      <c r="C1" s="124"/>
      <c r="D1" s="124"/>
      <c r="E1" s="124"/>
      <c r="F1" s="124"/>
      <c r="G1" s="124"/>
      <c r="H1" s="124"/>
      <c r="I1" s="124"/>
      <c r="J1" s="124"/>
      <c r="K1" s="124"/>
      <c r="L1" s="124"/>
      <c r="M1" s="124"/>
      <c r="N1" s="124"/>
    </row>
    <row r="2" spans="1:18" s="1" customFormat="1" ht="25.5" customHeight="1" x14ac:dyDescent="0.25">
      <c r="A2" s="55" t="s">
        <v>173</v>
      </c>
      <c r="B2" s="55" t="s">
        <v>174</v>
      </c>
      <c r="C2" s="55" t="s">
        <v>175</v>
      </c>
      <c r="D2" s="55" t="s">
        <v>176</v>
      </c>
      <c r="E2" s="55" t="s">
        <v>177</v>
      </c>
      <c r="F2" s="55" t="s">
        <v>178</v>
      </c>
      <c r="G2" s="55" t="s">
        <v>179</v>
      </c>
      <c r="H2" s="55" t="s">
        <v>16</v>
      </c>
      <c r="I2" s="55" t="s">
        <v>180</v>
      </c>
      <c r="J2" s="55" t="s">
        <v>181</v>
      </c>
      <c r="K2" s="55" t="s">
        <v>182</v>
      </c>
      <c r="L2" s="55" t="s">
        <v>183</v>
      </c>
      <c r="M2" s="55" t="s">
        <v>19</v>
      </c>
      <c r="N2" s="55" t="s">
        <v>184</v>
      </c>
      <c r="O2" s="3"/>
      <c r="P2" s="110" t="str">
        <f ca="1">Q2</f>
        <v>2019-04-09</v>
      </c>
      <c r="Q2" s="1" t="str">
        <f ca="1">[1]!td(R2-1)</f>
        <v>2019-04-09</v>
      </c>
      <c r="R2" s="3">
        <f ca="1">TODAY()</f>
        <v>43565</v>
      </c>
    </row>
    <row r="3" spans="1:18" ht="15.75" customHeight="1" x14ac:dyDescent="0.25">
      <c r="A3" s="111" t="str">
        <f>[1]!b_info_name(L3)</f>
        <v>19高科技投MTN001</v>
      </c>
      <c r="B3" s="2" t="str">
        <f>[1]!b_issue_firstissue(L3)</f>
        <v>2019-04-11</v>
      </c>
      <c r="C3" s="111">
        <f>[1]!b_info_term(L3)</f>
        <v>3</v>
      </c>
      <c r="D3" s="112" t="str">
        <f>[1]!issuerrating(L3)</f>
        <v>AAA</v>
      </c>
      <c r="E3" s="112" t="str">
        <f>[1]!b_info_creditrating(L3)</f>
        <v>AAA</v>
      </c>
      <c r="F3" s="111" t="str">
        <f>[1]!b_rate_creditratingagency(L3)</f>
        <v>中诚信国际信用评级有限责任公司</v>
      </c>
      <c r="G3" s="113">
        <f>[1]!b_agency_guarantor(L3)</f>
        <v>0</v>
      </c>
      <c r="H3" s="114" t="s">
        <v>185</v>
      </c>
      <c r="I3" s="66"/>
      <c r="J3" s="115" t="s">
        <v>185</v>
      </c>
      <c r="K3" s="116"/>
      <c r="L3" s="41" t="str">
        <f>公式页!A2</f>
        <v>q19040817.IB</v>
      </c>
      <c r="M3" s="114" t="s">
        <v>185</v>
      </c>
      <c r="N3" s="111" t="str">
        <f>[1]!b_agency_leadunderwriter(L3)</f>
        <v>南京银行股份有限公司,招商银行股份有限公司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186</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187</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173</v>
      </c>
      <c r="B13" s="55" t="s">
        <v>174</v>
      </c>
      <c r="C13" s="55" t="s">
        <v>175</v>
      </c>
      <c r="D13" s="55" t="s">
        <v>176</v>
      </c>
      <c r="E13" s="55" t="s">
        <v>177</v>
      </c>
      <c r="F13" s="55" t="s">
        <v>178</v>
      </c>
      <c r="G13" s="55" t="s">
        <v>179</v>
      </c>
      <c r="H13" s="55" t="s">
        <v>16</v>
      </c>
      <c r="I13" s="55" t="s">
        <v>180</v>
      </c>
      <c r="J13" s="55" t="s">
        <v>181</v>
      </c>
      <c r="K13" s="55" t="s">
        <v>182</v>
      </c>
      <c r="L13" s="55" t="s">
        <v>183</v>
      </c>
      <c r="M13" s="55" t="s">
        <v>19</v>
      </c>
      <c r="N13" s="55" t="s">
        <v>184</v>
      </c>
      <c r="P13" s="109" t="str">
        <f t="shared" ca="1" si="0"/>
        <v>2019-04-09</v>
      </c>
    </row>
    <row r="14" spans="1:18" ht="15.75" customHeight="1" x14ac:dyDescent="0.25">
      <c r="A14" s="111" t="str">
        <f>[1]!b_info_name(L14)</f>
        <v>19高科技投MTN001</v>
      </c>
      <c r="B14" s="2" t="str">
        <f>[1]!b_issue_firstissue(L14)</f>
        <v>2019-04-11</v>
      </c>
      <c r="C14" s="111">
        <f>[1]!b_info_term(L14)</f>
        <v>3</v>
      </c>
      <c r="D14" s="112" t="str">
        <f>[1]!issuerrating(L14)</f>
        <v>AAA</v>
      </c>
      <c r="E14" s="112" t="str">
        <f>[1]!b_info_creditrating(L14)</f>
        <v>AAA</v>
      </c>
      <c r="F14" s="111" t="str">
        <f>[1]!b_rate_creditratingagency(L14)</f>
        <v>中诚信国际信用评级有限责任公司</v>
      </c>
      <c r="G14" s="113">
        <f>[1]!b_agency_guarantor(L14)</f>
        <v>0</v>
      </c>
      <c r="H14" s="114" t="s">
        <v>185</v>
      </c>
      <c r="I14" s="66"/>
      <c r="J14" s="115" t="s">
        <v>185</v>
      </c>
      <c r="K14" s="116">
        <f>K3</f>
        <v>0</v>
      </c>
      <c r="L14" s="42" t="str">
        <f>L3</f>
        <v>q19040817.IB</v>
      </c>
      <c r="M14" s="114" t="s">
        <v>185</v>
      </c>
      <c r="N14" s="111" t="str">
        <f>[1]!b_agency_leadunderwriter(L14)</f>
        <v>南京银行股份有限公司,招商银行股份有限公司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188</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189</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190</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191</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192</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193</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194</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195</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196</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2019-04-10T07:57:08Z</dcterms:modified>
</cp:coreProperties>
</file>