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50D70512-7D62-4A25-97C4-FB4CD2643A0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M23" i="6"/>
  <c r="D23" i="6"/>
  <c r="B22" i="6"/>
  <c r="H21" i="6"/>
  <c r="G20" i="6"/>
  <c r="E19" i="6"/>
  <c r="N18" i="6"/>
  <c r="E18" i="6"/>
  <c r="M17" i="6"/>
  <c r="C17" i="6"/>
  <c r="A16" i="6"/>
  <c r="H15" i="6"/>
  <c r="A15" i="6"/>
  <c r="D14" i="6"/>
  <c r="H9" i="6"/>
  <c r="F8" i="6"/>
  <c r="N7" i="6"/>
  <c r="D7" i="6"/>
  <c r="M6" i="6"/>
  <c r="E6" i="6"/>
  <c r="D5" i="6"/>
  <c r="B4" i="6"/>
  <c r="G3" i="6"/>
  <c r="M141" i="1"/>
  <c r="M138" i="1"/>
  <c r="S135" i="1"/>
  <c r="M134" i="1"/>
  <c r="M132" i="1"/>
  <c r="S128" i="1"/>
  <c r="S127" i="1"/>
  <c r="M118" i="1"/>
  <c r="M111" i="1"/>
  <c r="S110" i="1"/>
  <c r="S109" i="1"/>
  <c r="Q103" i="1"/>
  <c r="L103" i="1"/>
  <c r="C102" i="1"/>
  <c r="O101" i="1"/>
  <c r="G101" i="1"/>
  <c r="R100" i="1"/>
  <c r="M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F50" i="1"/>
  <c r="G49" i="1"/>
  <c r="G48" i="1"/>
  <c r="B48" i="1"/>
  <c r="C47" i="1"/>
  <c r="C46" i="1"/>
  <c r="D45" i="1"/>
  <c r="E44" i="1"/>
  <c r="E43" i="1"/>
  <c r="F42" i="1"/>
  <c r="G41" i="1"/>
  <c r="G40" i="1"/>
  <c r="B40" i="1"/>
  <c r="C39" i="1"/>
  <c r="C38" i="1"/>
  <c r="D37" i="1"/>
  <c r="E36" i="1"/>
  <c r="E35" i="1"/>
  <c r="F34" i="1"/>
  <c r="G33" i="1"/>
  <c r="G32" i="1"/>
  <c r="B32"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A23" i="6"/>
  <c r="G22" i="6"/>
  <c r="A22" i="6"/>
  <c r="F21" i="6"/>
  <c r="O20" i="6"/>
  <c r="E20" i="6"/>
  <c r="M19" i="6"/>
  <c r="D19" i="6"/>
  <c r="M18" i="6"/>
  <c r="B18" i="6"/>
  <c r="H17" i="6"/>
  <c r="B17" i="6"/>
  <c r="G16" i="6"/>
  <c r="F15" i="6"/>
  <c r="C14" i="6"/>
  <c r="E9" i="6"/>
  <c r="M8" i="6"/>
  <c r="E8" i="6"/>
  <c r="C7" i="6"/>
  <c r="C6" i="6"/>
  <c r="B5" i="6"/>
  <c r="G4" i="6"/>
  <c r="A4" i="6"/>
  <c r="E3" i="6"/>
  <c r="Q2" i="6"/>
  <c r="M140" i="1"/>
  <c r="S137" i="1"/>
  <c r="O135" i="1"/>
  <c r="O133" i="1"/>
  <c r="S131" i="1"/>
  <c r="S130" i="1"/>
  <c r="O129" i="1"/>
  <c r="O128" i="1"/>
  <c r="O127" i="1"/>
  <c r="M119" i="1"/>
  <c r="F112" i="1"/>
  <c r="M109" i="1"/>
  <c r="P103" i="1"/>
  <c r="G102" i="1"/>
  <c r="B102" i="1"/>
  <c r="N101" i="1"/>
  <c r="E101" i="1"/>
  <c r="Q100" i="1"/>
  <c r="L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F23" i="6"/>
  <c r="F22" i="6"/>
  <c r="N21" i="6"/>
  <c r="D21" i="6"/>
  <c r="N20" i="6"/>
  <c r="C20" i="6"/>
  <c r="B19" i="6"/>
  <c r="G18" i="6"/>
  <c r="A18" i="6"/>
  <c r="G17" i="6"/>
  <c r="O16" i="6"/>
  <c r="O23" i="6"/>
  <c r="M21" i="6"/>
  <c r="H19" i="6"/>
  <c r="D17" i="6"/>
  <c r="O15" i="6"/>
  <c r="B9" i="6"/>
  <c r="A8" i="6"/>
  <c r="B7" i="6"/>
  <c r="G6" i="6"/>
  <c r="H5" i="6"/>
  <c r="M139" i="1"/>
  <c r="O134" i="1"/>
  <c r="M117" i="1"/>
  <c r="S111" i="1"/>
  <c r="D110" i="1"/>
  <c r="F102" i="1"/>
  <c r="L101" i="1"/>
  <c r="P100" i="1"/>
  <c r="B100" i="1"/>
  <c r="E99" i="1"/>
  <c r="L98" i="1"/>
  <c r="O97" i="1"/>
  <c r="R96" i="1"/>
  <c r="E96" i="1"/>
  <c r="F94" i="1"/>
  <c r="G92" i="1"/>
  <c r="C91" i="1"/>
  <c r="D89" i="1"/>
  <c r="E87" i="1"/>
  <c r="G85" i="1"/>
  <c r="B84" i="1"/>
  <c r="C82" i="1"/>
  <c r="E80" i="1"/>
  <c r="F78" i="1"/>
  <c r="G76" i="1"/>
  <c r="C75" i="1"/>
  <c r="D73" i="1"/>
  <c r="E71" i="1"/>
  <c r="G69" i="1"/>
  <c r="B68" i="1"/>
  <c r="C66" i="1"/>
  <c r="E64" i="1"/>
  <c r="F62" i="1"/>
  <c r="G60" i="1"/>
  <c r="C59" i="1"/>
  <c r="D57" i="1"/>
  <c r="E55" i="1"/>
  <c r="G53" i="1"/>
  <c r="B52" i="1"/>
  <c r="C50" i="1"/>
  <c r="E48" i="1"/>
  <c r="F46" i="1"/>
  <c r="G44" i="1"/>
  <c r="C43" i="1"/>
  <c r="D41" i="1"/>
  <c r="E39" i="1"/>
  <c r="G37" i="1"/>
  <c r="B36" i="1"/>
  <c r="C34" i="1"/>
  <c r="E32" i="1"/>
  <c r="G30" i="1"/>
  <c r="P29" i="1"/>
  <c r="E29" i="1"/>
  <c r="N28" i="1"/>
  <c r="C28" i="1"/>
  <c r="L27" i="1"/>
  <c r="R26" i="1"/>
  <c r="G26" i="1"/>
  <c r="P25" i="1"/>
  <c r="E25" i="1"/>
  <c r="N24" i="1"/>
  <c r="C24" i="1"/>
  <c r="L23" i="1"/>
  <c r="G22" i="1"/>
  <c r="P21" i="1"/>
  <c r="E21" i="1"/>
  <c r="N20" i="1"/>
  <c r="C20" i="1"/>
  <c r="L19" i="1"/>
  <c r="G18" i="1"/>
  <c r="P17" i="1"/>
  <c r="E17" i="1"/>
  <c r="N16" i="1"/>
  <c r="C16" i="1"/>
  <c r="L15" i="1"/>
  <c r="G14" i="1"/>
  <c r="F10" i="1"/>
  <c r="B6" i="1"/>
  <c r="E23" i="6"/>
  <c r="C21" i="6"/>
  <c r="N16" i="6"/>
  <c r="N6" i="6"/>
  <c r="A6" i="6"/>
  <c r="E5" i="6"/>
  <c r="F4" i="6"/>
  <c r="D3" i="6"/>
  <c r="M137" i="1"/>
  <c r="M133" i="1"/>
  <c r="M130" i="1"/>
  <c r="M128" i="1"/>
  <c r="M116" i="1"/>
  <c r="D111" i="1"/>
  <c r="R103" i="1"/>
  <c r="E102" i="1"/>
  <c r="N100" i="1"/>
  <c r="R99" i="1"/>
  <c r="D99" i="1"/>
  <c r="G98" i="1"/>
  <c r="N97" i="1"/>
  <c r="Q96" i="1"/>
  <c r="C96" i="1"/>
  <c r="E94" i="1"/>
  <c r="F92" i="1"/>
  <c r="G90" i="1"/>
  <c r="C89" i="1"/>
  <c r="D87" i="1"/>
  <c r="E85" i="1"/>
  <c r="G83" i="1"/>
  <c r="B82" i="1"/>
  <c r="E78" i="1"/>
  <c r="F76" i="1"/>
  <c r="C73" i="1"/>
  <c r="E69" i="1"/>
  <c r="B66" i="1"/>
  <c r="E62" i="1"/>
  <c r="G58" i="1"/>
  <c r="D55" i="1"/>
  <c r="G51" i="1"/>
  <c r="C48" i="1"/>
  <c r="E46" i="1"/>
  <c r="C41" i="1"/>
  <c r="E37" i="1"/>
  <c r="G35" i="1"/>
  <c r="C32" i="1"/>
  <c r="O29" i="1"/>
  <c r="B28" i="1"/>
  <c r="J27" i="1"/>
  <c r="F26" i="1"/>
  <c r="D25" i="1"/>
  <c r="B24" i="1"/>
  <c r="J23" i="1"/>
  <c r="F22" i="1"/>
  <c r="D21" i="1"/>
  <c r="B20" i="1"/>
  <c r="J19" i="1"/>
  <c r="D17" i="1"/>
  <c r="M16" i="1"/>
  <c r="J15" i="1"/>
  <c r="F14" i="1"/>
  <c r="B10" i="1"/>
  <c r="N22" i="6"/>
  <c r="F18" i="6"/>
  <c r="D15" i="6"/>
  <c r="A3" i="6"/>
  <c r="M136" i="1"/>
  <c r="F113" i="1"/>
  <c r="D109" i="1"/>
  <c r="R101" i="1"/>
  <c r="G100" i="1"/>
  <c r="Q98" i="1"/>
  <c r="G97" i="1"/>
  <c r="E95" i="1"/>
  <c r="B92" i="1"/>
  <c r="E88" i="1"/>
  <c r="G84" i="1"/>
  <c r="D81" i="1"/>
  <c r="G77" i="1"/>
  <c r="C74" i="1"/>
  <c r="F70" i="1"/>
  <c r="C67" i="1"/>
  <c r="E63" i="1"/>
  <c r="B60" i="1"/>
  <c r="E56" i="1"/>
  <c r="G52" i="1"/>
  <c r="D49" i="1"/>
  <c r="G45" i="1"/>
  <c r="C42" i="1"/>
  <c r="F38" i="1"/>
  <c r="C35" i="1"/>
  <c r="E31" i="1"/>
  <c r="L29" i="1"/>
  <c r="G28" i="1"/>
  <c r="E27" i="1"/>
  <c r="C26" i="1"/>
  <c r="R24" i="1"/>
  <c r="P23" i="1"/>
  <c r="C22" i="1"/>
  <c r="R20" i="1"/>
  <c r="P19" i="1"/>
  <c r="C18" i="1"/>
  <c r="R16" i="1"/>
  <c r="P15" i="1"/>
  <c r="C14" i="1"/>
  <c r="B4" i="1"/>
  <c r="C22" i="6"/>
  <c r="O17" i="6"/>
  <c r="A14" i="6"/>
  <c r="B8" i="6"/>
  <c r="G7" i="6"/>
  <c r="M4" i="6"/>
  <c r="S134" i="1"/>
  <c r="M129" i="1"/>
  <c r="M123" i="1"/>
  <c r="F110" i="1"/>
  <c r="P101" i="1"/>
  <c r="F100" i="1"/>
  <c r="P98" i="1"/>
  <c r="E97" i="1"/>
  <c r="D95" i="1"/>
  <c r="E93" i="1"/>
  <c r="B90" i="1"/>
  <c r="E86" i="1"/>
  <c r="C81" i="1"/>
  <c r="D79" i="1"/>
  <c r="G75" i="1"/>
  <c r="C72" i="1"/>
  <c r="F68" i="1"/>
  <c r="C65" i="1"/>
  <c r="E61" i="1"/>
  <c r="B58" i="1"/>
  <c r="E54" i="1"/>
  <c r="G50" i="1"/>
  <c r="D47" i="1"/>
  <c r="G43" i="1"/>
  <c r="C40" i="1"/>
  <c r="F36" i="1"/>
  <c r="J101" i="1"/>
  <c r="C80" i="1"/>
  <c r="G74" i="1"/>
  <c r="D71" i="1"/>
  <c r="G67" i="1"/>
  <c r="C64" i="1"/>
  <c r="F60" i="1"/>
  <c r="C57" i="1"/>
  <c r="E53" i="1"/>
  <c r="B50" i="1"/>
  <c r="F44" i="1"/>
  <c r="G42" i="1"/>
  <c r="D39" i="1"/>
  <c r="B34" i="1"/>
  <c r="F30" i="1"/>
  <c r="D29" i="1"/>
  <c r="M28" i="1"/>
  <c r="Q26" i="1"/>
  <c r="O25" i="1"/>
  <c r="M24" i="1"/>
  <c r="O21" i="1"/>
  <c r="M20" i="1"/>
  <c r="F18" i="1"/>
  <c r="O17" i="1"/>
  <c r="B16" i="1"/>
  <c r="E5" i="1"/>
  <c r="H20" i="6"/>
  <c r="E16" i="6"/>
  <c r="G14" i="6"/>
  <c r="G8" i="6"/>
  <c r="H7" i="6"/>
  <c r="E4" i="6"/>
  <c r="S141" i="1"/>
  <c r="S132" i="1"/>
  <c r="M121" i="1"/>
  <c r="N103" i="1"/>
  <c r="D101" i="1"/>
  <c r="N99" i="1"/>
  <c r="C98" i="1"/>
  <c r="M96" i="1"/>
  <c r="G93" i="1"/>
  <c r="C90" i="1"/>
  <c r="F86" i="1"/>
  <c r="C83" i="1"/>
  <c r="E79" i="1"/>
  <c r="B76" i="1"/>
  <c r="E72" i="1"/>
  <c r="G68" i="1"/>
  <c r="D65" i="1"/>
  <c r="G61" i="1"/>
  <c r="C58" i="1"/>
  <c r="F54" i="1"/>
  <c r="C51" i="1"/>
  <c r="E47" i="1"/>
  <c r="B44" i="1"/>
  <c r="E40" i="1"/>
  <c r="G36" i="1"/>
  <c r="D33" i="1"/>
  <c r="C30" i="1"/>
  <c r="R28" i="1"/>
  <c r="P27" i="1"/>
  <c r="N26" i="1"/>
  <c r="L25" i="1"/>
  <c r="G24" i="1"/>
  <c r="E23" i="1"/>
  <c r="L21" i="1"/>
  <c r="G20" i="1"/>
  <c r="E19" i="1"/>
  <c r="L17" i="1"/>
  <c r="G16" i="1"/>
  <c r="E15" i="1"/>
  <c r="F8" i="1"/>
  <c r="A20" i="6"/>
  <c r="D16" i="6"/>
  <c r="B15" i="6"/>
  <c r="D9" i="6"/>
  <c r="H6" i="6"/>
  <c r="N3" i="6"/>
  <c r="S139" i="1"/>
  <c r="O131" i="1"/>
  <c r="M120" i="1"/>
  <c r="D112" i="1"/>
  <c r="M103" i="1"/>
  <c r="C101" i="1"/>
  <c r="L99" i="1"/>
  <c r="B98" i="1"/>
  <c r="L96" i="1"/>
  <c r="G91" i="1"/>
  <c r="C88" i="1"/>
  <c r="F84" i="1"/>
  <c r="G82" i="1"/>
  <c r="E77" i="1"/>
  <c r="B74" i="1"/>
  <c r="E70" i="1"/>
  <c r="G66" i="1"/>
  <c r="D63" i="1"/>
  <c r="G59" i="1"/>
  <c r="C56" i="1"/>
  <c r="F52" i="1"/>
  <c r="C49" i="1"/>
  <c r="E45" i="1"/>
  <c r="B42" i="1"/>
  <c r="E38" i="1"/>
  <c r="B30" i="1"/>
  <c r="O27" i="1"/>
  <c r="J25" i="1"/>
  <c r="D23" i="1"/>
  <c r="Q20" i="1"/>
  <c r="B18" i="1"/>
  <c r="O15" i="1"/>
  <c r="G34" i="1"/>
  <c r="J29" i="1"/>
  <c r="D27" i="1"/>
  <c r="Q24" i="1"/>
  <c r="F20" i="1"/>
  <c r="J17" i="1"/>
  <c r="D15" i="1"/>
  <c r="C33" i="1"/>
  <c r="Q28" i="1"/>
  <c r="M26" i="1"/>
  <c r="F24" i="1"/>
  <c r="B22" i="1"/>
  <c r="O19" i="1"/>
  <c r="Q16" i="1"/>
  <c r="B14" i="1"/>
  <c r="D31" i="1"/>
  <c r="F28" i="1"/>
  <c r="B26" i="1"/>
  <c r="O23" i="1"/>
  <c r="J21" i="1"/>
  <c r="D19" i="1"/>
  <c r="F16" i="1"/>
  <c r="B8" i="1"/>
  <c r="L22" i="1" l="1"/>
  <c r="D121" i="1"/>
  <c r="H129" i="1"/>
  <c r="M22" i="1"/>
  <c r="H122" i="1"/>
  <c r="H131" i="1"/>
  <c r="B119" i="1"/>
  <c r="H124" i="1"/>
  <c r="B126" i="1"/>
  <c r="Q22" i="1"/>
  <c r="B112" i="1"/>
  <c r="B118" i="1"/>
  <c r="B120" i="1"/>
  <c r="B123" i="1"/>
  <c r="B127" i="1"/>
  <c r="R22" i="1"/>
  <c r="H111" i="1"/>
  <c r="D124" i="1"/>
  <c r="B129" i="1"/>
  <c r="N22" i="1"/>
  <c r="B109" i="1"/>
  <c r="D117" i="1"/>
  <c r="D118" i="1"/>
  <c r="D119" i="1"/>
  <c r="H120" i="1"/>
  <c r="H121" i="1"/>
  <c r="D123" i="1"/>
  <c r="D125" i="1"/>
  <c r="H127" i="1"/>
  <c r="B130" i="1"/>
  <c r="P2" i="6"/>
  <c r="P22" i="1"/>
  <c r="H109" i="1"/>
  <c r="H110" i="1"/>
  <c r="B111" i="1"/>
  <c r="H117" i="1"/>
  <c r="H118" i="1"/>
  <c r="B122" i="1"/>
  <c r="B124" i="1"/>
  <c r="H125" i="1"/>
  <c r="B128" i="1"/>
  <c r="B131" i="1"/>
  <c r="J22" i="1"/>
  <c r="O22" i="1"/>
  <c r="B110" i="1"/>
  <c r="H112" i="1"/>
  <c r="B117" i="1"/>
  <c r="H119" i="1"/>
  <c r="D120" i="1"/>
  <c r="B121" i="1"/>
  <c r="D122" i="1"/>
  <c r="H123" i="1"/>
  <c r="B125" i="1"/>
  <c r="H126" i="1"/>
  <c r="H128" i="1"/>
  <c r="H130" i="1"/>
  <c r="J4" i="6"/>
  <c r="P29" i="6" l="1"/>
  <c r="P25" i="6"/>
  <c r="P21" i="6"/>
  <c r="P17" i="6"/>
  <c r="P11" i="6"/>
  <c r="P7" i="6"/>
  <c r="P3" i="6"/>
  <c r="P28" i="6"/>
  <c r="P23" i="6"/>
  <c r="P16" i="6"/>
  <c r="P14" i="6"/>
  <c r="P13" i="6"/>
  <c r="P6" i="6"/>
  <c r="P27" i="6"/>
  <c r="P20" i="6"/>
  <c r="P19" i="6"/>
  <c r="P10" i="6"/>
  <c r="P8" i="6"/>
  <c r="P26" i="6"/>
  <c r="P15" i="6"/>
  <c r="P9" i="6"/>
  <c r="P24" i="6"/>
  <c r="P22" i="6"/>
  <c r="P12" i="6"/>
  <c r="P18" i="6"/>
  <c r="P5" i="6"/>
  <c r="P4" i="6"/>
  <c r="J23" i="6"/>
  <c r="J5" i="6"/>
  <c r="J16" i="6"/>
  <c r="J22" i="6"/>
  <c r="J6" i="6"/>
  <c r="J19" i="6"/>
  <c r="J15" i="6"/>
  <c r="J21" i="6"/>
  <c r="J17" i="6"/>
  <c r="J8" i="6"/>
  <c r="J20" i="6"/>
  <c r="J9" i="6"/>
  <c r="J18" i="6"/>
  <c r="J7" i="6"/>
</calcChain>
</file>

<file path=xl/sharedStrings.xml><?xml version="1.0" encoding="utf-8"?>
<sst xmlns="http://schemas.openxmlformats.org/spreadsheetml/2006/main" count="520" uniqueCount="191">
  <si>
    <t>q19040902.IB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</si>
  <si>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</si>
  <si>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</si>
  <si>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</si>
  <si>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</si>
  <si>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</si>
  <si>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</si>
  <si>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</si>
  <si>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</si>
  <si>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</si>
  <si>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</si>
  <si>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</si>
  <si>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</si>
  <si>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</si>
  <si>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</si>
  <si>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</si>
  <si>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</si>
  <si>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</si>
  <si>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</si>
  <si>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</si>
  <si>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</si>
  <si>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</si>
  <si>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</si>
  <si>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</si>
  <si>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</si>
  <si>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</si>
  <si>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</si>
  <si>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</si>
  <si>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</si>
  <si>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</si>
  <si>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</si>
  <si>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</si>
  <si>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</si>
  <si>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</si>
  <si>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</si>
  <si>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</si>
  <si>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</si>
  <si>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</si>
  <si>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</si>
  <si>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</si>
  <si>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</si>
  <si>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</si>
  <si>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</si>
  <si>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</si>
  <si>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</si>
  <si>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</si>
  <si>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</si>
  <si>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</si>
  <si>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</si>
  <si>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</si>
  <si>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</si>
  <si>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</si>
  <si>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</si>
  <si>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</si>
  <si>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</si>
  <si>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</si>
  <si>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</si>
  <si>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</si>
  <si>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</si>
  <si>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</si>
  <si>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</si>
  <si>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</si>
  <si>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</si>
  <si>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</si>
  <si>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</si>
  <si>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</si>
  <si>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</si>
  <si>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</si>
  <si>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</si>
  <si>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</si>
  <si>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</si>
  <si>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</si>
  <si>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</si>
  <si>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</si>
  <si>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</si>
  <si>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</si>
  <si>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</si>
  <si>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</si>
  <si>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</si>
  <si>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</si>
  <si>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</si>
  <si>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</si>
  <si>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</si>
  <si>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</si>
  <si>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</si>
  <si>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</si>
  <si>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</si>
  <si>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</si>
  <si>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</si>
  <si>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</si>
  <si>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</si>
  <si>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</si>
  <si>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</si>
  <si>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</si>
  <si>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</si>
  <si>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</si>
  <si>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</si>
  <si>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</si>
  <si>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</si>
  <si>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</si>
  <si>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</si>
  <si>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</si>
  <si>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</si>
  <si>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</si>
  <si>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</si>
  <si>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</si>
  <si>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</si>
  <si>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</si>
  <si>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</si>
  <si>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</si>
  <si>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</si>
  <si>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</si>
  <si>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</si>
  <si>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历史主体评级</t>
  </si>
  <si>
    <t>发布日期</t>
  </si>
  <si>
    <t>主体资信级别</t>
  </si>
  <si>
    <t>评级展望</t>
  </si>
  <si>
    <t>评级机构</t>
  </si>
  <si>
    <t>20181123</t>
  </si>
  <si>
    <t>AAA</t>
  </si>
  <si>
    <t>稳定</t>
  </si>
  <si>
    <t>中诚信国际信用评级有限责任公司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</si>
  <si>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</si>
  <si>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</si>
  <si>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</si>
  <si>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</si>
  <si>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</si>
  <si>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</si>
  <si>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</si>
  <si>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</si>
  <si>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</si>
  <si>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</si>
  <si>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</si>
  <si>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</si>
  <si>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</si>
  <si>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</si>
  <si>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</si>
  <si>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</si>
  <si>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</si>
  <si>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</si>
  <si>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</si>
  <si>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</si>
  <si>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</si>
  <si>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</si>
  <si>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</si>
  <si>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</si>
  <si>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</si>
  <si>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</si>
  <si>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</si>
  <si>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</si>
  <si>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</si>
  <si>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</si>
  <si>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</si>
  <si>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</si>
  <si>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</si>
  <si>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</si>
  <si>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</si>
  <si>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</si>
  <si>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</si>
  <si>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</si>
  <si>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</si>
  <si>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</si>
  <si>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</si>
  <si>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</si>
  <si>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</si>
  <si>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</si>
  <si>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</si>
  <si>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</si>
  <si>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</si>
  <si>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</si>
  <si>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</si>
  <si>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</si>
  <si>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</si>
  <si>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</si>
  <si>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</si>
  <si>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</si>
  <si>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</si>
  <si>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</si>
  <si>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</si>
  <si>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</si>
  <si>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</si>
  <si>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京津冀城际铁路投资有限公司</t>
  </si>
  <si>
    <t>地方国有企业</t>
  </si>
  <si>
    <t>工业--运输--公路与铁路运输--铁路运输</t>
  </si>
  <si>
    <t>北京市密云区兴盛南路8号院2号楼106室-206</t>
  </si>
  <si>
    <t>津冀城际铁路投资有限公司招聘公告为落实京津冀协同发展重大国家战略，积极推进交通一体化率先突破，加快构建京津冀协同发展的骨骼系统，打造“轨道上的京津冀”，在国家发展改革委和京津冀协同发展领导小组办公室的指导下，京津冀三省市人民政府、中国铁路总公司共同组建成立了京津冀城际铁路投资有限公司。公司于2015年3月在北京市注册，注册资本金100亿元，主要开展京津冀区域内诸多城际铁路项目的投资、铁路工程建设、资产管理、房地产开发、土地整理等业务。</t>
  </si>
  <si>
    <t>天津铁路建设投资控股(集团)有限公司</t>
  </si>
  <si>
    <t>河北建投交通投资有限责任公司</t>
  </si>
  <si>
    <t>北京市基础设施投资有限公司</t>
  </si>
  <si>
    <t>中国铁路北京局集团有限公司</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</si>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</sst>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京津冀城际铁路投资有限公司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工业--运输--公路与铁路运输--铁路运输</v>
      </c>
      <c r="C5" s="120"/>
      <c r="D5" s="57" t="s">
        <v>5</v>
      </c>
      <c r="E5" s="119" t="str">
        <f>[1]!b_issuer_regaddress(A2)</f>
        <v>北京市密云区兴盛南路8号院2号楼106室-206</v>
      </c>
      <c r="F5" s="120"/>
      <c r="G5" s="120"/>
    </row>
    <row r="6" spans="1:20" s="17" customFormat="1" ht="81" customHeight="1" x14ac:dyDescent="0.25">
      <c r="A6" s="57" t="s">
        <v>6</v>
      </c>
      <c r="B6" s="121" t="str">
        <f>[1]!s_info_briefing(A2)</f>
        <v>津冀城际铁路投资有限公司招聘公告为落实京津冀协同发展重大国家战略，积极推进交通一体化率先突破，加快构建京津冀协同发展的骨骼系统，打造“轨道上的京津冀”，在国家发展改革委和京津冀协同发展领导小组办公室的指导下，京津冀三省市人民政府、中国铁路总公司共同组建成立了京津冀城际铁路投资有限公司。公司于2015年3月在北京市注册，注册资本金100亿元，主要开展京津冀区域内诸多城际铁路项目的投资、铁路工程建设、资产管理、房地产开发、土地整理等业务。</v>
      </c>
      <c r="C6" s="120"/>
      <c r="D6" s="120"/>
      <c r="E6" s="120"/>
      <c r="F6" s="120"/>
      <c r="G6" s="120"/>
    </row>
    <row r="7" spans="1:20" s="17" customFormat="1" x14ac:dyDescent="0.25">
      <c r="A7" s="59" t="s">
        <v>7</v>
      </c>
      <c r="B7" s="122" t="str">
        <f>[1]!b_issuer_shareholder(A2,"",1)</f>
        <v>天津铁路建设投资控股(集团)有限公司</v>
      </c>
      <c r="C7" s="120"/>
      <c r="D7" s="120"/>
      <c r="E7" s="120"/>
      <c r="F7" s="61">
        <f>[1]!b_issuer_propofshareholder($A$2,"",1)%</f>
        <v>0.3</v>
      </c>
      <c r="G7" s="60"/>
      <c r="H7" s="20" t="s">
        <v>8</v>
      </c>
      <c r="M7" s="24">
        <v>42004</v>
      </c>
      <c r="N7" s="24">
        <v>42369</v>
      </c>
      <c r="O7" s="24">
        <v>41639</v>
      </c>
      <c r="P7" s="62" t="s">
        <v>9</v>
      </c>
      <c r="Q7" s="62" t="s">
        <v>10</v>
      </c>
      <c r="R7" s="62" t="s">
        <v>11</v>
      </c>
    </row>
    <row r="8" spans="1:20" s="17" customFormat="1" x14ac:dyDescent="0.25">
      <c r="A8" s="59"/>
      <c r="B8" s="122" t="str">
        <f>[1]!b_issuer_shareholder(A2,"",2)</f>
        <v>河北建投交通投资有限责任公司</v>
      </c>
      <c r="C8" s="120"/>
      <c r="D8" s="120"/>
      <c r="E8" s="120"/>
      <c r="F8" s="61">
        <f>[1]!b_issuer_propofshareholder($A$2,"",2)%</f>
        <v>0.3</v>
      </c>
      <c r="G8" s="60"/>
      <c r="H8" s="20"/>
      <c r="M8" s="25"/>
      <c r="O8" s="25"/>
      <c r="P8" s="63"/>
    </row>
    <row r="9" spans="1:20" s="17" customFormat="1" x14ac:dyDescent="0.25">
      <c r="A9" s="59"/>
      <c r="B9" s="122" t="str">
        <f>[1]!b_issuer_shareholder(A2,"",3)</f>
        <v>北京市基础设施投资有限公司</v>
      </c>
      <c r="C9" s="120"/>
      <c r="D9" s="120"/>
      <c r="E9" s="120"/>
      <c r="F9" s="61">
        <f>[1]!b_issuer_propofshareholder($A$2,"",3)%</f>
        <v>0.3</v>
      </c>
      <c r="G9" s="60"/>
      <c r="H9" s="20"/>
      <c r="M9" s="25"/>
      <c r="O9" s="25"/>
      <c r="P9" s="63"/>
    </row>
    <row r="10" spans="1:20" s="17" customFormat="1" x14ac:dyDescent="0.25">
      <c r="A10" s="59"/>
      <c r="B10" s="122" t="str">
        <f>[1]!b_issuer_shareholder(A2,"",4)</f>
        <v>中国铁路北京局集团有限公司</v>
      </c>
      <c r="C10" s="120"/>
      <c r="D10" s="120"/>
      <c r="E10" s="120"/>
      <c r="F10" s="61">
        <f>[1]!b_issuer_propofshareholder($A$2,"",4)%</f>
        <v>0.1</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q19040902.IB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京津冀城际铁路投资有限公司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85.022489274700007</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8.8825000000000001E-2</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15.654199999999999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4.8400825508789748E-2</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2.4E-2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3.5016269999999997E-4</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0.2022747322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6.1919999999999996E-3</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-0.47507964840000005</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8241683.5499999998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2825000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363896490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7747040873.96</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q19040902.IB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8.8825000000000001E-2</v>
      </c>
      <c r="C109" s="54" t="s">
        <v>29</v>
      </c>
      <c r="D109" s="72">
        <f>[1]!s_fa_current(A2,B2)</f>
        <v>15.654199999999999</v>
      </c>
      <c r="E109" s="54" t="s">
        <v>33</v>
      </c>
      <c r="F109" s="73">
        <f>[1]!s_fa_salescashintoor(A2,B2)/100</f>
        <v>0</v>
      </c>
      <c r="G109" s="54" t="s">
        <v>34</v>
      </c>
      <c r="H109" s="12">
        <f>S109/100</f>
        <v>0</v>
      </c>
      <c r="I109" s="54"/>
      <c r="J109" s="16"/>
      <c r="K109" s="25"/>
      <c r="L109" s="34" t="s">
        <v>53</v>
      </c>
      <c r="M109" s="74">
        <f>[1]!s_fa_debttoassets(A2,B2)</f>
        <v>8.8825000000000003</v>
      </c>
      <c r="N109" s="54" t="s">
        <v>29</v>
      </c>
      <c r="O109" s="35"/>
      <c r="P109" s="54" t="s">
        <v>33</v>
      </c>
      <c r="Q109" s="35"/>
      <c r="R109" s="54" t="s">
        <v>34</v>
      </c>
      <c r="S109" s="75">
        <f>[1]!s_fa_grossprofitmargin(A2,B2)</f>
        <v>0</v>
      </c>
    </row>
    <row r="110" spans="1:19" ht="15.75" customHeight="1" x14ac:dyDescent="0.25">
      <c r="A110" s="54" t="s">
        <v>54</v>
      </c>
      <c r="B110" s="12">
        <f>M110/100</f>
        <v>0.72047600000000001</v>
      </c>
      <c r="C110" s="54" t="s">
        <v>55</v>
      </c>
      <c r="D110" s="73">
        <f>[1]!s_fa_quick(A2,B2)</f>
        <v>15.654199999999999</v>
      </c>
      <c r="E110" s="54" t="s">
        <v>56</v>
      </c>
      <c r="F110" s="72">
        <f>[1]!s_fa_arturn(A2,B2)</f>
        <v>0</v>
      </c>
      <c r="G110" s="54" t="s">
        <v>57</v>
      </c>
      <c r="H110" s="12">
        <f>S110/100</f>
        <v>764.97190000000001</v>
      </c>
      <c r="I110" s="54"/>
      <c r="J110" s="16"/>
      <c r="L110" s="54" t="s">
        <v>54</v>
      </c>
      <c r="M110" s="74">
        <f>[1]!s_fa_catoassets(A2,B2)</f>
        <v>72.047600000000003</v>
      </c>
      <c r="N110" s="54" t="s">
        <v>55</v>
      </c>
      <c r="O110" s="35"/>
      <c r="P110" s="54" t="s">
        <v>56</v>
      </c>
      <c r="Q110" s="73"/>
      <c r="R110" s="54" t="s">
        <v>57</v>
      </c>
      <c r="S110" s="75">
        <f>[1]!s_fa_optogr(A2,B2)</f>
        <v>76497.19</v>
      </c>
    </row>
    <row r="111" spans="1:19" ht="15" customHeight="1" x14ac:dyDescent="0.25">
      <c r="A111" s="54" t="s">
        <v>58</v>
      </c>
      <c r="B111" s="12">
        <f>M111/100</f>
        <v>0.51815100000000003</v>
      </c>
      <c r="C111" s="54" t="s">
        <v>31</v>
      </c>
      <c r="D111" s="73">
        <f>[1]!s_fa_ebitdatodebt(A2,B2)</f>
        <v>2.4E-2</v>
      </c>
      <c r="E111" s="54" t="s">
        <v>59</v>
      </c>
      <c r="F111" s="72">
        <f>[1]!s_fa_invturn(A2,B2)</f>
        <v>0</v>
      </c>
      <c r="G111" s="54" t="s">
        <v>37</v>
      </c>
      <c r="H111" s="12">
        <f>S111/100</f>
        <v>6.1919999999999996E-3</v>
      </c>
      <c r="I111" s="54"/>
      <c r="J111" s="16"/>
      <c r="L111" s="54" t="s">
        <v>58</v>
      </c>
      <c r="M111" s="74">
        <f>[1]!s_fa_currentdebttodebt(A2,B2)</f>
        <v>51.815100000000001</v>
      </c>
      <c r="N111" s="54" t="s">
        <v>31</v>
      </c>
      <c r="O111" s="35"/>
      <c r="P111" s="54" t="s">
        <v>59</v>
      </c>
      <c r="Q111" s="35"/>
      <c r="R111" s="54" t="s">
        <v>37</v>
      </c>
      <c r="S111" s="75">
        <f>[1]!s_fa_roe(A2,B2)</f>
        <v>0.61919999999999997</v>
      </c>
    </row>
    <row r="112" spans="1:19" ht="14.25" customHeight="1" x14ac:dyDescent="0.25">
      <c r="A112" s="54" t="s">
        <v>30</v>
      </c>
      <c r="B112" s="76">
        <f>(M116+M117+M118+M119+M120+M121)/M123</f>
        <v>4.8400825508789748E-2</v>
      </c>
      <c r="C112" s="54" t="s">
        <v>60</v>
      </c>
      <c r="D112" s="73">
        <f>[1]!s_fa_ebittointerest(A2,B2)</f>
        <v>0</v>
      </c>
      <c r="E112" s="54" t="s">
        <v>61</v>
      </c>
      <c r="F112" s="72">
        <f>[1]!s_fa_caturn(A2,B2)</f>
        <v>0</v>
      </c>
      <c r="G112" s="54" t="s">
        <v>62</v>
      </c>
      <c r="H112" s="12">
        <f>S112/100</f>
        <v>2.2400000000000002E-3</v>
      </c>
      <c r="I112" s="54"/>
      <c r="J112" s="16"/>
      <c r="L112" s="54" t="s">
        <v>30</v>
      </c>
      <c r="M112" s="77"/>
      <c r="N112" s="54" t="s">
        <v>60</v>
      </c>
      <c r="O112" s="35"/>
      <c r="P112" s="54" t="s">
        <v>61</v>
      </c>
      <c r="Q112" s="35"/>
      <c r="R112" s="54" t="s">
        <v>62</v>
      </c>
      <c r="S112" s="75">
        <f>[1]!s_fa_roa2(A2,B2)</f>
        <v>0.224</v>
      </c>
    </row>
    <row r="113" spans="1:21" x14ac:dyDescent="0.25">
      <c r="A113" s="30"/>
      <c r="B113" s="31"/>
      <c r="C113" s="30"/>
      <c r="D113" s="32"/>
      <c r="E113" s="30" t="s">
        <v>63</v>
      </c>
      <c r="F113" s="78">
        <f>[1]!s_fa_dupont_faturnover(A2,B2)</f>
        <v>0</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0</v>
      </c>
    </row>
    <row r="117" spans="1:21" ht="14.25" customHeight="1" x14ac:dyDescent="0.25">
      <c r="A117" s="54" t="s">
        <v>69</v>
      </c>
      <c r="B117" s="73">
        <f t="shared" ref="B117:B131" si="1">M127/100000000</f>
        <v>19.936907076000001</v>
      </c>
      <c r="C117" s="54" t="s">
        <v>70</v>
      </c>
      <c r="D117" s="76">
        <f t="shared" ref="D117:D125" si="2">O127/100000000</f>
        <v>3.5016269999999997E-4</v>
      </c>
      <c r="E117" s="131" t="s">
        <v>71</v>
      </c>
      <c r="F117" s="124"/>
      <c r="G117" s="124"/>
      <c r="H117" s="132">
        <f t="shared" ref="H117:H131" si="3">S127/100000000</f>
        <v>0</v>
      </c>
      <c r="I117" s="124"/>
      <c r="J117" s="124"/>
      <c r="L117" s="17" t="s">
        <v>40</v>
      </c>
      <c r="M117" s="71">
        <f>[1]!b_stm07_bs(K107,82,L107,1)</f>
        <v>8241683.5499999998</v>
      </c>
    </row>
    <row r="118" spans="1:21" ht="14.25" customHeight="1" x14ac:dyDescent="0.25">
      <c r="A118" s="54" t="s">
        <v>72</v>
      </c>
      <c r="B118" s="73">
        <f t="shared" si="1"/>
        <v>0</v>
      </c>
      <c r="C118" s="54" t="s">
        <v>73</v>
      </c>
      <c r="D118" s="76">
        <f t="shared" si="2"/>
        <v>0.41556941009999998</v>
      </c>
      <c r="E118" s="131" t="s">
        <v>74</v>
      </c>
      <c r="F118" s="124"/>
      <c r="G118" s="124"/>
      <c r="H118" s="132">
        <f t="shared" si="3"/>
        <v>0.20211991809999999</v>
      </c>
      <c r="I118" s="124"/>
      <c r="J118" s="124"/>
      <c r="L118" s="17" t="s">
        <v>41</v>
      </c>
      <c r="M118" s="71">
        <f>[1]!b_stm07_bs(K107,88,L107,1)</f>
        <v>2825000</v>
      </c>
    </row>
    <row r="119" spans="1:21" ht="14.25" customHeight="1" x14ac:dyDescent="0.25">
      <c r="A119" s="54" t="s">
        <v>75</v>
      </c>
      <c r="B119" s="73">
        <f t="shared" si="1"/>
        <v>0.34559282140000003</v>
      </c>
      <c r="C119" s="54" t="s">
        <v>76</v>
      </c>
      <c r="D119" s="76">
        <f t="shared" si="2"/>
        <v>3.5016269999999997E-4</v>
      </c>
      <c r="E119" s="131" t="s">
        <v>77</v>
      </c>
      <c r="F119" s="124"/>
      <c r="G119" s="124"/>
      <c r="H119" s="133">
        <f t="shared" si="3"/>
        <v>0.20211991809999999</v>
      </c>
      <c r="I119" s="124"/>
      <c r="J119" s="124"/>
      <c r="L119" s="17" t="s">
        <v>42</v>
      </c>
      <c r="M119" s="71">
        <f>[1]!b_stm07_bs(K107,147,L107,1)</f>
        <v>0</v>
      </c>
    </row>
    <row r="120" spans="1:21" ht="14.25" customHeight="1" x14ac:dyDescent="0.25">
      <c r="A120" s="54" t="s">
        <v>78</v>
      </c>
      <c r="B120" s="73">
        <f t="shared" si="1"/>
        <v>0.64632101529999997</v>
      </c>
      <c r="C120" s="54" t="s">
        <v>79</v>
      </c>
      <c r="D120" s="76">
        <f t="shared" si="2"/>
        <v>0</v>
      </c>
      <c r="E120" s="131" t="s">
        <v>80</v>
      </c>
      <c r="F120" s="124"/>
      <c r="G120" s="124"/>
      <c r="H120" s="132">
        <f t="shared" si="3"/>
        <v>9.7952662999999992E-3</v>
      </c>
      <c r="I120" s="124"/>
      <c r="J120" s="124"/>
      <c r="L120" s="17" t="s">
        <v>43</v>
      </c>
      <c r="M120" s="71">
        <f>[1]!b_stm07_bs(K107,94,L107,1)</f>
        <v>363896490</v>
      </c>
    </row>
    <row r="121" spans="1:21" ht="14.25" customHeight="1" x14ac:dyDescent="0.25">
      <c r="A121" s="54" t="s">
        <v>81</v>
      </c>
      <c r="B121" s="73">
        <f t="shared" si="1"/>
        <v>22.525643480599999</v>
      </c>
      <c r="C121" s="54" t="s">
        <v>82</v>
      </c>
      <c r="D121" s="76">
        <f t="shared" si="2"/>
        <v>0.51144209900000004</v>
      </c>
      <c r="E121" s="131" t="s">
        <v>83</v>
      </c>
      <c r="F121" s="124"/>
      <c r="G121" s="124"/>
      <c r="H121" s="132">
        <f t="shared" si="3"/>
        <v>0.27332448040000001</v>
      </c>
      <c r="I121" s="124"/>
      <c r="J121" s="124"/>
      <c r="L121" s="17" t="s">
        <v>44</v>
      </c>
      <c r="M121" s="71">
        <f>[1]!b_stm07_bs(K107,95,L107,1)</f>
        <v>0</v>
      </c>
    </row>
    <row r="122" spans="1:21" ht="14.25" customHeight="1" x14ac:dyDescent="0.25">
      <c r="A122" s="54" t="s">
        <v>84</v>
      </c>
      <c r="B122" s="73">
        <f t="shared" si="1"/>
        <v>0</v>
      </c>
      <c r="C122" s="54" t="s">
        <v>85</v>
      </c>
      <c r="D122" s="76">
        <f t="shared" si="2"/>
        <v>-9.9762714900000007E-2</v>
      </c>
      <c r="E122" s="131" t="s">
        <v>86</v>
      </c>
      <c r="F122" s="124"/>
      <c r="G122" s="124"/>
      <c r="H122" s="133">
        <f t="shared" si="3"/>
        <v>0.67719956650000002</v>
      </c>
      <c r="I122" s="124"/>
      <c r="J122" s="124"/>
      <c r="L122" s="17"/>
      <c r="M122" s="17"/>
    </row>
    <row r="123" spans="1:21" ht="14.25" customHeight="1" x14ac:dyDescent="0.25">
      <c r="A123" s="54" t="s">
        <v>87</v>
      </c>
      <c r="B123" s="79">
        <f t="shared" si="1"/>
        <v>85.022489274700007</v>
      </c>
      <c r="C123" s="54" t="s">
        <v>88</v>
      </c>
      <c r="D123" s="76">
        <f t="shared" si="2"/>
        <v>0.26786462589999999</v>
      </c>
      <c r="E123" s="131" t="s">
        <v>89</v>
      </c>
      <c r="F123" s="124"/>
      <c r="G123" s="124"/>
      <c r="H123" s="133">
        <f t="shared" si="3"/>
        <v>-0.47507964840000005</v>
      </c>
      <c r="I123" s="124"/>
      <c r="J123" s="124"/>
      <c r="L123" s="17" t="s">
        <v>45</v>
      </c>
      <c r="M123" s="71">
        <f>[1]!b_stm07_bs(K107,141,L107,1)</f>
        <v>7747040873.96</v>
      </c>
    </row>
    <row r="124" spans="1:21" ht="14.25" customHeight="1" x14ac:dyDescent="0.25">
      <c r="A124" s="54" t="s">
        <v>90</v>
      </c>
      <c r="B124" s="73">
        <f t="shared" si="1"/>
        <v>0</v>
      </c>
      <c r="C124" s="54" t="s">
        <v>91</v>
      </c>
      <c r="D124" s="76">
        <f t="shared" si="2"/>
        <v>0.27652490739999996</v>
      </c>
      <c r="E124" s="131" t="s">
        <v>92</v>
      </c>
      <c r="F124" s="124"/>
      <c r="G124" s="124"/>
      <c r="H124" s="133">
        <f t="shared" si="3"/>
        <v>-25.382751920700002</v>
      </c>
      <c r="I124" s="124"/>
      <c r="J124" s="124"/>
      <c r="L124" s="17"/>
      <c r="M124" s="17"/>
    </row>
    <row r="125" spans="1:21" ht="27" customHeight="1" x14ac:dyDescent="0.25">
      <c r="A125" s="54" t="s">
        <v>93</v>
      </c>
      <c r="B125" s="73">
        <f t="shared" si="1"/>
        <v>2.8250000000000001E-2</v>
      </c>
      <c r="C125" s="54" t="s">
        <v>35</v>
      </c>
      <c r="D125" s="76">
        <f t="shared" si="2"/>
        <v>0.2022747322</v>
      </c>
      <c r="E125" s="131" t="s">
        <v>94</v>
      </c>
      <c r="F125" s="124"/>
      <c r="G125" s="124"/>
      <c r="H125" s="132">
        <f t="shared" si="3"/>
        <v>5.2</v>
      </c>
      <c r="I125" s="124"/>
      <c r="J125" s="124"/>
      <c r="L125" s="17"/>
      <c r="M125" s="17"/>
    </row>
    <row r="126" spans="1:21" ht="16.5" customHeight="1" x14ac:dyDescent="0.25">
      <c r="A126" s="54" t="s">
        <v>95</v>
      </c>
      <c r="B126" s="73">
        <f t="shared" si="1"/>
        <v>0</v>
      </c>
      <c r="C126" s="54"/>
      <c r="D126" s="80"/>
      <c r="E126" s="131" t="s">
        <v>96</v>
      </c>
      <c r="F126" s="124"/>
      <c r="G126" s="124"/>
      <c r="H126" s="132">
        <f t="shared" si="3"/>
        <v>3.5038</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3.6389648999999999</v>
      </c>
      <c r="C127" s="54"/>
      <c r="D127" s="80"/>
      <c r="E127" s="131" t="s">
        <v>98</v>
      </c>
      <c r="F127" s="124"/>
      <c r="G127" s="124"/>
      <c r="H127" s="132">
        <f t="shared" si="3"/>
        <v>0</v>
      </c>
      <c r="I127" s="124"/>
      <c r="J127" s="124"/>
      <c r="L127" s="54" t="s">
        <v>69</v>
      </c>
      <c r="M127" s="75">
        <f>[1]!b_stm07_bs(K107,9,L107,1)</f>
        <v>1993690707.5999999</v>
      </c>
      <c r="N127" s="54" t="s">
        <v>70</v>
      </c>
      <c r="O127" s="75">
        <f>[1]!b_stm07_is(K107,83,L107,1)</f>
        <v>35016.269999999997</v>
      </c>
      <c r="P127" s="131" t="s">
        <v>71</v>
      </c>
      <c r="Q127" s="124"/>
      <c r="R127" s="124"/>
      <c r="S127" s="136">
        <f>[1]!b_stm07_cs(K107,9,L107,1)</f>
        <v>0</v>
      </c>
      <c r="T127" s="135"/>
      <c r="U127" s="135"/>
    </row>
    <row r="128" spans="1:21" ht="14.25" customHeight="1" x14ac:dyDescent="0.25">
      <c r="A128" s="54" t="s">
        <v>99</v>
      </c>
      <c r="B128" s="73">
        <f t="shared" si="1"/>
        <v>0</v>
      </c>
      <c r="C128" s="54"/>
      <c r="D128" s="80"/>
      <c r="E128" s="131" t="s">
        <v>100</v>
      </c>
      <c r="F128" s="124"/>
      <c r="G128" s="124"/>
      <c r="H128" s="133">
        <f t="shared" si="3"/>
        <v>8.7037999999999993</v>
      </c>
      <c r="I128" s="124"/>
      <c r="J128" s="124"/>
      <c r="L128" s="54" t="s">
        <v>72</v>
      </c>
      <c r="M128" s="75">
        <f>[1]!b_stm07_bs(K107,12,L107,1)</f>
        <v>0</v>
      </c>
      <c r="N128" s="54" t="s">
        <v>73</v>
      </c>
      <c r="O128" s="75">
        <f>[1]!b_stm07_is(K107,84,L107,1)</f>
        <v>41556941.009999998</v>
      </c>
      <c r="P128" s="131" t="s">
        <v>74</v>
      </c>
      <c r="Q128" s="124"/>
      <c r="R128" s="124"/>
      <c r="S128" s="136">
        <f>[1]!b_stm07_cs(K107,11,L107,1)</f>
        <v>20211991.809999999</v>
      </c>
      <c r="T128" s="135"/>
      <c r="U128" s="135"/>
    </row>
    <row r="129" spans="1:21" ht="14.25" customHeight="1" x14ac:dyDescent="0.25">
      <c r="A129" s="54" t="s">
        <v>101</v>
      </c>
      <c r="B129" s="79">
        <f t="shared" si="1"/>
        <v>7.5520805351</v>
      </c>
      <c r="C129" s="14"/>
      <c r="D129" s="13"/>
      <c r="E129" s="131" t="s">
        <v>102</v>
      </c>
      <c r="F129" s="124"/>
      <c r="G129" s="124"/>
      <c r="H129" s="132">
        <f t="shared" si="3"/>
        <v>2.8250000000000001E-2</v>
      </c>
      <c r="I129" s="124"/>
      <c r="J129" s="124"/>
      <c r="L129" s="54" t="s">
        <v>75</v>
      </c>
      <c r="M129" s="75">
        <f>[1]!b_stm07_bs(K107,13,L107,1)</f>
        <v>34559282.140000001</v>
      </c>
      <c r="N129" s="54" t="s">
        <v>76</v>
      </c>
      <c r="O129" s="75">
        <f>[1]!b_stm07_is(K107,10,L107,1)</f>
        <v>35016.269999999997</v>
      </c>
      <c r="P129" s="131" t="s">
        <v>77</v>
      </c>
      <c r="Q129" s="124"/>
      <c r="R129" s="124"/>
      <c r="S129" s="137">
        <f>[1]!b_stm07_cs(K107,25,L107,1)</f>
        <v>20211991.809999999</v>
      </c>
      <c r="T129" s="135"/>
      <c r="U129" s="135"/>
    </row>
    <row r="130" spans="1:21" ht="14.25" customHeight="1" x14ac:dyDescent="0.25">
      <c r="A130" s="54" t="s">
        <v>103</v>
      </c>
      <c r="B130" s="79">
        <f t="shared" si="1"/>
        <v>77.470408739600003</v>
      </c>
      <c r="C130" s="14"/>
      <c r="D130" s="13"/>
      <c r="E130" s="131" t="s">
        <v>104</v>
      </c>
      <c r="F130" s="124"/>
      <c r="G130" s="124"/>
      <c r="H130" s="132">
        <f t="shared" si="3"/>
        <v>0.29840788660000001</v>
      </c>
      <c r="I130" s="124"/>
      <c r="J130" s="124"/>
      <c r="L130" s="54" t="s">
        <v>78</v>
      </c>
      <c r="M130" s="75">
        <f>[1]!b_stm07_bs(K107,31,L107,1)</f>
        <v>64632101.530000001</v>
      </c>
      <c r="N130" s="54" t="s">
        <v>79</v>
      </c>
      <c r="O130" s="75">
        <f>[1]!b_stm07_is(K107,12,L107,1)</f>
        <v>0</v>
      </c>
      <c r="P130" s="131" t="s">
        <v>80</v>
      </c>
      <c r="Q130" s="124"/>
      <c r="R130" s="124"/>
      <c r="S130" s="136">
        <f>[1]!b_stm07_cs(K107,26,L107,1)</f>
        <v>979526.63</v>
      </c>
      <c r="T130" s="135"/>
      <c r="U130" s="135"/>
    </row>
    <row r="131" spans="1:21" ht="14.25" customHeight="1" x14ac:dyDescent="0.25">
      <c r="A131" s="15" t="s">
        <v>105</v>
      </c>
      <c r="B131" s="79">
        <f t="shared" si="1"/>
        <v>85.022489274700007</v>
      </c>
      <c r="C131" s="14"/>
      <c r="D131" s="13"/>
      <c r="E131" s="131" t="s">
        <v>106</v>
      </c>
      <c r="F131" s="124"/>
      <c r="G131" s="124"/>
      <c r="H131" s="133">
        <f t="shared" si="3"/>
        <v>8.4053921133999996</v>
      </c>
      <c r="I131" s="124"/>
      <c r="J131" s="124"/>
      <c r="L131" s="54" t="s">
        <v>81</v>
      </c>
      <c r="M131" s="75">
        <f>[1]!b_stm07_bs(K107,33,L107,1)</f>
        <v>2252564348.0599999</v>
      </c>
      <c r="N131" s="54" t="s">
        <v>82</v>
      </c>
      <c r="O131" s="75">
        <f>[1]!b_stm07_is(K107,13,L107,1)</f>
        <v>51144209.899999999</v>
      </c>
      <c r="P131" s="131" t="s">
        <v>83</v>
      </c>
      <c r="Q131" s="124"/>
      <c r="R131" s="124"/>
      <c r="S131" s="136">
        <f>[1]!b_stm07_cs(K107,29,L107,1)</f>
        <v>27332448.039999999</v>
      </c>
      <c r="T131" s="135"/>
      <c r="U131" s="135"/>
    </row>
    <row r="132" spans="1:21" x14ac:dyDescent="0.25">
      <c r="L132" s="54" t="s">
        <v>84</v>
      </c>
      <c r="M132" s="75">
        <f>[1]!b_stm07_bs(K107,37,L107,1)</f>
        <v>0</v>
      </c>
      <c r="N132" s="54" t="s">
        <v>85</v>
      </c>
      <c r="O132" s="75">
        <f>[1]!b_stm07_is(K107,14,L107,1)</f>
        <v>-9976271.4900000002</v>
      </c>
      <c r="P132" s="131" t="s">
        <v>86</v>
      </c>
      <c r="Q132" s="124"/>
      <c r="R132" s="124"/>
      <c r="S132" s="137">
        <f>[1]!b_stm07_cs(K107,37,L107,1)</f>
        <v>67719956.650000006</v>
      </c>
      <c r="T132" s="135"/>
      <c r="U132" s="135"/>
    </row>
    <row r="133" spans="1:21" x14ac:dyDescent="0.25">
      <c r="L133" s="54" t="s">
        <v>87</v>
      </c>
      <c r="M133" s="81">
        <f>[1]!b_stm07_bs(K107,74,L107,1)</f>
        <v>8502248927.4700003</v>
      </c>
      <c r="N133" s="54" t="s">
        <v>88</v>
      </c>
      <c r="O133" s="75">
        <f>[1]!b_stm07_is(K107,48,L107,1)</f>
        <v>26786462.59</v>
      </c>
      <c r="P133" s="131" t="s">
        <v>89</v>
      </c>
      <c r="Q133" s="124"/>
      <c r="R133" s="124"/>
      <c r="S133" s="137">
        <f>[1]!b_stm07_cs(K107,39,L107,1)</f>
        <v>-47507964.840000004</v>
      </c>
      <c r="T133" s="135"/>
      <c r="U133" s="135"/>
    </row>
    <row r="134" spans="1:21" x14ac:dyDescent="0.25">
      <c r="L134" s="54" t="s">
        <v>90</v>
      </c>
      <c r="M134" s="75">
        <f>[1]!b_stm07_bs(K107,75,L107,1)</f>
        <v>0</v>
      </c>
      <c r="N134" s="54" t="s">
        <v>91</v>
      </c>
      <c r="O134" s="75">
        <f>[1]!b_stm07_is(K107,55,L107,1)</f>
        <v>27652490.739999998</v>
      </c>
      <c r="P134" s="131" t="s">
        <v>92</v>
      </c>
      <c r="Q134" s="124"/>
      <c r="R134" s="124"/>
      <c r="S134" s="137">
        <f>[1]!b_stm07_cs(K107,59,L107,1)</f>
        <v>-2538275192.0700002</v>
      </c>
      <c r="T134" s="135"/>
      <c r="U134" s="135"/>
    </row>
    <row r="135" spans="1:21" ht="32.4" customHeight="1" x14ac:dyDescent="0.25">
      <c r="L135" s="54" t="s">
        <v>93</v>
      </c>
      <c r="M135" s="75">
        <f>[1]!b_stm07_bs(K107,88,L107,1)</f>
        <v>2825000</v>
      </c>
      <c r="N135" s="54" t="s">
        <v>35</v>
      </c>
      <c r="O135" s="75">
        <f>[1]!b_stm07_is(K107,60,L107,1)</f>
        <v>20227473.219999999</v>
      </c>
      <c r="P135" s="131" t="s">
        <v>94</v>
      </c>
      <c r="Q135" s="124"/>
      <c r="R135" s="124"/>
      <c r="S135" s="136">
        <f>[1]!b_stm07_cs(K107,60,L107,1)</f>
        <v>520000000</v>
      </c>
      <c r="T135" s="135"/>
      <c r="U135" s="135"/>
    </row>
    <row r="136" spans="1:21" ht="21.6" customHeight="1" x14ac:dyDescent="0.25">
      <c r="L136" s="54" t="s">
        <v>95</v>
      </c>
      <c r="M136" s="75">
        <f>[1]!b_stm07_bs(K107,147,L107,1)</f>
        <v>0</v>
      </c>
      <c r="N136" s="54"/>
      <c r="O136" s="80"/>
      <c r="P136" s="131" t="s">
        <v>96</v>
      </c>
      <c r="Q136" s="124"/>
      <c r="R136" s="124"/>
      <c r="S136" s="136">
        <f>[1]!b_stm07_cs(K107,61,L107,1)</f>
        <v>350380000</v>
      </c>
      <c r="T136" s="135"/>
      <c r="U136" s="135"/>
    </row>
    <row r="137" spans="1:21" x14ac:dyDescent="0.25">
      <c r="L137" s="54" t="s">
        <v>97</v>
      </c>
      <c r="M137" s="75">
        <f>[1]!b_stm07_bs(K107,94,L107,1)</f>
        <v>363896490</v>
      </c>
      <c r="N137" s="54"/>
      <c r="O137" s="80"/>
      <c r="P137" s="131" t="s">
        <v>98</v>
      </c>
      <c r="Q137" s="124"/>
      <c r="R137" s="124"/>
      <c r="S137" s="136">
        <f>[1]!b_stm07_cs(K107,63,L107,1)</f>
        <v>0</v>
      </c>
      <c r="T137" s="135"/>
      <c r="U137" s="135"/>
    </row>
    <row r="138" spans="1:21" x14ac:dyDescent="0.25">
      <c r="L138" s="54" t="s">
        <v>99</v>
      </c>
      <c r="M138" s="75">
        <f>[1]!b_stm07_bs(K107,95,L107,1)</f>
        <v>0</v>
      </c>
      <c r="N138" s="54"/>
      <c r="O138" s="80"/>
      <c r="P138" s="131" t="s">
        <v>100</v>
      </c>
      <c r="Q138" s="124"/>
      <c r="R138" s="124"/>
      <c r="S138" s="137">
        <f>[1]!b_stm07_cs(K107,68,L107,1)</f>
        <v>870380000</v>
      </c>
      <c r="T138" s="135"/>
      <c r="U138" s="135"/>
    </row>
    <row r="139" spans="1:21" x14ac:dyDescent="0.25">
      <c r="L139" s="54" t="s">
        <v>101</v>
      </c>
      <c r="M139" s="81">
        <f>[1]!b_stm07_bs(K107,128,L107,1)</f>
        <v>755208053.50999999</v>
      </c>
      <c r="N139" s="14"/>
      <c r="O139" s="13"/>
      <c r="P139" s="131" t="s">
        <v>102</v>
      </c>
      <c r="Q139" s="124"/>
      <c r="R139" s="124"/>
      <c r="S139" s="136">
        <f>[1]!b_stm07_cs(K107,69,L107,1)</f>
        <v>2825000</v>
      </c>
      <c r="T139" s="135"/>
      <c r="U139" s="135"/>
    </row>
    <row r="140" spans="1:21" ht="21.6" customHeight="1" x14ac:dyDescent="0.25">
      <c r="L140" s="54" t="s">
        <v>103</v>
      </c>
      <c r="M140" s="81">
        <f>[1]!b_stm07_bs(K107,141,L107,1)</f>
        <v>7747040873.96</v>
      </c>
      <c r="N140" s="14"/>
      <c r="O140" s="13"/>
      <c r="P140" s="131" t="s">
        <v>104</v>
      </c>
      <c r="Q140" s="124"/>
      <c r="R140" s="124"/>
      <c r="S140" s="136">
        <f>[1]!b_stm07_cs(K107,75,L107,1)</f>
        <v>29840788.66</v>
      </c>
      <c r="T140" s="135"/>
      <c r="U140" s="135"/>
    </row>
    <row r="141" spans="1:21" ht="21.6" customHeight="1" x14ac:dyDescent="0.25">
      <c r="L141" s="15" t="s">
        <v>105</v>
      </c>
      <c r="M141" s="81">
        <f>[1]!b_stm07_bs(K107,145,L107,1)</f>
        <v>8502248927.4700003</v>
      </c>
      <c r="N141" s="14"/>
      <c r="O141" s="13"/>
      <c r="P141" s="131" t="s">
        <v>106</v>
      </c>
      <c r="Q141" s="124"/>
      <c r="R141" s="124"/>
      <c r="S141" s="137">
        <f>[1]!b_stm07_cs(K107,77,L107,1)</f>
        <v>840539211.34000003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181</v>
      </c>
      <c r="C2" s="120"/>
      <c r="D2" s="57" t="s">
        <v>3</v>
      </c>
      <c r="E2" s="119" t="s">
        <v>182</v>
      </c>
      <c r="F2" s="120"/>
      <c r="G2" s="120"/>
    </row>
    <row r="3" spans="1:12" ht="14.25" customHeight="1" x14ac:dyDescent="0.25">
      <c r="A3" s="57" t="s">
        <v>4</v>
      </c>
      <c r="B3" s="119" t="s">
        <v>183</v>
      </c>
      <c r="C3" s="120"/>
      <c r="D3" s="57" t="s">
        <v>5</v>
      </c>
      <c r="E3" s="119" t="s">
        <v>184</v>
      </c>
      <c r="F3" s="120"/>
      <c r="G3" s="120"/>
    </row>
    <row r="4" spans="1:12" ht="113.25" customHeight="1" x14ac:dyDescent="0.25">
      <c r="A4" s="57" t="s">
        <v>6</v>
      </c>
      <c r="B4" s="121" t="s">
        <v>185</v>
      </c>
      <c r="C4" s="120"/>
      <c r="D4" s="120"/>
      <c r="E4" s="120"/>
      <c r="F4" s="120"/>
      <c r="G4" s="120"/>
    </row>
    <row r="5" spans="1:12" ht="14.4" x14ac:dyDescent="0.25">
      <c r="A5" s="82" t="s">
        <v>107</v>
      </c>
      <c r="B5" s="140" t="s">
        <v>186</v>
      </c>
      <c r="C5" s="120"/>
      <c r="D5" s="120"/>
      <c r="E5" s="120"/>
      <c r="F5" s="141">
        <v>0.3</v>
      </c>
      <c r="G5" s="120"/>
    </row>
    <row r="6" spans="1:12" ht="11.25" customHeight="1" x14ac:dyDescent="0.25">
      <c r="A6" s="82" t="s">
        <v>108</v>
      </c>
      <c r="B6" s="140" t="s">
        <v>187</v>
      </c>
      <c r="C6" s="120"/>
      <c r="D6" s="120"/>
      <c r="E6" s="120"/>
      <c r="F6" s="141">
        <v>0.3</v>
      </c>
      <c r="G6" s="120"/>
    </row>
    <row r="7" spans="1:12" ht="11.25" customHeight="1" x14ac:dyDescent="0.25">
      <c r="A7" s="82" t="s">
        <v>109</v>
      </c>
      <c r="B7" s="140" t="s">
        <v>188</v>
      </c>
      <c r="C7" s="120"/>
      <c r="D7" s="120"/>
      <c r="E7" s="120"/>
      <c r="F7" s="141">
        <v>0.3</v>
      </c>
      <c r="G7" s="120"/>
    </row>
    <row r="8" spans="1:12" ht="11.25" customHeight="1" x14ac:dyDescent="0.25">
      <c r="A8" s="82" t="s">
        <v>110</v>
      </c>
      <c r="B8" s="140" t="s">
        <v>189</v>
      </c>
      <c r="C8" s="120"/>
      <c r="D8" s="120"/>
      <c r="E8" s="120"/>
      <c r="F8" s="141">
        <v>0.1</v>
      </c>
      <c r="G8" s="120"/>
    </row>
    <row r="9" spans="1:12" ht="11.25" customHeight="1" x14ac:dyDescent="0.25">
      <c r="A9" s="82" t="s">
        <v>111</v>
      </c>
      <c r="B9" s="140" t="s">
        <v>190</v>
      </c>
      <c r="C9" s="120"/>
      <c r="D9" s="120"/>
      <c r="E9" s="120"/>
      <c r="F9" s="141" t="s">
        <v>190</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D13" s="64"/>
      <c r="E13" s="64">
        <v>0</v>
      </c>
      <c r="F13" s="65">
        <v>0</v>
      </c>
      <c r="G13" s="64">
        <v>0</v>
      </c>
    </row>
    <row r="14" spans="1:12" ht="14.4" customHeight="1" x14ac:dyDescent="0.25">
      <c r="D14" s="64"/>
      <c r="E14" s="83"/>
      <c r="G14" s="64"/>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A18" s="143" t="s">
        <v>113</v>
      </c>
      <c r="B18" s="143"/>
      <c r="C18" s="143"/>
      <c r="D18" s="143"/>
      <c r="E18" s="83"/>
      <c r="G18" s="64"/>
    </row>
    <row r="19" spans="1:7" ht="14.4" customHeight="1" x14ac:dyDescent="0.25">
      <c r="A19" s="84" t="s">
        <v>114</v>
      </c>
      <c r="B19" s="84" t="s">
        <v>115</v>
      </c>
      <c r="C19" s="84" t="s">
        <v>116</v>
      </c>
      <c r="D19" s="85" t="s">
        <v>117</v>
      </c>
      <c r="E19" s="83"/>
      <c r="G19" s="64"/>
    </row>
    <row r="20" spans="1:7" ht="14.4" customHeight="1" x14ac:dyDescent="0.25">
      <c r="A20" t="s">
        <v>118</v>
      </c>
      <c r="B20" t="s">
        <v>119</v>
      </c>
      <c r="C20" t="s">
        <v>120</v>
      </c>
      <c r="D20" s="64" t="s">
        <v>121</v>
      </c>
      <c r="E20" s="83"/>
      <c r="G20" s="64"/>
    </row>
    <row r="21" spans="1:7" ht="14.4" customHeight="1" x14ac:dyDescent="0.25">
      <c r="D21" s="64"/>
      <c r="E21" s="83"/>
      <c r="G21" s="64"/>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8:D1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8.8825000000000001E-2</v>
      </c>
      <c r="C4" s="57" t="s">
        <v>29</v>
      </c>
      <c r="D4" s="87">
        <v>15.654199999999999</v>
      </c>
      <c r="E4" s="57" t="s">
        <v>33</v>
      </c>
      <c r="F4" s="86">
        <v>0</v>
      </c>
      <c r="G4" s="57" t="s">
        <v>34</v>
      </c>
      <c r="H4" s="86">
        <v>0</v>
      </c>
      <c r="I4" s="57"/>
      <c r="J4" s="88"/>
    </row>
    <row r="5" spans="1:10" ht="15.75" customHeight="1" x14ac:dyDescent="0.25">
      <c r="A5" s="57" t="s">
        <v>54</v>
      </c>
      <c r="B5" s="86">
        <v>0.72047600000000001</v>
      </c>
      <c r="C5" s="57" t="s">
        <v>55</v>
      </c>
      <c r="D5" s="87">
        <v>15.654199999999999</v>
      </c>
      <c r="E5" s="57" t="s">
        <v>56</v>
      </c>
      <c r="F5" s="87">
        <v>0</v>
      </c>
      <c r="G5" s="57" t="s">
        <v>57</v>
      </c>
      <c r="H5" s="86">
        <v>764.97190000000001</v>
      </c>
      <c r="I5" s="57"/>
      <c r="J5" s="88"/>
    </row>
    <row r="6" spans="1:10" ht="15" customHeight="1" x14ac:dyDescent="0.25">
      <c r="A6" s="57" t="s">
        <v>58</v>
      </c>
      <c r="B6" s="86">
        <v>0.51815100000000003</v>
      </c>
      <c r="C6" s="57" t="s">
        <v>31</v>
      </c>
      <c r="D6" s="89">
        <v>2.4E-2</v>
      </c>
      <c r="E6" s="57" t="s">
        <v>59</v>
      </c>
      <c r="F6" s="87">
        <v>0</v>
      </c>
      <c r="G6" s="57" t="s">
        <v>37</v>
      </c>
      <c r="H6" s="86">
        <v>6.1919999999999996E-3</v>
      </c>
      <c r="I6" s="57"/>
      <c r="J6" s="88"/>
    </row>
    <row r="7" spans="1:10" ht="14.25" customHeight="1" x14ac:dyDescent="0.25">
      <c r="A7" s="57" t="s">
        <v>30</v>
      </c>
      <c r="B7" s="89">
        <v>4.8400825508789748E-2</v>
      </c>
      <c r="C7" s="57" t="s">
        <v>60</v>
      </c>
      <c r="D7" s="89">
        <v>0</v>
      </c>
      <c r="E7" s="57" t="s">
        <v>61</v>
      </c>
      <c r="F7" s="87">
        <v>0</v>
      </c>
      <c r="G7" s="57" t="s">
        <v>62</v>
      </c>
      <c r="H7" s="86">
        <v>2.2400000000000002E-3</v>
      </c>
      <c r="I7" s="57"/>
      <c r="J7" s="88"/>
    </row>
    <row r="8" spans="1:10" x14ac:dyDescent="0.25">
      <c r="A8" s="57"/>
      <c r="B8" s="90"/>
      <c r="C8" s="57"/>
      <c r="D8" s="91"/>
      <c r="E8" s="57" t="s">
        <v>63</v>
      </c>
      <c r="F8" s="87">
        <v>0</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19.936907076000001</v>
      </c>
      <c r="C12" s="57" t="s">
        <v>70</v>
      </c>
      <c r="D12" s="89">
        <v>3.5016269999999997E-4</v>
      </c>
      <c r="E12" s="147" t="s">
        <v>71</v>
      </c>
      <c r="F12" s="120"/>
      <c r="G12" s="120"/>
      <c r="H12" s="148">
        <v>0</v>
      </c>
      <c r="I12" s="120"/>
      <c r="J12" s="120"/>
    </row>
    <row r="13" spans="1:10" ht="14.25" customHeight="1" x14ac:dyDescent="0.25">
      <c r="A13" s="57" t="s">
        <v>72</v>
      </c>
      <c r="B13" s="92">
        <v>0</v>
      </c>
      <c r="C13" s="57" t="s">
        <v>73</v>
      </c>
      <c r="D13" s="89">
        <v>0.41556941009999998</v>
      </c>
      <c r="E13" s="147" t="s">
        <v>74</v>
      </c>
      <c r="F13" s="120"/>
      <c r="G13" s="120"/>
      <c r="H13" s="148">
        <v>0.20211991809999999</v>
      </c>
      <c r="I13" s="120"/>
      <c r="J13" s="120"/>
    </row>
    <row r="14" spans="1:10" ht="14.25" customHeight="1" x14ac:dyDescent="0.25">
      <c r="A14" s="57" t="s">
        <v>75</v>
      </c>
      <c r="B14" s="92">
        <v>0.34559282140000003</v>
      </c>
      <c r="C14" s="57" t="s">
        <v>76</v>
      </c>
      <c r="D14" s="89">
        <v>3.5016269999999997E-4</v>
      </c>
      <c r="E14" s="147" t="s">
        <v>77</v>
      </c>
      <c r="F14" s="120"/>
      <c r="G14" s="120"/>
      <c r="H14" s="148">
        <v>0.20211991809999999</v>
      </c>
      <c r="I14" s="120"/>
      <c r="J14" s="120"/>
    </row>
    <row r="15" spans="1:10" ht="14.25" customHeight="1" x14ac:dyDescent="0.25">
      <c r="A15" s="57" t="s">
        <v>78</v>
      </c>
      <c r="B15" s="92">
        <v>0.64632101529999997</v>
      </c>
      <c r="C15" s="57" t="s">
        <v>79</v>
      </c>
      <c r="D15" s="89">
        <v>0</v>
      </c>
      <c r="E15" s="147" t="s">
        <v>80</v>
      </c>
      <c r="F15" s="120"/>
      <c r="G15" s="120"/>
      <c r="H15" s="148">
        <v>9.7952662999999992E-3</v>
      </c>
      <c r="I15" s="120"/>
      <c r="J15" s="120"/>
    </row>
    <row r="16" spans="1:10" ht="14.25" customHeight="1" x14ac:dyDescent="0.25">
      <c r="A16" s="57" t="s">
        <v>81</v>
      </c>
      <c r="B16" s="92">
        <v>22.525643480599999</v>
      </c>
      <c r="C16" s="57" t="s">
        <v>82</v>
      </c>
      <c r="D16" s="89">
        <v>0.51144209900000004</v>
      </c>
      <c r="E16" s="147" t="s">
        <v>83</v>
      </c>
      <c r="F16" s="120"/>
      <c r="G16" s="120"/>
      <c r="H16" s="148">
        <v>0.27332448040000001</v>
      </c>
      <c r="I16" s="120"/>
      <c r="J16" s="120"/>
    </row>
    <row r="17" spans="1:10" ht="14.25" customHeight="1" x14ac:dyDescent="0.25">
      <c r="A17" s="57" t="s">
        <v>84</v>
      </c>
      <c r="B17" s="92">
        <v>0</v>
      </c>
      <c r="C17" s="57" t="s">
        <v>85</v>
      </c>
      <c r="D17" s="89">
        <v>-9.9762714900000007E-2</v>
      </c>
      <c r="E17" s="147" t="s">
        <v>86</v>
      </c>
      <c r="F17" s="120"/>
      <c r="G17" s="120"/>
      <c r="H17" s="148">
        <v>0.67719956650000002</v>
      </c>
      <c r="I17" s="120"/>
      <c r="J17" s="120"/>
    </row>
    <row r="18" spans="1:10" ht="14.25" customHeight="1" x14ac:dyDescent="0.25">
      <c r="A18" s="57" t="s">
        <v>87</v>
      </c>
      <c r="B18" s="92">
        <v>85.022489274700007</v>
      </c>
      <c r="C18" s="57" t="s">
        <v>88</v>
      </c>
      <c r="D18" s="89">
        <v>0.26786462589999999</v>
      </c>
      <c r="E18" s="147" t="s">
        <v>89</v>
      </c>
      <c r="F18" s="120"/>
      <c r="G18" s="120"/>
      <c r="H18" s="148">
        <v>-0.47507964840000005</v>
      </c>
      <c r="I18" s="120"/>
      <c r="J18" s="120"/>
    </row>
    <row r="19" spans="1:10" ht="14.25" customHeight="1" x14ac:dyDescent="0.25">
      <c r="A19" s="57" t="s">
        <v>90</v>
      </c>
      <c r="B19" s="92">
        <v>0</v>
      </c>
      <c r="C19" s="57" t="s">
        <v>91</v>
      </c>
      <c r="D19" s="89">
        <v>0.27652490739999996</v>
      </c>
      <c r="E19" s="147" t="s">
        <v>92</v>
      </c>
      <c r="F19" s="120"/>
      <c r="G19" s="120"/>
      <c r="H19" s="148">
        <v>-25.382751920700002</v>
      </c>
      <c r="I19" s="120"/>
      <c r="J19" s="120"/>
    </row>
    <row r="20" spans="1:10" ht="27" customHeight="1" x14ac:dyDescent="0.25">
      <c r="A20" s="57" t="s">
        <v>93</v>
      </c>
      <c r="B20" s="92">
        <v>2.8250000000000001E-2</v>
      </c>
      <c r="C20" s="57" t="s">
        <v>35</v>
      </c>
      <c r="D20" s="89">
        <v>0.2022747322</v>
      </c>
      <c r="E20" s="147" t="s">
        <v>94</v>
      </c>
      <c r="F20" s="120"/>
      <c r="G20" s="120"/>
      <c r="H20" s="148">
        <v>5.2</v>
      </c>
      <c r="I20" s="120"/>
      <c r="J20" s="120"/>
    </row>
    <row r="21" spans="1:10" ht="16.5" customHeight="1" x14ac:dyDescent="0.25">
      <c r="A21" s="57" t="s">
        <v>95</v>
      </c>
      <c r="B21" s="92">
        <v>0</v>
      </c>
      <c r="C21" s="57"/>
      <c r="D21" s="93"/>
      <c r="E21" s="147" t="s">
        <v>96</v>
      </c>
      <c r="F21" s="120"/>
      <c r="G21" s="120"/>
      <c r="H21" s="148">
        <v>3.5038</v>
      </c>
      <c r="I21" s="120"/>
      <c r="J21" s="120"/>
    </row>
    <row r="22" spans="1:10" ht="14.25" customHeight="1" x14ac:dyDescent="0.25">
      <c r="A22" s="57" t="s">
        <v>97</v>
      </c>
      <c r="B22" s="92">
        <v>3.6389648999999999</v>
      </c>
      <c r="C22" s="57"/>
      <c r="D22" s="93"/>
      <c r="E22" s="147" t="s">
        <v>98</v>
      </c>
      <c r="F22" s="120"/>
      <c r="G22" s="120"/>
      <c r="H22" s="148">
        <v>0</v>
      </c>
      <c r="I22" s="120"/>
      <c r="J22" s="120"/>
    </row>
    <row r="23" spans="1:10" ht="14.25" customHeight="1" x14ac:dyDescent="0.25">
      <c r="A23" s="57" t="s">
        <v>99</v>
      </c>
      <c r="B23" s="92">
        <v>0</v>
      </c>
      <c r="C23" s="57"/>
      <c r="D23" s="93"/>
      <c r="E23" s="147" t="s">
        <v>100</v>
      </c>
      <c r="F23" s="120"/>
      <c r="G23" s="120"/>
      <c r="H23" s="148">
        <v>8.7037999999999993</v>
      </c>
      <c r="I23" s="120"/>
      <c r="J23" s="120"/>
    </row>
    <row r="24" spans="1:10" ht="14.25" customHeight="1" x14ac:dyDescent="0.25">
      <c r="A24" s="57" t="s">
        <v>101</v>
      </c>
      <c r="B24" s="92">
        <v>7.5520805351</v>
      </c>
      <c r="C24" s="94"/>
      <c r="D24" s="91"/>
      <c r="E24" s="147" t="s">
        <v>102</v>
      </c>
      <c r="F24" s="120"/>
      <c r="G24" s="120"/>
      <c r="H24" s="148">
        <v>2.8250000000000001E-2</v>
      </c>
      <c r="I24" s="120"/>
      <c r="J24" s="120"/>
    </row>
    <row r="25" spans="1:10" ht="14.25" customHeight="1" x14ac:dyDescent="0.25">
      <c r="A25" s="57" t="s">
        <v>103</v>
      </c>
      <c r="B25" s="92">
        <v>77.470408739600003</v>
      </c>
      <c r="C25" s="94"/>
      <c r="D25" s="91"/>
      <c r="E25" s="147" t="s">
        <v>104</v>
      </c>
      <c r="F25" s="120"/>
      <c r="G25" s="120"/>
      <c r="H25" s="148">
        <v>0.29840788660000001</v>
      </c>
      <c r="I25" s="120"/>
      <c r="J25" s="120"/>
    </row>
    <row r="26" spans="1:10" ht="14.25" customHeight="1" x14ac:dyDescent="0.25">
      <c r="A26" s="95" t="s">
        <v>105</v>
      </c>
      <c r="B26" s="92">
        <v>85.022489274700007</v>
      </c>
      <c r="C26" s="94"/>
      <c r="D26" s="91"/>
      <c r="E26" s="147" t="s">
        <v>106</v>
      </c>
      <c r="F26" s="120"/>
      <c r="G26" s="120"/>
      <c r="H26" s="148">
        <v>8.4053921133999996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123</v>
      </c>
      <c r="B1" s="124"/>
      <c r="C1" s="124"/>
      <c r="D1" s="124"/>
      <c r="E1" s="124"/>
      <c r="F1" s="124"/>
      <c r="G1" s="124"/>
      <c r="H1" s="124"/>
      <c r="I1" s="124"/>
    </row>
    <row r="2" spans="1:10" ht="46.5" customHeight="1" x14ac:dyDescent="0.25">
      <c r="A2" s="54" t="s">
        <v>22</v>
      </c>
      <c r="B2" s="43" t="s">
        <v>181</v>
      </c>
      <c r="C2" s="43" t="s">
        <v>124</v>
      </c>
      <c r="D2" s="43" t="s">
        <v>190</v>
      </c>
      <c r="E2" s="43" t="s">
        <v>190</v>
      </c>
      <c r="F2" s="43" t="s">
        <v>190</v>
      </c>
      <c r="G2" s="43" t="s">
        <v>190</v>
      </c>
      <c r="H2" s="43" t="s">
        <v>190</v>
      </c>
      <c r="I2" s="43" t="s">
        <v>190</v>
      </c>
      <c r="J2" s="43" t="s">
        <v>190</v>
      </c>
    </row>
    <row r="3" spans="1:10" x14ac:dyDescent="0.25">
      <c r="A3" s="54" t="s">
        <v>23</v>
      </c>
      <c r="B3" s="97" t="s">
        <v>119</v>
      </c>
      <c r="C3" s="98" t="s">
        <v>125</v>
      </c>
      <c r="D3" s="97" t="s">
        <v>190</v>
      </c>
      <c r="E3" s="97" t="s">
        <v>190</v>
      </c>
      <c r="F3" s="97" t="s">
        <v>190</v>
      </c>
      <c r="G3" s="97" t="s">
        <v>190</v>
      </c>
      <c r="H3" s="97" t="s">
        <v>190</v>
      </c>
      <c r="I3" s="97" t="s">
        <v>190</v>
      </c>
      <c r="J3" s="97" t="s">
        <v>190</v>
      </c>
    </row>
    <row r="4" spans="1:10" s="7" customFormat="1" ht="21.6" x14ac:dyDescent="0.25">
      <c r="A4" s="9" t="s">
        <v>3</v>
      </c>
      <c r="B4" s="99" t="s">
        <v>182</v>
      </c>
      <c r="C4" s="98" t="s">
        <v>125</v>
      </c>
      <c r="D4" s="99" t="s">
        <v>190</v>
      </c>
      <c r="E4" s="99" t="s">
        <v>190</v>
      </c>
      <c r="F4" s="99" t="s">
        <v>190</v>
      </c>
      <c r="G4" s="99" t="s">
        <v>190</v>
      </c>
      <c r="H4" s="99" t="s">
        <v>190</v>
      </c>
      <c r="I4" s="99" t="s">
        <v>190</v>
      </c>
      <c r="J4" s="99" t="s">
        <v>190</v>
      </c>
    </row>
    <row r="5" spans="1:10" s="7" customFormat="1" x14ac:dyDescent="0.25">
      <c r="A5" s="9" t="s">
        <v>25</v>
      </c>
      <c r="B5" s="100" t="s">
        <v>26</v>
      </c>
      <c r="C5" s="98" t="s">
        <v>125</v>
      </c>
      <c r="D5" s="100" t="s">
        <v>190</v>
      </c>
      <c r="E5" s="100" t="s">
        <v>190</v>
      </c>
      <c r="F5" s="100" t="s">
        <v>190</v>
      </c>
      <c r="G5" s="100" t="s">
        <v>190</v>
      </c>
      <c r="H5" s="100" t="s">
        <v>190</v>
      </c>
      <c r="I5" s="100" t="s">
        <v>190</v>
      </c>
      <c r="J5" s="100" t="s">
        <v>190</v>
      </c>
    </row>
    <row r="6" spans="1:10" x14ac:dyDescent="0.25">
      <c r="A6" s="54" t="s">
        <v>27</v>
      </c>
      <c r="B6" s="101">
        <v>85.022489274700007</v>
      </c>
      <c r="C6" s="98" t="s">
        <v>125</v>
      </c>
      <c r="D6" s="101" t="s">
        <v>190</v>
      </c>
      <c r="E6" s="101" t="s">
        <v>190</v>
      </c>
      <c r="F6" s="101" t="s">
        <v>190</v>
      </c>
      <c r="G6" s="101" t="s">
        <v>190</v>
      </c>
      <c r="H6" s="101" t="s">
        <v>190</v>
      </c>
      <c r="I6" s="101" t="s">
        <v>190</v>
      </c>
      <c r="J6" s="101" t="s">
        <v>190</v>
      </c>
    </row>
    <row r="7" spans="1:10" x14ac:dyDescent="0.25">
      <c r="A7" s="54" t="s">
        <v>28</v>
      </c>
      <c r="B7" s="44">
        <v>8.8825000000000001E-2</v>
      </c>
      <c r="C7" s="98" t="s">
        <v>125</v>
      </c>
      <c r="D7" s="44" t="s">
        <v>190</v>
      </c>
      <c r="E7" s="44" t="s">
        <v>190</v>
      </c>
      <c r="F7" s="44" t="s">
        <v>190</v>
      </c>
      <c r="G7" s="44" t="s">
        <v>190</v>
      </c>
      <c r="H7" s="44" t="s">
        <v>190</v>
      </c>
      <c r="I7" s="44" t="s">
        <v>190</v>
      </c>
      <c r="J7" s="44" t="s">
        <v>190</v>
      </c>
    </row>
    <row r="8" spans="1:10" x14ac:dyDescent="0.25">
      <c r="A8" s="54" t="s">
        <v>29</v>
      </c>
      <c r="B8" s="101">
        <v>15.654199999999999</v>
      </c>
      <c r="C8" s="98" t="s">
        <v>125</v>
      </c>
      <c r="D8" s="101" t="s">
        <v>190</v>
      </c>
      <c r="E8" s="101" t="s">
        <v>190</v>
      </c>
      <c r="F8" s="101" t="s">
        <v>190</v>
      </c>
      <c r="G8" s="101" t="s">
        <v>190</v>
      </c>
      <c r="H8" s="101" t="s">
        <v>190</v>
      </c>
      <c r="I8" s="101" t="s">
        <v>190</v>
      </c>
      <c r="J8" s="101" t="s">
        <v>190</v>
      </c>
    </row>
    <row r="9" spans="1:10" x14ac:dyDescent="0.25">
      <c r="A9" s="54" t="s">
        <v>30</v>
      </c>
      <c r="B9" s="97">
        <v>4.8400825508789748E-2</v>
      </c>
      <c r="C9" s="98" t="s">
        <v>125</v>
      </c>
      <c r="D9" s="97" t="s">
        <v>190</v>
      </c>
      <c r="E9" s="97" t="s">
        <v>190</v>
      </c>
      <c r="F9" s="97" t="s">
        <v>190</v>
      </c>
      <c r="G9" s="97" t="s">
        <v>190</v>
      </c>
      <c r="H9" s="97" t="s">
        <v>190</v>
      </c>
      <c r="I9" s="97" t="s">
        <v>190</v>
      </c>
      <c r="J9" s="97" t="s">
        <v>190</v>
      </c>
    </row>
    <row r="10" spans="1:10" ht="21.6" customHeight="1" x14ac:dyDescent="0.25">
      <c r="A10" s="54" t="s">
        <v>31</v>
      </c>
      <c r="B10" s="101">
        <v>2.4E-2</v>
      </c>
      <c r="C10" s="98" t="s">
        <v>125</v>
      </c>
      <c r="D10" s="101" t="s">
        <v>190</v>
      </c>
      <c r="E10" s="101" t="s">
        <v>190</v>
      </c>
      <c r="F10" s="101" t="s">
        <v>190</v>
      </c>
      <c r="G10" s="101" t="s">
        <v>190</v>
      </c>
      <c r="H10" s="101" t="s">
        <v>190</v>
      </c>
      <c r="I10" s="101" t="s">
        <v>190</v>
      </c>
      <c r="J10" s="101" t="s">
        <v>190</v>
      </c>
    </row>
    <row r="11" spans="1:10" x14ac:dyDescent="0.25">
      <c r="A11" s="54" t="s">
        <v>32</v>
      </c>
      <c r="B11" s="101">
        <v>3.5016269999999997E-4</v>
      </c>
      <c r="C11" s="98" t="s">
        <v>125</v>
      </c>
      <c r="D11" s="101" t="s">
        <v>190</v>
      </c>
      <c r="E11" s="101" t="s">
        <v>190</v>
      </c>
      <c r="F11" s="101" t="s">
        <v>190</v>
      </c>
      <c r="G11" s="101" t="s">
        <v>190</v>
      </c>
      <c r="H11" s="101" t="s">
        <v>190</v>
      </c>
      <c r="I11" s="101" t="s">
        <v>190</v>
      </c>
      <c r="J11" s="101" t="s">
        <v>190</v>
      </c>
    </row>
    <row r="12" spans="1:10" s="7" customFormat="1" x14ac:dyDescent="0.25">
      <c r="A12" s="9" t="s">
        <v>33</v>
      </c>
      <c r="B12" s="45">
        <v>0</v>
      </c>
      <c r="C12" s="98" t="s">
        <v>125</v>
      </c>
      <c r="D12" s="45" t="s">
        <v>190</v>
      </c>
      <c r="E12" s="45" t="s">
        <v>190</v>
      </c>
      <c r="F12" s="45" t="s">
        <v>190</v>
      </c>
      <c r="G12" s="45" t="s">
        <v>190</v>
      </c>
      <c r="H12" s="45" t="s">
        <v>190</v>
      </c>
      <c r="I12" s="45" t="s">
        <v>190</v>
      </c>
      <c r="J12" s="45" t="s">
        <v>190</v>
      </c>
    </row>
    <row r="13" spans="1:10" s="7" customFormat="1" x14ac:dyDescent="0.25">
      <c r="A13" s="9" t="s">
        <v>34</v>
      </c>
      <c r="B13" s="45">
        <v>0</v>
      </c>
      <c r="C13" s="98" t="s">
        <v>125</v>
      </c>
      <c r="D13" s="45" t="s">
        <v>190</v>
      </c>
      <c r="E13" s="45" t="s">
        <v>190</v>
      </c>
      <c r="F13" s="45" t="s">
        <v>190</v>
      </c>
      <c r="G13" s="45" t="s">
        <v>190</v>
      </c>
      <c r="H13" s="45" t="s">
        <v>190</v>
      </c>
      <c r="I13" s="45" t="s">
        <v>190</v>
      </c>
      <c r="J13" s="45" t="s">
        <v>190</v>
      </c>
    </row>
    <row r="14" spans="1:10" s="7" customFormat="1" x14ac:dyDescent="0.25">
      <c r="A14" s="9" t="s">
        <v>35</v>
      </c>
      <c r="B14" s="102">
        <v>0.2022747322</v>
      </c>
      <c r="C14" s="98" t="s">
        <v>125</v>
      </c>
      <c r="D14" s="102" t="s">
        <v>190</v>
      </c>
      <c r="E14" s="102" t="s">
        <v>190</v>
      </c>
      <c r="F14" s="102" t="s">
        <v>190</v>
      </c>
      <c r="G14" s="102" t="s">
        <v>190</v>
      </c>
      <c r="H14" s="102" t="s">
        <v>190</v>
      </c>
      <c r="I14" s="102" t="s">
        <v>190</v>
      </c>
      <c r="J14" s="102" t="s">
        <v>190</v>
      </c>
    </row>
    <row r="15" spans="1:10" x14ac:dyDescent="0.25">
      <c r="A15" s="54" t="s">
        <v>37</v>
      </c>
      <c r="B15" s="44">
        <v>6.1919999999999996E-3</v>
      </c>
      <c r="C15" s="98" t="s">
        <v>125</v>
      </c>
      <c r="D15" s="44" t="s">
        <v>190</v>
      </c>
      <c r="E15" s="44" t="s">
        <v>190</v>
      </c>
      <c r="F15" s="44" t="s">
        <v>190</v>
      </c>
      <c r="G15" s="44" t="s">
        <v>190</v>
      </c>
      <c r="H15" s="44" t="s">
        <v>190</v>
      </c>
      <c r="I15" s="44" t="s">
        <v>190</v>
      </c>
      <c r="J15" s="44" t="s">
        <v>190</v>
      </c>
    </row>
    <row r="16" spans="1:10" s="7" customFormat="1" ht="25.8" customHeight="1" x14ac:dyDescent="0.25">
      <c r="A16" s="9" t="s">
        <v>38</v>
      </c>
      <c r="B16" s="102">
        <v>-0.47507964840000005</v>
      </c>
      <c r="C16" s="98" t="s">
        <v>125</v>
      </c>
      <c r="D16" s="102" t="s">
        <v>190</v>
      </c>
      <c r="E16" s="102" t="s">
        <v>190</v>
      </c>
      <c r="F16" s="102" t="s">
        <v>190</v>
      </c>
      <c r="G16" s="102" t="s">
        <v>190</v>
      </c>
      <c r="H16" s="102" t="s">
        <v>190</v>
      </c>
      <c r="I16" s="102" t="s">
        <v>190</v>
      </c>
      <c r="J16" s="102" t="s">
        <v>190</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126</v>
      </c>
      <c r="B1" s="124"/>
      <c r="C1" s="124"/>
      <c r="D1" s="124"/>
      <c r="E1" s="124"/>
      <c r="F1" s="124"/>
    </row>
    <row r="2" spans="1:6" x14ac:dyDescent="0.25">
      <c r="A2" s="51" t="s">
        <v>127</v>
      </c>
      <c r="B2" s="50" t="s">
        <v>128</v>
      </c>
      <c r="C2" s="50" t="s">
        <v>129</v>
      </c>
      <c r="D2" s="50" t="s">
        <v>130</v>
      </c>
      <c r="E2" s="50" t="s">
        <v>117</v>
      </c>
      <c r="F2" s="50" t="s">
        <v>131</v>
      </c>
    </row>
    <row r="3" spans="1:6" ht="48" customHeight="1" x14ac:dyDescent="0.25">
      <c r="A3" s="104">
        <v>43535</v>
      </c>
      <c r="B3" s="52" t="s">
        <v>132</v>
      </c>
      <c r="C3" s="105" t="s">
        <v>133</v>
      </c>
      <c r="D3" s="105"/>
      <c r="E3" s="52" t="s">
        <v>121</v>
      </c>
      <c r="F3" s="105" t="s">
        <v>134</v>
      </c>
    </row>
    <row r="4" spans="1:6" ht="49.5" customHeight="1" x14ac:dyDescent="0.25">
      <c r="A4" s="104">
        <v>43535</v>
      </c>
      <c r="B4" s="52" t="s">
        <v>135</v>
      </c>
      <c r="C4" s="105" t="s">
        <v>136</v>
      </c>
      <c r="D4" s="105"/>
      <c r="E4" s="52" t="s">
        <v>137</v>
      </c>
      <c r="F4" s="105"/>
    </row>
    <row r="5" spans="1:6" ht="125.4" x14ac:dyDescent="0.25">
      <c r="A5" s="104">
        <v>43438</v>
      </c>
      <c r="B5" s="52" t="s">
        <v>138</v>
      </c>
      <c r="C5" s="105" t="s">
        <v>133</v>
      </c>
      <c r="D5" s="105"/>
      <c r="E5" s="52" t="s">
        <v>139</v>
      </c>
      <c r="F5" s="105" t="s">
        <v>140</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141</v>
      </c>
      <c r="B21" s="143"/>
      <c r="C21" s="143"/>
      <c r="D21" s="143"/>
      <c r="E21" s="143"/>
      <c r="F21" s="143"/>
    </row>
    <row r="22" spans="1:6" x14ac:dyDescent="0.25">
      <c r="A22" s="84" t="s">
        <v>127</v>
      </c>
      <c r="B22" s="84" t="s">
        <v>128</v>
      </c>
      <c r="C22" s="84" t="s">
        <v>142</v>
      </c>
      <c r="D22" s="84" t="s">
        <v>143</v>
      </c>
      <c r="E22" s="84" t="s">
        <v>117</v>
      </c>
      <c r="F22" s="84" t="s">
        <v>131</v>
      </c>
    </row>
    <row r="23" spans="1:6" x14ac:dyDescent="0.25">
      <c r="A23" s="107">
        <v>43497</v>
      </c>
      <c r="B23" s="58" t="s">
        <v>144</v>
      </c>
      <c r="C23" s="108" t="s">
        <v>145</v>
      </c>
      <c r="D23" s="108"/>
      <c r="E23" s="58" t="s">
        <v>146</v>
      </c>
      <c r="F23" s="108" t="s">
        <v>147</v>
      </c>
    </row>
    <row r="24" spans="1:6" x14ac:dyDescent="0.25">
      <c r="A24" s="107">
        <v>43496</v>
      </c>
      <c r="B24" s="58" t="s">
        <v>148</v>
      </c>
      <c r="C24" s="108" t="s">
        <v>149</v>
      </c>
      <c r="D24" s="108"/>
      <c r="E24" s="58" t="s">
        <v>150</v>
      </c>
      <c r="F24" s="108" t="s">
        <v>151</v>
      </c>
    </row>
    <row r="25" spans="1:6" x14ac:dyDescent="0.25">
      <c r="A25" s="107">
        <v>43433</v>
      </c>
      <c r="B25" s="58" t="s">
        <v>152</v>
      </c>
      <c r="C25" s="108" t="s">
        <v>153</v>
      </c>
      <c r="D25" s="108"/>
      <c r="E25" s="58" t="s">
        <v>154</v>
      </c>
      <c r="F25" s="108" t="s">
        <v>155</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156</v>
      </c>
      <c r="B1" s="124"/>
      <c r="C1" s="124"/>
      <c r="D1" s="124"/>
      <c r="E1" s="124"/>
      <c r="F1" s="124"/>
      <c r="G1" s="124"/>
      <c r="H1" s="124"/>
      <c r="I1" s="124"/>
      <c r="J1" s="124"/>
      <c r="K1" s="124"/>
      <c r="L1" s="124"/>
      <c r="M1" s="124"/>
      <c r="N1" s="124"/>
    </row>
    <row r="2" spans="1:18" s="1" customFormat="1" ht="25.5" customHeight="1" x14ac:dyDescent="0.25">
      <c r="A2" s="55" t="s">
        <v>157</v>
      </c>
      <c r="B2" s="55" t="s">
        <v>158</v>
      </c>
      <c r="C2" s="55" t="s">
        <v>159</v>
      </c>
      <c r="D2" s="55" t="s">
        <v>160</v>
      </c>
      <c r="E2" s="55" t="s">
        <v>161</v>
      </c>
      <c r="F2" s="55" t="s">
        <v>162</v>
      </c>
      <c r="G2" s="55" t="s">
        <v>163</v>
      </c>
      <c r="H2" s="55" t="s">
        <v>16</v>
      </c>
      <c r="I2" s="55" t="s">
        <v>164</v>
      </c>
      <c r="J2" s="55" t="s">
        <v>165</v>
      </c>
      <c r="K2" s="55" t="s">
        <v>166</v>
      </c>
      <c r="L2" s="55" t="s">
        <v>167</v>
      </c>
      <c r="M2" s="55" t="s">
        <v>19</v>
      </c>
      <c r="N2" s="55" t="s">
        <v>168</v>
      </c>
      <c r="O2" s="3"/>
      <c r="P2" s="110" t="str">
        <f ca="1">Q2</f>
        <v>2019-04-10</v>
      </c>
      <c r="Q2" s="1" t="str">
        <f ca="1">[1]!td(R2-1)</f>
        <v>2019-04-10</v>
      </c>
      <c r="R2" s="3">
        <f ca="1">TODAY()</f>
        <v>43566</v>
      </c>
    </row>
    <row r="3" spans="1:18" ht="15.75" customHeight="1" x14ac:dyDescent="0.25">
      <c r="A3" s="111" t="str">
        <f>[1]!b_info_name(L3)</f>
        <v>19京津冀铁投MTN001</v>
      </c>
      <c r="B3" s="2" t="str">
        <f>[1]!b_issue_firstissue(L3)</f>
        <v>2019-04-12</v>
      </c>
      <c r="C3" s="111">
        <f>[1]!b_info_term(L3)</f>
        <v>5</v>
      </c>
      <c r="D3" s="112" t="str">
        <f>[1]!issuerrating(L3)</f>
        <v>AAA</v>
      </c>
      <c r="E3" s="112" t="str">
        <f>[1]!b_info_creditrating(L3)</f>
        <v>AAA</v>
      </c>
      <c r="F3" s="111" t="str">
        <f>[1]!b_rate_creditratingagency(L3)</f>
        <v>中诚信国际信用评级有限责任公司</v>
      </c>
      <c r="G3" s="113">
        <f>[1]!b_agency_guarantor(L3)</f>
        <v>0</v>
      </c>
      <c r="H3" s="114" t="s">
        <v>169</v>
      </c>
      <c r="I3" s="66"/>
      <c r="J3" s="115" t="s">
        <v>169</v>
      </c>
      <c r="K3" s="116"/>
      <c r="L3" s="41" t="str">
        <f>公式页!A2</f>
        <v>q19040902.IB</v>
      </c>
      <c r="M3" s="114" t="s">
        <v>169</v>
      </c>
      <c r="N3" s="111" t="str">
        <f>[1]!b_agency_leadunderwriter(L3)</f>
        <v>中信证券股份有限公司,中国建设银行股份有限公司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170</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171</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157</v>
      </c>
      <c r="B13" s="55" t="s">
        <v>158</v>
      </c>
      <c r="C13" s="55" t="s">
        <v>159</v>
      </c>
      <c r="D13" s="55" t="s">
        <v>160</v>
      </c>
      <c r="E13" s="55" t="s">
        <v>161</v>
      </c>
      <c r="F13" s="55" t="s">
        <v>162</v>
      </c>
      <c r="G13" s="55" t="s">
        <v>163</v>
      </c>
      <c r="H13" s="55" t="s">
        <v>16</v>
      </c>
      <c r="I13" s="55" t="s">
        <v>164</v>
      </c>
      <c r="J13" s="55" t="s">
        <v>165</v>
      </c>
      <c r="K13" s="55" t="s">
        <v>166</v>
      </c>
      <c r="L13" s="55" t="s">
        <v>167</v>
      </c>
      <c r="M13" s="55" t="s">
        <v>19</v>
      </c>
      <c r="N13" s="55" t="s">
        <v>168</v>
      </c>
      <c r="P13" s="109" t="str">
        <f t="shared" ca="1" si="0"/>
        <v>2019-04-10</v>
      </c>
    </row>
    <row r="14" spans="1:18" ht="15.75" customHeight="1" x14ac:dyDescent="0.25">
      <c r="A14" s="111" t="str">
        <f>[1]!b_info_name(L14)</f>
        <v>19京津冀铁投MTN001</v>
      </c>
      <c r="B14" s="2" t="str">
        <f>[1]!b_issue_firstissue(L14)</f>
        <v>2019-04-12</v>
      </c>
      <c r="C14" s="111">
        <f>[1]!b_info_term(L14)</f>
        <v>5</v>
      </c>
      <c r="D14" s="112" t="str">
        <f>[1]!issuerrating(L14)</f>
        <v>AAA</v>
      </c>
      <c r="E14" s="112" t="str">
        <f>[1]!b_info_creditrating(L14)</f>
        <v>AAA</v>
      </c>
      <c r="F14" s="111" t="str">
        <f>[1]!b_rate_creditratingagency(L14)</f>
        <v>中诚信国际信用评级有限责任公司</v>
      </c>
      <c r="G14" s="113">
        <f>[1]!b_agency_guarantor(L14)</f>
        <v>0</v>
      </c>
      <c r="H14" s="114" t="s">
        <v>169</v>
      </c>
      <c r="I14" s="66"/>
      <c r="J14" s="115" t="s">
        <v>169</v>
      </c>
      <c r="K14" s="116">
        <f>K3</f>
        <v>0</v>
      </c>
      <c r="L14" s="42" t="str">
        <f>L3</f>
        <v>q19040902.IB</v>
      </c>
      <c r="M14" s="114" t="s">
        <v>169</v>
      </c>
      <c r="N14" s="111" t="str">
        <f>[1]!b_agency_leadunderwriter(L14)</f>
        <v>中信证券股份有限公司,中国建设银行股份有限公司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172</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173</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174</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175</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176</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177</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178</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179</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180</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2019-04-11T08:05:04Z</dcterms:modified>
</cp:coreProperties>
</file>