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2新券信评\"/>
    </mc:Choice>
  </mc:AlternateContent>
  <xr:revisionPtr revIDLastSave="0" documentId="13_ncr:1_{A6FE5BD3-E825-424A-ACC2-01C3C92F7AE0}"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O23" i="6"/>
  <c r="H23" i="6"/>
  <c r="D23" i="6"/>
  <c r="E22" i="6"/>
  <c r="A22" i="6"/>
  <c r="M21" i="6"/>
  <c r="F21" i="6"/>
  <c r="B21" i="6"/>
  <c r="N20" i="6"/>
  <c r="G20" i="6"/>
  <c r="C20" i="6"/>
  <c r="O19" i="6"/>
  <c r="H19" i="6"/>
  <c r="D19" i="6"/>
  <c r="E18" i="6"/>
  <c r="A18" i="6"/>
  <c r="M17" i="6"/>
  <c r="F17" i="6"/>
  <c r="B17" i="6"/>
  <c r="N16" i="6"/>
  <c r="G16" i="6"/>
  <c r="C16" i="6"/>
  <c r="O15" i="6"/>
  <c r="H15" i="6"/>
  <c r="D15" i="6"/>
  <c r="G14" i="6"/>
  <c r="C14" i="6"/>
  <c r="N9" i="6"/>
  <c r="H9" i="6"/>
  <c r="D9" i="6"/>
  <c r="E8" i="6"/>
  <c r="A8" i="6"/>
  <c r="F7" i="6"/>
  <c r="B7" i="6"/>
  <c r="M6" i="6"/>
  <c r="G6" i="6"/>
  <c r="C6" i="6"/>
  <c r="N5" i="6"/>
  <c r="H5" i="6"/>
  <c r="D5" i="6"/>
  <c r="E4" i="6"/>
  <c r="A4" i="6"/>
  <c r="G3" i="6"/>
  <c r="C3" i="6"/>
  <c r="H8" i="6"/>
  <c r="F6" i="6"/>
  <c r="G5" i="6"/>
  <c r="H4" i="6"/>
  <c r="F3" i="6"/>
  <c r="M140" i="1"/>
  <c r="M138" i="1"/>
  <c r="M136" i="1"/>
  <c r="S134" i="1"/>
  <c r="O133" i="1"/>
  <c r="M132" i="1"/>
  <c r="M130" i="1"/>
  <c r="O129" i="1"/>
  <c r="S128" i="1"/>
  <c r="S111" i="1"/>
  <c r="D111" i="1"/>
  <c r="S109" i="1"/>
  <c r="D109" i="1"/>
  <c r="R103" i="1"/>
  <c r="N103" i="1"/>
  <c r="G102" i="1"/>
  <c r="C102" i="1"/>
  <c r="P101" i="1"/>
  <c r="L101" i="1"/>
  <c r="E101" i="1"/>
  <c r="R100" i="1"/>
  <c r="N100" i="1"/>
  <c r="G100" i="1"/>
  <c r="C100" i="1"/>
  <c r="P99" i="1"/>
  <c r="L99" i="1"/>
  <c r="E99" i="1"/>
  <c r="R98" i="1"/>
  <c r="N98" i="1"/>
  <c r="G98" i="1"/>
  <c r="C98" i="1"/>
  <c r="P97" i="1"/>
  <c r="L97" i="1"/>
  <c r="E97" i="1"/>
  <c r="R96" i="1"/>
  <c r="N96" i="1"/>
  <c r="G96" i="1"/>
  <c r="C96" i="1"/>
  <c r="E95" i="1"/>
  <c r="G94" i="1"/>
  <c r="C94" i="1"/>
  <c r="E93" i="1"/>
  <c r="G92" i="1"/>
  <c r="C92" i="1"/>
  <c r="E91" i="1"/>
  <c r="G90" i="1"/>
  <c r="C90" i="1"/>
  <c r="E89" i="1"/>
  <c r="G88" i="1"/>
  <c r="C88" i="1"/>
  <c r="E87" i="1"/>
  <c r="G86" i="1"/>
  <c r="C86" i="1"/>
  <c r="E85" i="1"/>
  <c r="G84" i="1"/>
  <c r="C84" i="1"/>
  <c r="E83" i="1"/>
  <c r="G82" i="1"/>
  <c r="C82" i="1"/>
  <c r="E81" i="1"/>
  <c r="G80" i="1"/>
  <c r="D8" i="6"/>
  <c r="E7" i="6"/>
  <c r="B6" i="6"/>
  <c r="C5" i="6"/>
  <c r="D4" i="6"/>
  <c r="B3" i="6"/>
  <c r="S141" i="1"/>
  <c r="S139" i="1"/>
  <c r="S137" i="1"/>
  <c r="S135" i="1"/>
  <c r="O134" i="1"/>
  <c r="M133" i="1"/>
  <c r="S131" i="1"/>
  <c r="M129" i="1"/>
  <c r="O128" i="1"/>
  <c r="S127" i="1"/>
  <c r="M121" i="1"/>
  <c r="M120" i="1"/>
  <c r="M119" i="1"/>
  <c r="M118" i="1"/>
  <c r="M117" i="1"/>
  <c r="M116" i="1"/>
  <c r="F112" i="1"/>
  <c r="M111" i="1"/>
  <c r="F110" i="1"/>
  <c r="M109" i="1"/>
  <c r="Q103" i="1"/>
  <c r="M103" i="1"/>
  <c r="F102" i="1"/>
  <c r="B102" i="1"/>
  <c r="O101" i="1"/>
  <c r="J101" i="1"/>
  <c r="D101" i="1"/>
  <c r="Q100" i="1"/>
  <c r="M100" i="1"/>
  <c r="F100" i="1"/>
  <c r="B100" i="1"/>
  <c r="O99" i="1"/>
  <c r="J99" i="1"/>
  <c r="D99" i="1"/>
  <c r="Q98" i="1"/>
  <c r="M98" i="1"/>
  <c r="F98" i="1"/>
  <c r="B98" i="1"/>
  <c r="O97" i="1"/>
  <c r="J97" i="1"/>
  <c r="D97" i="1"/>
  <c r="Q96" i="1"/>
  <c r="M96" i="1"/>
  <c r="F96" i="1"/>
  <c r="B96" i="1"/>
  <c r="D95" i="1"/>
  <c r="F94" i="1"/>
  <c r="B94" i="1"/>
  <c r="D93" i="1"/>
  <c r="F92" i="1"/>
  <c r="B92" i="1"/>
  <c r="D91" i="1"/>
  <c r="F90" i="1"/>
  <c r="B90" i="1"/>
  <c r="D89" i="1"/>
  <c r="F88" i="1"/>
  <c r="B88" i="1"/>
  <c r="D87" i="1"/>
  <c r="F86" i="1"/>
  <c r="B86" i="1"/>
  <c r="D85" i="1"/>
  <c r="F84" i="1"/>
  <c r="B84" i="1"/>
  <c r="D83" i="1"/>
  <c r="F82" i="1"/>
  <c r="B82" i="1"/>
  <c r="D81" i="1"/>
  <c r="F80" i="1"/>
  <c r="B80" i="1"/>
  <c r="D79" i="1"/>
  <c r="N8" i="6"/>
  <c r="A7" i="6"/>
  <c r="M5" i="6"/>
  <c r="N4" i="6"/>
  <c r="Q2" i="6"/>
  <c r="M141" i="1"/>
  <c r="M139" i="1"/>
  <c r="M137" i="1"/>
  <c r="O135" i="1"/>
  <c r="M134" i="1"/>
  <c r="S132" i="1"/>
  <c r="O131" i="1"/>
  <c r="S130" i="1"/>
  <c r="M128" i="1"/>
  <c r="O127" i="1"/>
  <c r="M123" i="1"/>
  <c r="F113" i="1"/>
  <c r="D112" i="1"/>
  <c r="S110" i="1"/>
  <c r="D110" i="1"/>
  <c r="P103" i="1"/>
  <c r="L103" i="1"/>
  <c r="E102" i="1"/>
  <c r="R101" i="1"/>
  <c r="N101" i="1"/>
  <c r="G101" i="1"/>
  <c r="C101" i="1"/>
  <c r="P100" i="1"/>
  <c r="L100" i="1"/>
  <c r="E100" i="1"/>
  <c r="R99" i="1"/>
  <c r="N99" i="1"/>
  <c r="G99" i="1"/>
  <c r="C99" i="1"/>
  <c r="P98" i="1"/>
  <c r="L98" i="1"/>
  <c r="E98" i="1"/>
  <c r="R97" i="1"/>
  <c r="S140" i="1"/>
  <c r="S133" i="1"/>
  <c r="S129" i="1"/>
  <c r="M110" i="1"/>
  <c r="Q101" i="1"/>
  <c r="O100" i="1"/>
  <c r="M99" i="1"/>
  <c r="J98" i="1"/>
  <c r="M97" i="1"/>
  <c r="B97" i="1"/>
  <c r="J96" i="1"/>
  <c r="F95" i="1"/>
  <c r="D94" i="1"/>
  <c r="B93" i="1"/>
  <c r="F91" i="1"/>
  <c r="D90" i="1"/>
  <c r="B89" i="1"/>
  <c r="F87" i="1"/>
  <c r="D86" i="1"/>
  <c r="B85" i="1"/>
  <c r="F83" i="1"/>
  <c r="D82" i="1"/>
  <c r="B81" i="1"/>
  <c r="G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S138" i="1"/>
  <c r="O132" i="1"/>
  <c r="S112" i="1"/>
  <c r="O103" i="1"/>
  <c r="M101" i="1"/>
  <c r="J100" i="1"/>
  <c r="F99" i="1"/>
  <c r="D98" i="1"/>
  <c r="G97" i="1"/>
  <c r="P96" i="1"/>
  <c r="E96" i="1"/>
  <c r="C95" i="1"/>
  <c r="G93" i="1"/>
  <c r="E92" i="1"/>
  <c r="C91" i="1"/>
  <c r="G89" i="1"/>
  <c r="E88" i="1"/>
  <c r="C87" i="1"/>
  <c r="G85" i="1"/>
  <c r="E84" i="1"/>
  <c r="C83" i="1"/>
  <c r="G81" i="1"/>
  <c r="E80" i="1"/>
  <c r="F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43" i="1"/>
  <c r="G42" i="1"/>
  <c r="C42" i="1"/>
  <c r="E41" i="1"/>
  <c r="G40" i="1"/>
  <c r="C40" i="1"/>
  <c r="E39" i="1"/>
  <c r="G38" i="1"/>
  <c r="C38" i="1"/>
  <c r="E37" i="1"/>
  <c r="G36" i="1"/>
  <c r="C36" i="1"/>
  <c r="E35" i="1"/>
  <c r="G34" i="1"/>
  <c r="C34" i="1"/>
  <c r="E33" i="1"/>
  <c r="G32" i="1"/>
  <c r="C32" i="1"/>
  <c r="E31" i="1"/>
  <c r="G30" i="1"/>
  <c r="C30" i="1"/>
  <c r="P29" i="1"/>
  <c r="L29" i="1"/>
  <c r="E29" i="1"/>
  <c r="R28" i="1"/>
  <c r="N28" i="1"/>
  <c r="G28" i="1"/>
  <c r="C28" i="1"/>
  <c r="P27" i="1"/>
  <c r="L27" i="1"/>
  <c r="E27" i="1"/>
  <c r="R26" i="1"/>
  <c r="N26" i="1"/>
  <c r="S136" i="1"/>
  <c r="M131" i="1"/>
  <c r="F109" i="1"/>
  <c r="J103" i="1"/>
  <c r="F101" i="1"/>
  <c r="D100" i="1"/>
  <c r="B99" i="1"/>
  <c r="Q97" i="1"/>
  <c r="F97" i="1"/>
  <c r="O96" i="1"/>
  <c r="D96" i="1"/>
  <c r="B95" i="1"/>
  <c r="F93" i="1"/>
  <c r="D92" i="1"/>
  <c r="B91" i="1"/>
  <c r="F89" i="1"/>
  <c r="D88" i="1"/>
  <c r="B87" i="1"/>
  <c r="F85" i="1"/>
  <c r="D84" i="1"/>
  <c r="B83" i="1"/>
  <c r="F81" i="1"/>
  <c r="D80" i="1"/>
  <c r="E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D49" i="1"/>
  <c r="F48" i="1"/>
  <c r="B48" i="1"/>
  <c r="D47" i="1"/>
  <c r="F46" i="1"/>
  <c r="B46" i="1"/>
  <c r="D45" i="1"/>
  <c r="F44" i="1"/>
  <c r="B44" i="1"/>
  <c r="D43" i="1"/>
  <c r="F42" i="1"/>
  <c r="B42" i="1"/>
  <c r="D41" i="1"/>
  <c r="F40" i="1"/>
  <c r="B40" i="1"/>
  <c r="D39" i="1"/>
  <c r="F38" i="1"/>
  <c r="B38" i="1"/>
  <c r="D37" i="1"/>
  <c r="F36" i="1"/>
  <c r="B36" i="1"/>
  <c r="D35" i="1"/>
  <c r="F34" i="1"/>
  <c r="B34" i="1"/>
  <c r="D33" i="1"/>
  <c r="F32" i="1"/>
  <c r="B32" i="1"/>
  <c r="D31" i="1"/>
  <c r="F30" i="1"/>
  <c r="B30" i="1"/>
  <c r="O29" i="1"/>
  <c r="J29" i="1"/>
  <c r="D29" i="1"/>
  <c r="Q28" i="1"/>
  <c r="M28" i="1"/>
  <c r="F28" i="1"/>
  <c r="B28" i="1"/>
  <c r="O27" i="1"/>
  <c r="J27" i="1"/>
  <c r="D27" i="1"/>
  <c r="Q26" i="1"/>
  <c r="M26" i="1"/>
  <c r="F26" i="1"/>
  <c r="M127" i="1"/>
  <c r="Q99" i="1"/>
  <c r="L96" i="1"/>
  <c r="G91" i="1"/>
  <c r="E86" i="1"/>
  <c r="C81" i="1"/>
  <c r="G77" i="1"/>
  <c r="C75" i="1"/>
  <c r="E72" i="1"/>
  <c r="G69" i="1"/>
  <c r="C67" i="1"/>
  <c r="E64" i="1"/>
  <c r="G61" i="1"/>
  <c r="C59" i="1"/>
  <c r="E56" i="1"/>
  <c r="G53" i="1"/>
  <c r="C51" i="1"/>
  <c r="E48" i="1"/>
  <c r="G45" i="1"/>
  <c r="C43" i="1"/>
  <c r="E40" i="1"/>
  <c r="E38" i="1"/>
  <c r="C37" i="1"/>
  <c r="G35" i="1"/>
  <c r="E34" i="1"/>
  <c r="C33" i="1"/>
  <c r="G31" i="1"/>
  <c r="E30" i="1"/>
  <c r="N29" i="1"/>
  <c r="C29" i="1"/>
  <c r="L28" i="1"/>
  <c r="R27" i="1"/>
  <c r="G27" i="1"/>
  <c r="P26" i="1"/>
  <c r="G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G16" i="1"/>
  <c r="C16" i="1"/>
  <c r="P15" i="1"/>
  <c r="L15" i="1"/>
  <c r="E15" i="1"/>
  <c r="G14" i="1"/>
  <c r="C14" i="1"/>
  <c r="F10" i="1"/>
  <c r="F8" i="1"/>
  <c r="B6" i="1"/>
  <c r="B4" i="1"/>
  <c r="F111" i="1"/>
  <c r="C97" i="1"/>
  <c r="G87" i="1"/>
  <c r="E78" i="1"/>
  <c r="G75" i="1"/>
  <c r="C65" i="1"/>
  <c r="G59" i="1"/>
  <c r="G51" i="1"/>
  <c r="G43" i="1"/>
  <c r="C41" i="1"/>
  <c r="D36" i="1"/>
  <c r="D32" i="1"/>
  <c r="F29" i="1"/>
  <c r="D28" i="1"/>
  <c r="J26" i="1"/>
  <c r="L25" i="1"/>
  <c r="N24" i="1"/>
  <c r="L23" i="1"/>
  <c r="C22" i="1"/>
  <c r="E21" i="1"/>
  <c r="G20" i="1"/>
  <c r="L19" i="1"/>
  <c r="P17" i="1"/>
  <c r="J16" i="1"/>
  <c r="M15" i="1"/>
  <c r="E4" i="1"/>
  <c r="O98" i="1"/>
  <c r="G95" i="1"/>
  <c r="E90" i="1"/>
  <c r="C85" i="1"/>
  <c r="C80" i="1"/>
  <c r="C77" i="1"/>
  <c r="E74" i="1"/>
  <c r="G71" i="1"/>
  <c r="C69" i="1"/>
  <c r="E66" i="1"/>
  <c r="G63" i="1"/>
  <c r="C61" i="1"/>
  <c r="E58" i="1"/>
  <c r="G55" i="1"/>
  <c r="C53" i="1"/>
  <c r="E50" i="1"/>
  <c r="G47" i="1"/>
  <c r="C45" i="1"/>
  <c r="E42" i="1"/>
  <c r="G39" i="1"/>
  <c r="D38" i="1"/>
  <c r="B37" i="1"/>
  <c r="F35" i="1"/>
  <c r="D34" i="1"/>
  <c r="B33" i="1"/>
  <c r="F31" i="1"/>
  <c r="D30" i="1"/>
  <c r="M29" i="1"/>
  <c r="B29" i="1"/>
  <c r="J28" i="1"/>
  <c r="Q27" i="1"/>
  <c r="F27" i="1"/>
  <c r="O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F16" i="1"/>
  <c r="B16" i="1"/>
  <c r="O15" i="1"/>
  <c r="J15" i="1"/>
  <c r="D15" i="1"/>
  <c r="F14" i="1"/>
  <c r="B14" i="1"/>
  <c r="B10" i="1"/>
  <c r="B8" i="1"/>
  <c r="E5" i="1"/>
  <c r="B101" i="1"/>
  <c r="C93" i="1"/>
  <c r="E82" i="1"/>
  <c r="C73" i="1"/>
  <c r="E70" i="1"/>
  <c r="E62" i="1"/>
  <c r="E54" i="1"/>
  <c r="E46" i="1"/>
  <c r="B39" i="1"/>
  <c r="B35" i="1"/>
  <c r="B31" i="1"/>
  <c r="O28" i="1"/>
  <c r="M27" i="1"/>
  <c r="C26" i="1"/>
  <c r="E25" i="1"/>
  <c r="G24" i="1"/>
  <c r="C24" i="1"/>
  <c r="E23" i="1"/>
  <c r="P21" i="1"/>
  <c r="R20" i="1"/>
  <c r="C20" i="1"/>
  <c r="E19" i="1"/>
  <c r="C18" i="1"/>
  <c r="E17" i="1"/>
  <c r="Q15" i="1"/>
  <c r="B15" i="1"/>
  <c r="D14" i="1"/>
  <c r="B11" i="1"/>
  <c r="B7" i="1"/>
  <c r="M135" i="1"/>
  <c r="D102" i="1"/>
  <c r="N97" i="1"/>
  <c r="E94" i="1"/>
  <c r="C89" i="1"/>
  <c r="G83" i="1"/>
  <c r="C79" i="1"/>
  <c r="E76" i="1"/>
  <c r="G73" i="1"/>
  <c r="C71" i="1"/>
  <c r="E68" i="1"/>
  <c r="G65" i="1"/>
  <c r="C63" i="1"/>
  <c r="E60" i="1"/>
  <c r="G57" i="1"/>
  <c r="C55" i="1"/>
  <c r="E52" i="1"/>
  <c r="G49" i="1"/>
  <c r="C47" i="1"/>
  <c r="E44" i="1"/>
  <c r="G41" i="1"/>
  <c r="C39" i="1"/>
  <c r="G37" i="1"/>
  <c r="E36" i="1"/>
  <c r="C35" i="1"/>
  <c r="G33" i="1"/>
  <c r="E32" i="1"/>
  <c r="C31" i="1"/>
  <c r="R29" i="1"/>
  <c r="G29" i="1"/>
  <c r="P28" i="1"/>
  <c r="E28" i="1"/>
  <c r="N27" i="1"/>
  <c r="C27" i="1"/>
  <c r="L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E16" i="1"/>
  <c r="R15" i="1"/>
  <c r="N15" i="1"/>
  <c r="G15" i="1"/>
  <c r="C15" i="1"/>
  <c r="E14" i="1"/>
  <c r="F11" i="1"/>
  <c r="F9" i="1"/>
  <c r="F7" i="1"/>
  <c r="B5" i="1"/>
  <c r="O130" i="1"/>
  <c r="G67" i="1"/>
  <c r="C57" i="1"/>
  <c r="C49" i="1"/>
  <c r="F37" i="1"/>
  <c r="F33" i="1"/>
  <c r="Q29" i="1"/>
  <c r="B27" i="1"/>
  <c r="P25" i="1"/>
  <c r="R24" i="1"/>
  <c r="P23" i="1"/>
  <c r="G22" i="1"/>
  <c r="L21" i="1"/>
  <c r="N20" i="1"/>
  <c r="P19" i="1"/>
  <c r="G18" i="1"/>
  <c r="L17" i="1"/>
  <c r="D16" i="1"/>
  <c r="F15" i="1"/>
  <c r="B9" i="1"/>
  <c r="D120" i="1" l="1"/>
  <c r="B125" i="1"/>
  <c r="L22" i="1"/>
  <c r="B117" i="1"/>
  <c r="O22" i="1"/>
  <c r="B121" i="1"/>
  <c r="H126" i="1"/>
  <c r="P22" i="1"/>
  <c r="H112" i="1"/>
  <c r="D122" i="1"/>
  <c r="H128" i="1"/>
  <c r="J22" i="1"/>
  <c r="B110" i="1"/>
  <c r="H119" i="1"/>
  <c r="H123" i="1"/>
  <c r="H130" i="1"/>
  <c r="H110" i="1"/>
  <c r="D117" i="1"/>
  <c r="B118" i="1"/>
  <c r="H120" i="1"/>
  <c r="D121" i="1"/>
  <c r="H122" i="1"/>
  <c r="B124" i="1"/>
  <c r="D125" i="1"/>
  <c r="B127" i="1"/>
  <c r="B129" i="1"/>
  <c r="B131" i="1"/>
  <c r="P2" i="6"/>
  <c r="M22" i="1"/>
  <c r="Q22" i="1"/>
  <c r="B109" i="1"/>
  <c r="B111" i="1"/>
  <c r="B112" i="1"/>
  <c r="H117" i="1"/>
  <c r="D118" i="1"/>
  <c r="B119" i="1"/>
  <c r="H121" i="1"/>
  <c r="B123" i="1"/>
  <c r="D124" i="1"/>
  <c r="H125" i="1"/>
  <c r="H127" i="1"/>
  <c r="H129" i="1"/>
  <c r="H131" i="1"/>
  <c r="N22" i="1"/>
  <c r="R22" i="1"/>
  <c r="H109" i="1"/>
  <c r="H111" i="1"/>
  <c r="H118" i="1"/>
  <c r="D119" i="1"/>
  <c r="B120" i="1"/>
  <c r="B122" i="1"/>
  <c r="D123" i="1"/>
  <c r="H124" i="1"/>
  <c r="B126" i="1"/>
  <c r="B128" i="1"/>
  <c r="B130" i="1"/>
  <c r="J4" i="6"/>
  <c r="P29" i="6" l="1"/>
  <c r="P25" i="6"/>
  <c r="P21" i="6"/>
  <c r="P17" i="6"/>
  <c r="P11" i="6"/>
  <c r="P28" i="6"/>
  <c r="P24" i="6"/>
  <c r="P20" i="6"/>
  <c r="P16" i="6"/>
  <c r="P10" i="6"/>
  <c r="P6" i="6"/>
  <c r="P27" i="6"/>
  <c r="P23" i="6"/>
  <c r="P19" i="6"/>
  <c r="P15" i="6"/>
  <c r="P13" i="6"/>
  <c r="P9" i="6"/>
  <c r="P5" i="6"/>
  <c r="P26" i="6"/>
  <c r="P22" i="6"/>
  <c r="P18" i="6"/>
  <c r="P14" i="6"/>
  <c r="P12" i="6"/>
  <c r="P8" i="6"/>
  <c r="P4" i="6"/>
  <c r="P7" i="6"/>
  <c r="P3" i="6"/>
  <c r="J23" i="6"/>
  <c r="J8" i="6"/>
  <c r="J17" i="6"/>
  <c r="J5" i="6"/>
  <c r="J18" i="6"/>
  <c r="J20" i="6"/>
  <c r="J7" i="6"/>
  <c r="J9" i="6"/>
  <c r="J19" i="6"/>
  <c r="J22" i="6"/>
  <c r="J15" i="6"/>
  <c r="J6" i="6"/>
  <c r="J21" i="6"/>
  <c r="J16" i="6"/>
</calcChain>
</file>

<file path=xl/sharedStrings.xml><?xml version="1.0" encoding="utf-8"?>
<sst xmlns="http://schemas.openxmlformats.org/spreadsheetml/2006/main" count="546" uniqueCount="262">
  <si>
    <t>q19041003.IB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</si>
  <si>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</si>
  <si>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</si>
  <si>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</si>
  <si>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</si>
  <si>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</si>
  <si>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</si>
  <si>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</si>
  <si>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</si>
  <si>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</si>
  <si>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</si>
  <si>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</si>
  <si>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</si>
  <si>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</si>
  <si>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</si>
  <si>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</si>
  <si>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</si>
  <si>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</si>
  <si>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</si>
  <si>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</si>
  <si>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</si>
  <si>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</si>
  <si>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</si>
  <si>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041755011.IB</t>
  </si>
  <si>
    <t>主体级别</t>
  </si>
  <si>
    <t>AAA</t>
  </si>
  <si>
    <t>011699145.IB</t>
  </si>
  <si>
    <t>*选择性黏贴</t>
  </si>
  <si>
    <t>101764039.IB</t>
  </si>
  <si>
    <t>数据年度</t>
  </si>
  <si>
    <t>2017年</t>
  </si>
  <si>
    <t>101762067.IB</t>
  </si>
  <si>
    <t>总资产</t>
  </si>
  <si>
    <t>011767014.IB</t>
  </si>
  <si>
    <t>负债率</t>
  </si>
  <si>
    <t>011762069.IB</t>
  </si>
  <si>
    <t>流动比率</t>
  </si>
  <si>
    <t>011755031.IB</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</si>
  <si>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</si>
  <si>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</si>
  <si>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</si>
  <si>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</si>
  <si>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</si>
  <si>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</si>
  <si>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</si>
  <si>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</si>
  <si>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</si>
  <si>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</si>
  <si>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</si>
  <si>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</si>
  <si>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</si>
  <si>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</si>
  <si>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</si>
  <si>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</si>
  <si>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</si>
  <si>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</si>
  <si>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</si>
  <si>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</si>
  <si>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</si>
  <si>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</si>
  <si>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</si>
  <si>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</si>
  <si>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</si>
  <si>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</si>
  <si>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</si>
  <si>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</si>
  <si>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</si>
  <si>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</si>
  <si>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</si>
  <si>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</si>
  <si>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</si>
  <si>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</si>
  <si>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</si>
  <si>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</si>
  <si>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</si>
  <si>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</si>
  <si>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</si>
  <si>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</si>
  <si>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</si>
  <si>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</si>
  <si>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</si>
  <si>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</si>
  <si>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</si>
  <si>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</si>
  <si>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</si>
  <si>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</si>
  <si>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</si>
  <si>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</si>
  <si>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</si>
  <si>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</si>
  <si>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</si>
  <si>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</si>
  <si>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</si>
  <si>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</si>
  <si>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</si>
  <si>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</si>
  <si>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</si>
  <si>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</si>
  <si>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</si>
  <si>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</si>
  <si>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</si>
  <si>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</si>
  <si>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</si>
  <si>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</si>
  <si>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</si>
  <si>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</si>
  <si>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</si>
  <si>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</si>
  <si>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</si>
  <si>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</si>
  <si>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</si>
  <si>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</si>
  <si>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</si>
  <si>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</si>
  <si>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</si>
  <si>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</si>
  <si>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</si>
  <si>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</si>
  <si>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</si>
  <si>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</si>
  <si>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</si>
  <si>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041900084.IB</t>
  </si>
  <si>
    <t>20190305</t>
  </si>
  <si>
    <t>19天安煤业CP001</t>
  </si>
  <si>
    <t>101900265.IB</t>
  </si>
  <si>
    <t>20190301</t>
  </si>
  <si>
    <t>19天安煤业MTN001</t>
  </si>
  <si>
    <t>101800917.IB</t>
  </si>
  <si>
    <t>20181123</t>
  </si>
  <si>
    <t>18天安煤业MTN001</t>
  </si>
  <si>
    <t>150838.SH</t>
  </si>
  <si>
    <t>20181106</t>
  </si>
  <si>
    <t>G18平煤2</t>
  </si>
  <si>
    <t>041800360.IB</t>
  </si>
  <si>
    <t>20180927</t>
  </si>
  <si>
    <t>18天安煤业CP001</t>
  </si>
  <si>
    <t>011801664.IB</t>
  </si>
  <si>
    <t>20180823</t>
  </si>
  <si>
    <t>18天安煤业SCP002</t>
  </si>
  <si>
    <t>011801513.IB</t>
  </si>
  <si>
    <t>20180809</t>
  </si>
  <si>
    <t>18天安煤业SCP001</t>
  </si>
  <si>
    <t>145639.SH</t>
  </si>
  <si>
    <t>20170719</t>
  </si>
  <si>
    <t>17平煤01</t>
  </si>
  <si>
    <t>145271.SH</t>
  </si>
  <si>
    <t>20161227</t>
  </si>
  <si>
    <t>16平煤01</t>
  </si>
  <si>
    <t>031558030.IB</t>
  </si>
  <si>
    <t>20150827</t>
  </si>
  <si>
    <t>15天安煤业PPN003</t>
  </si>
  <si>
    <t>031558018.IB</t>
  </si>
  <si>
    <t>20150630</t>
  </si>
  <si>
    <t>15天安煤业PPN002</t>
  </si>
  <si>
    <t>031558016.IB</t>
  </si>
  <si>
    <t>20150619</t>
  </si>
  <si>
    <t>15天安煤业PPN001</t>
  </si>
  <si>
    <t>122249.SH</t>
  </si>
  <si>
    <t>20130417</t>
  </si>
  <si>
    <t>13平煤债</t>
  </si>
  <si>
    <t>150837.SH</t>
  </si>
  <si>
    <t>G18平煤1</t>
  </si>
  <si>
    <t>历史主体评级</t>
  </si>
  <si>
    <t>发布日期</t>
  </si>
  <si>
    <t>主体资信级别</t>
  </si>
  <si>
    <t>评级展望</t>
  </si>
  <si>
    <t>评级机构</t>
  </si>
  <si>
    <t>20190410</t>
  </si>
  <si>
    <t>稳定</t>
  </si>
  <si>
    <t>中诚信国际信用评级有限责任公司</t>
  </si>
  <si>
    <t>20190328</t>
  </si>
  <si>
    <t>20190227</t>
  </si>
  <si>
    <t>20190212</t>
  </si>
  <si>
    <t>20181029</t>
  </si>
  <si>
    <t>中诚信证券评估有限公司</t>
  </si>
  <si>
    <t>20180810</t>
  </si>
  <si>
    <t>20180710</t>
  </si>
  <si>
    <t>20180620</t>
  </si>
  <si>
    <t>20170621</t>
  </si>
  <si>
    <t>20160622</t>
  </si>
  <si>
    <t>负面</t>
  </si>
  <si>
    <t>20150612</t>
  </si>
  <si>
    <t>20140604</t>
  </si>
  <si>
    <t>20130114</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</si>
  <si>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</si>
  <si>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</si>
  <si>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</si>
  <si>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</si>
  <si>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</si>
  <si>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</si>
  <si>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</si>
  <si>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</si>
  <si>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</si>
  <si>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</si>
  <si>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开滦(集团)有限责任公司</t>
  </si>
  <si>
    <t>AA+正面上调至AAA稳定</t>
  </si>
  <si>
    <t>作为河北省第二大煤炭企业，公司煤炭资源储量丰富、煤种齐全，规模优势突出，区位优势显著。债务方面，近两年公司合理控制债务规模。外部支持方面，公司作为河北省重要的省属企业之一，可以得到政府的大力支持。</t>
  </si>
  <si>
    <t>淮北矿业(集团)有限责任公司</t>
  </si>
  <si>
    <t>AA+稳定上调至AAA稳定</t>
  </si>
  <si>
    <t>作为安徽省四大国有重点煤炭企业之一，公司煤炭资源储量丰富。近年来，公司主动控制债务规模，财务杠杆水平显著下降。公司子公司淮北矿业控股股份有限公司及子公司湖南雷鸣西部民爆有限公司通过非公开发行股票及支付现金收购淮矿股份，其整体上市有助于公司融资渠道拓展和资本实力的增强，此外，公司间接融资渠道畅通。</t>
  </si>
  <si>
    <t>新疆新鑫矿业股份有限公司</t>
  </si>
  <si>
    <t>AA负面上调至AA稳定</t>
  </si>
  <si>
    <t>上海新世纪资信评估投资服务有限公司</t>
  </si>
  <si>
    <t>受益于产品持续回升，跟踪期内公司经营压力逐步缓解，在产品产销量下滑情况下仍实现净利润较大程度的减亏，现金流持续好转，同时公司保持相对稳健的财务政策，中短期内债务风险可控。</t>
  </si>
  <si>
    <t>彬县煤炭有限责任公司</t>
  </si>
  <si>
    <t>鹏元资信评估有限公司</t>
  </si>
  <si>
    <t>公司煤矿煤炭资源储量较丰富，资产原煤产能扩大，公司自产原煤及甲醇业务收入大幅增长、盈利状况改善，经营活动现金流持续呈净流入状态。</t>
  </si>
  <si>
    <t>内蒙古伊泰煤炭股份有限公司</t>
  </si>
  <si>
    <t>大公国际资信评估有限公司</t>
  </si>
  <si>
    <t>在煤炭行业持续回暖、公司市场竞争力优势愈加显著等积极因素支持下，2015～2017年，公司盈利能力持续增强，财富创造能力不断增强；公司经营性净现金流持续增长、货币资金充裕、融资能力强，偿债来源能够为债务偿付提供可靠保障；有息债务规模持续增长，存在一定偿债压力，但偿债来源对存量债务的保障能力强，未来存在一定的债务增长空间，总债务偿还能力良好。综合来看，公司的抗风险能力极强。</t>
  </si>
  <si>
    <t>近一年来同行业发债企业主体评级下调情况</t>
  </si>
  <si>
    <t>主体资信级别下调</t>
  </si>
  <si>
    <t>主体评级展望下调</t>
  </si>
  <si>
    <t>北京京煤集团有限责任公司</t>
  </si>
  <si>
    <t>AA+稳定下调至AA稳定</t>
  </si>
  <si>
    <t>公司无偿划转子公司昊华能源使得公司重要业务板块规模大幅下降，业务范围缩小，削弱了京煤集团的整体抗风险能力，对公司的偿债能力将产生一定影响。</t>
  </si>
  <si>
    <t>永泰能源股份有限公司</t>
  </si>
  <si>
    <t>AA+稳定下调至CC负面</t>
  </si>
  <si>
    <t>联合资信评估有限公司</t>
  </si>
  <si>
    <t>违约，触发交叉保护条款。</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</si>
  <si>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</si>
  <si>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</si>
  <si>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</si>
  <si>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</si>
  <si>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</si>
  <si>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</si>
  <si>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</si>
  <si>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</si>
  <si>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</si>
  <si>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</si>
  <si>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</si>
  <si>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</si>
  <si>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</si>
  <si>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</si>
  <si>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</si>
  <si>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</si>
  <si>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</si>
  <si>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</si>
  <si>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</si>
  <si>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</si>
  <si>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</si>
  <si>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</si>
  <si>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</si>
  <si>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</si>
  <si>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</si>
  <si>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平顶山天安煤业股份有限公司</t>
  </si>
  <si>
    <t>地方国有企业</t>
  </si>
  <si>
    <t>能源--能源Ⅱ--石油、天然气与供消费用燃料--煤炭与消费用燃料</t>
  </si>
  <si>
    <t>河南省平顶山市矿工中路21号</t>
  </si>
  <si>
    <t>公司主营业务为煤炭开采、煤炭洗选加工,煤炭销售。下属生产单位包括十七个生产矿井和三个精煤选煤厂。公司位于中国中部，区位优势明显，铁路、公路运输便利。公司的煤炭品种主要有1/3焦煤、焦煤及肥煤。煤炭产品主要有动力煤和冶炼精煤两大类。动力煤低硫、低磷，符合国家环保政策要求，主要用于电力、石油化工和建材等行业；冶炼精煤主要用于钢铁制造业，平煤股份“天喜”牌精煤为河南省免检产品。公司自成立以来，生产经营稳健，安全状况良好，主营业务收入逐年增长，得到了社会各界的广泛认同，目前已成为上证180、沪深300和中证100指数样本股，连续多年位列中证上市公司百强之列。平煤股份丰富的煤炭储量为企业快速发展提供了充足的战略资源。公司奉行用户至上的经营宗旨，坚持质量为本，信誉第一；遵循互惠互利，共同发展的经营原则，愿与各界同仁携手共进、同创造美好未来。</t>
  </si>
  <si>
    <t>中国平煤神马能源化工集团有限责任公司</t>
  </si>
  <si>
    <t>中央汇金资产管理有限责任公司</t>
  </si>
  <si>
    <t>香港中央结算有限公司</t>
  </si>
  <si>
    <t>湘潭湘钢瑞兴公司</t>
  </si>
  <si>
    <t>梁中民</t>
  </si>
  <si>
    <t>A-1</t>
  </si>
  <si>
    <t>永城煤电控股集团有限公司</t>
  </si>
  <si>
    <t>晋能集团有限公司</t>
  </si>
  <si>
    <t>阳泉煤业(集团)有限责任公司</t>
  </si>
  <si>
    <t>大同煤矿集团有限责任公司</t>
  </si>
  <si>
    <t>兖矿集团有限公司</t>
  </si>
  <si>
    <t>淮南矿业(集团)有限责任公司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</si>
</sst>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平顶山天安煤业股份有限公司</v>
      </c>
      <c r="C4" s="120"/>
      <c r="D4" s="57" t="s">
        <v>3</v>
      </c>
      <c r="E4" s="119" t="str">
        <f>[1]!s_info_nature(A2)</f>
        <v>地方国有企业</v>
      </c>
      <c r="F4" s="120"/>
      <c r="G4" s="120"/>
      <c r="H4" s="19"/>
    </row>
    <row r="5" spans="1:20" s="17" customFormat="1" ht="14.25" customHeight="1" x14ac:dyDescent="0.25">
      <c r="A5" s="57" t="s">
        <v>4</v>
      </c>
      <c r="B5" s="119" t="str">
        <f>[1]!b_issuer_windindustry(A2,9)</f>
        <v>能源--能源Ⅱ--石油、天然气与供消费用燃料--煤炭与消费用燃料</v>
      </c>
      <c r="C5" s="120"/>
      <c r="D5" s="57" t="s">
        <v>5</v>
      </c>
      <c r="E5" s="119" t="str">
        <f>[1]!b_issuer_regaddress(A2)</f>
        <v>河南省平顶山市矿工中路21号</v>
      </c>
      <c r="F5" s="120"/>
      <c r="G5" s="120"/>
    </row>
    <row r="6" spans="1:20" s="17" customFormat="1" ht="81" customHeight="1" x14ac:dyDescent="0.25">
      <c r="A6" s="57" t="s">
        <v>6</v>
      </c>
      <c r="B6" s="121" t="str">
        <f>[1]!s_info_briefing(A2)</f>
        <v>公司主营业务为煤炭开采、煤炭洗选加工,煤炭销售。下属生产单位包括十七个生产矿井和三个精煤选煤厂。公司位于中国中部，区位优势明显，铁路、公路运输便利。公司的煤炭品种主要有1/3焦煤、焦煤及肥煤。煤炭产品主要有动力煤和冶炼精煤两大类。动力煤低硫、低磷，符合国家环保政策要求，主要用于电力、石油化工和建材等行业；冶炼精煤主要用于钢铁制造业，平煤股份“天喜”牌精煤为河南省免检产品。公司自成立以来，生产经营稳健，安全状况良好，主营业务收入逐年增长，得到了社会各界的广泛认同，目前已成为上证180、沪深300和中证100指数样本股，连续多年位列中证上市公司百强之列。平煤股份丰富的煤炭储量为企业快速发展提供了充足的战略资源。公司奉行用户至上的经营宗旨，坚持质量为本，信誉第一；遵循互惠互利，共同发展的经营原则，愿与各界同仁携手共进、同创造美好未来。</v>
      </c>
      <c r="C6" s="120"/>
      <c r="D6" s="120"/>
      <c r="E6" s="120"/>
      <c r="F6" s="120"/>
      <c r="G6" s="120"/>
    </row>
    <row r="7" spans="1:20" s="17" customFormat="1" x14ac:dyDescent="0.25">
      <c r="A7" s="59" t="s">
        <v>7</v>
      </c>
      <c r="B7" s="122" t="str">
        <f>[1]!b_issuer_shareholder(A2,"",1)</f>
        <v>中国平煤神马能源化工集团有限责任公司</v>
      </c>
      <c r="C7" s="120"/>
      <c r="D7" s="120"/>
      <c r="E7" s="120"/>
      <c r="F7" s="61">
        <f>[1]!b_issuer_propofshareholder($A$2,"",1)%</f>
        <v>0.54270000457763667</v>
      </c>
      <c r="G7" s="60"/>
      <c r="H7" s="20" t="s">
        <v>8</v>
      </c>
      <c r="M7" s="24">
        <v>42004</v>
      </c>
      <c r="N7" s="24">
        <v>42369</v>
      </c>
      <c r="O7" s="24">
        <v>41639</v>
      </c>
      <c r="P7" s="62" t="s">
        <v>9</v>
      </c>
      <c r="Q7" s="62" t="s">
        <v>10</v>
      </c>
      <c r="R7" s="62" t="s">
        <v>11</v>
      </c>
    </row>
    <row r="8" spans="1:20" s="17" customFormat="1" x14ac:dyDescent="0.25">
      <c r="A8" s="59"/>
      <c r="B8" s="122" t="str">
        <f>[1]!b_issuer_shareholder(A2,"",2)</f>
        <v>中央汇金资产管理有限责任公司</v>
      </c>
      <c r="C8" s="120"/>
      <c r="D8" s="120"/>
      <c r="E8" s="120"/>
      <c r="F8" s="61">
        <f>[1]!b_issuer_propofshareholder($A$2,"",2)%</f>
        <v>1.9800000190734864E-2</v>
      </c>
      <c r="G8" s="60"/>
      <c r="H8" s="20"/>
      <c r="M8" s="25"/>
      <c r="O8" s="25"/>
      <c r="P8" s="63"/>
    </row>
    <row r="9" spans="1:20" s="17" customFormat="1" x14ac:dyDescent="0.25">
      <c r="A9" s="59"/>
      <c r="B9" s="122" t="str">
        <f>[1]!b_issuer_shareholder(A2,"",3)</f>
        <v>香港中央结算有限公司</v>
      </c>
      <c r="C9" s="120"/>
      <c r="D9" s="120"/>
      <c r="E9" s="120"/>
      <c r="F9" s="61">
        <f>[1]!b_issuer_propofshareholder($A$2,"",3)%</f>
        <v>1.4900000095367431E-2</v>
      </c>
      <c r="G9" s="60"/>
      <c r="H9" s="20"/>
      <c r="M9" s="25"/>
      <c r="O9" s="25"/>
      <c r="P9" s="63"/>
    </row>
    <row r="10" spans="1:20" s="17" customFormat="1" x14ac:dyDescent="0.25">
      <c r="A10" s="59"/>
      <c r="B10" s="122" t="str">
        <f>[1]!b_issuer_shareholder(A2,"",4)</f>
        <v>湘潭湘钢瑞兴公司</v>
      </c>
      <c r="C10" s="120"/>
      <c r="D10" s="120"/>
      <c r="E10" s="120"/>
      <c r="F10" s="61">
        <f>[1]!b_issuer_propofshareholder($A$2,"",4)%</f>
        <v>8.0000001192092902E-3</v>
      </c>
      <c r="G10" s="60"/>
      <c r="H10" s="20"/>
      <c r="M10" s="25"/>
      <c r="O10" s="25"/>
      <c r="P10" s="63"/>
    </row>
    <row r="11" spans="1:20" s="17" customFormat="1" x14ac:dyDescent="0.25">
      <c r="A11" s="59"/>
      <c r="B11" s="122" t="str">
        <f>[1]!b_issuer_shareholder(A2,"",5)</f>
        <v>梁中民</v>
      </c>
      <c r="C11" s="120"/>
      <c r="D11" s="120"/>
      <c r="E11" s="120"/>
      <c r="F11" s="61">
        <f>[1]!b_issuer_propofshareholder($A$2,"",5)%</f>
        <v>5.6999999284744265E-3</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q19041003.IB</v>
      </c>
      <c r="K14" s="26"/>
      <c r="L14" s="27" t="str">
        <f>T15</f>
        <v>041755011.IB</v>
      </c>
      <c r="M14" s="27" t="str">
        <f>T16</f>
        <v>011699145.IB</v>
      </c>
      <c r="N14" s="27" t="str">
        <f>T17</f>
        <v>101764039.IB</v>
      </c>
      <c r="O14" s="27" t="str">
        <f>T18</f>
        <v>101762067.IB</v>
      </c>
      <c r="P14" s="27" t="str">
        <f>T19</f>
        <v>011767014.IB</v>
      </c>
      <c r="Q14" s="27" t="str">
        <f>T20</f>
        <v>011762069.IB</v>
      </c>
      <c r="R14" s="5" t="str">
        <f>T21</f>
        <v>011755031.IB</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平顶山天安煤业股份有限公司</v>
      </c>
      <c r="K15" s="138"/>
      <c r="L15" s="8" t="str">
        <f>[1]!b_info_issuer(L14)</f>
        <v>永城煤电控股集团有限公司</v>
      </c>
      <c r="M15" s="8" t="str">
        <f>[1]!b_info_issuer(M14)</f>
        <v>开滦(集团)有限责任公司</v>
      </c>
      <c r="N15" s="8" t="str">
        <f>[1]!b_info_issuer(N14)</f>
        <v>晋能集团有限公司</v>
      </c>
      <c r="O15" s="8" t="str">
        <f>[1]!b_info_issuer(O14)</f>
        <v>阳泉煤业(集团)有限责任公司</v>
      </c>
      <c r="P15" s="8" t="str">
        <f>[1]!b_info_issuer(P14)</f>
        <v>大同煤矿集团有限责任公司</v>
      </c>
      <c r="Q15" s="8" t="str">
        <f>[1]!b_info_issuer(Q14)</f>
        <v>兖矿集团有限公司</v>
      </c>
      <c r="R15" s="8" t="str">
        <f>[1]!b_info_issuer(R14)</f>
        <v>淮南矿业(集团)有限责任公司</v>
      </c>
      <c r="T15" s="4" t="s">
        <v>23</v>
      </c>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24</v>
      </c>
      <c r="J16" s="66" t="str">
        <f>[1]!b_info_latestissurercreditrating(J14)</f>
        <v>AAA</v>
      </c>
      <c r="K16" s="124"/>
      <c r="L16" s="66" t="s">
        <v>25</v>
      </c>
      <c r="M16" s="66" t="s">
        <v>25</v>
      </c>
      <c r="N16" s="66" t="s">
        <v>25</v>
      </c>
      <c r="O16" s="66" t="s">
        <v>25</v>
      </c>
      <c r="P16" s="66" t="s">
        <v>25</v>
      </c>
      <c r="Q16" s="66" t="s">
        <v>25</v>
      </c>
      <c r="R16" s="66" t="s">
        <v>25</v>
      </c>
      <c r="T16" s="4" t="s">
        <v>26</v>
      </c>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27</v>
      </c>
      <c r="I17" s="9" t="s">
        <v>3</v>
      </c>
      <c r="J17" s="67" t="str">
        <f>[1]!s_info_nature(J14)</f>
        <v>地方国有企业</v>
      </c>
      <c r="K17" s="124"/>
      <c r="L17" s="67" t="str">
        <f>[1]!s_info_nature(L14)</f>
        <v>地方国有企业</v>
      </c>
      <c r="M17" s="67" t="str">
        <f>[1]!s_info_nature(M14)</f>
        <v>地方国有企业</v>
      </c>
      <c r="N17" s="67" t="str">
        <f>[1]!s_info_nature(N14)</f>
        <v>地方国有企业</v>
      </c>
      <c r="O17" s="67" t="str">
        <f>[1]!s_info_nature(O14)</f>
        <v>地方国有企业</v>
      </c>
      <c r="P17" s="67" t="str">
        <f>[1]!s_info_nature(P14)</f>
        <v>地方国有企业</v>
      </c>
      <c r="Q17" s="67" t="str">
        <f>[1]!s_info_nature(Q14)</f>
        <v>地方国有企业</v>
      </c>
      <c r="R17" s="67" t="str">
        <f>[1]!s_info_nature(R14)</f>
        <v>地方国有企业</v>
      </c>
      <c r="T17" s="4" t="s">
        <v>28</v>
      </c>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29</v>
      </c>
      <c r="J18" s="62" t="s">
        <v>30</v>
      </c>
      <c r="K18" s="124"/>
      <c r="L18" s="62" t="s">
        <v>30</v>
      </c>
      <c r="M18" s="62" t="s">
        <v>30</v>
      </c>
      <c r="N18" s="62" t="s">
        <v>30</v>
      </c>
      <c r="O18" s="62" t="s">
        <v>30</v>
      </c>
      <c r="P18" s="62" t="s">
        <v>30</v>
      </c>
      <c r="Q18" s="62" t="s">
        <v>30</v>
      </c>
      <c r="R18" s="62" t="s">
        <v>30</v>
      </c>
      <c r="T18" s="4" t="s">
        <v>31</v>
      </c>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32</v>
      </c>
      <c r="J19" s="68">
        <f>[1]!b_stm07_bs(J14,74,J13,1)/100000000</f>
        <v>430.54398179419996</v>
      </c>
      <c r="K19" s="124"/>
      <c r="L19" s="68">
        <f>[1]!b_stm07_bs(L14,74,L13,1)/100000000</f>
        <v>1420.0951192255</v>
      </c>
      <c r="M19" s="68">
        <f>[1]!b_stm07_bs(M14,74,M13,1)/100000000</f>
        <v>794.70855290809993</v>
      </c>
      <c r="N19" s="68">
        <f>[1]!b_stm07_bs(N14,74,N13,1)/100000000</f>
        <v>2621.1132585657001</v>
      </c>
      <c r="O19" s="68">
        <f>[1]!b_stm07_bs(O14,74,O13,1)/100000000</f>
        <v>2153.8840812865001</v>
      </c>
      <c r="P19" s="68">
        <f>[1]!b_stm07_bs(P14,74,P13,1)/100000000</f>
        <v>3325.3970940366999</v>
      </c>
      <c r="Q19" s="68">
        <f>[1]!b_stm07_bs(Q14,74,Q13,1)/100000000</f>
        <v>2877.6959161413001</v>
      </c>
      <c r="R19" s="68">
        <f>[1]!b_stm07_bs(R14,74,R13,1)/100000000</f>
        <v>1561.8099556843999</v>
      </c>
      <c r="T19" s="6" t="s">
        <v>33</v>
      </c>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34</v>
      </c>
      <c r="J20" s="10">
        <f>[1]!s_fa_debttoassets(J14,J13)/100</f>
        <v>0.68162999999999996</v>
      </c>
      <c r="K20" s="124"/>
      <c r="L20" s="10">
        <f>[1]!s_fa_debttoassets(L14,L13)/100</f>
        <v>0.8000790000000001</v>
      </c>
      <c r="M20" s="10">
        <f>[1]!s_fa_debttoassets(M14,M13)/100</f>
        <v>0.70748500000000003</v>
      </c>
      <c r="N20" s="10">
        <f>[1]!s_fa_debttoassets(N14,N13)/100</f>
        <v>0.78914100000000009</v>
      </c>
      <c r="O20" s="10">
        <f>[1]!s_fa_debttoassets(O14,O13)/100</f>
        <v>0.83549400000000007</v>
      </c>
      <c r="P20" s="10">
        <f>[1]!s_fa_debttoassets(P14,P13)/100</f>
        <v>0.79461599999999999</v>
      </c>
      <c r="Q20" s="10">
        <f>[1]!s_fa_debttoassets(Q14,Q13)/100</f>
        <v>0.73585899999999993</v>
      </c>
      <c r="R20" s="10">
        <f>[1]!s_fa_debttoassets(R14,R13)/100</f>
        <v>0.77580299999999991</v>
      </c>
      <c r="T20" s="6" t="s">
        <v>35</v>
      </c>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36</v>
      </c>
      <c r="J21" s="68">
        <f>[1]!s_fa_current(J14,J13)</f>
        <v>0.79090000000000005</v>
      </c>
      <c r="K21" s="124"/>
      <c r="L21" s="68">
        <f>[1]!s_fa_current(L14,L13)</f>
        <v>0.68200000000000005</v>
      </c>
      <c r="M21" s="68">
        <f>[1]!s_fa_current(M14,M13)</f>
        <v>0.877</v>
      </c>
      <c r="N21" s="68">
        <f>[1]!s_fa_current(N14,N13)</f>
        <v>0.66590000000000005</v>
      </c>
      <c r="O21" s="68">
        <f>[1]!s_fa_current(O14,O13)</f>
        <v>0.5635</v>
      </c>
      <c r="P21" s="68">
        <f>[1]!s_fa_current(P14,P13)</f>
        <v>0.88070000000000004</v>
      </c>
      <c r="Q21" s="68">
        <f>[1]!s_fa_current(Q14,Q13)</f>
        <v>1.0124</v>
      </c>
      <c r="R21" s="68">
        <f>[1]!s_fa_current(R14,R13)</f>
        <v>0.71109999999999995</v>
      </c>
      <c r="T21" s="6" t="s">
        <v>37</v>
      </c>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38</v>
      </c>
      <c r="J22" s="66">
        <f>(J96+J97+J98+J99+J100+J101)/J103</f>
        <v>1.0942568545393712</v>
      </c>
      <c r="K22" s="124"/>
      <c r="L22" s="66">
        <f>(公式页!L96+公式页!L97+公式页!L98+公式页!L99+公式页!L100+公式页!L101)/公式页!L103</f>
        <v>2.1510145143779673</v>
      </c>
      <c r="M22" s="66">
        <f t="shared" ref="M22:R22" si="0">(M96+M97+M98+M99+M100+M101)/M103</f>
        <v>1.5379599146659311</v>
      </c>
      <c r="N22" s="66">
        <f t="shared" si="0"/>
        <v>2.5418535799789979</v>
      </c>
      <c r="O22" s="66">
        <f t="shared" si="0"/>
        <v>3.029775480902015</v>
      </c>
      <c r="P22" s="66">
        <f t="shared" si="0"/>
        <v>2.8863166125488671</v>
      </c>
      <c r="Q22" s="66">
        <f t="shared" si="0"/>
        <v>1.8815074348153999</v>
      </c>
      <c r="R22" s="66">
        <f t="shared" si="0"/>
        <v>2.0853688739448843</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39</v>
      </c>
      <c r="J23" s="68">
        <f>[1]!s_fa_ebitdatodebt(J14,J13)</f>
        <v>0.13719999999999999</v>
      </c>
      <c r="K23" s="124"/>
      <c r="L23" s="68">
        <f>[1]!s_fa_ebitdatodebt(L14,L13)</f>
        <v>7.4700000000000003E-2</v>
      </c>
      <c r="M23" s="68">
        <f>[1]!s_fa_ebitdatodebt(M14,M13)</f>
        <v>6.54E-2</v>
      </c>
      <c r="N23" s="68">
        <f>[1]!s_fa_ebitdatodebt(N14,N13)</f>
        <v>0.151</v>
      </c>
      <c r="O23" s="68">
        <f>[1]!s_fa_ebitdatodebt(O14,O13)</f>
        <v>7.5600000000000001E-2</v>
      </c>
      <c r="P23" s="68">
        <f>[1]!s_fa_ebitdatodebt(P14,P13)</f>
        <v>4.0500000000000001E-2</v>
      </c>
      <c r="Q23" s="68">
        <f>[1]!s_fa_ebitdatodebt(Q14,Q13)</f>
        <v>8.7599999999999997E-2</v>
      </c>
      <c r="R23" s="68">
        <f>[1]!s_fa_ebitdatodebt(R14,R13)</f>
        <v>9.1399999999999995E-2</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40</v>
      </c>
      <c r="J24" s="68">
        <f>[1]!b_stm07_is(J14,9,J13,1)/100000000</f>
        <v>207.4150235903</v>
      </c>
      <c r="K24" s="124"/>
      <c r="L24" s="68">
        <f>[1]!b_stm07_is(L14,9,L13,1)/100000000</f>
        <v>412.35044218830001</v>
      </c>
      <c r="M24" s="68">
        <f>[1]!b_stm07_is(M14,9,M13,1)/100000000</f>
        <v>861.14439167720002</v>
      </c>
      <c r="N24" s="68">
        <f>[1]!b_stm07_is(N14,9,N13,1)/100000000</f>
        <v>1029.1762109844001</v>
      </c>
      <c r="O24" s="68">
        <f>[1]!b_stm07_is(O14,9,O13,1)/100000000</f>
        <v>1607.2921187608999</v>
      </c>
      <c r="P24" s="68">
        <f>[1]!b_stm07_is(P14,9,P13,1)/100000000</f>
        <v>1600.5876847343</v>
      </c>
      <c r="Q24" s="68">
        <f>[1]!b_stm07_is(Q14,9,Q13,1)/100000000</f>
        <v>1990.840411831</v>
      </c>
      <c r="R24" s="68">
        <f>[1]!b_stm07_is(R14,9,R13,1)/100000000</f>
        <v>758.49030086360005</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41</v>
      </c>
      <c r="J25" s="11">
        <f>[1]!s_fa_salescashintoor(J14,J13)%</f>
        <v>0.79290000000000005</v>
      </c>
      <c r="K25" s="124"/>
      <c r="L25" s="11">
        <f>[1]!s_fa_salescashintoor(L14,L13)%</f>
        <v>1.0349999999999999</v>
      </c>
      <c r="M25" s="11">
        <f>[1]!s_fa_salescashintoor(M14,M13)%</f>
        <v>0.81079999999999997</v>
      </c>
      <c r="N25" s="11">
        <f>[1]!s_fa_salescashintoor(N14,N13)%</f>
        <v>1.1795</v>
      </c>
      <c r="O25" s="11">
        <f>[1]!s_fa_salescashintoor(O14,O13)%</f>
        <v>0.83460000000000012</v>
      </c>
      <c r="P25" s="11">
        <f>[1]!s_fa_salescashintoor(P14,P13)%</f>
        <v>1.2176</v>
      </c>
      <c r="Q25" s="11">
        <f>[1]!s_fa_salescashintoor(Q14,Q13)%</f>
        <v>1.2012</v>
      </c>
      <c r="R25" s="11">
        <f>[1]!s_fa_salescashintoor(R14,R13)%</f>
        <v>1.1247</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42</v>
      </c>
      <c r="J26" s="11">
        <f>[1]!s_fa_grossprofitmargin(J14,J13)%</f>
        <v>0.21446400000000002</v>
      </c>
      <c r="K26" s="124"/>
      <c r="L26" s="11">
        <f>[1]!s_fa_grossprofitmargin(L14,L13)%</f>
        <v>0.218198</v>
      </c>
      <c r="M26" s="11">
        <f>[1]!s_fa_grossprofitmargin(M14,M13)%</f>
        <v>6.3847000000000001E-2</v>
      </c>
      <c r="N26" s="11">
        <f>[1]!s_fa_grossprofitmargin(N14,N13)%</f>
        <v>0.14080700000000002</v>
      </c>
      <c r="O26" s="11">
        <f>[1]!s_fa_grossprofitmargin(O14,O13)%</f>
        <v>0.11524</v>
      </c>
      <c r="P26" s="11">
        <f>[1]!s_fa_grossprofitmargin(P14,P13)%</f>
        <v>0.17169399999999999</v>
      </c>
      <c r="Q26" s="11">
        <f>[1]!s_fa_grossprofitmargin(Q14,Q13)%</f>
        <v>0.157585</v>
      </c>
      <c r="R26" s="11">
        <f>[1]!s_fa_grossprofitmargin(R14,R13)%</f>
        <v>0.24167000000000002</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43</v>
      </c>
      <c r="J27" s="69">
        <f>[1]!b_stm07_is(J14,60,J13,1)/100000000</f>
        <v>15.402772372399999</v>
      </c>
      <c r="K27" s="124"/>
      <c r="L27" s="69">
        <f>[1]!b_stm07_is(L14,60,L13,1)/100000000</f>
        <v>11.664812079200001</v>
      </c>
      <c r="M27" s="69">
        <f>[1]!b_stm07_is(M14,60,M13,1)/100000000</f>
        <v>0.34686421249999999</v>
      </c>
      <c r="N27" s="69">
        <f>[1]!b_stm07_is(N14,60,N13,1)/100000000</f>
        <v>7.2778195397000003</v>
      </c>
      <c r="O27" s="69">
        <f>[1]!b_stm07_is(O14,60,O13,1)/100000000</f>
        <v>1.6266281182</v>
      </c>
      <c r="P27" s="69">
        <f>[1]!b_stm07_is(P14,60,P13,1)/100000000</f>
        <v>0.39900776999999998</v>
      </c>
      <c r="Q27" s="69">
        <f>[1]!b_stm07_is(Q14,60,Q13,1)/100000000</f>
        <v>19.657794414200001</v>
      </c>
      <c r="R27" s="69">
        <f>[1]!b_stm07_is(R14,60,R13,1)/100000000</f>
        <v>13.381269330599999</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44</v>
      </c>
      <c r="I28" s="54" t="s">
        <v>45</v>
      </c>
      <c r="J28" s="10">
        <f>[1]!s_fa_roe(J14,J13)%</f>
        <v>0.12046799999999999</v>
      </c>
      <c r="K28" s="124"/>
      <c r="L28" s="10">
        <f>[1]!s_fa_roe(L14,L13)%</f>
        <v>3.5980000000000001E-3</v>
      </c>
      <c r="M28" s="10">
        <f>[1]!s_fa_roe(M14,M13)%</f>
        <v>-2.3736999999999998E-2</v>
      </c>
      <c r="N28" s="10">
        <f>[1]!s_fa_roe(N14,N13)%</f>
        <v>-3.6240000000000001E-3</v>
      </c>
      <c r="O28" s="10">
        <f>[1]!s_fa_roe(O14,O13)%</f>
        <v>-5.5087000000000004E-2</v>
      </c>
      <c r="P28" s="10">
        <f>[1]!s_fa_roe(P14,P13)%</f>
        <v>1.3364000000000001E-2</v>
      </c>
      <c r="Q28" s="10">
        <f>[1]!s_fa_roe(Q14,Q13)%</f>
        <v>-0.119932</v>
      </c>
      <c r="R28" s="10">
        <f>[1]!s_fa_roe(R14,R13)%</f>
        <v>5.7419999999999999E-2</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46</v>
      </c>
      <c r="J29" s="69">
        <f>[1]!b_stm07_cs(J14,39,J13,1)/100000000</f>
        <v>27.163215731499999</v>
      </c>
      <c r="K29" s="124"/>
      <c r="L29" s="69">
        <f>[1]!b_stm07_cs(L14,39,L13,1)/100000000</f>
        <v>83.412336296199996</v>
      </c>
      <c r="M29" s="69">
        <f>[1]!b_stm07_cs(M14,39,M13,1)/100000000</f>
        <v>34.865705461600001</v>
      </c>
      <c r="N29" s="69">
        <f>[1]!b_stm07_cs(N14,39,N13,1)/100000000</f>
        <v>58.973768185399997</v>
      </c>
      <c r="O29" s="69">
        <f>[1]!b_stm07_cs(O14,39,O13,1)/100000000</f>
        <v>46.541765145200003</v>
      </c>
      <c r="P29" s="69">
        <f>[1]!b_stm07_cs(P14,39,P13,1)/100000000</f>
        <v>152.5682597103</v>
      </c>
      <c r="Q29" s="69">
        <f>[1]!b_stm07_cs(Q14,39,Q13,1)/100000000</f>
        <v>125.91412250469999</v>
      </c>
      <c r="R29" s="69">
        <f>[1]!b_stm07_cs(R14,39,R13,1)/100000000</f>
        <v>153.2764492151</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47</v>
      </c>
      <c r="J96" s="71">
        <f>[1]!b_stm07_bs(J14,75,J13,1)</f>
        <v>5005601771.6000004</v>
      </c>
      <c r="K96" s="71"/>
      <c r="L96" s="71">
        <f>[1]!b_stm07_bs(L14,75,L13,1)</f>
        <v>12711030000</v>
      </c>
      <c r="M96" s="71">
        <f>[1]!b_stm07_bs(M14,75,M13,1)</f>
        <v>16070057029.51</v>
      </c>
      <c r="N96" s="71">
        <f>[1]!b_stm07_bs(N14,75,N13,1)</f>
        <v>24170396953.939999</v>
      </c>
      <c r="O96" s="71">
        <f>[1]!b_stm07_bs(O14,75,O13,1)</f>
        <v>33533799923.310001</v>
      </c>
      <c r="P96" s="71">
        <f>[1]!b_stm07_bs(P14,75,P13,1)</f>
        <v>33252797405.82</v>
      </c>
      <c r="Q96" s="71">
        <f>[1]!b_stm07_bs(Q14,75,Q13,1)</f>
        <v>36414170135.730003</v>
      </c>
      <c r="R96" s="71">
        <f>[1]!b_stm07_bs(R14,75,R13,1)</f>
        <v>11155229000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48</v>
      </c>
      <c r="J97" s="71">
        <f>[1]!b_stm07_bs(J14,82,J13,1)</f>
        <v>250548493.13999999</v>
      </c>
      <c r="K97" s="71"/>
      <c r="L97" s="71">
        <f>[1]!b_stm07_bs(L14,82,L13,1)</f>
        <v>1487568508.4100001</v>
      </c>
      <c r="M97" s="71">
        <f>[1]!b_stm07_bs(M14,82,M13,1)</f>
        <v>312309594.52999997</v>
      </c>
      <c r="N97" s="71">
        <f>[1]!b_stm07_bs(N14,82,N13,1)</f>
        <v>2025516093.1500001</v>
      </c>
      <c r="O97" s="71">
        <f>[1]!b_stm07_bs(O14,82,O13,1)</f>
        <v>1395126595.1099999</v>
      </c>
      <c r="P97" s="71">
        <f>[1]!b_stm07_bs(P14,82,P13,1)</f>
        <v>393352792.62</v>
      </c>
      <c r="Q97" s="71">
        <f>[1]!b_stm07_bs(Q14,82,Q13,1)</f>
        <v>854603147.38</v>
      </c>
      <c r="R97" s="71">
        <f>[1]!b_stm07_bs(R14,82,R13,1)</f>
        <v>1053676384.23</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49</v>
      </c>
      <c r="J98" s="71">
        <f>[1]!b_stm07_bs(J14,88,J13,1)</f>
        <v>739000000</v>
      </c>
      <c r="K98" s="71"/>
      <c r="L98" s="71">
        <f>[1]!b_stm07_bs(L14,88,L13,1)</f>
        <v>25012034253.759998</v>
      </c>
      <c r="M98" s="71">
        <f>[1]!b_stm07_bs(M14,88,M13,1)</f>
        <v>3337784373.1900001</v>
      </c>
      <c r="N98" s="71">
        <f>[1]!b_stm07_bs(N14,88,N13,1)</f>
        <v>35248119771.07</v>
      </c>
      <c r="O98" s="71">
        <f>[1]!b_stm07_bs(O14,88,O13,1)</f>
        <v>25034022337.439999</v>
      </c>
      <c r="P98" s="71">
        <f>[1]!b_stm07_bs(P14,88,P13,1)</f>
        <v>64582290206.889999</v>
      </c>
      <c r="Q98" s="71">
        <f>[1]!b_stm07_bs(Q14,88,Q13,1)</f>
        <v>15293781906.23</v>
      </c>
      <c r="R98" s="71">
        <f>[1]!b_stm07_bs(R14,88,R13,1)</f>
        <v>21831401722.119999</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50</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51</v>
      </c>
      <c r="J100" s="71">
        <f>[1]!b_stm07_bs(J14,94,J13,1)</f>
        <v>548600000</v>
      </c>
      <c r="K100" s="71"/>
      <c r="L100" s="71">
        <f>[1]!b_stm07_bs(L14,94,L13,1)</f>
        <v>20178069659.48</v>
      </c>
      <c r="M100" s="71">
        <f>[1]!b_stm07_bs(M14,94,M13,1)</f>
        <v>5522695039.8699999</v>
      </c>
      <c r="N100" s="71">
        <f>[1]!b_stm07_bs(N14,94,N13,1)</f>
        <v>32924495092.27</v>
      </c>
      <c r="O100" s="71">
        <f>[1]!b_stm07_bs(O14,94,O13,1)</f>
        <v>27441275423.810001</v>
      </c>
      <c r="P100" s="71">
        <f>[1]!b_stm07_bs(P14,94,P13,1)</f>
        <v>56871826417.510002</v>
      </c>
      <c r="Q100" s="71">
        <f>[1]!b_stm07_bs(Q14,94,Q13,1)</f>
        <v>64442177792.709999</v>
      </c>
      <c r="R100" s="71">
        <f>[1]!b_stm07_bs(R14,94,R13,1)</f>
        <v>31708364124.900002</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52</v>
      </c>
      <c r="J101" s="71">
        <f>[1]!b_stm07_bs(J14,95,J13,1)</f>
        <v>8455497198.8000002</v>
      </c>
      <c r="K101" s="71"/>
      <c r="L101" s="71">
        <f>[1]!b_stm07_bs(L14,95,L13,1)</f>
        <v>1680000000</v>
      </c>
      <c r="M101" s="71">
        <f>[1]!b_stm07_bs(M14,95,M13,1)</f>
        <v>10509237098.18</v>
      </c>
      <c r="N101" s="71">
        <f>[1]!b_stm07_bs(N14,95,N13,1)</f>
        <v>46115845420.949997</v>
      </c>
      <c r="O101" s="71">
        <f>[1]!b_stm07_bs(O14,95,O13,1)</f>
        <v>19949051406.580002</v>
      </c>
      <c r="P101" s="71">
        <f>[1]!b_stm07_bs(P14,95,P13,1)</f>
        <v>42030000000</v>
      </c>
      <c r="Q101" s="71">
        <f>[1]!b_stm07_bs(Q14,95,Q13,1)</f>
        <v>26012179323.709999</v>
      </c>
      <c r="R101" s="71">
        <f>[1]!b_stm07_bs(R14,95,R13,1)</f>
        <v>7271057591.9300003</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53</v>
      </c>
      <c r="J103" s="71">
        <f>[1]!b_stm07_bs(J14,141,J13,1)</f>
        <v>13707245608.120001</v>
      </c>
      <c r="K103" s="71"/>
      <c r="L103" s="71">
        <f>[1]!b_stm07_bs(L14,141,L13,1)</f>
        <v>28390651022.32</v>
      </c>
      <c r="M103" s="71">
        <f>[1]!b_stm07_bs(M14,141,M13,1)</f>
        <v>23246433664.720001</v>
      </c>
      <c r="N103" s="71">
        <f>[1]!b_stm07_bs(N14,141,N13,1)</f>
        <v>55268475901.959999</v>
      </c>
      <c r="O103" s="71">
        <f>[1]!b_stm07_bs(O14,141,O13,1)</f>
        <v>35432749509.970001</v>
      </c>
      <c r="P103" s="71">
        <f>[1]!b_stm07_bs(P14,141,P13,1)</f>
        <v>68298213011.620003</v>
      </c>
      <c r="Q103" s="71">
        <f>[1]!b_stm07_bs(Q14,141,Q13,1)</f>
        <v>76011877316.759995</v>
      </c>
      <c r="R103" s="71">
        <f>[1]!b_stm07_bs(R14,141,R13,1)</f>
        <v>35015257845.029999</v>
      </c>
    </row>
    <row r="106" spans="1:19" ht="14.25" customHeight="1" x14ac:dyDescent="0.25">
      <c r="A106" s="123" t="s">
        <v>54</v>
      </c>
      <c r="B106" s="118"/>
      <c r="C106" s="118"/>
      <c r="D106" s="124"/>
      <c r="E106" s="124"/>
      <c r="F106" s="124"/>
      <c r="G106" s="124"/>
      <c r="H106" s="124"/>
      <c r="I106" s="124"/>
      <c r="J106" s="124"/>
      <c r="L106" s="17"/>
      <c r="M106" s="17"/>
    </row>
    <row r="107" spans="1:19" x14ac:dyDescent="0.25">
      <c r="A107" s="125" t="s">
        <v>55</v>
      </c>
      <c r="B107" s="118"/>
      <c r="C107" s="118"/>
      <c r="D107" s="124"/>
      <c r="E107" s="124"/>
      <c r="F107" s="124"/>
      <c r="G107" s="126">
        <v>2017</v>
      </c>
      <c r="H107" s="124"/>
      <c r="I107" s="124"/>
      <c r="J107" s="124"/>
      <c r="K107" s="40" t="str">
        <f>A2</f>
        <v>q19041003.IB</v>
      </c>
      <c r="L107" s="33">
        <f>B2</f>
        <v>43100</v>
      </c>
      <c r="M107" s="17"/>
    </row>
    <row r="108" spans="1:19" ht="12.75" customHeight="1" x14ac:dyDescent="0.25">
      <c r="A108" s="127" t="s">
        <v>56</v>
      </c>
      <c r="B108" s="118"/>
      <c r="C108" s="127" t="s">
        <v>57</v>
      </c>
      <c r="D108" s="124"/>
      <c r="E108" s="127" t="s">
        <v>58</v>
      </c>
      <c r="F108" s="124"/>
      <c r="G108" s="127" t="s">
        <v>59</v>
      </c>
      <c r="H108" s="124"/>
      <c r="I108" s="127" t="s">
        <v>60</v>
      </c>
      <c r="J108" s="124"/>
      <c r="L108" s="17"/>
      <c r="M108" s="17"/>
    </row>
    <row r="109" spans="1:19" ht="16.5" customHeight="1" x14ac:dyDescent="0.25">
      <c r="A109" s="54" t="s">
        <v>61</v>
      </c>
      <c r="B109" s="12">
        <f>M109/100</f>
        <v>0.68162999999999996</v>
      </c>
      <c r="C109" s="54" t="s">
        <v>36</v>
      </c>
      <c r="D109" s="72">
        <f>[1]!s_fa_current(A2,B2)</f>
        <v>0.79090000000000005</v>
      </c>
      <c r="E109" s="54" t="s">
        <v>41</v>
      </c>
      <c r="F109" s="73">
        <f>[1]!s_fa_salescashintoor(A2,B2)/100</f>
        <v>0.79290000000000005</v>
      </c>
      <c r="G109" s="54" t="s">
        <v>42</v>
      </c>
      <c r="H109" s="12">
        <f>S109/100</f>
        <v>0.21446400000000002</v>
      </c>
      <c r="I109" s="54"/>
      <c r="J109" s="16"/>
      <c r="K109" s="25"/>
      <c r="L109" s="34" t="s">
        <v>61</v>
      </c>
      <c r="M109" s="74">
        <f>[1]!s_fa_debttoassets(A2,B2)</f>
        <v>68.162999999999997</v>
      </c>
      <c r="N109" s="54" t="s">
        <v>36</v>
      </c>
      <c r="O109" s="35"/>
      <c r="P109" s="54" t="s">
        <v>41</v>
      </c>
      <c r="Q109" s="35"/>
      <c r="R109" s="54" t="s">
        <v>42</v>
      </c>
      <c r="S109" s="75">
        <f>[1]!s_fa_grossprofitmargin(A2,B2)</f>
        <v>21.446400000000001</v>
      </c>
    </row>
    <row r="110" spans="1:19" ht="15.75" customHeight="1" x14ac:dyDescent="0.25">
      <c r="A110" s="54" t="s">
        <v>62</v>
      </c>
      <c r="B110" s="12">
        <f>M110/100</f>
        <v>0.35159100000000004</v>
      </c>
      <c r="C110" s="54" t="s">
        <v>63</v>
      </c>
      <c r="D110" s="73">
        <f>[1]!s_fa_quick(A2,B2)</f>
        <v>0.70950000000000002</v>
      </c>
      <c r="E110" s="54" t="s">
        <v>64</v>
      </c>
      <c r="F110" s="72">
        <f>[1]!s_fa_arturn(A2,B2)</f>
        <v>15.154299999999999</v>
      </c>
      <c r="G110" s="54" t="s">
        <v>65</v>
      </c>
      <c r="H110" s="12">
        <f>S110/100</f>
        <v>8.1008999999999998E-2</v>
      </c>
      <c r="I110" s="54"/>
      <c r="J110" s="16"/>
      <c r="L110" s="54" t="s">
        <v>62</v>
      </c>
      <c r="M110" s="74">
        <f>[1]!s_fa_catoassets(A2,B2)</f>
        <v>35.159100000000002</v>
      </c>
      <c r="N110" s="54" t="s">
        <v>63</v>
      </c>
      <c r="O110" s="35"/>
      <c r="P110" s="54" t="s">
        <v>64</v>
      </c>
      <c r="Q110" s="73"/>
      <c r="R110" s="54" t="s">
        <v>65</v>
      </c>
      <c r="S110" s="75">
        <f>[1]!s_fa_optogr(A2,B2)</f>
        <v>8.1008999999999993</v>
      </c>
    </row>
    <row r="111" spans="1:19" ht="15" customHeight="1" x14ac:dyDescent="0.25">
      <c r="A111" s="54" t="s">
        <v>66</v>
      </c>
      <c r="B111" s="12">
        <f>M111/100</f>
        <v>0.65216099999999999</v>
      </c>
      <c r="C111" s="54" t="s">
        <v>39</v>
      </c>
      <c r="D111" s="73">
        <f>[1]!s_fa_ebitdatodebt(A2,B2)</f>
        <v>0.13719999999999999</v>
      </c>
      <c r="E111" s="54" t="s">
        <v>67</v>
      </c>
      <c r="F111" s="72">
        <f>[1]!s_fa_invturn(A2,B2)</f>
        <v>11.652100000000001</v>
      </c>
      <c r="G111" s="54" t="s">
        <v>45</v>
      </c>
      <c r="H111" s="12">
        <f>S111/100</f>
        <v>0.12046799999999999</v>
      </c>
      <c r="I111" s="54"/>
      <c r="J111" s="16"/>
      <c r="L111" s="54" t="s">
        <v>66</v>
      </c>
      <c r="M111" s="74">
        <f>[1]!s_fa_currentdebttodebt(A2,B2)</f>
        <v>65.216099999999997</v>
      </c>
      <c r="N111" s="54" t="s">
        <v>39</v>
      </c>
      <c r="O111" s="35"/>
      <c r="P111" s="54" t="s">
        <v>67</v>
      </c>
      <c r="Q111" s="35"/>
      <c r="R111" s="54" t="s">
        <v>45</v>
      </c>
      <c r="S111" s="75">
        <f>[1]!s_fa_roe(A2,B2)</f>
        <v>12.046799999999999</v>
      </c>
    </row>
    <row r="112" spans="1:19" ht="14.25" customHeight="1" x14ac:dyDescent="0.25">
      <c r="A112" s="54" t="s">
        <v>38</v>
      </c>
      <c r="B112" s="76">
        <f>(M116+M117+M118+M119+M120+M121)/M123</f>
        <v>1.0942568545393712</v>
      </c>
      <c r="C112" s="54" t="s">
        <v>68</v>
      </c>
      <c r="D112" s="73">
        <f>[1]!s_fa_ebittointerest(A2,B2)</f>
        <v>2.8128000000000002</v>
      </c>
      <c r="E112" s="54" t="s">
        <v>69</v>
      </c>
      <c r="F112" s="72">
        <f>[1]!s_fa_caturn(A2,B2)</f>
        <v>1.5147999999999999</v>
      </c>
      <c r="G112" s="54" t="s">
        <v>70</v>
      </c>
      <c r="H112" s="12">
        <f>S112/100</f>
        <v>6.3535999999999995E-2</v>
      </c>
      <c r="I112" s="54"/>
      <c r="J112" s="16"/>
      <c r="L112" s="54" t="s">
        <v>38</v>
      </c>
      <c r="M112" s="77"/>
      <c r="N112" s="54" t="s">
        <v>68</v>
      </c>
      <c r="O112" s="35"/>
      <c r="P112" s="54" t="s">
        <v>69</v>
      </c>
      <c r="Q112" s="35"/>
      <c r="R112" s="54" t="s">
        <v>70</v>
      </c>
      <c r="S112" s="75">
        <f>[1]!s_fa_roa2(A2,B2)</f>
        <v>6.3536000000000001</v>
      </c>
    </row>
    <row r="113" spans="1:21" x14ac:dyDescent="0.25">
      <c r="A113" s="30"/>
      <c r="B113" s="31"/>
      <c r="C113" s="30"/>
      <c r="D113" s="32"/>
      <c r="E113" s="30" t="s">
        <v>71</v>
      </c>
      <c r="F113" s="78">
        <f>[1]!s_fa_dupont_faturnover(A2,B2)</f>
        <v>0.51090000000000002</v>
      </c>
      <c r="G113" s="30"/>
      <c r="H113" s="31"/>
      <c r="I113" s="30"/>
      <c r="J113" s="31"/>
      <c r="L113" s="30"/>
      <c r="M113" s="36"/>
      <c r="N113" s="30"/>
      <c r="O113" s="32"/>
      <c r="P113" s="30" t="s">
        <v>71</v>
      </c>
      <c r="Q113" s="37"/>
      <c r="R113" s="30"/>
      <c r="S113" s="31"/>
    </row>
    <row r="114" spans="1:21" ht="13.5" customHeight="1" x14ac:dyDescent="0.25">
      <c r="A114" s="123" t="s">
        <v>72</v>
      </c>
      <c r="B114" s="118"/>
      <c r="C114" s="118"/>
      <c r="D114" s="124"/>
      <c r="E114" s="124"/>
      <c r="F114" s="124"/>
      <c r="G114" s="124"/>
      <c r="H114" s="124"/>
      <c r="I114" s="124"/>
      <c r="J114" s="124"/>
      <c r="L114" s="17"/>
      <c r="M114" s="17"/>
    </row>
    <row r="115" spans="1:21" ht="13.5" customHeight="1" x14ac:dyDescent="0.25">
      <c r="A115" s="125" t="s">
        <v>73</v>
      </c>
      <c r="B115" s="118"/>
      <c r="C115" s="118"/>
      <c r="D115" s="124"/>
      <c r="E115" s="124"/>
      <c r="F115" s="124"/>
      <c r="G115" s="128">
        <v>2017</v>
      </c>
      <c r="H115" s="124"/>
      <c r="I115" s="124"/>
      <c r="J115" s="124"/>
      <c r="L115" s="17"/>
      <c r="M115" s="17"/>
    </row>
    <row r="116" spans="1:21" x14ac:dyDescent="0.25">
      <c r="A116" s="129" t="s">
        <v>74</v>
      </c>
      <c r="B116" s="118"/>
      <c r="C116" s="129" t="s">
        <v>75</v>
      </c>
      <c r="D116" s="124"/>
      <c r="E116" s="130" t="s">
        <v>76</v>
      </c>
      <c r="F116" s="124"/>
      <c r="G116" s="124"/>
      <c r="H116" s="124"/>
      <c r="I116" s="124"/>
      <c r="J116" s="124"/>
      <c r="L116" s="17" t="s">
        <v>47</v>
      </c>
      <c r="M116" s="71">
        <f>[1]!b_stm07_bs(K107,75,L107,1)</f>
        <v>5005601771.6000004</v>
      </c>
    </row>
    <row r="117" spans="1:21" ht="14.25" customHeight="1" x14ac:dyDescent="0.25">
      <c r="A117" s="54" t="s">
        <v>77</v>
      </c>
      <c r="B117" s="73">
        <f t="shared" ref="B117:B131" si="1">M127/100000000</f>
        <v>79.244951333399996</v>
      </c>
      <c r="C117" s="54" t="s">
        <v>78</v>
      </c>
      <c r="D117" s="76">
        <f t="shared" ref="D117:D125" si="2">O127/100000000</f>
        <v>207.4150235903</v>
      </c>
      <c r="E117" s="131" t="s">
        <v>79</v>
      </c>
      <c r="F117" s="124"/>
      <c r="G117" s="124"/>
      <c r="H117" s="132">
        <f t="shared" ref="H117:H131" si="3">S127/100000000</f>
        <v>164.45788444159999</v>
      </c>
      <c r="I117" s="124"/>
      <c r="J117" s="124"/>
      <c r="L117" s="17" t="s">
        <v>48</v>
      </c>
      <c r="M117" s="71">
        <f>[1]!b_stm07_bs(K107,82,L107,1)</f>
        <v>250548493.13999999</v>
      </c>
    </row>
    <row r="118" spans="1:21" ht="14.25" customHeight="1" x14ac:dyDescent="0.25">
      <c r="A118" s="54" t="s">
        <v>80</v>
      </c>
      <c r="B118" s="73">
        <f t="shared" si="1"/>
        <v>19.283075719999999</v>
      </c>
      <c r="C118" s="54" t="s">
        <v>81</v>
      </c>
      <c r="D118" s="76">
        <f t="shared" si="2"/>
        <v>191.21079547389999</v>
      </c>
      <c r="E118" s="131" t="s">
        <v>82</v>
      </c>
      <c r="F118" s="124"/>
      <c r="G118" s="124"/>
      <c r="H118" s="132">
        <f t="shared" si="3"/>
        <v>2.0048582553999998</v>
      </c>
      <c r="I118" s="124"/>
      <c r="J118" s="124"/>
      <c r="L118" s="17" t="s">
        <v>49</v>
      </c>
      <c r="M118" s="71">
        <f>[1]!b_stm07_bs(K107,88,L107,1)</f>
        <v>739000000</v>
      </c>
    </row>
    <row r="119" spans="1:21" ht="14.25" customHeight="1" x14ac:dyDescent="0.25">
      <c r="A119" s="54" t="s">
        <v>83</v>
      </c>
      <c r="B119" s="73">
        <f t="shared" si="1"/>
        <v>1.3024530459999999</v>
      </c>
      <c r="C119" s="54" t="s">
        <v>84</v>
      </c>
      <c r="D119" s="76">
        <f t="shared" si="2"/>
        <v>162.9320399746</v>
      </c>
      <c r="E119" s="131" t="s">
        <v>85</v>
      </c>
      <c r="F119" s="124"/>
      <c r="G119" s="124"/>
      <c r="H119" s="133">
        <f t="shared" si="3"/>
        <v>166.46274269700001</v>
      </c>
      <c r="I119" s="124"/>
      <c r="J119" s="124"/>
      <c r="L119" s="17" t="s">
        <v>50</v>
      </c>
      <c r="M119" s="71">
        <f>[1]!b_stm07_bs(K107,147,L107,1)</f>
        <v>0</v>
      </c>
    </row>
    <row r="120" spans="1:21" ht="14.25" customHeight="1" x14ac:dyDescent="0.25">
      <c r="A120" s="54" t="s">
        <v>86</v>
      </c>
      <c r="B120" s="73">
        <f t="shared" si="1"/>
        <v>241.3777972362</v>
      </c>
      <c r="C120" s="54" t="s">
        <v>87</v>
      </c>
      <c r="D120" s="76">
        <f t="shared" si="2"/>
        <v>1.9025068165000001</v>
      </c>
      <c r="E120" s="131" t="s">
        <v>88</v>
      </c>
      <c r="F120" s="124"/>
      <c r="G120" s="124"/>
      <c r="H120" s="132">
        <f t="shared" si="3"/>
        <v>22.777133900900001</v>
      </c>
      <c r="I120" s="124"/>
      <c r="J120" s="124"/>
      <c r="L120" s="17" t="s">
        <v>51</v>
      </c>
      <c r="M120" s="71">
        <f>[1]!b_stm07_bs(K107,94,L107,1)</f>
        <v>548600000</v>
      </c>
    </row>
    <row r="121" spans="1:21" ht="14.25" customHeight="1" x14ac:dyDescent="0.25">
      <c r="A121" s="54" t="s">
        <v>89</v>
      </c>
      <c r="B121" s="73">
        <f t="shared" si="1"/>
        <v>24.279373328600002</v>
      </c>
      <c r="C121" s="54" t="s">
        <v>90</v>
      </c>
      <c r="D121" s="76">
        <f t="shared" si="2"/>
        <v>9.4046821947999995</v>
      </c>
      <c r="E121" s="131" t="s">
        <v>91</v>
      </c>
      <c r="F121" s="124"/>
      <c r="G121" s="124"/>
      <c r="H121" s="132">
        <f t="shared" si="3"/>
        <v>5.2425366199000001</v>
      </c>
      <c r="I121" s="124"/>
      <c r="J121" s="124"/>
      <c r="L121" s="17" t="s">
        <v>52</v>
      </c>
      <c r="M121" s="71">
        <f>[1]!b_stm07_bs(K107,95,L107,1)</f>
        <v>8455497198.8000002</v>
      </c>
    </row>
    <row r="122" spans="1:21" ht="14.25" customHeight="1" x14ac:dyDescent="0.25">
      <c r="A122" s="54" t="s">
        <v>92</v>
      </c>
      <c r="B122" s="73">
        <f t="shared" si="1"/>
        <v>6.3892605355999992</v>
      </c>
      <c r="C122" s="54" t="s">
        <v>93</v>
      </c>
      <c r="D122" s="76">
        <f t="shared" si="2"/>
        <v>9.9573672723000008</v>
      </c>
      <c r="E122" s="131" t="s">
        <v>94</v>
      </c>
      <c r="F122" s="124"/>
      <c r="G122" s="124"/>
      <c r="H122" s="133">
        <f t="shared" si="3"/>
        <v>139.29952696549998</v>
      </c>
      <c r="I122" s="124"/>
      <c r="J122" s="124"/>
      <c r="L122" s="17"/>
      <c r="M122" s="17"/>
    </row>
    <row r="123" spans="1:21" ht="14.25" customHeight="1" x14ac:dyDescent="0.25">
      <c r="A123" s="54" t="s">
        <v>95</v>
      </c>
      <c r="B123" s="79">
        <f t="shared" si="1"/>
        <v>430.54398179419996</v>
      </c>
      <c r="C123" s="54" t="s">
        <v>96</v>
      </c>
      <c r="D123" s="76">
        <f t="shared" si="2"/>
        <v>16.8023862085</v>
      </c>
      <c r="E123" s="131" t="s">
        <v>97</v>
      </c>
      <c r="F123" s="124"/>
      <c r="G123" s="124"/>
      <c r="H123" s="133">
        <f t="shared" si="3"/>
        <v>27.163215731499999</v>
      </c>
      <c r="I123" s="124"/>
      <c r="J123" s="124"/>
      <c r="L123" s="17" t="s">
        <v>53</v>
      </c>
      <c r="M123" s="71">
        <f>[1]!b_stm07_bs(K107,141,L107,1)</f>
        <v>13707245608.120001</v>
      </c>
    </row>
    <row r="124" spans="1:21" ht="14.25" customHeight="1" x14ac:dyDescent="0.25">
      <c r="A124" s="54" t="s">
        <v>98</v>
      </c>
      <c r="B124" s="73">
        <f t="shared" si="1"/>
        <v>50.056017716000007</v>
      </c>
      <c r="C124" s="54" t="s">
        <v>99</v>
      </c>
      <c r="D124" s="76">
        <f t="shared" si="2"/>
        <v>16.623644430100001</v>
      </c>
      <c r="E124" s="131" t="s">
        <v>100</v>
      </c>
      <c r="F124" s="124"/>
      <c r="G124" s="124"/>
      <c r="H124" s="133">
        <f t="shared" si="3"/>
        <v>-16.345061124499999</v>
      </c>
      <c r="I124" s="124"/>
      <c r="J124" s="124"/>
      <c r="L124" s="17"/>
      <c r="M124" s="17"/>
    </row>
    <row r="125" spans="1:21" ht="27" customHeight="1" x14ac:dyDescent="0.25">
      <c r="A125" s="54" t="s">
        <v>101</v>
      </c>
      <c r="B125" s="73">
        <f t="shared" si="1"/>
        <v>7.39</v>
      </c>
      <c r="C125" s="54" t="s">
        <v>43</v>
      </c>
      <c r="D125" s="76">
        <f t="shared" si="2"/>
        <v>15.402772372399999</v>
      </c>
      <c r="E125" s="131" t="s">
        <v>102</v>
      </c>
      <c r="F125" s="124"/>
      <c r="G125" s="124"/>
      <c r="H125" s="132">
        <f t="shared" si="3"/>
        <v>14.474</v>
      </c>
      <c r="I125" s="124"/>
      <c r="J125" s="124"/>
      <c r="L125" s="17"/>
      <c r="M125" s="17"/>
    </row>
    <row r="126" spans="1:21" ht="16.5" customHeight="1" x14ac:dyDescent="0.25">
      <c r="A126" s="54" t="s">
        <v>103</v>
      </c>
      <c r="B126" s="73">
        <f t="shared" si="1"/>
        <v>0</v>
      </c>
      <c r="C126" s="54"/>
      <c r="D126" s="80"/>
      <c r="E126" s="131" t="s">
        <v>104</v>
      </c>
      <c r="F126" s="124"/>
      <c r="G126" s="124"/>
      <c r="H126" s="132">
        <f t="shared" si="3"/>
        <v>68.883480267400003</v>
      </c>
      <c r="I126" s="124"/>
      <c r="J126" s="124"/>
      <c r="L126" s="134" t="s">
        <v>74</v>
      </c>
      <c r="M126" s="124"/>
      <c r="N126" s="134" t="s">
        <v>75</v>
      </c>
      <c r="O126" s="124"/>
      <c r="P126" s="125" t="s">
        <v>76</v>
      </c>
      <c r="Q126" s="124"/>
      <c r="R126" s="124"/>
      <c r="S126" s="135"/>
      <c r="T126" s="135"/>
      <c r="U126" s="135"/>
    </row>
    <row r="127" spans="1:21" ht="14.25" customHeight="1" x14ac:dyDescent="0.25">
      <c r="A127" s="54" t="s">
        <v>105</v>
      </c>
      <c r="B127" s="73">
        <f t="shared" si="1"/>
        <v>5.4859999999999998</v>
      </c>
      <c r="C127" s="54"/>
      <c r="D127" s="80"/>
      <c r="E127" s="131" t="s">
        <v>106</v>
      </c>
      <c r="F127" s="124"/>
      <c r="G127" s="124"/>
      <c r="H127" s="132">
        <f t="shared" si="3"/>
        <v>0</v>
      </c>
      <c r="I127" s="124"/>
      <c r="J127" s="124"/>
      <c r="L127" s="54" t="s">
        <v>77</v>
      </c>
      <c r="M127" s="75">
        <f>[1]!b_stm07_bs(K107,9,L107,1)</f>
        <v>7924495133.3400002</v>
      </c>
      <c r="N127" s="54" t="s">
        <v>78</v>
      </c>
      <c r="O127" s="75">
        <f>[1]!b_stm07_is(K107,83,L107,1)</f>
        <v>20741502359.029999</v>
      </c>
      <c r="P127" s="131" t="s">
        <v>79</v>
      </c>
      <c r="Q127" s="124"/>
      <c r="R127" s="124"/>
      <c r="S127" s="136">
        <f>[1]!b_stm07_cs(K107,9,L107,1)</f>
        <v>16445788444.16</v>
      </c>
      <c r="T127" s="135"/>
      <c r="U127" s="135"/>
    </row>
    <row r="128" spans="1:21" ht="14.25" customHeight="1" x14ac:dyDescent="0.25">
      <c r="A128" s="54" t="s">
        <v>107</v>
      </c>
      <c r="B128" s="73">
        <f t="shared" si="1"/>
        <v>84.554971988000005</v>
      </c>
      <c r="C128" s="54"/>
      <c r="D128" s="80"/>
      <c r="E128" s="131" t="s">
        <v>108</v>
      </c>
      <c r="F128" s="124"/>
      <c r="G128" s="124"/>
      <c r="H128" s="133">
        <f t="shared" si="3"/>
        <v>96.364702847399997</v>
      </c>
      <c r="I128" s="124"/>
      <c r="J128" s="124"/>
      <c r="L128" s="54" t="s">
        <v>80</v>
      </c>
      <c r="M128" s="75">
        <f>[1]!b_stm07_bs(K107,12,L107,1)</f>
        <v>1928307572</v>
      </c>
      <c r="N128" s="54" t="s">
        <v>81</v>
      </c>
      <c r="O128" s="75">
        <f>[1]!b_stm07_is(K107,84,L107,1)</f>
        <v>19121079547.389999</v>
      </c>
      <c r="P128" s="131" t="s">
        <v>82</v>
      </c>
      <c r="Q128" s="124"/>
      <c r="R128" s="124"/>
      <c r="S128" s="136">
        <f>[1]!b_stm07_cs(K107,11,L107,1)</f>
        <v>200485825.53999999</v>
      </c>
      <c r="T128" s="135"/>
      <c r="U128" s="135"/>
    </row>
    <row r="129" spans="1:21" ht="14.25" customHeight="1" x14ac:dyDescent="0.25">
      <c r="A129" s="54" t="s">
        <v>109</v>
      </c>
      <c r="B129" s="79">
        <f t="shared" si="1"/>
        <v>293.47152571300001</v>
      </c>
      <c r="C129" s="14"/>
      <c r="D129" s="13"/>
      <c r="E129" s="131" t="s">
        <v>110</v>
      </c>
      <c r="F129" s="124"/>
      <c r="G129" s="124"/>
      <c r="H129" s="132">
        <f t="shared" si="3"/>
        <v>67.818628883599999</v>
      </c>
      <c r="I129" s="124"/>
      <c r="J129" s="124"/>
      <c r="L129" s="54" t="s">
        <v>83</v>
      </c>
      <c r="M129" s="75">
        <f>[1]!b_stm07_bs(K107,13,L107,1)</f>
        <v>130245304.59999999</v>
      </c>
      <c r="N129" s="54" t="s">
        <v>84</v>
      </c>
      <c r="O129" s="75">
        <f>[1]!b_stm07_is(K107,10,L107,1)</f>
        <v>16293203997.459999</v>
      </c>
      <c r="P129" s="131" t="s">
        <v>85</v>
      </c>
      <c r="Q129" s="124"/>
      <c r="R129" s="124"/>
      <c r="S129" s="137">
        <f>[1]!b_stm07_cs(K107,25,L107,1)</f>
        <v>16646274269.700001</v>
      </c>
      <c r="T129" s="135"/>
      <c r="U129" s="135"/>
    </row>
    <row r="130" spans="1:21" ht="14.25" customHeight="1" x14ac:dyDescent="0.25">
      <c r="A130" s="54" t="s">
        <v>111</v>
      </c>
      <c r="B130" s="79">
        <f t="shared" si="1"/>
        <v>137.07245608120002</v>
      </c>
      <c r="C130" s="14"/>
      <c r="D130" s="13"/>
      <c r="E130" s="131" t="s">
        <v>112</v>
      </c>
      <c r="F130" s="124"/>
      <c r="G130" s="124"/>
      <c r="H130" s="132">
        <f t="shared" si="3"/>
        <v>87.804123698400005</v>
      </c>
      <c r="I130" s="124"/>
      <c r="J130" s="124"/>
      <c r="L130" s="54" t="s">
        <v>86</v>
      </c>
      <c r="M130" s="75">
        <f>[1]!b_stm07_bs(K107,31,L107,1)</f>
        <v>24137779723.619999</v>
      </c>
      <c r="N130" s="54" t="s">
        <v>87</v>
      </c>
      <c r="O130" s="75">
        <f>[1]!b_stm07_is(K107,12,L107,1)</f>
        <v>190250681.65000001</v>
      </c>
      <c r="P130" s="131" t="s">
        <v>88</v>
      </c>
      <c r="Q130" s="124"/>
      <c r="R130" s="124"/>
      <c r="S130" s="136">
        <f>[1]!b_stm07_cs(K107,26,L107,1)</f>
        <v>2277713390.0900002</v>
      </c>
      <c r="T130" s="135"/>
      <c r="U130" s="135"/>
    </row>
    <row r="131" spans="1:21" ht="14.25" customHeight="1" x14ac:dyDescent="0.25">
      <c r="A131" s="15" t="s">
        <v>113</v>
      </c>
      <c r="B131" s="79">
        <f t="shared" si="1"/>
        <v>430.54398179419996</v>
      </c>
      <c r="C131" s="14"/>
      <c r="D131" s="13"/>
      <c r="E131" s="131" t="s">
        <v>114</v>
      </c>
      <c r="F131" s="124"/>
      <c r="G131" s="124"/>
      <c r="H131" s="133">
        <f t="shared" si="3"/>
        <v>8.5605791490000005</v>
      </c>
      <c r="I131" s="124"/>
      <c r="J131" s="124"/>
      <c r="L131" s="54" t="s">
        <v>89</v>
      </c>
      <c r="M131" s="75">
        <f>[1]!b_stm07_bs(K107,33,L107,1)</f>
        <v>2427937332.8600001</v>
      </c>
      <c r="N131" s="54" t="s">
        <v>90</v>
      </c>
      <c r="O131" s="75">
        <f>[1]!b_stm07_is(K107,13,L107,1)</f>
        <v>940468219.48000002</v>
      </c>
      <c r="P131" s="131" t="s">
        <v>91</v>
      </c>
      <c r="Q131" s="124"/>
      <c r="R131" s="124"/>
      <c r="S131" s="136">
        <f>[1]!b_stm07_cs(K107,29,L107,1)</f>
        <v>524253661.99000001</v>
      </c>
      <c r="T131" s="135"/>
      <c r="U131" s="135"/>
    </row>
    <row r="132" spans="1:21" x14ac:dyDescent="0.25">
      <c r="L132" s="54" t="s">
        <v>92</v>
      </c>
      <c r="M132" s="75">
        <f>[1]!b_stm07_bs(K107,37,L107,1)</f>
        <v>638926053.55999994</v>
      </c>
      <c r="N132" s="54" t="s">
        <v>93</v>
      </c>
      <c r="O132" s="75">
        <f>[1]!b_stm07_is(K107,14,L107,1)</f>
        <v>995736727.23000002</v>
      </c>
      <c r="P132" s="131" t="s">
        <v>94</v>
      </c>
      <c r="Q132" s="124"/>
      <c r="R132" s="124"/>
      <c r="S132" s="137">
        <f>[1]!b_stm07_cs(K107,37,L107,1)</f>
        <v>13929952696.549999</v>
      </c>
      <c r="T132" s="135"/>
      <c r="U132" s="135"/>
    </row>
    <row r="133" spans="1:21" x14ac:dyDescent="0.25">
      <c r="L133" s="54" t="s">
        <v>95</v>
      </c>
      <c r="M133" s="81">
        <f>[1]!b_stm07_bs(K107,74,L107,1)</f>
        <v>43054398179.419998</v>
      </c>
      <c r="N133" s="54" t="s">
        <v>96</v>
      </c>
      <c r="O133" s="75">
        <f>[1]!b_stm07_is(K107,48,L107,1)</f>
        <v>1680238620.8499999</v>
      </c>
      <c r="P133" s="131" t="s">
        <v>97</v>
      </c>
      <c r="Q133" s="124"/>
      <c r="R133" s="124"/>
      <c r="S133" s="137">
        <f>[1]!b_stm07_cs(K107,39,L107,1)</f>
        <v>2716321573.1500001</v>
      </c>
      <c r="T133" s="135"/>
      <c r="U133" s="135"/>
    </row>
    <row r="134" spans="1:21" x14ac:dyDescent="0.25">
      <c r="L134" s="54" t="s">
        <v>98</v>
      </c>
      <c r="M134" s="75">
        <f>[1]!b_stm07_bs(K107,75,L107,1)</f>
        <v>5005601771.6000004</v>
      </c>
      <c r="N134" s="54" t="s">
        <v>99</v>
      </c>
      <c r="O134" s="75">
        <f>[1]!b_stm07_is(K107,55,L107,1)</f>
        <v>1662364443.01</v>
      </c>
      <c r="P134" s="131" t="s">
        <v>100</v>
      </c>
      <c r="Q134" s="124"/>
      <c r="R134" s="124"/>
      <c r="S134" s="137">
        <f>[1]!b_stm07_cs(K107,59,L107,1)</f>
        <v>-1634506112.45</v>
      </c>
      <c r="T134" s="135"/>
      <c r="U134" s="135"/>
    </row>
    <row r="135" spans="1:21" ht="32.4" customHeight="1" x14ac:dyDescent="0.25">
      <c r="L135" s="54" t="s">
        <v>101</v>
      </c>
      <c r="M135" s="75">
        <f>[1]!b_stm07_bs(K107,88,L107,1)</f>
        <v>739000000</v>
      </c>
      <c r="N135" s="54" t="s">
        <v>43</v>
      </c>
      <c r="O135" s="75">
        <f>[1]!b_stm07_is(K107,60,L107,1)</f>
        <v>1540277237.24</v>
      </c>
      <c r="P135" s="131" t="s">
        <v>102</v>
      </c>
      <c r="Q135" s="124"/>
      <c r="R135" s="124"/>
      <c r="S135" s="136">
        <f>[1]!b_stm07_cs(K107,60,L107,1)</f>
        <v>1447400000</v>
      </c>
      <c r="T135" s="135"/>
      <c r="U135" s="135"/>
    </row>
    <row r="136" spans="1:21" ht="21.6" customHeight="1" x14ac:dyDescent="0.25">
      <c r="L136" s="54" t="s">
        <v>103</v>
      </c>
      <c r="M136" s="75">
        <f>[1]!b_stm07_bs(K107,147,L107,1)</f>
        <v>0</v>
      </c>
      <c r="N136" s="54"/>
      <c r="O136" s="80"/>
      <c r="P136" s="131" t="s">
        <v>104</v>
      </c>
      <c r="Q136" s="124"/>
      <c r="R136" s="124"/>
      <c r="S136" s="136">
        <f>[1]!b_stm07_cs(K107,61,L107,1)</f>
        <v>6888348026.7399998</v>
      </c>
      <c r="T136" s="135"/>
      <c r="U136" s="135"/>
    </row>
    <row r="137" spans="1:21" x14ac:dyDescent="0.25">
      <c r="L137" s="54" t="s">
        <v>105</v>
      </c>
      <c r="M137" s="75">
        <f>[1]!b_stm07_bs(K107,94,L107,1)</f>
        <v>548600000</v>
      </c>
      <c r="N137" s="54"/>
      <c r="O137" s="80"/>
      <c r="P137" s="131" t="s">
        <v>106</v>
      </c>
      <c r="Q137" s="124"/>
      <c r="R137" s="124"/>
      <c r="S137" s="136">
        <f>[1]!b_stm07_cs(K107,63,L107,1)</f>
        <v>0</v>
      </c>
      <c r="T137" s="135"/>
      <c r="U137" s="135"/>
    </row>
    <row r="138" spans="1:21" x14ac:dyDescent="0.25">
      <c r="L138" s="54" t="s">
        <v>107</v>
      </c>
      <c r="M138" s="75">
        <f>[1]!b_stm07_bs(K107,95,L107,1)</f>
        <v>8455497198.8000002</v>
      </c>
      <c r="N138" s="54"/>
      <c r="O138" s="80"/>
      <c r="P138" s="131" t="s">
        <v>108</v>
      </c>
      <c r="Q138" s="124"/>
      <c r="R138" s="124"/>
      <c r="S138" s="137">
        <f>[1]!b_stm07_cs(K107,68,L107,1)</f>
        <v>9636470284.7399998</v>
      </c>
      <c r="T138" s="135"/>
      <c r="U138" s="135"/>
    </row>
    <row r="139" spans="1:21" x14ac:dyDescent="0.25">
      <c r="L139" s="54" t="s">
        <v>109</v>
      </c>
      <c r="M139" s="81">
        <f>[1]!b_stm07_bs(K107,128,L107,1)</f>
        <v>29347152571.299999</v>
      </c>
      <c r="N139" s="14"/>
      <c r="O139" s="13"/>
      <c r="P139" s="131" t="s">
        <v>110</v>
      </c>
      <c r="Q139" s="124"/>
      <c r="R139" s="124"/>
      <c r="S139" s="136">
        <f>[1]!b_stm07_cs(K107,69,L107,1)</f>
        <v>6781862888.3599997</v>
      </c>
      <c r="T139" s="135"/>
      <c r="U139" s="135"/>
    </row>
    <row r="140" spans="1:21" ht="21.6" customHeight="1" x14ac:dyDescent="0.25">
      <c r="L140" s="54" t="s">
        <v>111</v>
      </c>
      <c r="M140" s="81">
        <f>[1]!b_stm07_bs(K107,141,L107,1)</f>
        <v>13707245608.120001</v>
      </c>
      <c r="N140" s="14"/>
      <c r="O140" s="13"/>
      <c r="P140" s="131" t="s">
        <v>112</v>
      </c>
      <c r="Q140" s="124"/>
      <c r="R140" s="124"/>
      <c r="S140" s="136">
        <f>[1]!b_stm07_cs(K107,75,L107,1)</f>
        <v>8780412369.8400002</v>
      </c>
      <c r="T140" s="135"/>
      <c r="U140" s="135"/>
    </row>
    <row r="141" spans="1:21" ht="21.6" customHeight="1" x14ac:dyDescent="0.25">
      <c r="L141" s="15" t="s">
        <v>113</v>
      </c>
      <c r="M141" s="81">
        <f>[1]!b_stm07_bs(K107,145,L107,1)</f>
        <v>43054398179.419998</v>
      </c>
      <c r="N141" s="14"/>
      <c r="O141" s="13"/>
      <c r="P141" s="131" t="s">
        <v>114</v>
      </c>
      <c r="Q141" s="124"/>
      <c r="R141" s="124"/>
      <c r="S141" s="137">
        <f>[1]!b_stm07_cs(K107,77,L107,1)</f>
        <v>856057914.89999998</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245</v>
      </c>
      <c r="C2" s="120"/>
      <c r="D2" s="57" t="s">
        <v>3</v>
      </c>
      <c r="E2" s="119" t="s">
        <v>246</v>
      </c>
      <c r="F2" s="120"/>
      <c r="G2" s="120"/>
    </row>
    <row r="3" spans="1:12" ht="14.25" customHeight="1" x14ac:dyDescent="0.25">
      <c r="A3" s="57" t="s">
        <v>4</v>
      </c>
      <c r="B3" s="119" t="s">
        <v>247</v>
      </c>
      <c r="C3" s="120"/>
      <c r="D3" s="57" t="s">
        <v>5</v>
      </c>
      <c r="E3" s="119" t="s">
        <v>248</v>
      </c>
      <c r="F3" s="120"/>
      <c r="G3" s="120"/>
    </row>
    <row r="4" spans="1:12" ht="113.25" customHeight="1" x14ac:dyDescent="0.25">
      <c r="A4" s="57" t="s">
        <v>6</v>
      </c>
      <c r="B4" s="121" t="s">
        <v>249</v>
      </c>
      <c r="C4" s="120"/>
      <c r="D4" s="120"/>
      <c r="E4" s="120"/>
      <c r="F4" s="120"/>
      <c r="G4" s="120"/>
    </row>
    <row r="5" spans="1:12" ht="14.4" x14ac:dyDescent="0.25">
      <c r="A5" s="82" t="s">
        <v>115</v>
      </c>
      <c r="B5" s="140" t="s">
        <v>250</v>
      </c>
      <c r="C5" s="120"/>
      <c r="D5" s="120"/>
      <c r="E5" s="120"/>
      <c r="F5" s="141">
        <v>0.54270000457763667</v>
      </c>
      <c r="G5" s="120"/>
    </row>
    <row r="6" spans="1:12" ht="11.25" customHeight="1" x14ac:dyDescent="0.25">
      <c r="A6" s="82" t="s">
        <v>116</v>
      </c>
      <c r="B6" s="140" t="s">
        <v>251</v>
      </c>
      <c r="C6" s="120"/>
      <c r="D6" s="120"/>
      <c r="E6" s="120"/>
      <c r="F6" s="141">
        <v>1.9800000190734864E-2</v>
      </c>
      <c r="G6" s="120"/>
    </row>
    <row r="7" spans="1:12" ht="11.25" customHeight="1" x14ac:dyDescent="0.25">
      <c r="A7" s="82" t="s">
        <v>117</v>
      </c>
      <c r="B7" s="140" t="s">
        <v>252</v>
      </c>
      <c r="C7" s="120"/>
      <c r="D7" s="120"/>
      <c r="E7" s="120"/>
      <c r="F7" s="141">
        <v>1.4900000095367431E-2</v>
      </c>
      <c r="G7" s="120"/>
    </row>
    <row r="8" spans="1:12" ht="11.25" customHeight="1" x14ac:dyDescent="0.25">
      <c r="A8" s="82" t="s">
        <v>118</v>
      </c>
      <c r="B8" s="140" t="s">
        <v>253</v>
      </c>
      <c r="C8" s="120"/>
      <c r="D8" s="120"/>
      <c r="E8" s="120"/>
      <c r="F8" s="141">
        <v>8.0000001192092902E-3</v>
      </c>
      <c r="G8" s="120"/>
    </row>
    <row r="9" spans="1:12" ht="11.25" customHeight="1" x14ac:dyDescent="0.25">
      <c r="A9" s="82" t="s">
        <v>119</v>
      </c>
      <c r="B9" s="140" t="s">
        <v>254</v>
      </c>
      <c r="C9" s="120"/>
      <c r="D9" s="120"/>
      <c r="E9" s="120"/>
      <c r="F9" s="141">
        <v>5.6999999284744265E-3</v>
      </c>
      <c r="G9" s="120"/>
    </row>
    <row r="11" spans="1:12" ht="14.4" customHeight="1" x14ac:dyDescent="0.25">
      <c r="A11" s="142" t="s">
        <v>120</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121</v>
      </c>
      <c r="B13" t="s">
        <v>122</v>
      </c>
      <c r="C13" t="s">
        <v>123</v>
      </c>
      <c r="D13" s="64">
        <v>4.33</v>
      </c>
      <c r="E13" s="64">
        <v>0.90437158469945356</v>
      </c>
      <c r="F13" s="65" t="s">
        <v>255</v>
      </c>
      <c r="G13" s="64">
        <v>8</v>
      </c>
    </row>
    <row r="14" spans="1:12" ht="14.4" customHeight="1" x14ac:dyDescent="0.25">
      <c r="A14" t="s">
        <v>124</v>
      </c>
      <c r="B14" t="s">
        <v>125</v>
      </c>
      <c r="C14" t="s">
        <v>126</v>
      </c>
      <c r="D14" s="64">
        <v>4.9800000000000004</v>
      </c>
      <c r="E14" s="83">
        <v>2.8989071038251364</v>
      </c>
      <c r="F14" t="s">
        <v>25</v>
      </c>
      <c r="G14" s="64">
        <v>6</v>
      </c>
    </row>
    <row r="15" spans="1:12" ht="14.4" customHeight="1" x14ac:dyDescent="0.25">
      <c r="A15" t="s">
        <v>127</v>
      </c>
      <c r="B15" t="s">
        <v>128</v>
      </c>
      <c r="C15" t="s">
        <v>129</v>
      </c>
      <c r="D15" s="64">
        <v>5.85</v>
      </c>
      <c r="E15" s="83">
        <v>2.6301369863013697</v>
      </c>
      <c r="F15" t="s">
        <v>25</v>
      </c>
      <c r="G15" s="64">
        <v>5</v>
      </c>
    </row>
    <row r="16" spans="1:12" ht="14.4" customHeight="1" x14ac:dyDescent="0.25">
      <c r="A16" t="s">
        <v>130</v>
      </c>
      <c r="B16" t="s">
        <v>131</v>
      </c>
      <c r="C16" t="s">
        <v>132</v>
      </c>
      <c r="D16" s="64">
        <v>6.7</v>
      </c>
      <c r="E16" s="83">
        <v>4.5780821917808217</v>
      </c>
      <c r="F16" t="s">
        <v>25</v>
      </c>
      <c r="G16" s="64">
        <v>9.6999999999999993</v>
      </c>
    </row>
    <row r="17" spans="1:7" ht="14.4" customHeight="1" x14ac:dyDescent="0.25">
      <c r="A17" t="s">
        <v>133</v>
      </c>
      <c r="B17" t="s">
        <v>134</v>
      </c>
      <c r="C17" t="s">
        <v>135</v>
      </c>
      <c r="D17" s="64">
        <v>5.78</v>
      </c>
      <c r="E17" s="83">
        <v>0.46575342465753422</v>
      </c>
      <c r="F17" t="s">
        <v>255</v>
      </c>
      <c r="G17" s="64">
        <v>10</v>
      </c>
    </row>
    <row r="18" spans="1:7" ht="14.4" customHeight="1" x14ac:dyDescent="0.25">
      <c r="A18" t="s">
        <v>136</v>
      </c>
      <c r="B18" t="s">
        <v>137</v>
      </c>
      <c r="C18" t="s">
        <v>138</v>
      </c>
      <c r="D18" s="64">
        <v>5.8</v>
      </c>
      <c r="E18" s="83">
        <v>0.1095890410958904</v>
      </c>
      <c r="F18">
        <v>0</v>
      </c>
      <c r="G18" s="64">
        <v>10</v>
      </c>
    </row>
    <row r="19" spans="1:7" ht="14.4" customHeight="1" x14ac:dyDescent="0.25">
      <c r="A19" t="s">
        <v>139</v>
      </c>
      <c r="B19" t="s">
        <v>140</v>
      </c>
      <c r="C19" t="s">
        <v>141</v>
      </c>
      <c r="D19" s="64">
        <v>4.68</v>
      </c>
      <c r="E19" s="83">
        <v>7.9452054794520555E-2</v>
      </c>
      <c r="F19">
        <v>0</v>
      </c>
      <c r="G19" s="64">
        <v>8</v>
      </c>
    </row>
    <row r="20" spans="1:7" ht="14.4" customHeight="1" x14ac:dyDescent="0.25">
      <c r="A20" t="s">
        <v>142</v>
      </c>
      <c r="B20" t="s">
        <v>143</v>
      </c>
      <c r="C20" t="s">
        <v>144</v>
      </c>
      <c r="D20" s="64">
        <v>7</v>
      </c>
      <c r="E20" s="83">
        <v>3.2739726027397262</v>
      </c>
      <c r="F20">
        <v>0</v>
      </c>
      <c r="G20" s="64">
        <v>10</v>
      </c>
    </row>
    <row r="21" spans="1:7" ht="14.4" customHeight="1" x14ac:dyDescent="0.25">
      <c r="A21" t="s">
        <v>145</v>
      </c>
      <c r="B21" t="s">
        <v>146</v>
      </c>
      <c r="C21" t="s">
        <v>147</v>
      </c>
      <c r="D21" s="64">
        <v>7</v>
      </c>
      <c r="E21" s="83">
        <v>2.7150684931506848</v>
      </c>
      <c r="F21">
        <v>0</v>
      </c>
      <c r="G21" s="64">
        <v>10</v>
      </c>
    </row>
    <row r="22" spans="1:7" ht="14.4" customHeight="1" x14ac:dyDescent="0.25">
      <c r="A22" t="s">
        <v>148</v>
      </c>
      <c r="B22" t="s">
        <v>149</v>
      </c>
      <c r="C22" t="s">
        <v>150</v>
      </c>
      <c r="D22" s="64">
        <v>6.9</v>
      </c>
      <c r="E22" s="83">
        <v>1.3780821917808219</v>
      </c>
      <c r="F22">
        <v>0</v>
      </c>
      <c r="G22" s="64">
        <v>10</v>
      </c>
    </row>
    <row r="23" spans="1:7" ht="14.4" customHeight="1" x14ac:dyDescent="0.25">
      <c r="A23" t="s">
        <v>151</v>
      </c>
      <c r="B23" t="s">
        <v>152</v>
      </c>
      <c r="C23" t="s">
        <v>153</v>
      </c>
      <c r="D23" s="64">
        <v>6.3</v>
      </c>
      <c r="E23" s="83">
        <v>1.2191780821917808</v>
      </c>
      <c r="F23">
        <v>0</v>
      </c>
      <c r="G23" s="64">
        <v>5</v>
      </c>
    </row>
    <row r="24" spans="1:7" ht="14.4" customHeight="1" x14ac:dyDescent="0.25">
      <c r="A24" t="s">
        <v>154</v>
      </c>
      <c r="B24" t="s">
        <v>155</v>
      </c>
      <c r="C24" t="s">
        <v>156</v>
      </c>
      <c r="D24" s="64">
        <v>6.5</v>
      </c>
      <c r="E24" s="83">
        <v>1.189041095890411</v>
      </c>
      <c r="F24">
        <v>0</v>
      </c>
      <c r="G24" s="64">
        <v>5</v>
      </c>
    </row>
    <row r="25" spans="1:7" ht="14.4" customHeight="1" x14ac:dyDescent="0.25">
      <c r="A25" t="s">
        <v>157</v>
      </c>
      <c r="B25" t="s">
        <v>158</v>
      </c>
      <c r="C25" t="s">
        <v>159</v>
      </c>
      <c r="D25" s="64">
        <v>5.07</v>
      </c>
      <c r="E25" s="83">
        <v>4.0164383561643833</v>
      </c>
      <c r="F25" t="s">
        <v>25</v>
      </c>
      <c r="G25" s="64">
        <v>45</v>
      </c>
    </row>
    <row r="26" spans="1:7" ht="14.4" customHeight="1" x14ac:dyDescent="0.25">
      <c r="A26" t="s">
        <v>160</v>
      </c>
      <c r="C26" t="s">
        <v>161</v>
      </c>
      <c r="D26" s="64"/>
      <c r="E26" s="83">
        <v>0</v>
      </c>
      <c r="F26" t="s">
        <v>25</v>
      </c>
      <c r="G26" s="64">
        <v>0</v>
      </c>
    </row>
    <row r="27" spans="1:7" ht="14.4" customHeight="1" x14ac:dyDescent="0.25">
      <c r="D27" s="64"/>
      <c r="E27" s="83"/>
      <c r="G27" s="64"/>
    </row>
    <row r="28" spans="1:7" ht="14.4" customHeight="1" x14ac:dyDescent="0.25">
      <c r="D28" s="64"/>
      <c r="E28" s="83"/>
      <c r="G28" s="64"/>
    </row>
    <row r="29" spans="1:7" ht="14.4" customHeight="1" x14ac:dyDescent="0.25">
      <c r="D29" s="64"/>
      <c r="E29" s="83"/>
      <c r="G29" s="64"/>
    </row>
    <row r="30" spans="1:7" ht="14.4" customHeight="1" x14ac:dyDescent="0.25">
      <c r="D30" s="64"/>
      <c r="E30" s="83"/>
      <c r="G30" s="64"/>
    </row>
    <row r="31" spans="1:7" ht="14.4" customHeight="1" x14ac:dyDescent="0.25">
      <c r="D31" s="64"/>
      <c r="E31" s="83"/>
      <c r="G31" s="64"/>
    </row>
    <row r="32" spans="1:7" ht="14.4" customHeight="1" x14ac:dyDescent="0.25">
      <c r="A32" s="143" t="s">
        <v>162</v>
      </c>
      <c r="B32" s="143"/>
      <c r="C32" s="143"/>
      <c r="D32" s="143"/>
      <c r="E32" s="83"/>
      <c r="G32" s="64"/>
    </row>
    <row r="33" spans="1:7" ht="14.4" customHeight="1" x14ac:dyDescent="0.25">
      <c r="A33" s="84" t="s">
        <v>163</v>
      </c>
      <c r="B33" s="84" t="s">
        <v>164</v>
      </c>
      <c r="C33" s="84" t="s">
        <v>165</v>
      </c>
      <c r="D33" s="85" t="s">
        <v>166</v>
      </c>
      <c r="E33" s="83"/>
      <c r="G33" s="64"/>
    </row>
    <row r="34" spans="1:7" ht="14.4" customHeight="1" x14ac:dyDescent="0.25">
      <c r="A34" t="s">
        <v>167</v>
      </c>
      <c r="B34" t="s">
        <v>25</v>
      </c>
      <c r="C34" t="s">
        <v>168</v>
      </c>
      <c r="D34" s="64" t="s">
        <v>169</v>
      </c>
      <c r="E34" s="83"/>
      <c r="G34" s="64"/>
    </row>
    <row r="35" spans="1:7" ht="14.4" customHeight="1" x14ac:dyDescent="0.25">
      <c r="A35" t="s">
        <v>170</v>
      </c>
      <c r="B35" t="s">
        <v>25</v>
      </c>
      <c r="C35" t="s">
        <v>168</v>
      </c>
      <c r="D35" s="64" t="s">
        <v>169</v>
      </c>
      <c r="E35" s="83"/>
      <c r="G35" s="64"/>
    </row>
    <row r="36" spans="1:7" ht="14.4" customHeight="1" x14ac:dyDescent="0.25">
      <c r="A36" t="s">
        <v>171</v>
      </c>
      <c r="B36" t="s">
        <v>25</v>
      </c>
      <c r="C36" t="s">
        <v>168</v>
      </c>
      <c r="D36" s="64" t="s">
        <v>169</v>
      </c>
      <c r="E36" s="83"/>
      <c r="G36" s="64"/>
    </row>
    <row r="37" spans="1:7" ht="14.4" customHeight="1" x14ac:dyDescent="0.25">
      <c r="A37" t="s">
        <v>172</v>
      </c>
      <c r="B37" t="s">
        <v>25</v>
      </c>
      <c r="C37" t="s">
        <v>168</v>
      </c>
      <c r="D37" s="64" t="s">
        <v>169</v>
      </c>
      <c r="E37" s="83"/>
      <c r="G37" s="64"/>
    </row>
    <row r="38" spans="1:7" ht="14.4" customHeight="1" x14ac:dyDescent="0.25">
      <c r="A38" t="s">
        <v>173</v>
      </c>
      <c r="B38" t="s">
        <v>25</v>
      </c>
      <c r="C38" t="s">
        <v>168</v>
      </c>
      <c r="D38" s="64" t="s">
        <v>174</v>
      </c>
      <c r="E38" s="83"/>
      <c r="G38" s="64"/>
    </row>
    <row r="39" spans="1:7" ht="14.4" customHeight="1" x14ac:dyDescent="0.25">
      <c r="A39" t="s">
        <v>175</v>
      </c>
      <c r="B39" t="s">
        <v>25</v>
      </c>
      <c r="C39" t="s">
        <v>168</v>
      </c>
      <c r="D39" s="64" t="s">
        <v>169</v>
      </c>
      <c r="E39" s="83"/>
      <c r="G39" s="64"/>
    </row>
    <row r="40" spans="1:7" ht="14.4" customHeight="1" x14ac:dyDescent="0.25">
      <c r="A40" t="s">
        <v>176</v>
      </c>
      <c r="B40" t="s">
        <v>25</v>
      </c>
      <c r="C40" t="s">
        <v>168</v>
      </c>
      <c r="D40" s="64" t="s">
        <v>169</v>
      </c>
      <c r="E40" s="83"/>
      <c r="G40" s="64"/>
    </row>
    <row r="41" spans="1:7" ht="14.4" customHeight="1" x14ac:dyDescent="0.25">
      <c r="A41" t="s">
        <v>177</v>
      </c>
      <c r="B41" t="s">
        <v>25</v>
      </c>
      <c r="C41" t="s">
        <v>168</v>
      </c>
      <c r="D41" s="64" t="s">
        <v>174</v>
      </c>
      <c r="E41" s="83"/>
      <c r="G41" s="64"/>
    </row>
    <row r="42" spans="1:7" ht="14.4" customHeight="1" x14ac:dyDescent="0.25">
      <c r="A42" t="s">
        <v>178</v>
      </c>
      <c r="B42" t="s">
        <v>25</v>
      </c>
      <c r="C42" t="s">
        <v>168</v>
      </c>
      <c r="D42" s="64" t="s">
        <v>174</v>
      </c>
      <c r="E42" s="83"/>
      <c r="G42" s="64"/>
    </row>
    <row r="43" spans="1:7" ht="14.4" customHeight="1" x14ac:dyDescent="0.25">
      <c r="A43" t="s">
        <v>179</v>
      </c>
      <c r="B43" t="s">
        <v>25</v>
      </c>
      <c r="C43" t="s">
        <v>180</v>
      </c>
      <c r="D43" s="64" t="s">
        <v>174</v>
      </c>
      <c r="E43" s="83"/>
      <c r="G43" s="64"/>
    </row>
    <row r="44" spans="1:7" ht="14.4" customHeight="1" x14ac:dyDescent="0.25">
      <c r="A44" t="s">
        <v>181</v>
      </c>
      <c r="B44" t="s">
        <v>25</v>
      </c>
      <c r="C44" t="s">
        <v>180</v>
      </c>
      <c r="D44" s="64" t="s">
        <v>174</v>
      </c>
      <c r="E44" s="83"/>
      <c r="G44" s="64"/>
    </row>
    <row r="45" spans="1:7" ht="14.4" customHeight="1" x14ac:dyDescent="0.25">
      <c r="A45" t="s">
        <v>182</v>
      </c>
      <c r="B45" t="s">
        <v>25</v>
      </c>
      <c r="C45" t="s">
        <v>168</v>
      </c>
      <c r="D45" s="64" t="s">
        <v>174</v>
      </c>
      <c r="E45" s="83"/>
      <c r="G45" s="64"/>
    </row>
    <row r="46" spans="1:7" ht="14.4" customHeight="1" x14ac:dyDescent="0.25">
      <c r="A46" t="s">
        <v>183</v>
      </c>
      <c r="B46" t="s">
        <v>25</v>
      </c>
      <c r="C46" t="s">
        <v>168</v>
      </c>
      <c r="D46" s="64" t="s">
        <v>174</v>
      </c>
      <c r="E46" s="83"/>
      <c r="G46" s="64"/>
    </row>
    <row r="47" spans="1:7" ht="14.4" customHeight="1" x14ac:dyDescent="0.25">
      <c r="D47" s="64"/>
      <c r="E47" s="83"/>
      <c r="G47" s="64"/>
    </row>
    <row r="48" spans="1:7" ht="14.4" customHeight="1" x14ac:dyDescent="0.25">
      <c r="D48" s="64"/>
      <c r="E48" s="83"/>
      <c r="G48" s="64"/>
    </row>
    <row r="49" spans="4:7" ht="14.4" customHeight="1" x14ac:dyDescent="0.25">
      <c r="D49" s="64"/>
      <c r="E49" s="83"/>
      <c r="G49" s="64"/>
    </row>
    <row r="50" spans="4:7" ht="14.4" customHeight="1" x14ac:dyDescent="0.25">
      <c r="D50" s="64"/>
      <c r="E50" s="83"/>
      <c r="G50" s="64"/>
    </row>
    <row r="51" spans="4:7" ht="14.4" customHeight="1" x14ac:dyDescent="0.25">
      <c r="D51" s="64"/>
      <c r="E51" s="83"/>
      <c r="G51" s="64"/>
    </row>
    <row r="52" spans="4:7" ht="14.4" customHeight="1" x14ac:dyDescent="0.25">
      <c r="D52" s="64"/>
      <c r="E52" s="83"/>
      <c r="G52" s="64"/>
    </row>
    <row r="53" spans="4:7" ht="14.4" customHeight="1" x14ac:dyDescent="0.25">
      <c r="D53" s="64"/>
      <c r="E53" s="83"/>
      <c r="G53" s="64"/>
    </row>
    <row r="54" spans="4:7" ht="14.4" customHeight="1" x14ac:dyDescent="0.25">
      <c r="D54" s="64"/>
      <c r="E54" s="83"/>
      <c r="G54" s="64"/>
    </row>
    <row r="55" spans="4:7" ht="14.4" customHeight="1" x14ac:dyDescent="0.25">
      <c r="D55" s="64"/>
      <c r="E55" s="83"/>
      <c r="G55" s="64"/>
    </row>
    <row r="56" spans="4:7" ht="14.4" customHeight="1" x14ac:dyDescent="0.25">
      <c r="D56" s="64"/>
      <c r="E56" s="83"/>
      <c r="G56" s="64"/>
    </row>
    <row r="57" spans="4:7" ht="14.4" customHeight="1" x14ac:dyDescent="0.25">
      <c r="D57" s="64"/>
      <c r="E57" s="83"/>
      <c r="G57" s="64"/>
    </row>
    <row r="58" spans="4:7" ht="14.4" customHeight="1" x14ac:dyDescent="0.25">
      <c r="D58" s="64"/>
      <c r="E58" s="83"/>
      <c r="G58" s="64"/>
    </row>
    <row r="59" spans="4:7" ht="14.4" customHeight="1" x14ac:dyDescent="0.25">
      <c r="D59" s="64"/>
      <c r="E59" s="83"/>
      <c r="G59" s="64"/>
    </row>
    <row r="60" spans="4:7" ht="14.4" customHeight="1" x14ac:dyDescent="0.25">
      <c r="D60" s="64"/>
      <c r="E60" s="83"/>
      <c r="G60" s="64"/>
    </row>
    <row r="61" spans="4:7" ht="14.4" customHeight="1" x14ac:dyDescent="0.25">
      <c r="D61" s="64"/>
      <c r="E61" s="83"/>
      <c r="G61" s="64"/>
    </row>
    <row r="62" spans="4:7" ht="14.4" customHeight="1" x14ac:dyDescent="0.25">
      <c r="D62" s="64"/>
      <c r="E62" s="83"/>
      <c r="G62" s="64"/>
    </row>
    <row r="63" spans="4:7" ht="14.4" customHeight="1" x14ac:dyDescent="0.25">
      <c r="D63" s="64"/>
      <c r="E63" s="83"/>
      <c r="G63" s="64"/>
    </row>
    <row r="64" spans="4:7" ht="14.4" customHeight="1" x14ac:dyDescent="0.25">
      <c r="D64" s="64"/>
      <c r="E64" s="83"/>
      <c r="G64" s="64"/>
    </row>
    <row r="65" spans="1:7" ht="14.4" customHeight="1" x14ac:dyDescent="0.25">
      <c r="D65" s="64"/>
      <c r="E65" s="83"/>
      <c r="G65" s="64"/>
    </row>
    <row r="66" spans="1:7" ht="14.4" customHeight="1" x14ac:dyDescent="0.25">
      <c r="D66" s="64"/>
      <c r="E66" s="83"/>
      <c r="G66" s="64"/>
    </row>
    <row r="67" spans="1:7" ht="14.4" customHeight="1" x14ac:dyDescent="0.25">
      <c r="D67" s="64"/>
      <c r="E67" s="83"/>
      <c r="G67" s="64"/>
    </row>
    <row r="68" spans="1:7" ht="14.4" customHeight="1" x14ac:dyDescent="0.25">
      <c r="D68" s="64"/>
      <c r="E68" s="83"/>
      <c r="G68" s="64"/>
    </row>
    <row r="69" spans="1:7" ht="14.4" customHeight="1" x14ac:dyDescent="0.25">
      <c r="D69" s="64"/>
      <c r="E69" s="83"/>
      <c r="G69" s="64"/>
    </row>
    <row r="70" spans="1:7" ht="14.4" customHeight="1" x14ac:dyDescent="0.25">
      <c r="D70" s="64"/>
      <c r="E70" s="83"/>
      <c r="G70" s="64"/>
    </row>
    <row r="71" spans="1:7" ht="14.4" customHeight="1" x14ac:dyDescent="0.25">
      <c r="D71" s="64"/>
      <c r="E71" s="83"/>
      <c r="G71" s="64"/>
    </row>
    <row r="72" spans="1:7" ht="14.4" customHeight="1" x14ac:dyDescent="0.25">
      <c r="A72" t="s">
        <v>184</v>
      </c>
      <c r="D72" s="64"/>
      <c r="E72" s="83"/>
      <c r="G72" s="64"/>
    </row>
    <row r="73" spans="1:7" ht="14.4" customHeight="1" x14ac:dyDescent="0.25">
      <c r="D73" s="64"/>
      <c r="E73" s="83"/>
      <c r="G73" s="64"/>
    </row>
    <row r="74" spans="1:7" ht="14.4" customHeight="1" x14ac:dyDescent="0.25">
      <c r="D74" s="64"/>
      <c r="E74" s="83"/>
      <c r="G74" s="64"/>
    </row>
    <row r="75" spans="1:7" ht="14.4" customHeight="1" x14ac:dyDescent="0.25">
      <c r="D75" s="64"/>
      <c r="E75" s="83"/>
      <c r="G75" s="64"/>
    </row>
    <row r="76" spans="1:7" ht="14.4" customHeight="1" x14ac:dyDescent="0.25">
      <c r="D76" s="64"/>
      <c r="E76" s="83"/>
      <c r="G76" s="64"/>
    </row>
    <row r="77" spans="1:7" ht="14.4" customHeight="1" x14ac:dyDescent="0.25">
      <c r="D77" s="64"/>
      <c r="E77" s="83"/>
      <c r="G77" s="64"/>
    </row>
    <row r="78" spans="1:7" ht="14.4" customHeight="1" x14ac:dyDescent="0.25">
      <c r="D78" s="64"/>
      <c r="E78" s="83"/>
      <c r="G78" s="64"/>
    </row>
    <row r="79" spans="1:7" ht="14.4" customHeight="1" x14ac:dyDescent="0.25">
      <c r="D79" s="64"/>
      <c r="E79" s="83"/>
      <c r="G79" s="64"/>
    </row>
    <row r="80" spans="1:7" ht="14.4" customHeight="1" x14ac:dyDescent="0.25">
      <c r="D80" s="64"/>
      <c r="E80" s="83"/>
      <c r="G80" s="64"/>
    </row>
    <row r="81" spans="4:7" ht="14.4" customHeight="1" x14ac:dyDescent="0.25">
      <c r="D81" s="64"/>
      <c r="E81" s="83"/>
      <c r="G81" s="64"/>
    </row>
    <row r="82" spans="4:7" ht="14.4" customHeight="1" x14ac:dyDescent="0.25">
      <c r="D82" s="64"/>
      <c r="E82" s="83"/>
      <c r="G82" s="64"/>
    </row>
    <row r="83" spans="4:7" ht="14.4" customHeight="1" x14ac:dyDescent="0.25">
      <c r="D83" s="64"/>
      <c r="E83" s="83"/>
      <c r="G83" s="64"/>
    </row>
    <row r="84" spans="4:7" ht="14.4" customHeight="1" x14ac:dyDescent="0.25">
      <c r="D84" s="64"/>
      <c r="E84" s="83"/>
      <c r="G84" s="64"/>
    </row>
    <row r="85" spans="4:7" ht="14.4" customHeight="1" x14ac:dyDescent="0.25">
      <c r="D85" s="64"/>
      <c r="E85" s="83"/>
      <c r="G85" s="64"/>
    </row>
    <row r="86" spans="4:7" ht="14.4" customHeight="1" x14ac:dyDescent="0.25">
      <c r="D86" s="64"/>
      <c r="E86" s="83"/>
      <c r="G86" s="64"/>
    </row>
    <row r="87" spans="4:7" ht="14.4" customHeight="1" x14ac:dyDescent="0.25">
      <c r="D87" s="64"/>
      <c r="E87" s="83"/>
      <c r="G87" s="64"/>
    </row>
    <row r="88" spans="4:7" ht="14.4" customHeight="1" x14ac:dyDescent="0.25">
      <c r="D88" s="64"/>
      <c r="E88" s="83"/>
      <c r="G88" s="64"/>
    </row>
    <row r="89" spans="4:7" ht="14.4" customHeight="1" x14ac:dyDescent="0.25">
      <c r="D89" s="64"/>
      <c r="E89" s="83"/>
      <c r="G89" s="64"/>
    </row>
    <row r="90" spans="4:7" ht="14.4" customHeight="1" x14ac:dyDescent="0.25">
      <c r="D90" s="64"/>
      <c r="E90" s="83"/>
      <c r="G90" s="64"/>
    </row>
    <row r="91" spans="4:7" ht="14.4" customHeight="1" x14ac:dyDescent="0.25">
      <c r="D91" s="64"/>
      <c r="E91" s="83"/>
      <c r="G91" s="64"/>
    </row>
    <row r="92" spans="4:7" ht="14.4" customHeight="1" x14ac:dyDescent="0.25">
      <c r="D92" s="64"/>
      <c r="E92" s="83"/>
      <c r="G92" s="64"/>
    </row>
    <row r="93" spans="4:7" ht="14.4" customHeight="1" x14ac:dyDescent="0.25">
      <c r="D93" s="64"/>
      <c r="E93" s="83"/>
      <c r="G93" s="64"/>
    </row>
    <row r="94" spans="4:7" ht="14.4" customHeight="1" x14ac:dyDescent="0.25">
      <c r="D94" s="64"/>
      <c r="E94" s="83"/>
      <c r="G94" s="64"/>
    </row>
    <row r="95" spans="4:7" ht="14.4" customHeight="1" x14ac:dyDescent="0.25">
      <c r="D95" s="64"/>
      <c r="E95" s="83"/>
      <c r="G95" s="64"/>
    </row>
    <row r="96" spans="4:7" ht="14.4" customHeight="1" x14ac:dyDescent="0.25">
      <c r="D96" s="64"/>
      <c r="E96" s="83"/>
      <c r="G96" s="64"/>
    </row>
    <row r="97" spans="4:7" ht="14.4" customHeight="1" x14ac:dyDescent="0.25">
      <c r="D97" s="64"/>
      <c r="E97" s="83"/>
      <c r="G97" s="64"/>
    </row>
    <row r="98" spans="4:7" ht="14.4" customHeight="1" x14ac:dyDescent="0.25">
      <c r="D98" s="64"/>
      <c r="E98" s="83"/>
      <c r="G98" s="64"/>
    </row>
    <row r="99" spans="4:7" ht="14.4" customHeight="1" x14ac:dyDescent="0.25">
      <c r="D99" s="64"/>
      <c r="E99" s="83"/>
      <c r="G99" s="64"/>
    </row>
    <row r="100" spans="4:7" ht="14.4" customHeight="1" x14ac:dyDescent="0.25">
      <c r="D100" s="64"/>
      <c r="E100" s="83"/>
      <c r="G100" s="64"/>
    </row>
    <row r="101" spans="4:7" ht="14.4" customHeight="1" x14ac:dyDescent="0.25">
      <c r="D101" s="64"/>
      <c r="E101" s="83"/>
      <c r="G101" s="64"/>
    </row>
    <row r="102" spans="4:7" ht="14.4" customHeight="1" x14ac:dyDescent="0.25">
      <c r="D102" s="64"/>
      <c r="E102" s="83"/>
      <c r="G102" s="64"/>
    </row>
    <row r="103" spans="4:7" ht="14.4" customHeight="1" x14ac:dyDescent="0.25">
      <c r="D103" s="64"/>
      <c r="E103" s="83"/>
      <c r="G103" s="64"/>
    </row>
    <row r="104" spans="4:7" ht="14.4" customHeight="1" x14ac:dyDescent="0.25">
      <c r="D104" s="64"/>
      <c r="E104" s="83"/>
      <c r="G104" s="64"/>
    </row>
    <row r="105" spans="4:7" ht="14.4" customHeight="1" x14ac:dyDescent="0.25">
      <c r="D105" s="64"/>
      <c r="E105" s="83"/>
      <c r="G105" s="64"/>
    </row>
    <row r="106" spans="4:7" ht="14.4" customHeight="1" x14ac:dyDescent="0.25">
      <c r="D106" s="64"/>
      <c r="E106" s="83"/>
      <c r="G106" s="64"/>
    </row>
    <row r="107" spans="4:7" ht="14.4" customHeight="1" x14ac:dyDescent="0.25">
      <c r="D107" s="64"/>
      <c r="E107" s="83"/>
      <c r="G107" s="64"/>
    </row>
    <row r="108" spans="4:7" ht="14.4" customHeight="1" x14ac:dyDescent="0.25">
      <c r="D108" s="64"/>
      <c r="E108" s="83"/>
      <c r="G108" s="64"/>
    </row>
    <row r="109" spans="4:7" ht="14.4" customHeight="1" x14ac:dyDescent="0.25">
      <c r="D109" s="64"/>
      <c r="E109" s="83"/>
      <c r="G109" s="64"/>
    </row>
    <row r="110" spans="4:7" ht="14.4" customHeight="1" x14ac:dyDescent="0.25">
      <c r="D110" s="64"/>
      <c r="E110" s="83"/>
      <c r="G110" s="64"/>
    </row>
    <row r="111" spans="4:7" ht="14.4" customHeight="1" x14ac:dyDescent="0.25">
      <c r="D111" s="64"/>
      <c r="E111" s="83"/>
      <c r="G111" s="64"/>
    </row>
    <row r="112" spans="4: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32:D32"/>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54</v>
      </c>
      <c r="B1" s="120"/>
      <c r="C1" s="120"/>
      <c r="D1" s="120"/>
      <c r="E1" s="120"/>
      <c r="F1" s="120"/>
      <c r="G1" s="120"/>
      <c r="H1" s="120"/>
      <c r="I1" s="120"/>
      <c r="J1" s="120"/>
    </row>
    <row r="2" spans="1:10" x14ac:dyDescent="0.25">
      <c r="A2" s="142" t="s">
        <v>55</v>
      </c>
      <c r="B2" s="120"/>
      <c r="C2" s="120"/>
      <c r="D2" s="120"/>
      <c r="E2" s="120"/>
      <c r="F2" s="120"/>
      <c r="G2" s="145">
        <v>2017</v>
      </c>
      <c r="H2" s="120"/>
      <c r="I2" s="120"/>
      <c r="J2" s="120"/>
    </row>
    <row r="3" spans="1:10" ht="12.75" customHeight="1" x14ac:dyDescent="0.25">
      <c r="A3" s="142" t="s">
        <v>56</v>
      </c>
      <c r="B3" s="120"/>
      <c r="C3" s="142" t="s">
        <v>57</v>
      </c>
      <c r="D3" s="120"/>
      <c r="E3" s="142" t="s">
        <v>58</v>
      </c>
      <c r="F3" s="120"/>
      <c r="G3" s="142" t="s">
        <v>59</v>
      </c>
      <c r="H3" s="120"/>
      <c r="I3" s="142" t="s">
        <v>60</v>
      </c>
      <c r="J3" s="120"/>
    </row>
    <row r="4" spans="1:10" ht="21.6" customHeight="1" x14ac:dyDescent="0.25">
      <c r="A4" s="57" t="s">
        <v>61</v>
      </c>
      <c r="B4" s="86">
        <v>0.68162999999999996</v>
      </c>
      <c r="C4" s="57" t="s">
        <v>36</v>
      </c>
      <c r="D4" s="87">
        <v>0.79090000000000005</v>
      </c>
      <c r="E4" s="57" t="s">
        <v>41</v>
      </c>
      <c r="F4" s="86">
        <v>0.79290000000000005</v>
      </c>
      <c r="G4" s="57" t="s">
        <v>42</v>
      </c>
      <c r="H4" s="86">
        <v>0.21446400000000002</v>
      </c>
      <c r="I4" s="57"/>
      <c r="J4" s="88"/>
    </row>
    <row r="5" spans="1:10" ht="15.75" customHeight="1" x14ac:dyDescent="0.25">
      <c r="A5" s="57" t="s">
        <v>62</v>
      </c>
      <c r="B5" s="86">
        <v>0.35159100000000004</v>
      </c>
      <c r="C5" s="57" t="s">
        <v>63</v>
      </c>
      <c r="D5" s="87">
        <v>0.70950000000000002</v>
      </c>
      <c r="E5" s="57" t="s">
        <v>64</v>
      </c>
      <c r="F5" s="87">
        <v>15.154299999999999</v>
      </c>
      <c r="G5" s="57" t="s">
        <v>65</v>
      </c>
      <c r="H5" s="86">
        <v>8.1008999999999998E-2</v>
      </c>
      <c r="I5" s="57"/>
      <c r="J5" s="88"/>
    </row>
    <row r="6" spans="1:10" ht="15" customHeight="1" x14ac:dyDescent="0.25">
      <c r="A6" s="57" t="s">
        <v>66</v>
      </c>
      <c r="B6" s="86">
        <v>0.65216099999999999</v>
      </c>
      <c r="C6" s="57" t="s">
        <v>39</v>
      </c>
      <c r="D6" s="89">
        <v>0.13719999999999999</v>
      </c>
      <c r="E6" s="57" t="s">
        <v>67</v>
      </c>
      <c r="F6" s="87">
        <v>11.652100000000001</v>
      </c>
      <c r="G6" s="57" t="s">
        <v>45</v>
      </c>
      <c r="H6" s="86">
        <v>0.12046799999999999</v>
      </c>
      <c r="I6" s="57"/>
      <c r="J6" s="88"/>
    </row>
    <row r="7" spans="1:10" ht="14.25" customHeight="1" x14ac:dyDescent="0.25">
      <c r="A7" s="57" t="s">
        <v>38</v>
      </c>
      <c r="B7" s="89">
        <v>1.0942568545393712</v>
      </c>
      <c r="C7" s="57" t="s">
        <v>68</v>
      </c>
      <c r="D7" s="89">
        <v>2.8128000000000002</v>
      </c>
      <c r="E7" s="57" t="s">
        <v>69</v>
      </c>
      <c r="F7" s="87">
        <v>1.5147999999999999</v>
      </c>
      <c r="G7" s="57" t="s">
        <v>70</v>
      </c>
      <c r="H7" s="86">
        <v>6.3535999999999995E-2</v>
      </c>
      <c r="I7" s="57"/>
      <c r="J7" s="88"/>
    </row>
    <row r="8" spans="1:10" x14ac:dyDescent="0.25">
      <c r="A8" s="57"/>
      <c r="B8" s="90"/>
      <c r="C8" s="57"/>
      <c r="D8" s="91"/>
      <c r="E8" s="57" t="s">
        <v>71</v>
      </c>
      <c r="F8" s="87">
        <v>0.51090000000000002</v>
      </c>
      <c r="G8" s="57"/>
      <c r="H8" s="90"/>
      <c r="I8" s="57"/>
      <c r="J8" s="90"/>
    </row>
    <row r="9" spans="1:10" ht="13.5" customHeight="1" x14ac:dyDescent="0.25">
      <c r="A9" s="144" t="s">
        <v>72</v>
      </c>
      <c r="B9" s="120"/>
      <c r="C9" s="120"/>
      <c r="D9" s="120"/>
      <c r="E9" s="120"/>
      <c r="F9" s="120"/>
      <c r="G9" s="120"/>
      <c r="H9" s="120"/>
      <c r="I9" s="120"/>
      <c r="J9" s="120"/>
    </row>
    <row r="10" spans="1:10" ht="13.5" customHeight="1" x14ac:dyDescent="0.25">
      <c r="A10" s="142" t="s">
        <v>73</v>
      </c>
      <c r="B10" s="120"/>
      <c r="C10" s="120"/>
      <c r="D10" s="120"/>
      <c r="E10" s="120"/>
      <c r="F10" s="120"/>
      <c r="G10" s="146">
        <v>2017</v>
      </c>
      <c r="H10" s="120"/>
      <c r="I10" s="120"/>
      <c r="J10" s="120"/>
    </row>
    <row r="11" spans="1:10" x14ac:dyDescent="0.25">
      <c r="A11" s="142" t="s">
        <v>74</v>
      </c>
      <c r="B11" s="120"/>
      <c r="C11" s="142" t="s">
        <v>75</v>
      </c>
      <c r="D11" s="120"/>
      <c r="E11" s="142" t="s">
        <v>76</v>
      </c>
      <c r="F11" s="120"/>
      <c r="G11" s="120"/>
      <c r="H11" s="120"/>
      <c r="I11" s="120"/>
      <c r="J11" s="120"/>
    </row>
    <row r="12" spans="1:10" ht="14.25" customHeight="1" x14ac:dyDescent="0.25">
      <c r="A12" s="57" t="s">
        <v>77</v>
      </c>
      <c r="B12" s="92">
        <v>79.244951333399996</v>
      </c>
      <c r="C12" s="57" t="s">
        <v>78</v>
      </c>
      <c r="D12" s="89">
        <v>207.4150235903</v>
      </c>
      <c r="E12" s="147" t="s">
        <v>79</v>
      </c>
      <c r="F12" s="120"/>
      <c r="G12" s="120"/>
      <c r="H12" s="148">
        <v>164.45788444159999</v>
      </c>
      <c r="I12" s="120"/>
      <c r="J12" s="120"/>
    </row>
    <row r="13" spans="1:10" ht="14.25" customHeight="1" x14ac:dyDescent="0.25">
      <c r="A13" s="57" t="s">
        <v>80</v>
      </c>
      <c r="B13" s="92">
        <v>19.283075719999999</v>
      </c>
      <c r="C13" s="57" t="s">
        <v>81</v>
      </c>
      <c r="D13" s="89">
        <v>191.21079547389999</v>
      </c>
      <c r="E13" s="147" t="s">
        <v>82</v>
      </c>
      <c r="F13" s="120"/>
      <c r="G13" s="120"/>
      <c r="H13" s="148">
        <v>2.0048582553999998</v>
      </c>
      <c r="I13" s="120"/>
      <c r="J13" s="120"/>
    </row>
    <row r="14" spans="1:10" ht="14.25" customHeight="1" x14ac:dyDescent="0.25">
      <c r="A14" s="57" t="s">
        <v>83</v>
      </c>
      <c r="B14" s="92">
        <v>1.3024530459999999</v>
      </c>
      <c r="C14" s="57" t="s">
        <v>84</v>
      </c>
      <c r="D14" s="89">
        <v>162.9320399746</v>
      </c>
      <c r="E14" s="147" t="s">
        <v>85</v>
      </c>
      <c r="F14" s="120"/>
      <c r="G14" s="120"/>
      <c r="H14" s="148">
        <v>166.46274269700001</v>
      </c>
      <c r="I14" s="120"/>
      <c r="J14" s="120"/>
    </row>
    <row r="15" spans="1:10" ht="14.25" customHeight="1" x14ac:dyDescent="0.25">
      <c r="A15" s="57" t="s">
        <v>86</v>
      </c>
      <c r="B15" s="92">
        <v>241.3777972362</v>
      </c>
      <c r="C15" s="57" t="s">
        <v>87</v>
      </c>
      <c r="D15" s="89">
        <v>1.9025068165000001</v>
      </c>
      <c r="E15" s="147" t="s">
        <v>88</v>
      </c>
      <c r="F15" s="120"/>
      <c r="G15" s="120"/>
      <c r="H15" s="148">
        <v>22.777133900900001</v>
      </c>
      <c r="I15" s="120"/>
      <c r="J15" s="120"/>
    </row>
    <row r="16" spans="1:10" ht="14.25" customHeight="1" x14ac:dyDescent="0.25">
      <c r="A16" s="57" t="s">
        <v>89</v>
      </c>
      <c r="B16" s="92">
        <v>24.279373328600002</v>
      </c>
      <c r="C16" s="57" t="s">
        <v>90</v>
      </c>
      <c r="D16" s="89">
        <v>9.4046821947999995</v>
      </c>
      <c r="E16" s="147" t="s">
        <v>91</v>
      </c>
      <c r="F16" s="120"/>
      <c r="G16" s="120"/>
      <c r="H16" s="148">
        <v>5.2425366199000001</v>
      </c>
      <c r="I16" s="120"/>
      <c r="J16" s="120"/>
    </row>
    <row r="17" spans="1:10" ht="14.25" customHeight="1" x14ac:dyDescent="0.25">
      <c r="A17" s="57" t="s">
        <v>92</v>
      </c>
      <c r="B17" s="92">
        <v>6.3892605355999992</v>
      </c>
      <c r="C17" s="57" t="s">
        <v>93</v>
      </c>
      <c r="D17" s="89">
        <v>9.9573672723000008</v>
      </c>
      <c r="E17" s="147" t="s">
        <v>94</v>
      </c>
      <c r="F17" s="120"/>
      <c r="G17" s="120"/>
      <c r="H17" s="148">
        <v>139.29952696549998</v>
      </c>
      <c r="I17" s="120"/>
      <c r="J17" s="120"/>
    </row>
    <row r="18" spans="1:10" ht="14.25" customHeight="1" x14ac:dyDescent="0.25">
      <c r="A18" s="57" t="s">
        <v>95</v>
      </c>
      <c r="B18" s="92">
        <v>430.54398179419996</v>
      </c>
      <c r="C18" s="57" t="s">
        <v>96</v>
      </c>
      <c r="D18" s="89">
        <v>16.8023862085</v>
      </c>
      <c r="E18" s="147" t="s">
        <v>97</v>
      </c>
      <c r="F18" s="120"/>
      <c r="G18" s="120"/>
      <c r="H18" s="148">
        <v>27.163215731499999</v>
      </c>
      <c r="I18" s="120"/>
      <c r="J18" s="120"/>
    </row>
    <row r="19" spans="1:10" ht="14.25" customHeight="1" x14ac:dyDescent="0.25">
      <c r="A19" s="57" t="s">
        <v>98</v>
      </c>
      <c r="B19" s="92">
        <v>50.056017716000007</v>
      </c>
      <c r="C19" s="57" t="s">
        <v>99</v>
      </c>
      <c r="D19" s="89">
        <v>16.623644430100001</v>
      </c>
      <c r="E19" s="147" t="s">
        <v>100</v>
      </c>
      <c r="F19" s="120"/>
      <c r="G19" s="120"/>
      <c r="H19" s="148">
        <v>-16.345061124499999</v>
      </c>
      <c r="I19" s="120"/>
      <c r="J19" s="120"/>
    </row>
    <row r="20" spans="1:10" ht="27" customHeight="1" x14ac:dyDescent="0.25">
      <c r="A20" s="57" t="s">
        <v>101</v>
      </c>
      <c r="B20" s="92">
        <v>7.39</v>
      </c>
      <c r="C20" s="57" t="s">
        <v>43</v>
      </c>
      <c r="D20" s="89">
        <v>15.402772372399999</v>
      </c>
      <c r="E20" s="147" t="s">
        <v>102</v>
      </c>
      <c r="F20" s="120"/>
      <c r="G20" s="120"/>
      <c r="H20" s="148">
        <v>14.474</v>
      </c>
      <c r="I20" s="120"/>
      <c r="J20" s="120"/>
    </row>
    <row r="21" spans="1:10" ht="16.5" customHeight="1" x14ac:dyDescent="0.25">
      <c r="A21" s="57" t="s">
        <v>103</v>
      </c>
      <c r="B21" s="92">
        <v>0</v>
      </c>
      <c r="C21" s="57"/>
      <c r="D21" s="93"/>
      <c r="E21" s="147" t="s">
        <v>104</v>
      </c>
      <c r="F21" s="120"/>
      <c r="G21" s="120"/>
      <c r="H21" s="148">
        <v>68.883480267400003</v>
      </c>
      <c r="I21" s="120"/>
      <c r="J21" s="120"/>
    </row>
    <row r="22" spans="1:10" ht="14.25" customHeight="1" x14ac:dyDescent="0.25">
      <c r="A22" s="57" t="s">
        <v>105</v>
      </c>
      <c r="B22" s="92">
        <v>5.4859999999999998</v>
      </c>
      <c r="C22" s="57"/>
      <c r="D22" s="93"/>
      <c r="E22" s="147" t="s">
        <v>106</v>
      </c>
      <c r="F22" s="120"/>
      <c r="G22" s="120"/>
      <c r="H22" s="148">
        <v>0</v>
      </c>
      <c r="I22" s="120"/>
      <c r="J22" s="120"/>
    </row>
    <row r="23" spans="1:10" ht="14.25" customHeight="1" x14ac:dyDescent="0.25">
      <c r="A23" s="57" t="s">
        <v>107</v>
      </c>
      <c r="B23" s="92">
        <v>84.554971988000005</v>
      </c>
      <c r="C23" s="57"/>
      <c r="D23" s="93"/>
      <c r="E23" s="147" t="s">
        <v>108</v>
      </c>
      <c r="F23" s="120"/>
      <c r="G23" s="120"/>
      <c r="H23" s="148">
        <v>96.364702847399997</v>
      </c>
      <c r="I23" s="120"/>
      <c r="J23" s="120"/>
    </row>
    <row r="24" spans="1:10" ht="14.25" customHeight="1" x14ac:dyDescent="0.25">
      <c r="A24" s="57" t="s">
        <v>109</v>
      </c>
      <c r="B24" s="92">
        <v>293.47152571300001</v>
      </c>
      <c r="C24" s="94"/>
      <c r="D24" s="91"/>
      <c r="E24" s="147" t="s">
        <v>110</v>
      </c>
      <c r="F24" s="120"/>
      <c r="G24" s="120"/>
      <c r="H24" s="148">
        <v>67.818628883599999</v>
      </c>
      <c r="I24" s="120"/>
      <c r="J24" s="120"/>
    </row>
    <row r="25" spans="1:10" ht="14.25" customHeight="1" x14ac:dyDescent="0.25">
      <c r="A25" s="57" t="s">
        <v>111</v>
      </c>
      <c r="B25" s="92">
        <v>137.07245608120002</v>
      </c>
      <c r="C25" s="94"/>
      <c r="D25" s="91"/>
      <c r="E25" s="147" t="s">
        <v>112</v>
      </c>
      <c r="F25" s="120"/>
      <c r="G25" s="120"/>
      <c r="H25" s="148">
        <v>87.804123698400005</v>
      </c>
      <c r="I25" s="120"/>
      <c r="J25" s="120"/>
    </row>
    <row r="26" spans="1:10" ht="14.25" customHeight="1" x14ac:dyDescent="0.25">
      <c r="A26" s="95" t="s">
        <v>113</v>
      </c>
      <c r="B26" s="92">
        <v>430.54398179419996</v>
      </c>
      <c r="C26" s="94"/>
      <c r="D26" s="91"/>
      <c r="E26" s="147" t="s">
        <v>114</v>
      </c>
      <c r="F26" s="120"/>
      <c r="G26" s="120"/>
      <c r="H26" s="148">
        <v>8.5605791490000005</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185</v>
      </c>
      <c r="B1" s="124"/>
      <c r="C1" s="124"/>
      <c r="D1" s="124"/>
      <c r="E1" s="124"/>
      <c r="F1" s="124"/>
      <c r="G1" s="124"/>
      <c r="H1" s="124"/>
      <c r="I1" s="124"/>
    </row>
    <row r="2" spans="1:10" ht="46.5" customHeight="1" x14ac:dyDescent="0.25">
      <c r="A2" s="54" t="s">
        <v>22</v>
      </c>
      <c r="B2" s="43" t="s">
        <v>245</v>
      </c>
      <c r="C2" s="43" t="s">
        <v>186</v>
      </c>
      <c r="D2" s="43" t="s">
        <v>256</v>
      </c>
      <c r="E2" s="43" t="s">
        <v>194</v>
      </c>
      <c r="F2" s="43" t="s">
        <v>257</v>
      </c>
      <c r="G2" s="43" t="s">
        <v>258</v>
      </c>
      <c r="H2" s="43" t="s">
        <v>259</v>
      </c>
      <c r="I2" s="43" t="s">
        <v>260</v>
      </c>
      <c r="J2" s="43" t="s">
        <v>261</v>
      </c>
    </row>
    <row r="3" spans="1:10" x14ac:dyDescent="0.25">
      <c r="A3" s="54" t="s">
        <v>24</v>
      </c>
      <c r="B3" s="97" t="s">
        <v>25</v>
      </c>
      <c r="C3" s="98" t="s">
        <v>187</v>
      </c>
      <c r="D3" s="97" t="s">
        <v>25</v>
      </c>
      <c r="E3" s="97" t="s">
        <v>25</v>
      </c>
      <c r="F3" s="97" t="s">
        <v>25</v>
      </c>
      <c r="G3" s="97" t="s">
        <v>25</v>
      </c>
      <c r="H3" s="97" t="s">
        <v>25</v>
      </c>
      <c r="I3" s="97" t="s">
        <v>25</v>
      </c>
      <c r="J3" s="97" t="s">
        <v>25</v>
      </c>
    </row>
    <row r="4" spans="1:10" s="7" customFormat="1" ht="21.6" x14ac:dyDescent="0.25">
      <c r="A4" s="9" t="s">
        <v>3</v>
      </c>
      <c r="B4" s="99" t="s">
        <v>246</v>
      </c>
      <c r="C4" s="98" t="s">
        <v>187</v>
      </c>
      <c r="D4" s="99" t="s">
        <v>246</v>
      </c>
      <c r="E4" s="99" t="s">
        <v>246</v>
      </c>
      <c r="F4" s="99" t="s">
        <v>246</v>
      </c>
      <c r="G4" s="99" t="s">
        <v>246</v>
      </c>
      <c r="H4" s="99" t="s">
        <v>246</v>
      </c>
      <c r="I4" s="99" t="s">
        <v>246</v>
      </c>
      <c r="J4" s="99" t="s">
        <v>246</v>
      </c>
    </row>
    <row r="5" spans="1:10" s="7" customFormat="1" x14ac:dyDescent="0.25">
      <c r="A5" s="9" t="s">
        <v>29</v>
      </c>
      <c r="B5" s="100" t="s">
        <v>30</v>
      </c>
      <c r="C5" s="98" t="s">
        <v>187</v>
      </c>
      <c r="D5" s="100" t="s">
        <v>30</v>
      </c>
      <c r="E5" s="100" t="s">
        <v>30</v>
      </c>
      <c r="F5" s="100" t="s">
        <v>30</v>
      </c>
      <c r="G5" s="100" t="s">
        <v>30</v>
      </c>
      <c r="H5" s="100" t="s">
        <v>30</v>
      </c>
      <c r="I5" s="100" t="s">
        <v>30</v>
      </c>
      <c r="J5" s="100" t="s">
        <v>30</v>
      </c>
    </row>
    <row r="6" spans="1:10" x14ac:dyDescent="0.25">
      <c r="A6" s="54" t="s">
        <v>32</v>
      </c>
      <c r="B6" s="101">
        <v>430.54398179419996</v>
      </c>
      <c r="C6" s="98">
        <v>2107.8148539783142</v>
      </c>
      <c r="D6" s="101">
        <v>1420.0951192255</v>
      </c>
      <c r="E6" s="101">
        <v>794.70855290809993</v>
      </c>
      <c r="F6" s="101">
        <v>2621.1132585657001</v>
      </c>
      <c r="G6" s="101">
        <v>2153.8840812865001</v>
      </c>
      <c r="H6" s="101">
        <v>3325.3970940366999</v>
      </c>
      <c r="I6" s="101">
        <v>2877.6959161413001</v>
      </c>
      <c r="J6" s="101">
        <v>1561.8099556843999</v>
      </c>
    </row>
    <row r="7" spans="1:10" x14ac:dyDescent="0.25">
      <c r="A7" s="54" t="s">
        <v>34</v>
      </c>
      <c r="B7" s="44">
        <v>0.68162999999999996</v>
      </c>
      <c r="C7" s="98">
        <v>0.77692528571428565</v>
      </c>
      <c r="D7" s="44">
        <v>0.8000790000000001</v>
      </c>
      <c r="E7" s="44">
        <v>0.70748500000000003</v>
      </c>
      <c r="F7" s="44">
        <v>0.78914100000000009</v>
      </c>
      <c r="G7" s="44">
        <v>0.83549400000000007</v>
      </c>
      <c r="H7" s="44">
        <v>0.79461599999999999</v>
      </c>
      <c r="I7" s="44">
        <v>0.73585899999999993</v>
      </c>
      <c r="J7" s="44">
        <v>0.77580299999999991</v>
      </c>
    </row>
    <row r="8" spans="1:10" x14ac:dyDescent="0.25">
      <c r="A8" s="54" t="s">
        <v>36</v>
      </c>
      <c r="B8" s="101">
        <v>0.79090000000000005</v>
      </c>
      <c r="C8" s="98">
        <v>0.7703714285714286</v>
      </c>
      <c r="D8" s="101">
        <v>0.68200000000000005</v>
      </c>
      <c r="E8" s="101">
        <v>0.877</v>
      </c>
      <c r="F8" s="101">
        <v>0.66590000000000005</v>
      </c>
      <c r="G8" s="101">
        <v>0.5635</v>
      </c>
      <c r="H8" s="101">
        <v>0.88070000000000004</v>
      </c>
      <c r="I8" s="101">
        <v>1.0124</v>
      </c>
      <c r="J8" s="101">
        <v>0.71109999999999995</v>
      </c>
    </row>
    <row r="9" spans="1:10" x14ac:dyDescent="0.25">
      <c r="A9" s="54" t="s">
        <v>38</v>
      </c>
      <c r="B9" s="97">
        <v>1.0942568545393712</v>
      </c>
      <c r="C9" s="98">
        <v>2.3019709158905806</v>
      </c>
      <c r="D9" s="97">
        <v>2.1510145143779673</v>
      </c>
      <c r="E9" s="97">
        <v>1.5379599146659311</v>
      </c>
      <c r="F9" s="97">
        <v>2.5418535799789979</v>
      </c>
      <c r="G9" s="97">
        <v>3.029775480902015</v>
      </c>
      <c r="H9" s="97">
        <v>2.8863166125488671</v>
      </c>
      <c r="I9" s="97">
        <v>1.8815074348153999</v>
      </c>
      <c r="J9" s="97">
        <v>2.0853688739448843</v>
      </c>
    </row>
    <row r="10" spans="1:10" ht="21.6" customHeight="1" x14ac:dyDescent="0.25">
      <c r="A10" s="54" t="s">
        <v>39</v>
      </c>
      <c r="B10" s="101">
        <v>0.13719999999999999</v>
      </c>
      <c r="C10" s="98">
        <v>8.3742857142857147E-2</v>
      </c>
      <c r="D10" s="101">
        <v>7.4700000000000003E-2</v>
      </c>
      <c r="E10" s="101">
        <v>6.54E-2</v>
      </c>
      <c r="F10" s="101">
        <v>0.151</v>
      </c>
      <c r="G10" s="101">
        <v>7.5600000000000001E-2</v>
      </c>
      <c r="H10" s="101">
        <v>4.0500000000000001E-2</v>
      </c>
      <c r="I10" s="101">
        <v>8.7599999999999997E-2</v>
      </c>
      <c r="J10" s="101">
        <v>9.1399999999999995E-2</v>
      </c>
    </row>
    <row r="11" spans="1:10" x14ac:dyDescent="0.25">
      <c r="A11" s="54" t="s">
        <v>40</v>
      </c>
      <c r="B11" s="101">
        <v>207.4150235903</v>
      </c>
      <c r="C11" s="98">
        <v>1179.9830801485284</v>
      </c>
      <c r="D11" s="101">
        <v>412.35044218830001</v>
      </c>
      <c r="E11" s="101">
        <v>861.14439167720002</v>
      </c>
      <c r="F11" s="101">
        <v>1029.1762109844001</v>
      </c>
      <c r="G11" s="101">
        <v>1607.2921187608999</v>
      </c>
      <c r="H11" s="101">
        <v>1600.5876847343</v>
      </c>
      <c r="I11" s="101">
        <v>1990.840411831</v>
      </c>
      <c r="J11" s="101">
        <v>758.49030086360005</v>
      </c>
    </row>
    <row r="12" spans="1:10" s="7" customFormat="1" x14ac:dyDescent="0.25">
      <c r="A12" s="9" t="s">
        <v>41</v>
      </c>
      <c r="B12" s="45">
        <v>0.79290000000000005</v>
      </c>
      <c r="C12" s="98">
        <v>1.0576285714285714</v>
      </c>
      <c r="D12" s="45">
        <v>1.0349999999999999</v>
      </c>
      <c r="E12" s="45">
        <v>0.81079999999999997</v>
      </c>
      <c r="F12" s="45">
        <v>1.1795</v>
      </c>
      <c r="G12" s="45">
        <v>0.83460000000000012</v>
      </c>
      <c r="H12" s="45">
        <v>1.2176</v>
      </c>
      <c r="I12" s="45">
        <v>1.2012</v>
      </c>
      <c r="J12" s="45">
        <v>1.1247</v>
      </c>
    </row>
    <row r="13" spans="1:10" s="7" customFormat="1" x14ac:dyDescent="0.25">
      <c r="A13" s="9" t="s">
        <v>42</v>
      </c>
      <c r="B13" s="45">
        <v>0.21446400000000002</v>
      </c>
      <c r="C13" s="98">
        <v>0.15843442857142856</v>
      </c>
      <c r="D13" s="45">
        <v>0.218198</v>
      </c>
      <c r="E13" s="45">
        <v>6.3847000000000001E-2</v>
      </c>
      <c r="F13" s="45">
        <v>0.14080700000000002</v>
      </c>
      <c r="G13" s="45">
        <v>0.11524</v>
      </c>
      <c r="H13" s="45">
        <v>0.17169399999999999</v>
      </c>
      <c r="I13" s="45">
        <v>0.157585</v>
      </c>
      <c r="J13" s="45">
        <v>0.24167000000000002</v>
      </c>
    </row>
    <row r="14" spans="1:10" s="7" customFormat="1" x14ac:dyDescent="0.25">
      <c r="A14" s="9" t="s">
        <v>43</v>
      </c>
      <c r="B14" s="102">
        <v>15.402772372399999</v>
      </c>
      <c r="C14" s="98">
        <v>7.764885066342857</v>
      </c>
      <c r="D14" s="102">
        <v>11.664812079200001</v>
      </c>
      <c r="E14" s="102">
        <v>0.34686421249999999</v>
      </c>
      <c r="F14" s="102">
        <v>7.2778195397000003</v>
      </c>
      <c r="G14" s="102">
        <v>1.6266281182</v>
      </c>
      <c r="H14" s="102">
        <v>0.39900776999999998</v>
      </c>
      <c r="I14" s="102">
        <v>19.657794414200001</v>
      </c>
      <c r="J14" s="102">
        <v>13.381269330599999</v>
      </c>
    </row>
    <row r="15" spans="1:10" x14ac:dyDescent="0.25">
      <c r="A15" s="54" t="s">
        <v>45</v>
      </c>
      <c r="B15" s="44">
        <v>0.12046799999999999</v>
      </c>
      <c r="C15" s="98">
        <v>-1.8285428571428571E-2</v>
      </c>
      <c r="D15" s="44">
        <v>3.5980000000000001E-3</v>
      </c>
      <c r="E15" s="44">
        <v>-2.3736999999999998E-2</v>
      </c>
      <c r="F15" s="44">
        <v>-3.6240000000000001E-3</v>
      </c>
      <c r="G15" s="44">
        <v>-5.5087000000000004E-2</v>
      </c>
      <c r="H15" s="44">
        <v>1.3364000000000001E-2</v>
      </c>
      <c r="I15" s="44">
        <v>-0.119932</v>
      </c>
      <c r="J15" s="44">
        <v>5.7419999999999999E-2</v>
      </c>
    </row>
    <row r="16" spans="1:10" s="7" customFormat="1" ht="25.8" customHeight="1" x14ac:dyDescent="0.25">
      <c r="A16" s="9" t="s">
        <v>46</v>
      </c>
      <c r="B16" s="102">
        <v>27.163215731499999</v>
      </c>
      <c r="C16" s="98">
        <v>93.650343788357148</v>
      </c>
      <c r="D16" s="102">
        <v>83.412336296199996</v>
      </c>
      <c r="E16" s="102">
        <v>34.865705461600001</v>
      </c>
      <c r="F16" s="102">
        <v>58.973768185399997</v>
      </c>
      <c r="G16" s="102">
        <v>46.541765145200003</v>
      </c>
      <c r="H16" s="102">
        <v>152.5682597103</v>
      </c>
      <c r="I16" s="102">
        <v>125.91412250469999</v>
      </c>
      <c r="J16" s="102">
        <v>153.2764492151</v>
      </c>
    </row>
    <row r="17" spans="1:10" x14ac:dyDescent="0.25">
      <c r="A17" s="54" t="s">
        <v>60</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6"/>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188</v>
      </c>
      <c r="B1" s="124"/>
      <c r="C1" s="124"/>
      <c r="D1" s="124"/>
      <c r="E1" s="124"/>
      <c r="F1" s="124"/>
    </row>
    <row r="2" spans="1:6" x14ac:dyDescent="0.25">
      <c r="A2" s="51" t="s">
        <v>189</v>
      </c>
      <c r="B2" s="50" t="s">
        <v>190</v>
      </c>
      <c r="C2" s="50" t="s">
        <v>191</v>
      </c>
      <c r="D2" s="50" t="s">
        <v>192</v>
      </c>
      <c r="E2" s="50" t="s">
        <v>166</v>
      </c>
      <c r="F2" s="50" t="s">
        <v>193</v>
      </c>
    </row>
    <row r="3" spans="1:6" ht="48" customHeight="1" x14ac:dyDescent="0.25">
      <c r="A3" s="104">
        <v>43462</v>
      </c>
      <c r="B3" s="52" t="s">
        <v>194</v>
      </c>
      <c r="C3" s="105" t="s">
        <v>195</v>
      </c>
      <c r="D3" s="105"/>
      <c r="E3" s="52" t="s">
        <v>169</v>
      </c>
      <c r="F3" s="105" t="s">
        <v>196</v>
      </c>
    </row>
    <row r="4" spans="1:6" ht="49.5" customHeight="1" x14ac:dyDescent="0.25">
      <c r="A4" s="104">
        <v>43427</v>
      </c>
      <c r="B4" s="52" t="s">
        <v>197</v>
      </c>
      <c r="C4" s="105" t="s">
        <v>198</v>
      </c>
      <c r="D4" s="105"/>
      <c r="E4" s="52" t="s">
        <v>169</v>
      </c>
      <c r="F4" s="105" t="s">
        <v>199</v>
      </c>
    </row>
    <row r="5" spans="1:6" ht="34.200000000000003" x14ac:dyDescent="0.25">
      <c r="A5" s="104">
        <v>43285</v>
      </c>
      <c r="B5" s="52" t="s">
        <v>200</v>
      </c>
      <c r="C5" s="105"/>
      <c r="D5" s="105" t="s">
        <v>201</v>
      </c>
      <c r="E5" s="52" t="s">
        <v>202</v>
      </c>
      <c r="F5" s="105" t="s">
        <v>203</v>
      </c>
    </row>
    <row r="6" spans="1:6" ht="34.200000000000003" x14ac:dyDescent="0.25">
      <c r="A6" s="104">
        <v>43256</v>
      </c>
      <c r="B6" s="52" t="s">
        <v>204</v>
      </c>
      <c r="C6" s="105"/>
      <c r="D6" s="105" t="s">
        <v>201</v>
      </c>
      <c r="E6" s="52" t="s">
        <v>205</v>
      </c>
      <c r="F6" s="105" t="s">
        <v>206</v>
      </c>
    </row>
    <row r="7" spans="1:6" ht="79.8" x14ac:dyDescent="0.25">
      <c r="A7" s="104">
        <v>43242</v>
      </c>
      <c r="B7" s="52" t="s">
        <v>207</v>
      </c>
      <c r="C7" s="105" t="s">
        <v>198</v>
      </c>
      <c r="D7" s="105"/>
      <c r="E7" s="52" t="s">
        <v>208</v>
      </c>
      <c r="F7" s="105" t="s">
        <v>209</v>
      </c>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3" spans="1:6" x14ac:dyDescent="0.25">
      <c r="A23" s="143" t="s">
        <v>210</v>
      </c>
      <c r="B23" s="143"/>
      <c r="C23" s="143"/>
      <c r="D23" s="143"/>
      <c r="E23" s="143"/>
      <c r="F23" s="143"/>
    </row>
    <row r="24" spans="1:6" x14ac:dyDescent="0.25">
      <c r="A24" s="84" t="s">
        <v>189</v>
      </c>
      <c r="B24" s="84" t="s">
        <v>190</v>
      </c>
      <c r="C24" s="84" t="s">
        <v>211</v>
      </c>
      <c r="D24" s="84" t="s">
        <v>212</v>
      </c>
      <c r="E24" s="84" t="s">
        <v>166</v>
      </c>
      <c r="F24" s="84" t="s">
        <v>193</v>
      </c>
    </row>
    <row r="25" spans="1:6" x14ac:dyDescent="0.25">
      <c r="A25" s="107">
        <v>43516</v>
      </c>
      <c r="B25" s="58" t="s">
        <v>213</v>
      </c>
      <c r="C25" s="108" t="s">
        <v>214</v>
      </c>
      <c r="D25" s="108"/>
      <c r="E25" s="58" t="s">
        <v>208</v>
      </c>
      <c r="F25" s="108" t="s">
        <v>215</v>
      </c>
    </row>
    <row r="26" spans="1:6" x14ac:dyDescent="0.25">
      <c r="A26" s="107">
        <v>43287</v>
      </c>
      <c r="B26" s="58" t="s">
        <v>216</v>
      </c>
      <c r="C26" s="108" t="s">
        <v>217</v>
      </c>
      <c r="D26" s="108"/>
      <c r="E26" s="58" t="s">
        <v>218</v>
      </c>
      <c r="F26" s="108" t="s">
        <v>219</v>
      </c>
    </row>
  </sheetData>
  <mergeCells count="2">
    <mergeCell ref="A1:F1"/>
    <mergeCell ref="A23:F23"/>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220</v>
      </c>
      <c r="B1" s="124"/>
      <c r="C1" s="124"/>
      <c r="D1" s="124"/>
      <c r="E1" s="124"/>
      <c r="F1" s="124"/>
      <c r="G1" s="124"/>
      <c r="H1" s="124"/>
      <c r="I1" s="124"/>
      <c r="J1" s="124"/>
      <c r="K1" s="124"/>
      <c r="L1" s="124"/>
      <c r="M1" s="124"/>
      <c r="N1" s="124"/>
    </row>
    <row r="2" spans="1:18" s="1" customFormat="1" ht="25.5" customHeight="1" x14ac:dyDescent="0.25">
      <c r="A2" s="55" t="s">
        <v>221</v>
      </c>
      <c r="B2" s="55" t="s">
        <v>222</v>
      </c>
      <c r="C2" s="55" t="s">
        <v>223</v>
      </c>
      <c r="D2" s="55" t="s">
        <v>224</v>
      </c>
      <c r="E2" s="55" t="s">
        <v>225</v>
      </c>
      <c r="F2" s="55" t="s">
        <v>226</v>
      </c>
      <c r="G2" s="55" t="s">
        <v>227</v>
      </c>
      <c r="H2" s="55" t="s">
        <v>16</v>
      </c>
      <c r="I2" s="55" t="s">
        <v>228</v>
      </c>
      <c r="J2" s="55" t="s">
        <v>229</v>
      </c>
      <c r="K2" s="55" t="s">
        <v>230</v>
      </c>
      <c r="L2" s="55" t="s">
        <v>231</v>
      </c>
      <c r="M2" s="55" t="s">
        <v>19</v>
      </c>
      <c r="N2" s="55" t="s">
        <v>232</v>
      </c>
      <c r="O2" s="3"/>
      <c r="P2" s="110" t="str">
        <f ca="1">Q2</f>
        <v>2019-04-10</v>
      </c>
      <c r="Q2" s="1" t="str">
        <f ca="1">[1]!td(R2-1)</f>
        <v>2019-04-10</v>
      </c>
      <c r="R2" s="3">
        <f ca="1">TODAY()</f>
        <v>43566</v>
      </c>
    </row>
    <row r="3" spans="1:18" ht="15.75" customHeight="1" x14ac:dyDescent="0.25">
      <c r="A3" s="111" t="str">
        <f>[1]!b_info_name(L3)</f>
        <v>19天安煤业MTN002</v>
      </c>
      <c r="B3" s="2" t="str">
        <f>[1]!b_issue_firstissue(L3)</f>
        <v>2019-04-12</v>
      </c>
      <c r="C3" s="111">
        <f>[1]!b_info_term(L3)</f>
        <v>3</v>
      </c>
      <c r="D3" s="112" t="str">
        <f>[1]!issuerrating(L3)</f>
        <v>AAA</v>
      </c>
      <c r="E3" s="112" t="str">
        <f>[1]!b_info_creditrating(L3)</f>
        <v>AAA</v>
      </c>
      <c r="F3" s="111" t="str">
        <f>[1]!b_rate_creditratingagency(L3)</f>
        <v>中诚信国际信用评级有限责任公司</v>
      </c>
      <c r="G3" s="113">
        <f>[1]!b_agency_guarantor(L3)</f>
        <v>0</v>
      </c>
      <c r="H3" s="114" t="s">
        <v>233</v>
      </c>
      <c r="I3" s="66"/>
      <c r="J3" s="115" t="s">
        <v>233</v>
      </c>
      <c r="K3" s="116"/>
      <c r="L3" s="41" t="str">
        <f>公式页!A2</f>
        <v>q19041003.IB</v>
      </c>
      <c r="M3" s="114" t="s">
        <v>233</v>
      </c>
      <c r="N3" s="111" t="str">
        <f>[1]!b_agency_leadunderwriter(L3)</f>
        <v>中国民生银行股份有限公司</v>
      </c>
      <c r="P3" s="109" t="str">
        <f t="shared" ref="P3:P29" ca="1" si="0">$P$2</f>
        <v>2019-04-10</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3.6617000000000002</v>
      </c>
      <c r="K4" s="116">
        <f>K3</f>
        <v>0</v>
      </c>
      <c r="L4" s="4" t="s">
        <v>234</v>
      </c>
      <c r="M4" s="114">
        <f>[1]!b_info_issueamount(L4)/100000000</f>
        <v>5</v>
      </c>
      <c r="N4" s="111" t="str">
        <f>[1]!b_agency_leadunderwriter(L4)</f>
        <v>上海浦东发展银行股份有限公司,中国国际金融股份有限公司</v>
      </c>
      <c r="P4" s="109" t="str">
        <f t="shared" ca="1" si="0"/>
        <v>2019-04-10</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2019-04-10</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2019-04-10</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2019-04-10</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2019-04-10</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2019-04-10</v>
      </c>
    </row>
    <row r="10" spans="1:18" x14ac:dyDescent="0.25">
      <c r="P10" s="109" t="str">
        <f t="shared" ca="1" si="0"/>
        <v>2019-04-10</v>
      </c>
    </row>
    <row r="11" spans="1:18" x14ac:dyDescent="0.25">
      <c r="P11" s="109" t="str">
        <f t="shared" ca="1" si="0"/>
        <v>2019-04-10</v>
      </c>
    </row>
    <row r="12" spans="1:18" x14ac:dyDescent="0.25">
      <c r="A12" s="150" t="s">
        <v>235</v>
      </c>
      <c r="B12" s="124"/>
      <c r="C12" s="124"/>
      <c r="D12" s="124"/>
      <c r="E12" s="124"/>
      <c r="F12" s="124"/>
      <c r="G12" s="124"/>
      <c r="H12" s="124"/>
      <c r="I12" s="124"/>
      <c r="J12" s="124"/>
      <c r="K12" s="124"/>
      <c r="L12" s="124"/>
      <c r="M12" s="124"/>
      <c r="N12" s="124"/>
      <c r="P12" s="109" t="str">
        <f t="shared" ca="1" si="0"/>
        <v>2019-04-10</v>
      </c>
    </row>
    <row r="13" spans="1:18" s="1" customFormat="1" ht="43.2" customHeight="1" x14ac:dyDescent="0.25">
      <c r="A13" s="55" t="s">
        <v>221</v>
      </c>
      <c r="B13" s="55" t="s">
        <v>222</v>
      </c>
      <c r="C13" s="55" t="s">
        <v>223</v>
      </c>
      <c r="D13" s="55" t="s">
        <v>224</v>
      </c>
      <c r="E13" s="55" t="s">
        <v>225</v>
      </c>
      <c r="F13" s="55" t="s">
        <v>226</v>
      </c>
      <c r="G13" s="55" t="s">
        <v>227</v>
      </c>
      <c r="H13" s="55" t="s">
        <v>16</v>
      </c>
      <c r="I13" s="55" t="s">
        <v>228</v>
      </c>
      <c r="J13" s="55" t="s">
        <v>229</v>
      </c>
      <c r="K13" s="55" t="s">
        <v>230</v>
      </c>
      <c r="L13" s="55" t="s">
        <v>231</v>
      </c>
      <c r="M13" s="55" t="s">
        <v>19</v>
      </c>
      <c r="N13" s="55" t="s">
        <v>232</v>
      </c>
      <c r="P13" s="109" t="str">
        <f t="shared" ca="1" si="0"/>
        <v>2019-04-10</v>
      </c>
    </row>
    <row r="14" spans="1:18" ht="15.75" customHeight="1" x14ac:dyDescent="0.25">
      <c r="A14" s="111" t="str">
        <f>[1]!b_info_name(L14)</f>
        <v>19天安煤业MTN002</v>
      </c>
      <c r="B14" s="2" t="str">
        <f>[1]!b_issue_firstissue(L14)</f>
        <v>2019-04-12</v>
      </c>
      <c r="C14" s="111">
        <f>[1]!b_info_term(L14)</f>
        <v>3</v>
      </c>
      <c r="D14" s="112" t="str">
        <f>[1]!issuerrating(L14)</f>
        <v>AAA</v>
      </c>
      <c r="E14" s="112" t="str">
        <f>[1]!b_info_creditrating(L14)</f>
        <v>AAA</v>
      </c>
      <c r="F14" s="111" t="str">
        <f>[1]!b_rate_creditratingagency(L14)</f>
        <v>中诚信国际信用评级有限责任公司</v>
      </c>
      <c r="G14" s="113">
        <f>[1]!b_agency_guarantor(L14)</f>
        <v>0</v>
      </c>
      <c r="H14" s="114" t="s">
        <v>233</v>
      </c>
      <c r="I14" s="66"/>
      <c r="J14" s="115" t="s">
        <v>233</v>
      </c>
      <c r="K14" s="116">
        <f>K3</f>
        <v>0</v>
      </c>
      <c r="L14" s="42" t="str">
        <f>L3</f>
        <v>q19041003.IB</v>
      </c>
      <c r="M14" s="114" t="s">
        <v>233</v>
      </c>
      <c r="N14" s="111" t="str">
        <f>[1]!b_agency_leadunderwriter(L14)</f>
        <v>中国民生银行股份有限公司</v>
      </c>
      <c r="P14" s="109" t="str">
        <f t="shared" ca="1" si="0"/>
        <v>2019-04-10</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236</v>
      </c>
      <c r="M15" s="114">
        <f>[1]!b_info_issueamount(L15)/100000000</f>
        <v>5</v>
      </c>
      <c r="N15" s="111" t="str">
        <f>[1]!b_agency_leadunderwriter(L15)</f>
        <v>招商银行股份有限公司</v>
      </c>
      <c r="O15" t="str">
        <f>[1]!b_issuer_windindustry(L15,4)</f>
        <v>西药</v>
      </c>
      <c r="P15" s="109" t="str">
        <f t="shared" ca="1" si="0"/>
        <v>2019-04-10</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237</v>
      </c>
      <c r="M16" s="114">
        <f>[1]!b_info_issueamount(L16)/100000000</f>
        <v>6</v>
      </c>
      <c r="N16" s="111" t="str">
        <f>[1]!b_agency_leadunderwriter(L16)</f>
        <v>北京银行股份有限公司</v>
      </c>
      <c r="O16" t="str">
        <f>[1]!b_issuer_windindustry(L16,4)</f>
        <v>化肥与农用化工</v>
      </c>
      <c r="P16" s="109" t="str">
        <f t="shared" ca="1" si="0"/>
        <v>2019-04-10</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238</v>
      </c>
      <c r="M17" s="114">
        <f>[1]!b_info_issueamount(L17)/100000000</f>
        <v>3.5</v>
      </c>
      <c r="N17" s="111" t="str">
        <f>[1]!b_agency_leadunderwriter(L17)</f>
        <v>华夏银行股份有限公司</v>
      </c>
      <c r="O17" t="str">
        <f>[1]!b_issuer_windindustry(L17,4)</f>
        <v>食品加工与肉类</v>
      </c>
      <c r="P17" s="109" t="str">
        <f t="shared" ca="1" si="0"/>
        <v>2019-04-10</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239</v>
      </c>
      <c r="M18" s="114">
        <f>[1]!b_info_issueamount(L18)/100000000</f>
        <v>3</v>
      </c>
      <c r="N18" s="111" t="str">
        <f>[1]!b_agency_leadunderwriter(L18)</f>
        <v>兴业银行股份有限公司</v>
      </c>
      <c r="O18" t="str">
        <f>[1]!b_issuer_windindustry(L18,4)</f>
        <v>工业机械</v>
      </c>
      <c r="P18" s="109" t="str">
        <f t="shared" ca="1" si="0"/>
        <v>2019-04-10</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240</v>
      </c>
      <c r="M19" s="114">
        <f>[1]!b_info_issueamount(L19)/100000000</f>
        <v>3</v>
      </c>
      <c r="N19" s="111" t="str">
        <f>[1]!b_agency_leadunderwriter(L19)</f>
        <v>中国银行股份有限公司</v>
      </c>
      <c r="O19" t="str">
        <f>[1]!b_issuer_windindustry(L19,4)</f>
        <v>半导体产品</v>
      </c>
      <c r="P19" s="109" t="str">
        <f t="shared" ca="1" si="0"/>
        <v>2019-04-10</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241</v>
      </c>
      <c r="M20" s="114">
        <f>[1]!b_info_issueamount(L20)/100000000</f>
        <v>5</v>
      </c>
      <c r="N20" s="111" t="str">
        <f>[1]!b_agency_leadunderwriter(L20)</f>
        <v>中国银行股份有限公司</v>
      </c>
      <c r="O20" t="str">
        <f>[1]!b_issuer_windindustry(L20,4)</f>
        <v>医疗保健用品</v>
      </c>
      <c r="P20" s="109" t="str">
        <f t="shared" ca="1" si="0"/>
        <v>2019-04-10</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242</v>
      </c>
      <c r="M21" s="114">
        <f>[1]!b_info_issueamount(L21)/100000000</f>
        <v>2</v>
      </c>
      <c r="N21" s="111" t="str">
        <f>[1]!b_agency_leadunderwriter(L21)</f>
        <v>中国银行股份有限公司</v>
      </c>
      <c r="O21" t="str">
        <f>[1]!b_issuer_windindustry(L21,4)</f>
        <v>食品加工与肉类</v>
      </c>
      <c r="P21" s="109" t="str">
        <f t="shared" ca="1" si="0"/>
        <v>2019-04-10</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243</v>
      </c>
      <c r="M22" s="114">
        <f>[1]!b_info_issueamount(L22)/100000000</f>
        <v>4</v>
      </c>
      <c r="N22" s="111" t="str">
        <f>[1]!b_agency_leadunderwriter(L22)</f>
        <v>中国工商银行股份有限公司</v>
      </c>
      <c r="O22" t="str">
        <f>[1]!b_issuer_windindustry(L22,4)</f>
        <v>酒店、度假村与豪华游轮</v>
      </c>
      <c r="P22" s="109" t="str">
        <f t="shared" ca="1" si="0"/>
        <v>2019-04-10</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244</v>
      </c>
      <c r="M23" s="114">
        <f>[1]!b_info_issueamount(L23)/100000000</f>
        <v>4</v>
      </c>
      <c r="N23" s="111" t="str">
        <f>[1]!b_agency_leadunderwriter(L23)</f>
        <v>中国银行股份有限公司</v>
      </c>
      <c r="O23" t="str">
        <f>[1]!b_issuer_windindustry(L23,4)</f>
        <v>金属非金属</v>
      </c>
      <c r="P23" s="109" t="str">
        <f t="shared" ca="1" si="0"/>
        <v>2019-04-10</v>
      </c>
    </row>
    <row r="24" spans="1:16" x14ac:dyDescent="0.25">
      <c r="P24" s="109" t="str">
        <f t="shared" ca="1" si="0"/>
        <v>2019-04-10</v>
      </c>
    </row>
    <row r="25" spans="1:16" x14ac:dyDescent="0.25">
      <c r="P25" s="109" t="str">
        <f t="shared" ca="1" si="0"/>
        <v>2019-04-10</v>
      </c>
    </row>
    <row r="26" spans="1:16" x14ac:dyDescent="0.25">
      <c r="P26" s="109" t="str">
        <f t="shared" ca="1" si="0"/>
        <v>2019-04-10</v>
      </c>
    </row>
    <row r="27" spans="1:16" x14ac:dyDescent="0.25">
      <c r="P27" s="109" t="str">
        <f t="shared" ca="1" si="0"/>
        <v>2019-04-10</v>
      </c>
    </row>
    <row r="28" spans="1:16" x14ac:dyDescent="0.25">
      <c r="P28" s="109" t="str">
        <f t="shared" ca="1" si="0"/>
        <v>2019-04-10</v>
      </c>
    </row>
    <row r="29" spans="1:16" x14ac:dyDescent="0.25">
      <c r="P29" s="109" t="str">
        <f t="shared" ca="1" si="0"/>
        <v>2019-04-10</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2019-04-11T08:03:02Z</dcterms:modified>
</cp:coreProperties>
</file>