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B343E120-36E9-4B1A-90BF-996ABD5D6C17}"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0" i="1"/>
  <c r="M138" i="1"/>
  <c r="M136" i="1"/>
  <c r="S134" i="1"/>
  <c r="O133" i="1"/>
  <c r="M132" i="1"/>
  <c r="M130" i="1"/>
  <c r="O129" i="1"/>
  <c r="S128" i="1"/>
  <c r="S111" i="1"/>
  <c r="D111" i="1"/>
  <c r="S109" i="1"/>
  <c r="D109" i="1"/>
  <c r="R103" i="1"/>
  <c r="N103" i="1"/>
  <c r="G102" i="1"/>
  <c r="O23" i="6"/>
  <c r="F21" i="6"/>
  <c r="C20" i="6"/>
  <c r="M17" i="6"/>
  <c r="G16" i="6"/>
  <c r="D15" i="6"/>
  <c r="C14" i="6"/>
  <c r="H9" i="6"/>
  <c r="F7" i="6"/>
  <c r="G6" i="6"/>
  <c r="H5" i="6"/>
  <c r="G3" i="6"/>
  <c r="S141" i="1"/>
  <c r="S139" i="1"/>
  <c r="S137" i="1"/>
  <c r="S135" i="1"/>
  <c r="O134" i="1"/>
  <c r="M133" i="1"/>
  <c r="S131" i="1"/>
  <c r="M129" i="1"/>
  <c r="O128" i="1"/>
  <c r="S127" i="1"/>
  <c r="M121" i="1"/>
  <c r="M120" i="1"/>
  <c r="M119" i="1"/>
  <c r="M118" i="1"/>
  <c r="M117" i="1"/>
  <c r="M116" i="1"/>
  <c r="F112" i="1"/>
  <c r="M111" i="1"/>
  <c r="F110" i="1"/>
  <c r="M109" i="1"/>
  <c r="Q103" i="1"/>
  <c r="M103" i="1"/>
  <c r="H23" i="6"/>
  <c r="E22" i="6"/>
  <c r="B21" i="6"/>
  <c r="O19" i="6"/>
  <c r="F17" i="6"/>
  <c r="C16" i="6"/>
  <c r="D9" i="6"/>
  <c r="E8" i="6"/>
  <c r="B7" i="6"/>
  <c r="C6" i="6"/>
  <c r="D5" i="6"/>
  <c r="E4" i="6"/>
  <c r="C3" i="6"/>
  <c r="M141" i="1"/>
  <c r="M139" i="1"/>
  <c r="M137" i="1"/>
  <c r="O135" i="1"/>
  <c r="M134" i="1"/>
  <c r="S132" i="1"/>
  <c r="O131" i="1"/>
  <c r="S130" i="1"/>
  <c r="M128" i="1"/>
  <c r="O127" i="1"/>
  <c r="M123" i="1"/>
  <c r="F113" i="1"/>
  <c r="D112" i="1"/>
  <c r="S110" i="1"/>
  <c r="D110" i="1"/>
  <c r="D23" i="6"/>
  <c r="E18" i="6"/>
  <c r="N9" i="6"/>
  <c r="A8" i="6"/>
  <c r="N5" i="6"/>
  <c r="A4" i="6"/>
  <c r="M135" i="1"/>
  <c r="O130" i="1"/>
  <c r="M127" i="1"/>
  <c r="F111" i="1"/>
  <c r="L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A22" i="6"/>
  <c r="B17" i="6"/>
  <c r="S140" i="1"/>
  <c r="S133" i="1"/>
  <c r="S129" i="1"/>
  <c r="M110" i="1"/>
  <c r="J103"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N20" i="6"/>
  <c r="O15" i="6"/>
  <c r="M6" i="6"/>
  <c r="S138" i="1"/>
  <c r="O132" i="1"/>
  <c r="S112" i="1"/>
  <c r="P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H19" i="6"/>
  <c r="M131" i="1"/>
  <c r="O103" i="1"/>
  <c r="G101" i="1"/>
  <c r="E100" i="1"/>
  <c r="C99" i="1"/>
  <c r="R97" i="1"/>
  <c r="P96" i="1"/>
  <c r="C95" i="1"/>
  <c r="E92" i="1"/>
  <c r="G89" i="1"/>
  <c r="C87" i="1"/>
  <c r="E84" i="1"/>
  <c r="G81" i="1"/>
  <c r="C79" i="1"/>
  <c r="E76" i="1"/>
  <c r="G73" i="1"/>
  <c r="C71" i="1"/>
  <c r="E68" i="1"/>
  <c r="G65" i="1"/>
  <c r="C63" i="1"/>
  <c r="E60" i="1"/>
  <c r="G57" i="1"/>
  <c r="C55" i="1"/>
  <c r="G53" i="1"/>
  <c r="E52" i="1"/>
  <c r="C51" i="1"/>
  <c r="G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G87" i="1"/>
  <c r="G71" i="1"/>
  <c r="G63" i="1"/>
  <c r="E58" i="1"/>
  <c r="G52" i="1"/>
  <c r="C50" i="1"/>
  <c r="G47" i="1"/>
  <c r="G45" i="1"/>
  <c r="E44" i="1"/>
  <c r="E42" i="1"/>
  <c r="E40" i="1"/>
  <c r="C39" i="1"/>
  <c r="C37" i="1"/>
  <c r="G35" i="1"/>
  <c r="C31" i="1"/>
  <c r="N29" i="1"/>
  <c r="C29" i="1"/>
  <c r="L28" i="1"/>
  <c r="R27" i="1"/>
  <c r="G27" i="1"/>
  <c r="P26" i="1"/>
  <c r="E26" i="1"/>
  <c r="N25" i="1"/>
  <c r="P24" i="1"/>
  <c r="E24" i="1"/>
  <c r="N23" i="1"/>
  <c r="G23" i="1"/>
  <c r="R21" i="1"/>
  <c r="G21" i="1"/>
  <c r="P20" i="1"/>
  <c r="E20" i="1"/>
  <c r="N19" i="1"/>
  <c r="C19" i="1"/>
  <c r="R17" i="1"/>
  <c r="G17" i="1"/>
  <c r="C17" i="1"/>
  <c r="B16" i="1"/>
  <c r="J15" i="1"/>
  <c r="B14" i="1"/>
  <c r="B8" i="1"/>
  <c r="F109" i="1"/>
  <c r="E102" i="1"/>
  <c r="C101" i="1"/>
  <c r="R99" i="1"/>
  <c r="P98" i="1"/>
  <c r="N97" i="1"/>
  <c r="L96" i="1"/>
  <c r="E94" i="1"/>
  <c r="G91" i="1"/>
  <c r="C89" i="1"/>
  <c r="E86" i="1"/>
  <c r="G83" i="1"/>
  <c r="C81" i="1"/>
  <c r="E78" i="1"/>
  <c r="G75" i="1"/>
  <c r="C73" i="1"/>
  <c r="E70" i="1"/>
  <c r="G67" i="1"/>
  <c r="C65" i="1"/>
  <c r="E62" i="1"/>
  <c r="G59" i="1"/>
  <c r="C57" i="1"/>
  <c r="G54" i="1"/>
  <c r="E53" i="1"/>
  <c r="C52" i="1"/>
  <c r="G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B18" i="1"/>
  <c r="O17" i="1"/>
  <c r="J17" i="1"/>
  <c r="D17" i="1"/>
  <c r="G16" i="1"/>
  <c r="C16" i="1"/>
  <c r="P15" i="1"/>
  <c r="L15" i="1"/>
  <c r="E15" i="1"/>
  <c r="G14" i="1"/>
  <c r="C14" i="1"/>
  <c r="F10" i="1"/>
  <c r="F8" i="1"/>
  <c r="B6" i="1"/>
  <c r="B4" i="1"/>
  <c r="S136" i="1"/>
  <c r="N101" i="1"/>
  <c r="L100" i="1"/>
  <c r="G99" i="1"/>
  <c r="E98" i="1"/>
  <c r="C97" i="1"/>
  <c r="G95" i="1"/>
  <c r="C93" i="1"/>
  <c r="E90" i="1"/>
  <c r="C85" i="1"/>
  <c r="E82" i="1"/>
  <c r="G79" i="1"/>
  <c r="C77" i="1"/>
  <c r="E74" i="1"/>
  <c r="C69" i="1"/>
  <c r="E66" i="1"/>
  <c r="C61" i="1"/>
  <c r="G55" i="1"/>
  <c r="C54" i="1"/>
  <c r="E51" i="1"/>
  <c r="C49" i="1"/>
  <c r="E48" i="1"/>
  <c r="C47" i="1"/>
  <c r="E46" i="1"/>
  <c r="C45" i="1"/>
  <c r="G43" i="1"/>
  <c r="C43" i="1"/>
  <c r="G41" i="1"/>
  <c r="C41" i="1"/>
  <c r="G39" i="1"/>
  <c r="E38" i="1"/>
  <c r="G37" i="1"/>
  <c r="E36" i="1"/>
  <c r="C35" i="1"/>
  <c r="E34" i="1"/>
  <c r="G33" i="1"/>
  <c r="C33" i="1"/>
  <c r="E32" i="1"/>
  <c r="G31" i="1"/>
  <c r="E30" i="1"/>
  <c r="R29" i="1"/>
  <c r="G29" i="1"/>
  <c r="P28" i="1"/>
  <c r="E28" i="1"/>
  <c r="N27" i="1"/>
  <c r="C27" i="1"/>
  <c r="L26" i="1"/>
  <c r="R25" i="1"/>
  <c r="G25" i="1"/>
  <c r="C25" i="1"/>
  <c r="L24" i="1"/>
  <c r="R23" i="1"/>
  <c r="C23" i="1"/>
  <c r="E22" i="1"/>
  <c r="N21" i="1"/>
  <c r="C21" i="1"/>
  <c r="L20" i="1"/>
  <c r="R19" i="1"/>
  <c r="G19" i="1"/>
  <c r="E18" i="1"/>
  <c r="N17" i="1"/>
  <c r="F16" i="1"/>
  <c r="O15" i="1"/>
  <c r="D15" i="1"/>
  <c r="F14" i="1"/>
  <c r="B10" i="1"/>
  <c r="E5" i="1"/>
  <c r="R101" i="1"/>
  <c r="P100" i="1"/>
  <c r="N99" i="1"/>
  <c r="L98" i="1"/>
  <c r="G97" i="1"/>
  <c r="E96" i="1"/>
  <c r="G93" i="1"/>
  <c r="C91" i="1"/>
  <c r="E88" i="1"/>
  <c r="G85" i="1"/>
  <c r="C83" i="1"/>
  <c r="E80" i="1"/>
  <c r="G77" i="1"/>
  <c r="C75" i="1"/>
  <c r="E72" i="1"/>
  <c r="G69" i="1"/>
  <c r="C67" i="1"/>
  <c r="E64" i="1"/>
  <c r="G61" i="1"/>
  <c r="C59" i="1"/>
  <c r="E56" i="1"/>
  <c r="E54" i="1"/>
  <c r="C53" i="1"/>
  <c r="G51" i="1"/>
  <c r="E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H126" i="1" l="1"/>
  <c r="L22" i="1"/>
  <c r="P22" i="1"/>
  <c r="B121" i="1"/>
  <c r="M22" i="1"/>
  <c r="Q22" i="1"/>
  <c r="H112" i="1"/>
  <c r="D122" i="1"/>
  <c r="H128" i="1"/>
  <c r="N22" i="1"/>
  <c r="R22" i="1"/>
  <c r="B110" i="1"/>
  <c r="H119" i="1"/>
  <c r="H123" i="1"/>
  <c r="H130" i="1"/>
  <c r="J22" i="1"/>
  <c r="O22" i="1"/>
  <c r="B117" i="1"/>
  <c r="D120" i="1"/>
  <c r="B125" i="1"/>
  <c r="H110" i="1"/>
  <c r="D117" i="1"/>
  <c r="B118" i="1"/>
  <c r="H120" i="1"/>
  <c r="D121" i="1"/>
  <c r="H122" i="1"/>
  <c r="B124" i="1"/>
  <c r="D125" i="1"/>
  <c r="B127" i="1"/>
  <c r="B129" i="1"/>
  <c r="B131" i="1"/>
  <c r="B109" i="1"/>
  <c r="B111" i="1"/>
  <c r="B112" i="1"/>
  <c r="H117" i="1"/>
  <c r="D118" i="1"/>
  <c r="B119" i="1"/>
  <c r="H121" i="1"/>
  <c r="B123" i="1"/>
  <c r="D124" i="1"/>
  <c r="H125" i="1"/>
  <c r="H127" i="1"/>
  <c r="H129" i="1"/>
  <c r="H131" i="1"/>
  <c r="H109" i="1"/>
  <c r="H11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23" i="6"/>
  <c r="J5" i="6"/>
  <c r="J18" i="6"/>
  <c r="J20" i="6"/>
  <c r="J6" i="6"/>
  <c r="J19" i="6"/>
  <c r="J21" i="6"/>
  <c r="J7" i="6"/>
  <c r="J16" i="6"/>
</calcChain>
</file>

<file path=xl/sharedStrings.xml><?xml version="1.0" encoding="utf-8"?>
<sst xmlns="http://schemas.openxmlformats.org/spreadsheetml/2006/main" count="736" uniqueCount="400">
  <si>
    <t>d19041207.IB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</si>
  <si>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</si>
  <si>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</si>
  <si>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</si>
  <si>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</si>
  <si>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</si>
  <si>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</si>
  <si>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</si>
  <si>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</si>
  <si>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</si>
  <si>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</si>
  <si>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</si>
  <si>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</si>
  <si>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</si>
  <si>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</si>
  <si>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</si>
  <si>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</si>
  <si>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</si>
  <si>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</si>
  <si>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</si>
  <si>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</si>
  <si>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</si>
  <si>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</si>
  <si>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1182305.IB</t>
  </si>
  <si>
    <t>主体级别</t>
  </si>
  <si>
    <t>AA</t>
  </si>
  <si>
    <t>041651015.IB</t>
  </si>
  <si>
    <t>*选择性黏贴</t>
  </si>
  <si>
    <t>041554028.IB</t>
  </si>
  <si>
    <t>数据年度</t>
  </si>
  <si>
    <t>2017年</t>
  </si>
  <si>
    <t>1182268.IB</t>
  </si>
  <si>
    <t>总资产</t>
  </si>
  <si>
    <t>031586003.IB</t>
  </si>
  <si>
    <t>负债率</t>
  </si>
  <si>
    <t>125831.SH</t>
  </si>
  <si>
    <t>流动比率</t>
  </si>
  <si>
    <t>127144.SH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</si>
  <si>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</si>
  <si>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</si>
  <si>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</si>
  <si>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</si>
  <si>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</si>
  <si>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</si>
  <si>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</si>
  <si>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</si>
  <si>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</si>
  <si>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</si>
  <si>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</si>
  <si>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</si>
  <si>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</si>
  <si>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</si>
  <si>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</si>
  <si>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</si>
  <si>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</si>
  <si>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</si>
  <si>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</si>
  <si>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</si>
  <si>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</si>
  <si>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</si>
  <si>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</si>
  <si>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</si>
  <si>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</si>
  <si>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</si>
  <si>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</si>
  <si>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</si>
  <si>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</si>
  <si>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</si>
  <si>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</si>
  <si>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</si>
  <si>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</si>
  <si>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</si>
  <si>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</si>
  <si>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</si>
  <si>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</si>
  <si>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</si>
  <si>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</si>
  <si>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</si>
  <si>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</si>
  <si>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</si>
  <si>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</si>
  <si>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</si>
  <si>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</si>
  <si>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</si>
  <si>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</si>
  <si>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</si>
  <si>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</si>
  <si>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</si>
  <si>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</si>
  <si>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</si>
  <si>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</si>
  <si>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</si>
  <si>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</si>
  <si>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</si>
  <si>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</si>
  <si>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</si>
  <si>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</si>
  <si>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</si>
  <si>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</si>
  <si>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</si>
  <si>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</si>
  <si>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</si>
  <si>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</si>
  <si>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</si>
  <si>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</si>
  <si>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</si>
  <si>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</si>
  <si>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</si>
  <si>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</si>
  <si>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</si>
  <si>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</si>
  <si>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</si>
  <si>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</si>
  <si>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</si>
  <si>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</si>
  <si>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</si>
  <si>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</si>
  <si>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</si>
  <si>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</si>
  <si>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</si>
  <si>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</si>
  <si>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011900762.IB</t>
  </si>
  <si>
    <t>20190326</t>
  </si>
  <si>
    <t>19冀中峰峰SCP002</t>
  </si>
  <si>
    <t>011900445.IB</t>
  </si>
  <si>
    <t>20190225</t>
  </si>
  <si>
    <t>19冀中峰峰SCP001</t>
  </si>
  <si>
    <t>101900202.IB</t>
  </si>
  <si>
    <t>20190218</t>
  </si>
  <si>
    <t>19冀中峰峰MTN001</t>
  </si>
  <si>
    <t>101801273.IB</t>
  </si>
  <si>
    <t>20181130</t>
  </si>
  <si>
    <t>18冀中峰峰MTN004</t>
  </si>
  <si>
    <t>011802016.IB</t>
  </si>
  <si>
    <t>20181023</t>
  </si>
  <si>
    <t>18冀中峰峰SCP009</t>
  </si>
  <si>
    <t>101800964.IB</t>
  </si>
  <si>
    <t>20181015</t>
  </si>
  <si>
    <t>18冀中峰峰MTN003</t>
  </si>
  <si>
    <t>011801899.IB</t>
  </si>
  <si>
    <t>20181009</t>
  </si>
  <si>
    <t>18冀中峰峰SCP008</t>
  </si>
  <si>
    <t>011801874.IB</t>
  </si>
  <si>
    <t>20180926</t>
  </si>
  <si>
    <t>18冀中峰峰SCP007</t>
  </si>
  <si>
    <t>011801555.IB</t>
  </si>
  <si>
    <t>20180815</t>
  </si>
  <si>
    <t>18冀中峰峰SCP006</t>
  </si>
  <si>
    <t>101800838.IB</t>
  </si>
  <si>
    <t>20180801</t>
  </si>
  <si>
    <t>18冀中峰峰MTN002</t>
  </si>
  <si>
    <t>011801360.IB</t>
  </si>
  <si>
    <t>20180720</t>
  </si>
  <si>
    <t>18冀中峰峰SCP005</t>
  </si>
  <si>
    <t>011801266.IB</t>
  </si>
  <si>
    <t>20180710</t>
  </si>
  <si>
    <t>18冀中峰峰SCP004</t>
  </si>
  <si>
    <t>011801129.IB</t>
  </si>
  <si>
    <t>20180614</t>
  </si>
  <si>
    <t>18冀中峰峰SCP003</t>
  </si>
  <si>
    <t>011801066.IB</t>
  </si>
  <si>
    <t>20180606</t>
  </si>
  <si>
    <t>18冀中峰峰SCP002</t>
  </si>
  <si>
    <t>011801012.IB</t>
  </si>
  <si>
    <t>20180528</t>
  </si>
  <si>
    <t>18冀中峰峰SCP001</t>
  </si>
  <si>
    <t>101800086.IB</t>
  </si>
  <si>
    <t>20180423</t>
  </si>
  <si>
    <t>18冀中峰峰MTN001</t>
  </si>
  <si>
    <t>114312.SZ</t>
  </si>
  <si>
    <t>20180320</t>
  </si>
  <si>
    <t>18冀峰03</t>
  </si>
  <si>
    <t>114296.SZ</t>
  </si>
  <si>
    <t>20180130</t>
  </si>
  <si>
    <t>18冀峰01</t>
  </si>
  <si>
    <t>011754188.IB</t>
  </si>
  <si>
    <t>20171121</t>
  </si>
  <si>
    <t>17冀中峰峰SCP011</t>
  </si>
  <si>
    <t>011760176.IB</t>
  </si>
  <si>
    <t>20171114</t>
  </si>
  <si>
    <t>17冀中峰峰SCP010</t>
  </si>
  <si>
    <t>011755066.IB</t>
  </si>
  <si>
    <t>20171110</t>
  </si>
  <si>
    <t>17冀中峰峰SCP009</t>
  </si>
  <si>
    <t>101754067.IB</t>
  </si>
  <si>
    <t>20171027</t>
  </si>
  <si>
    <t>17冀中峰峰MTN001</t>
  </si>
  <si>
    <t>011760154.IB</t>
  </si>
  <si>
    <t>20171016</t>
  </si>
  <si>
    <t>17冀中峰峰SCP008</t>
  </si>
  <si>
    <t>011754146.IB</t>
  </si>
  <si>
    <t>20170914</t>
  </si>
  <si>
    <t>17冀中峰峰SCP007</t>
  </si>
  <si>
    <t>011754139.IB</t>
  </si>
  <si>
    <t>20170830</t>
  </si>
  <si>
    <t>17冀中峰峰SCP006</t>
  </si>
  <si>
    <t>011755044.IB</t>
  </si>
  <si>
    <t>20170802</t>
  </si>
  <si>
    <t>17冀中峰峰SCP005</t>
  </si>
  <si>
    <t>114189.SZ</t>
  </si>
  <si>
    <t>20170707</t>
  </si>
  <si>
    <t>17峰峰01</t>
  </si>
  <si>
    <t>011754092.IB</t>
  </si>
  <si>
    <t>20170614</t>
  </si>
  <si>
    <t>17冀中峰峰SCP004</t>
  </si>
  <si>
    <t>011754050.IB</t>
  </si>
  <si>
    <t>20170322</t>
  </si>
  <si>
    <t>17冀中峰峰SCP003</t>
  </si>
  <si>
    <t>011755007.IB</t>
  </si>
  <si>
    <t>20170123</t>
  </si>
  <si>
    <t>17冀中峰峰SCP002</t>
  </si>
  <si>
    <t>011761003.IB</t>
  </si>
  <si>
    <t>20170110</t>
  </si>
  <si>
    <t>17冀中峰峰SCP001</t>
  </si>
  <si>
    <t>011697005.IB</t>
  </si>
  <si>
    <t>20161209</t>
  </si>
  <si>
    <t>16冀中峰峰SCP011</t>
  </si>
  <si>
    <t>011698955.IB</t>
  </si>
  <si>
    <t>20161130</t>
  </si>
  <si>
    <t>16冀中峰峰SCP010</t>
  </si>
  <si>
    <t>011698895.IB</t>
  </si>
  <si>
    <t>20161123</t>
  </si>
  <si>
    <t>16冀中峰峰SCP009</t>
  </si>
  <si>
    <t>011698718.IB</t>
  </si>
  <si>
    <t>20161028</t>
  </si>
  <si>
    <t>16冀中峰峰SCP008</t>
  </si>
  <si>
    <t>011698344.IB</t>
  </si>
  <si>
    <t>20160823</t>
  </si>
  <si>
    <t>16冀中峰峰SCP007</t>
  </si>
  <si>
    <t>011699638.IB</t>
  </si>
  <si>
    <t>20160419</t>
  </si>
  <si>
    <t>16冀中峰峰SCP006</t>
  </si>
  <si>
    <t>011699477.IB</t>
  </si>
  <si>
    <t>20160317</t>
  </si>
  <si>
    <t>16冀中峰峰SCP005</t>
  </si>
  <si>
    <t>011699386.IB</t>
  </si>
  <si>
    <t>20160309</t>
  </si>
  <si>
    <t>16冀中峰峰SCP004</t>
  </si>
  <si>
    <t>011699295.IB</t>
  </si>
  <si>
    <t>20160226</t>
  </si>
  <si>
    <t>16冀中峰峰SCP003</t>
  </si>
  <si>
    <t>011699182.IB</t>
  </si>
  <si>
    <t>20160126</t>
  </si>
  <si>
    <t>16冀中峰峰SCP002</t>
  </si>
  <si>
    <t>011699045.IB</t>
  </si>
  <si>
    <t>20160112</t>
  </si>
  <si>
    <t>16冀中峰峰SCP001</t>
  </si>
  <si>
    <t>041556035.IB</t>
  </si>
  <si>
    <t>20150917</t>
  </si>
  <si>
    <t>15峰峰CP004</t>
  </si>
  <si>
    <t>041556031.IB</t>
  </si>
  <si>
    <t>20150827</t>
  </si>
  <si>
    <t>15峰峰CP003</t>
  </si>
  <si>
    <t>041556024.IB</t>
  </si>
  <si>
    <t>20150619</t>
  </si>
  <si>
    <t>15峰峰CP002</t>
  </si>
  <si>
    <t>041556012.IB</t>
  </si>
  <si>
    <t>20150422</t>
  </si>
  <si>
    <t>15峰峰CP001</t>
  </si>
  <si>
    <t>101553002.IB</t>
  </si>
  <si>
    <t>20150113</t>
  </si>
  <si>
    <t>15峰峰MTN001</t>
  </si>
  <si>
    <t>101453031.IB</t>
  </si>
  <si>
    <t>20141114</t>
  </si>
  <si>
    <t>14峰峰MTN001</t>
  </si>
  <si>
    <t>041456012.IB</t>
  </si>
  <si>
    <t>20140408</t>
  </si>
  <si>
    <t>14峰峰CP002</t>
  </si>
  <si>
    <t>041456002.IB</t>
  </si>
  <si>
    <t>20140116</t>
  </si>
  <si>
    <t>14峰峰CP001</t>
  </si>
  <si>
    <t>031390058.IB</t>
  </si>
  <si>
    <t>20130305</t>
  </si>
  <si>
    <t>13峰峰PPN001</t>
  </si>
  <si>
    <t>1182306.IB</t>
  </si>
  <si>
    <t>20111103</t>
  </si>
  <si>
    <t>11峰峰MTN2</t>
  </si>
  <si>
    <t>1182091.IB</t>
  </si>
  <si>
    <t>20110323</t>
  </si>
  <si>
    <t>11峰峰MTN1</t>
  </si>
  <si>
    <t>088029.IB</t>
  </si>
  <si>
    <t>20080828</t>
  </si>
  <si>
    <t>08峰峰债</t>
  </si>
  <si>
    <t>114297.SZ</t>
  </si>
  <si>
    <t>18冀峰02</t>
  </si>
  <si>
    <t>114313.SZ</t>
  </si>
  <si>
    <t>18冀峰04</t>
  </si>
  <si>
    <t>最新前五大股东（持股比例）</t>
  </si>
  <si>
    <t>历史主体评级</t>
  </si>
  <si>
    <t>发布日期</t>
  </si>
  <si>
    <t>主体资信级别</t>
  </si>
  <si>
    <t>评级展望</t>
  </si>
  <si>
    <t>评级机构</t>
  </si>
  <si>
    <t>20181212</t>
  </si>
  <si>
    <t>稳定</t>
  </si>
  <si>
    <t>东方金诚国际信用评估有限公司</t>
  </si>
  <si>
    <t>20181115</t>
  </si>
  <si>
    <t>20180813</t>
  </si>
  <si>
    <t>大公国际资信评估有限公司</t>
  </si>
  <si>
    <t>20180620</t>
  </si>
  <si>
    <t>20180125</t>
  </si>
  <si>
    <t>20171023</t>
  </si>
  <si>
    <t>20170711</t>
  </si>
  <si>
    <t>20160726</t>
  </si>
  <si>
    <t>20160114</t>
  </si>
  <si>
    <t>20150720</t>
  </si>
  <si>
    <t>20150115</t>
  </si>
  <si>
    <t>20140723</t>
  </si>
  <si>
    <t>20140228</t>
  </si>
  <si>
    <t>20130814</t>
  </si>
  <si>
    <t>20130726</t>
  </si>
  <si>
    <t>20130725</t>
  </si>
  <si>
    <t>AA-</t>
  </si>
  <si>
    <t>联合资信评估有限公司</t>
  </si>
  <si>
    <t>20121231</t>
  </si>
  <si>
    <t>20121220</t>
  </si>
  <si>
    <t>20120630</t>
  </si>
  <si>
    <t>20111228</t>
  </si>
  <si>
    <t>20110913</t>
  </si>
  <si>
    <t>20110105</t>
  </si>
  <si>
    <t>20101230</t>
  </si>
  <si>
    <t>20100112</t>
  </si>
  <si>
    <t>20080625</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</si>
  <si>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</si>
  <si>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</si>
  <si>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</si>
  <si>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</si>
  <si>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</si>
  <si>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</si>
  <si>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</si>
  <si>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</si>
  <si>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</si>
  <si>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开滦(集团)有限责任公司</t>
  </si>
  <si>
    <t>AA+正面上调至AAA稳定</t>
  </si>
  <si>
    <t>中诚信国际信用评级有限责任公司</t>
  </si>
  <si>
    <t>作为河北省第二大煤炭企业，公司煤炭资源储量丰富、煤种齐全，规模优势突出，区位优势显著。债务方面，近两年公司合理控制债务规模。外部支持方面，公司作为河北省重要的省属企业之一，可以得到政府的大力支持。</t>
  </si>
  <si>
    <t>淮北矿业(集团)有限责任公司</t>
  </si>
  <si>
    <t>AA+稳定上调至AAA稳定</t>
  </si>
  <si>
    <t>作为安徽省四大国有重点煤炭企业之一，公司煤炭资源储量丰富。近年来，公司主动控制债务规模，财务杠杆水平显著下降。公司子公司淮北矿业控股股份有限公司及子公司湖南雷鸣西部民爆有限公司通过非公开发行股票及支付现金收购淮矿股份，其整体上市有助于公司融资渠道拓展和资本实力的增强，此外，公司间接融资渠道畅通。</t>
  </si>
  <si>
    <t>新疆新鑫矿业股份有限公司</t>
  </si>
  <si>
    <t>AA负面上调至AA稳定</t>
  </si>
  <si>
    <t>上海新世纪资信评估投资服务有限公司</t>
  </si>
  <si>
    <t>受益于产品持续回升，跟踪期内公司经营压力逐步缓解，在产品产销量下滑情况下仍实现净利润较大程度的减亏，现金流持续好转，同时公司保持相对稳健的财务政策，中短期内债务风险可控。</t>
  </si>
  <si>
    <t>彬县煤炭有限责任公司</t>
  </si>
  <si>
    <t>鹏元资信评估有限公司</t>
  </si>
  <si>
    <t>公司煤矿煤炭资源储量较丰富，资产原煤产能扩大，公司自产原煤及甲醇业务收入大幅增长、盈利状况改善，经营活动现金流持续呈净流入状态。</t>
  </si>
  <si>
    <t>内蒙古伊泰煤炭股份有限公司</t>
  </si>
  <si>
    <t>在煤炭行业持续回暖、公司市场竞争力优势愈加显著等积极因素支持下，2015～2017年，公司盈利能力持续增强，财富创造能力不断增强；公司经营性净现金流持续增长、货币资金充裕、融资能力强，偿债来源能够为债务偿付提供可靠保障；有息债务规模持续增长，存在一定偿债压力，但偿债来源对存量债务的保障能力强，未来存在一定的债务增长空间，总债务偿还能力良好。综合来看，公司的抗风险能力极强。</t>
  </si>
  <si>
    <t>近一年来同行业发债企业主体评级下调情况</t>
  </si>
  <si>
    <t>主体资信级别下调</t>
  </si>
  <si>
    <t>主体评级展望下调</t>
  </si>
  <si>
    <t>北京京煤集团有限责任公司</t>
  </si>
  <si>
    <t>AA+稳定下调至AA稳定</t>
  </si>
  <si>
    <t>公司无偿划转子公司昊华能源使得公司重要业务板块规模大幅下降，业务范围缩小，削弱了京煤集团的整体抗风险能力，对公司的偿债能力将产生一定影响。</t>
  </si>
  <si>
    <t>永泰能源股份有限公司</t>
  </si>
  <si>
    <t>AA+稳定下调至CC负面</t>
  </si>
  <si>
    <t>违约，触发交叉保护条款。</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</si>
  <si>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</si>
  <si>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</si>
  <si>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</si>
  <si>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</si>
  <si>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</si>
  <si>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</si>
  <si>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</si>
  <si>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</si>
  <si>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</si>
  <si>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</si>
  <si>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</si>
  <si>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</si>
  <si>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</si>
  <si>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</si>
  <si>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</si>
  <si>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</si>
  <si>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</si>
  <si>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</si>
  <si>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</si>
  <si>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</si>
  <si>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</si>
  <si>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</si>
  <si>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</si>
  <si>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</si>
  <si>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</si>
  <si>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冀中能源峰峰集团有限公司</t>
  </si>
  <si>
    <t>地方国有企业</t>
  </si>
  <si>
    <t>能源--能源Ⅱ--石油、天然气与供消费用燃料--煤炭与消费用燃料</t>
  </si>
  <si>
    <t>河北省邯郸市峰峰矿区太中路2号</t>
  </si>
  <si>
    <t>冀中能源峰峰集团有限公司所处的峰峰矿区是我国最早开发利用的矿区之一。本集团是我国主焦煤和动力煤主要生产基地，煤炭品种齐全，品质优良。地处晋冀鲁豫四省交界，位置优越，交通便利，京广、邯济、邯长铁路、京珠、青兰高速公路和地区公路纵横矿区。周边百公里范围内分布着一批电力、钢铁、化工、建材等能源供应及耗能大型企业。峰峰集团是我国重要的焦煤和动力煤生产基地，从南到北赋存着焦煤、肥煤、瘦煤、无烟煤等品种，尤其是冶炼用焦煤属我国保护性稀缺煤种，被誉为“工业精粉”。目前已发展成为集煤炭采选、煤化工、电力、装备制造、建筑施工、现代物流等多产业综合发展的国有大型企业。</t>
  </si>
  <si>
    <t>冀中能源集团有限责任公司</t>
  </si>
  <si>
    <t>中国华融资产管理股份有限公司</t>
  </si>
  <si>
    <t/>
  </si>
  <si>
    <t>AAA</t>
  </si>
  <si>
    <t>A-1</t>
  </si>
  <si>
    <t>阜新矿业(集团)有限责任公司</t>
  </si>
  <si>
    <t>贵州水城矿业股份有限公司</t>
  </si>
  <si>
    <t>内蒙古双欣能源化工有限公司</t>
  </si>
  <si>
    <t>临沂矿业集团有限责任公司</t>
  </si>
  <si>
    <t>安徽省皖北煤电集团有限责任公司</t>
  </si>
  <si>
    <t>山东泰丰控股集团有限公司</t>
  </si>
  <si>
    <t>陕西黄河矿业(集团)有限责任公司</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</si>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</sst>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6">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22" fillId="0" borderId="0"/>
  </cellStyleXfs>
  <cellXfs count="164">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182" fontId="2" fillId="2" borderId="13" xfId="0" applyNumberFormat="1" applyFont="1" applyFill="1" applyBorder="1" applyAlignment="1">
      <alignment horizontal="center" vertical="center" wrapText="1"/>
    </xf>
    <xf numFmtId="182" fontId="2" fillId="2" borderId="15" xfId="0" applyNumberFormat="1" applyFont="1" applyFill="1" applyBorder="1" applyAlignment="1">
      <alignment horizontal="center" vertical="center" wrapText="1"/>
    </xf>
    <xf numFmtId="182" fontId="2" fillId="2" borderId="14" xfId="0" applyNumberFormat="1" applyFont="1" applyFill="1" applyBorder="1" applyAlignment="1">
      <alignment horizontal="center" vertical="center" wrapText="1"/>
    </xf>
    <xf numFmtId="0" fontId="2" fillId="0" borderId="1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181" fontId="2" fillId="2" borderId="13" xfId="0" applyNumberFormat="1" applyFont="1" applyFill="1" applyBorder="1" applyAlignment="1">
      <alignment horizontal="center" vertical="center" wrapText="1"/>
    </xf>
    <xf numFmtId="181" fontId="2" fillId="2" borderId="15" xfId="0" applyNumberFormat="1" applyFont="1" applyFill="1" applyBorder="1" applyAlignment="1">
      <alignment horizontal="center" vertical="center" wrapText="1"/>
    </xf>
    <xf numFmtId="181" fontId="2" fillId="2" borderId="14" xfId="0" applyNumberFormat="1" applyFont="1" applyFill="1" applyBorder="1" applyAlignment="1">
      <alignment horizontal="center" vertical="center" wrapText="1"/>
    </xf>
    <xf numFmtId="177" fontId="4" fillId="2" borderId="13" xfId="0" applyNumberFormat="1" applyFont="1" applyFill="1" applyBorder="1" applyAlignment="1">
      <alignment horizontal="right" vertical="center" wrapText="1"/>
    </xf>
    <xf numFmtId="177" fontId="4" fillId="2" borderId="15" xfId="0" applyNumberFormat="1" applyFont="1" applyFill="1" applyBorder="1" applyAlignment="1">
      <alignment horizontal="right" vertical="center" wrapText="1"/>
    </xf>
    <xf numFmtId="177" fontId="4" fillId="2" borderId="14" xfId="0" applyNumberFormat="1" applyFont="1" applyFill="1" applyBorder="1" applyAlignment="1">
      <alignment horizontal="righ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2" fillId="0" borderId="14" xfId="0" applyFont="1" applyBorder="1" applyAlignment="1">
      <alignment horizontal="left"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冀中能源峰峰集团有限公司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能源--能源Ⅱ--石油、天然气与供消费用燃料--煤炭与消费用燃料</v>
      </c>
      <c r="C5" s="120"/>
      <c r="D5" s="57" t="s">
        <v>5</v>
      </c>
      <c r="E5" s="119" t="str">
        <f>[1]!b_issuer_regaddress(A2)</f>
        <v>河北省邯郸市峰峰矿区太中路2号</v>
      </c>
      <c r="F5" s="120"/>
      <c r="G5" s="120"/>
    </row>
    <row r="6" spans="1:20" s="17" customFormat="1" ht="81" customHeight="1" x14ac:dyDescent="0.25">
      <c r="A6" s="57" t="s">
        <v>6</v>
      </c>
      <c r="B6" s="121" t="str">
        <f>[1]!s_info_briefing(A2)</f>
        <v>冀中能源峰峰集团有限公司所处的峰峰矿区是我国最早开发利用的矿区之一。本集团是我国主焦煤和动力煤主要生产基地，煤炭品种齐全，品质优良。地处晋冀鲁豫四省交界，位置优越，交通便利，京广、邯济、邯长铁路、京珠、青兰高速公路和地区公路纵横矿区。周边百公里范围内分布着一批电力、钢铁、化工、建材等能源供应及耗能大型企业。峰峰集团是我国重要的焦煤和动力煤生产基地，从南到北赋存着焦煤、肥煤、瘦煤、无烟煤等品种，尤其是冶炼用焦煤属我国保护性稀缺煤种，被誉为“工业精粉”。目前已发展成为集煤炭采选、煤化工、电力、装备制造、建筑施工、现代物流等多产业综合发展的国有大型企业。</v>
      </c>
      <c r="C6" s="120"/>
      <c r="D6" s="120"/>
      <c r="E6" s="120"/>
      <c r="F6" s="120"/>
      <c r="G6" s="120"/>
    </row>
    <row r="7" spans="1:20" s="17" customFormat="1" x14ac:dyDescent="0.25">
      <c r="A7" s="59" t="s">
        <v>7</v>
      </c>
      <c r="B7" s="122" t="str">
        <f>[1]!b_issuer_shareholder(A2,"",1)</f>
        <v>冀中能源集团有限责任公司</v>
      </c>
      <c r="C7" s="120"/>
      <c r="D7" s="120"/>
      <c r="E7" s="120"/>
      <c r="F7" s="61">
        <f>[1]!b_issuer_propofshareholder($A$2,"",1)%</f>
        <v>0.94680000305175782</v>
      </c>
      <c r="G7" s="60"/>
      <c r="H7" s="20" t="s">
        <v>8</v>
      </c>
      <c r="M7" s="24">
        <v>42004</v>
      </c>
      <c r="N7" s="24">
        <v>42369</v>
      </c>
      <c r="O7" s="24">
        <v>41639</v>
      </c>
      <c r="P7" s="62" t="s">
        <v>9</v>
      </c>
      <c r="Q7" s="62" t="s">
        <v>10</v>
      </c>
      <c r="R7" s="62" t="s">
        <v>11</v>
      </c>
    </row>
    <row r="8" spans="1:20" s="17" customFormat="1" x14ac:dyDescent="0.25">
      <c r="A8" s="59"/>
      <c r="B8" s="122" t="str">
        <f>[1]!b_issuer_shareholder(A2,"",2)</f>
        <v>中国华融资产管理股份有限公司</v>
      </c>
      <c r="C8" s="120"/>
      <c r="D8" s="120"/>
      <c r="E8" s="120"/>
      <c r="F8" s="61">
        <f>[1]!b_issuer_propofshareholder($A$2,"",2)%</f>
        <v>5.3200001716613772E-2</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d19041207.IB</v>
      </c>
      <c r="K14" s="26"/>
      <c r="L14" s="27" t="str">
        <f>T15</f>
        <v>1182305.IB</v>
      </c>
      <c r="M14" s="27" t="str">
        <f>T16</f>
        <v>041651015.IB</v>
      </c>
      <c r="N14" s="27" t="str">
        <f>T17</f>
        <v>041554028.IB</v>
      </c>
      <c r="O14" s="27" t="str">
        <f>T18</f>
        <v>1182268.IB</v>
      </c>
      <c r="P14" s="27" t="str">
        <f>T19</f>
        <v>031586003.IB</v>
      </c>
      <c r="Q14" s="27" t="str">
        <f>T20</f>
        <v>125831.SH</v>
      </c>
      <c r="R14" s="5" t="str">
        <f>T21</f>
        <v>127144.SH</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冀中能源峰峰集团有限公司</v>
      </c>
      <c r="K15" s="138"/>
      <c r="L15" s="8" t="str">
        <f>[1]!b_info_issuer(L14)</f>
        <v>阜新矿业(集团)有限责任公司</v>
      </c>
      <c r="M15" s="8" t="str">
        <f>[1]!b_info_issuer(M14)</f>
        <v>贵州水城矿业股份有限公司</v>
      </c>
      <c r="N15" s="8" t="str">
        <f>[1]!b_info_issuer(N14)</f>
        <v>内蒙古双欣能源化工有限公司</v>
      </c>
      <c r="O15" s="8" t="str">
        <f>[1]!b_info_issuer(O14)</f>
        <v>临沂矿业集团有限责任公司</v>
      </c>
      <c r="P15" s="8" t="str">
        <f>[1]!b_info_issuer(P14)</f>
        <v>安徽省皖北煤电集团有限责任公司</v>
      </c>
      <c r="Q15" s="8" t="str">
        <f>[1]!b_info_issuer(Q14)</f>
        <v>山东泰丰控股集团有限公司</v>
      </c>
      <c r="R15" s="8" t="str">
        <f>[1]!b_info_issuer(R14)</f>
        <v>陕西黄河矿业(集团)有限责任公司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民营企业</v>
      </c>
      <c r="O17" s="67" t="str">
        <f>[1]!s_info_nature(O14)</f>
        <v>地方国有企业</v>
      </c>
      <c r="P17" s="67" t="str">
        <f>[1]!s_info_nature(P14)</f>
        <v>地方国有企业</v>
      </c>
      <c r="Q17" s="67" t="str">
        <f>[1]!s_info_nature(Q14)</f>
        <v>地方国有企业</v>
      </c>
      <c r="R17" s="67" t="str">
        <f>[1]!s_info_nature(R14)</f>
        <v>民营企业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390.84423411649999</v>
      </c>
      <c r="K19" s="124"/>
      <c r="L19" s="68">
        <f>[1]!b_stm07_bs(L14,74,L13,1)/100000000</f>
        <v>133.30451506739999</v>
      </c>
      <c r="M19" s="68">
        <f>[1]!b_stm07_bs(M14,74,M13,1)/100000000</f>
        <v>311.32050034220003</v>
      </c>
      <c r="N19" s="68">
        <f>[1]!b_stm07_bs(N14,74,N13,1)/100000000</f>
        <v>202.1361471052</v>
      </c>
      <c r="O19" s="68">
        <f>[1]!b_stm07_bs(O14,74,O13,1)/100000000</f>
        <v>331.42564417479997</v>
      </c>
      <c r="P19" s="68">
        <f>[1]!b_stm07_bs(P14,74,P13,1)/100000000</f>
        <v>559.8720065105</v>
      </c>
      <c r="Q19" s="68">
        <f>[1]!b_stm07_bs(Q14,74,Q13,1)/100000000</f>
        <v>141.35241249799998</v>
      </c>
      <c r="R19" s="68">
        <f>[1]!b_stm07_bs(R14,74,R13,1)/100000000</f>
        <v>259.24561833230001</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0.71957199999999999</v>
      </c>
      <c r="K20" s="124"/>
      <c r="L20" s="10">
        <f>[1]!s_fa_debttoassets(L14,L13)/100</f>
        <v>0.78009699999999993</v>
      </c>
      <c r="M20" s="10">
        <f>[1]!s_fa_debttoassets(M14,M13)/100</f>
        <v>0.79424400000000006</v>
      </c>
      <c r="N20" s="10">
        <f>[1]!s_fa_debttoassets(N14,N13)/100</f>
        <v>0.62392400000000003</v>
      </c>
      <c r="O20" s="10">
        <f>[1]!s_fa_debttoassets(O14,O13)/100</f>
        <v>0.64678600000000008</v>
      </c>
      <c r="P20" s="10">
        <f>[1]!s_fa_debttoassets(P14,P13)/100</f>
        <v>0.7226220000000001</v>
      </c>
      <c r="Q20" s="10">
        <f>[1]!s_fa_debttoassets(Q14,Q13)/100</f>
        <v>0.563724</v>
      </c>
      <c r="R20" s="10">
        <f>[1]!s_fa_debttoassets(R14,R13)/100</f>
        <v>0.62213799999999997</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0.75029999999999997</v>
      </c>
      <c r="K21" s="124"/>
      <c r="L21" s="68">
        <f>[1]!s_fa_current(L14,L13)</f>
        <v>0.48070000000000002</v>
      </c>
      <c r="M21" s="68">
        <f>[1]!s_fa_current(M14,M13)</f>
        <v>0.439</v>
      </c>
      <c r="N21" s="68">
        <f>[1]!s_fa_current(N14,N13)</f>
        <v>0.84940000000000004</v>
      </c>
      <c r="O21" s="68">
        <f>[1]!s_fa_current(O14,O13)</f>
        <v>0.62250000000000005</v>
      </c>
      <c r="P21" s="68">
        <f>[1]!s_fa_current(P14,P13)</f>
        <v>0.79169999999999996</v>
      </c>
      <c r="Q21" s="68">
        <f>[1]!s_fa_current(Q14,Q13)</f>
        <v>2.0339</v>
      </c>
      <c r="R21" s="68">
        <f>[1]!s_fa_current(R14,R13)</f>
        <v>0.99490000000000001</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1.4711188311597314</v>
      </c>
      <c r="K22" s="124"/>
      <c r="L22" s="66">
        <f>(公式页!L96+公式页!L97+公式页!L98+公式页!L99+公式页!L100+公式页!L101)/公式页!L103</f>
        <v>1.4854944197149453</v>
      </c>
      <c r="M22" s="66">
        <f t="shared" ref="M22:R22" si="0">(M96+M97+M98+M99+M100+M101)/M103</f>
        <v>1.8384974611280875</v>
      </c>
      <c r="N22" s="66">
        <f t="shared" si="0"/>
        <v>0.97606492397480105</v>
      </c>
      <c r="O22" s="66">
        <f t="shared" si="0"/>
        <v>1.1788981570669095</v>
      </c>
      <c r="P22" s="66">
        <f t="shared" si="0"/>
        <v>1.618053643027316</v>
      </c>
      <c r="Q22" s="66">
        <f t="shared" si="0"/>
        <v>0.94501847049370902</v>
      </c>
      <c r="R22" s="66">
        <f t="shared" si="0"/>
        <v>0.75769084226818784</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9.9900000000000003E-2</v>
      </c>
      <c r="K23" s="124"/>
      <c r="L23" s="68">
        <f>[1]!s_fa_ebitdatodebt(L14,L13)</f>
        <v>8.7800000000000003E-2</v>
      </c>
      <c r="M23" s="68">
        <f>[1]!s_fa_ebitdatodebt(M14,M13)</f>
        <v>3.0499999999999999E-2</v>
      </c>
      <c r="N23" s="68">
        <f>[1]!s_fa_ebitdatodebt(N14,N13)</f>
        <v>0.15989999999999999</v>
      </c>
      <c r="O23" s="68">
        <f>[1]!s_fa_ebitdatodebt(O14,O13)</f>
        <v>0.127</v>
      </c>
      <c r="P23" s="68">
        <f>[1]!s_fa_ebitdatodebt(P14,P13)</f>
        <v>7.2400000000000006E-2</v>
      </c>
      <c r="Q23" s="68">
        <f>[1]!s_fa_ebitdatodebt(Q14,Q13)</f>
        <v>4.3200000000000002E-2</v>
      </c>
      <c r="R23" s="68">
        <f>[1]!s_fa_ebitdatodebt(R14,R13)</f>
        <v>7.8899999999999998E-2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276.03701190470002</v>
      </c>
      <c r="K24" s="124"/>
      <c r="L24" s="68">
        <f>[1]!b_stm07_is(L14,9,L13,1)/100000000</f>
        <v>44.352313705299999</v>
      </c>
      <c r="M24" s="68">
        <f>[1]!b_stm07_is(M14,9,M13,1)/100000000</f>
        <v>103.24569628129998</v>
      </c>
      <c r="N24" s="68">
        <f>[1]!b_stm07_is(N14,9,N13,1)/100000000</f>
        <v>95.004203553700009</v>
      </c>
      <c r="O24" s="68">
        <f>[1]!b_stm07_is(O14,9,O13,1)/100000000</f>
        <v>238.90310522689998</v>
      </c>
      <c r="P24" s="68">
        <f>[1]!b_stm07_is(P14,9,P13,1)/100000000</f>
        <v>342.20272561100001</v>
      </c>
      <c r="Q24" s="68">
        <f>[1]!b_stm07_is(Q14,9,Q13,1)/100000000</f>
        <v>8.1971404239000005</v>
      </c>
      <c r="R24" s="68">
        <f>[1]!b_stm07_is(R14,9,R13,1)/100000000</f>
        <v>143.2787514316</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0.96150000000000002</v>
      </c>
      <c r="K25" s="124"/>
      <c r="L25" s="11">
        <f>[1]!s_fa_salescashintoor(L14,L13)%</f>
        <v>1.1192</v>
      </c>
      <c r="M25" s="11">
        <f>[1]!s_fa_salescashintoor(M14,M13)%</f>
        <v>1.2757000000000001</v>
      </c>
      <c r="N25" s="11">
        <f>[1]!s_fa_salescashintoor(N14,N13)%</f>
        <v>1.0013000000000001</v>
      </c>
      <c r="O25" s="11">
        <f>[1]!s_fa_salescashintoor(O14,O13)%</f>
        <v>1.0475000000000001</v>
      </c>
      <c r="P25" s="11">
        <f>[1]!s_fa_salescashintoor(P14,P13)%</f>
        <v>1.2222</v>
      </c>
      <c r="Q25" s="11">
        <f>[1]!s_fa_salescashintoor(Q14,Q13)%</f>
        <v>1.1782999999999999</v>
      </c>
      <c r="R25" s="11">
        <f>[1]!s_fa_salescashintoor(R14,R13)%</f>
        <v>0.7451000000000001</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0.107433</v>
      </c>
      <c r="K26" s="124"/>
      <c r="L26" s="11">
        <f>[1]!s_fa_grossprofitmargin(L14,L13)%</f>
        <v>0.28824899999999998</v>
      </c>
      <c r="M26" s="11">
        <f>[1]!s_fa_grossprofitmargin(M14,M13)%</f>
        <v>8.4696999999999995E-2</v>
      </c>
      <c r="N26" s="11">
        <f>[1]!s_fa_grossprofitmargin(N14,N13)%</f>
        <v>0.21538900000000002</v>
      </c>
      <c r="O26" s="11">
        <f>[1]!s_fa_grossprofitmargin(O14,O13)%</f>
        <v>0.149398</v>
      </c>
      <c r="P26" s="11">
        <f>[1]!s_fa_grossprofitmargin(P14,P13)%</f>
        <v>0.11928699999999999</v>
      </c>
      <c r="Q26" s="11">
        <f>[1]!s_fa_grossprofitmargin(Q14,Q13)%</f>
        <v>0.12704700000000002</v>
      </c>
      <c r="R26" s="11">
        <f>[1]!s_fa_grossprofitmargin(R14,R13)%</f>
        <v>0.10465999999999999</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7.9545040667999993</v>
      </c>
      <c r="K27" s="124"/>
      <c r="L27" s="69">
        <f>[1]!b_stm07_is(L14,60,L13,1)/100000000</f>
        <v>7.3282380899999999E-2</v>
      </c>
      <c r="M27" s="69">
        <f>[1]!b_stm07_is(M14,60,M13,1)/100000000</f>
        <v>0.3134272984</v>
      </c>
      <c r="N27" s="69">
        <f>[1]!b_stm07_is(N14,60,N13,1)/100000000</f>
        <v>5.6784356226000003</v>
      </c>
      <c r="O27" s="69">
        <f>[1]!b_stm07_is(O14,60,O13,1)/100000000</f>
        <v>3.9352405992000001</v>
      </c>
      <c r="P27" s="69">
        <f>[1]!b_stm07_is(P14,60,P13,1)/100000000</f>
        <v>0.50592293300000002</v>
      </c>
      <c r="Q27" s="69">
        <f>[1]!b_stm07_is(Q14,60,Q13,1)/100000000</f>
        <v>0.87946124329999997</v>
      </c>
      <c r="R27" s="69">
        <f>[1]!b_stm07_is(R14,60,R13,1)/100000000</f>
        <v>4.3663268672000006</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0.13952200000000001</v>
      </c>
      <c r="K28" s="124"/>
      <c r="L28" s="10">
        <f>[1]!s_fa_roe(L14,L13)%</f>
        <v>1.1822999999999998E-2</v>
      </c>
      <c r="M28" s="10">
        <f>[1]!s_fa_roe(M14,M13)%</f>
        <v>1.1429E-2</v>
      </c>
      <c r="N28" s="10">
        <f>[1]!s_fa_roe(N14,N13)%</f>
        <v>7.9196000000000003E-2</v>
      </c>
      <c r="O28" s="10">
        <f>[1]!s_fa_roe(O14,O13)%</f>
        <v>4.8170000000000004E-2</v>
      </c>
      <c r="P28" s="10">
        <f>[1]!s_fa_roe(P14,P13)%</f>
        <v>-0.18514399999999998</v>
      </c>
      <c r="Q28" s="10">
        <f>[1]!s_fa_roe(Q14,Q13)%</f>
        <v>1.4739E-2</v>
      </c>
      <c r="R28" s="10">
        <f>[1]!s_fa_roe(R14,R13)%</f>
        <v>5.0541999999999997E-2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33.418275576199996</v>
      </c>
      <c r="K29" s="124"/>
      <c r="L29" s="69">
        <f>[1]!b_stm07_cs(L14,39,L13,1)/100000000</f>
        <v>3.9030409849000001</v>
      </c>
      <c r="M29" s="69">
        <f>[1]!b_stm07_cs(M14,39,M13,1)/100000000</f>
        <v>14.277858371500001</v>
      </c>
      <c r="N29" s="69">
        <f>[1]!b_stm07_cs(N14,39,N13,1)/100000000</f>
        <v>10.9216035294</v>
      </c>
      <c r="O29" s="69">
        <f>[1]!b_stm07_cs(O14,39,O13,1)/100000000</f>
        <v>31.900226329799999</v>
      </c>
      <c r="P29" s="69">
        <f>[1]!b_stm07_cs(P14,39,P13,1)/100000000</f>
        <v>26.750038121900001</v>
      </c>
      <c r="Q29" s="69">
        <f>[1]!b_stm07_cs(Q14,39,Q13,1)/100000000</f>
        <v>9.5163833399999995E-2</v>
      </c>
      <c r="R29" s="69">
        <f>[1]!b_stm07_cs(R14,39,R13,1)/100000000</f>
        <v>17.110892891999999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8449817135.3199997</v>
      </c>
      <c r="K96" s="71"/>
      <c r="L96" s="71">
        <f>[1]!b_stm07_bs(L14,75,L13,1)</f>
        <v>3061000000</v>
      </c>
      <c r="M96" s="71">
        <f>[1]!b_stm07_bs(M14,75,M13,1)</f>
        <v>7062855392.96</v>
      </c>
      <c r="N96" s="71">
        <f>[1]!b_stm07_bs(N14,75,N13,1)</f>
        <v>2509660000</v>
      </c>
      <c r="O96" s="71">
        <f>[1]!b_stm07_bs(O14,75,O13,1)</f>
        <v>3652949956</v>
      </c>
      <c r="P96" s="71">
        <f>[1]!b_stm07_bs(P14,75,P13,1)</f>
        <v>13183000000</v>
      </c>
      <c r="Q96" s="71">
        <f>[1]!b_stm07_bs(Q14,75,Q13,1)</f>
        <v>716290000</v>
      </c>
      <c r="R96" s="71">
        <f>[1]!b_stm07_bs(R14,75,R13,1)</f>
        <v>2356000000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160926181.75</v>
      </c>
      <c r="K97" s="71"/>
      <c r="L97" s="71">
        <f>[1]!b_stm07_bs(L14,82,L13,1)</f>
        <v>12083330</v>
      </c>
      <c r="M97" s="71">
        <f>[1]!b_stm07_bs(M14,82,M13,1)</f>
        <v>1540981.57</v>
      </c>
      <c r="N97" s="71">
        <f>[1]!b_stm07_bs(N14,82,N13,1)</f>
        <v>49748802.530000001</v>
      </c>
      <c r="O97" s="71">
        <f>[1]!b_stm07_bs(O14,82,O13,1)</f>
        <v>84067893.299999997</v>
      </c>
      <c r="P97" s="71">
        <f>[1]!b_stm07_bs(P14,82,P13,1)</f>
        <v>68331980.590000004</v>
      </c>
      <c r="Q97" s="71">
        <f>[1]!b_stm07_bs(Q14,82,Q13,1)</f>
        <v>106370219.51000001</v>
      </c>
      <c r="R97" s="71">
        <f>[1]!b_stm07_bs(R14,82,R13,1)</f>
        <v>3211090.98</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1076000000</v>
      </c>
      <c r="K98" s="71"/>
      <c r="L98" s="71">
        <f>[1]!b_stm07_bs(L14,88,L13,1)</f>
        <v>842000000</v>
      </c>
      <c r="M98" s="71">
        <f>[1]!b_stm07_bs(M14,88,M13,1)</f>
        <v>89819703.530000001</v>
      </c>
      <c r="N98" s="71">
        <f>[1]!b_stm07_bs(N14,88,N13,1)</f>
        <v>800000000</v>
      </c>
      <c r="O98" s="71">
        <f>[1]!b_stm07_bs(O14,88,O13,1)</f>
        <v>3640021136.5</v>
      </c>
      <c r="P98" s="71">
        <f>[1]!b_stm07_bs(P14,88,P13,1)</f>
        <v>1105133300</v>
      </c>
      <c r="Q98" s="71">
        <f>[1]!b_stm07_bs(Q14,88,Q13,1)</f>
        <v>1862214202.8199999</v>
      </c>
      <c r="R98" s="71">
        <f>[1]!b_stm07_bs(R14,88,R13,1)</f>
        <v>2038312842.24</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5437262106.2700005</v>
      </c>
      <c r="K100" s="71"/>
      <c r="L100" s="71">
        <f>[1]!b_stm07_bs(L14,94,L13,1)</f>
        <v>439513500</v>
      </c>
      <c r="M100" s="71">
        <f>[1]!b_stm07_bs(M14,94,M13,1)</f>
        <v>3826071498.7199998</v>
      </c>
      <c r="N100" s="71">
        <f>[1]!b_stm07_bs(N14,94,N13,1)</f>
        <v>2500500000</v>
      </c>
      <c r="O100" s="71">
        <f>[1]!b_stm07_bs(O14,94,O13,1)</f>
        <v>4471511738.3299999</v>
      </c>
      <c r="P100" s="71">
        <f>[1]!b_stm07_bs(P14,94,P13,1)</f>
        <v>9973662739.7700005</v>
      </c>
      <c r="Q100" s="71">
        <f>[1]!b_stm07_bs(Q14,94,Q13,1)</f>
        <v>716044240.77999997</v>
      </c>
      <c r="R100" s="71">
        <f>[1]!b_stm07_bs(R14,94,R13,1)</f>
        <v>2133265000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1000000000</v>
      </c>
      <c r="K101" s="71"/>
      <c r="L101" s="71">
        <f>[1]!b_stm07_bs(L14,95,L13,1)</f>
        <v>0</v>
      </c>
      <c r="M101" s="71">
        <f>[1]!b_stm07_bs(M14,95,M13,1)</f>
        <v>796400000</v>
      </c>
      <c r="N101" s="71">
        <f>[1]!b_stm07_bs(N14,95,N13,1)</f>
        <v>1560000000</v>
      </c>
      <c r="O101" s="71">
        <f>[1]!b_stm07_bs(O14,95,O13,1)</f>
        <v>1952124917.0799999</v>
      </c>
      <c r="P101" s="71">
        <f>[1]!b_stm07_bs(P14,95,P13,1)</f>
        <v>797600000</v>
      </c>
      <c r="Q101" s="71">
        <f>[1]!b_stm07_bs(Q14,95,Q13,1)</f>
        <v>2426889206.27</v>
      </c>
      <c r="R101" s="71">
        <f>[1]!b_stm07_bs(R14,95,R13,1)</f>
        <v>891480406.09000003</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10960369129.82</v>
      </c>
      <c r="K103" s="71"/>
      <c r="L103" s="71">
        <f>[1]!b_stm07_bs(L14,141,L13,1)</f>
        <v>2931412445.7199998</v>
      </c>
      <c r="M103" s="71">
        <f>[1]!b_stm07_bs(M14,141,M13,1)</f>
        <v>6405604481.8000002</v>
      </c>
      <c r="N103" s="71">
        <f>[1]!b_stm07_bs(N14,141,N13,1)</f>
        <v>7601859897.1000004</v>
      </c>
      <c r="O103" s="71">
        <f>[1]!b_stm07_bs(O14,141,O13,1)</f>
        <v>11706418878.07</v>
      </c>
      <c r="P103" s="71">
        <f>[1]!b_stm07_bs(P14,141,P13,1)</f>
        <v>15529601338.4</v>
      </c>
      <c r="Q103" s="71">
        <f>[1]!b_stm07_bs(Q14,141,Q13,1)</f>
        <v>6166871919.8000002</v>
      </c>
      <c r="R103" s="71">
        <f>[1]!b_stm07_bs(R14,141,R13,1)</f>
        <v>9795907414.0200005</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d19041207.IB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0.71957199999999999</v>
      </c>
      <c r="C109" s="54" t="s">
        <v>36</v>
      </c>
      <c r="D109" s="72">
        <f>[1]!s_fa_current(A2,B2)</f>
        <v>0.75029999999999997</v>
      </c>
      <c r="E109" s="54" t="s">
        <v>41</v>
      </c>
      <c r="F109" s="73">
        <f>[1]!s_fa_salescashintoor(A2,B2)/100</f>
        <v>0.96150000000000002</v>
      </c>
      <c r="G109" s="54" t="s">
        <v>42</v>
      </c>
      <c r="H109" s="12">
        <f>S109/100</f>
        <v>0.107433</v>
      </c>
      <c r="I109" s="54"/>
      <c r="J109" s="16"/>
      <c r="K109" s="25"/>
      <c r="L109" s="34" t="s">
        <v>61</v>
      </c>
      <c r="M109" s="74">
        <f>[1]!s_fa_debttoassets(A2,B2)</f>
        <v>71.9572</v>
      </c>
      <c r="N109" s="54" t="s">
        <v>36</v>
      </c>
      <c r="O109" s="35"/>
      <c r="P109" s="54" t="s">
        <v>41</v>
      </c>
      <c r="Q109" s="35"/>
      <c r="R109" s="54" t="s">
        <v>42</v>
      </c>
      <c r="S109" s="75">
        <f>[1]!s_fa_grossprofitmargin(A2,B2)</f>
        <v>10.7433</v>
      </c>
    </row>
    <row r="110" spans="1:19" ht="15.75" customHeight="1" x14ac:dyDescent="0.25">
      <c r="A110" s="54" t="s">
        <v>62</v>
      </c>
      <c r="B110" s="12">
        <f>M110/100</f>
        <v>0.36199700000000001</v>
      </c>
      <c r="C110" s="54" t="s">
        <v>63</v>
      </c>
      <c r="D110" s="73">
        <f>[1]!s_fa_quick(A2,B2)</f>
        <v>0.57989999999999997</v>
      </c>
      <c r="E110" s="54" t="s">
        <v>64</v>
      </c>
      <c r="F110" s="72">
        <f>[1]!s_fa_arturn(A2,B2)</f>
        <v>8.3729999999999993</v>
      </c>
      <c r="G110" s="54" t="s">
        <v>65</v>
      </c>
      <c r="H110" s="12">
        <f>S110/100</f>
        <v>2.3028E-2</v>
      </c>
      <c r="I110" s="54"/>
      <c r="J110" s="16"/>
      <c r="L110" s="54" t="s">
        <v>62</v>
      </c>
      <c r="M110" s="74">
        <f>[1]!s_fa_catoassets(A2,B2)</f>
        <v>36.1997</v>
      </c>
      <c r="N110" s="54" t="s">
        <v>63</v>
      </c>
      <c r="O110" s="35"/>
      <c r="P110" s="54" t="s">
        <v>64</v>
      </c>
      <c r="Q110" s="73"/>
      <c r="R110" s="54" t="s">
        <v>65</v>
      </c>
      <c r="S110" s="75">
        <f>[1]!s_fa_optogr(A2,B2)</f>
        <v>2.3028</v>
      </c>
    </row>
    <row r="111" spans="1:19" ht="15" customHeight="1" x14ac:dyDescent="0.25">
      <c r="A111" s="54" t="s">
        <v>66</v>
      </c>
      <c r="B111" s="12">
        <f>M111/100</f>
        <v>0.67052499999999993</v>
      </c>
      <c r="C111" s="54" t="s">
        <v>39</v>
      </c>
      <c r="D111" s="73">
        <f>[1]!s_fa_ebitdatodebt(A2,B2)</f>
        <v>9.9900000000000003E-2</v>
      </c>
      <c r="E111" s="54" t="s">
        <v>67</v>
      </c>
      <c r="F111" s="72">
        <f>[1]!s_fa_invturn(A2,B2)</f>
        <v>7.7798999999999996</v>
      </c>
      <c r="G111" s="54" t="s">
        <v>45</v>
      </c>
      <c r="H111" s="12">
        <f>S111/100</f>
        <v>0.13952200000000001</v>
      </c>
      <c r="I111" s="54"/>
      <c r="J111" s="16"/>
      <c r="L111" s="54" t="s">
        <v>66</v>
      </c>
      <c r="M111" s="74">
        <f>[1]!s_fa_currentdebttodebt(A2,B2)</f>
        <v>67.052499999999995</v>
      </c>
      <c r="N111" s="54" t="s">
        <v>39</v>
      </c>
      <c r="O111" s="35"/>
      <c r="P111" s="54" t="s">
        <v>67</v>
      </c>
      <c r="Q111" s="35"/>
      <c r="R111" s="54" t="s">
        <v>45</v>
      </c>
      <c r="S111" s="75">
        <f>[1]!s_fa_roe(A2,B2)</f>
        <v>13.952199999999999</v>
      </c>
    </row>
    <row r="112" spans="1:19" ht="14.25" customHeight="1" x14ac:dyDescent="0.25">
      <c r="A112" s="54" t="s">
        <v>38</v>
      </c>
      <c r="B112" s="76">
        <f>(M116+M117+M118+M119+M120+M121)/M123</f>
        <v>1.4711188311597314</v>
      </c>
      <c r="C112" s="54" t="s">
        <v>68</v>
      </c>
      <c r="D112" s="73">
        <f>[1]!s_fa_ebittointerest(A2,B2)</f>
        <v>1.9340999999999999</v>
      </c>
      <c r="E112" s="54" t="s">
        <v>69</v>
      </c>
      <c r="F112" s="72">
        <f>[1]!s_fa_caturn(A2,B2)</f>
        <v>1.827</v>
      </c>
      <c r="G112" s="54" t="s">
        <v>70</v>
      </c>
      <c r="H112" s="12">
        <f>S112/100</f>
        <v>5.1409000000000003E-2</v>
      </c>
      <c r="I112" s="54"/>
      <c r="J112" s="16"/>
      <c r="L112" s="54" t="s">
        <v>38</v>
      </c>
      <c r="M112" s="77"/>
      <c r="N112" s="54" t="s">
        <v>68</v>
      </c>
      <c r="O112" s="35"/>
      <c r="P112" s="54" t="s">
        <v>69</v>
      </c>
      <c r="Q112" s="35"/>
      <c r="R112" s="54" t="s">
        <v>70</v>
      </c>
      <c r="S112" s="75">
        <f>[1]!s_fa_roa2(A2,B2)</f>
        <v>5.1409000000000002</v>
      </c>
    </row>
    <row r="113" spans="1:21" x14ac:dyDescent="0.25">
      <c r="A113" s="30"/>
      <c r="B113" s="31"/>
      <c r="C113" s="30"/>
      <c r="D113" s="32"/>
      <c r="E113" s="30" t="s">
        <v>71</v>
      </c>
      <c r="F113" s="78">
        <f>[1]!s_fa_dupont_faturnover(A2,B2)</f>
        <v>0.69650000000000001</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8449817135.3199997</v>
      </c>
    </row>
    <row r="117" spans="1:21" ht="14.25" customHeight="1" x14ac:dyDescent="0.25">
      <c r="A117" s="54" t="s">
        <v>77</v>
      </c>
      <c r="B117" s="73">
        <f t="shared" ref="B117:B131" si="1">M127/100000000</f>
        <v>29.964265173299999</v>
      </c>
      <c r="C117" s="54" t="s">
        <v>78</v>
      </c>
      <c r="D117" s="76">
        <f t="shared" ref="D117:D125" si="2">O127/100000000</f>
        <v>276.03701190470002</v>
      </c>
      <c r="E117" s="131" t="s">
        <v>79</v>
      </c>
      <c r="F117" s="124"/>
      <c r="G117" s="124"/>
      <c r="H117" s="132">
        <f t="shared" ref="H117:H131" si="3">S127/100000000</f>
        <v>265.41865748480001</v>
      </c>
      <c r="I117" s="124"/>
      <c r="J117" s="124"/>
      <c r="L117" s="17" t="s">
        <v>48</v>
      </c>
      <c r="M117" s="71">
        <f>[1]!b_stm07_bs(K107,82,L107,1)</f>
        <v>160926181.75</v>
      </c>
    </row>
    <row r="118" spans="1:21" ht="14.25" customHeight="1" x14ac:dyDescent="0.25">
      <c r="A118" s="54" t="s">
        <v>80</v>
      </c>
      <c r="B118" s="73">
        <f t="shared" si="1"/>
        <v>34.695058737499998</v>
      </c>
      <c r="C118" s="54" t="s">
        <v>81</v>
      </c>
      <c r="D118" s="76">
        <f t="shared" si="2"/>
        <v>272.89285677480001</v>
      </c>
      <c r="E118" s="131" t="s">
        <v>82</v>
      </c>
      <c r="F118" s="124"/>
      <c r="G118" s="124"/>
      <c r="H118" s="132">
        <f t="shared" si="3"/>
        <v>21.2154295795</v>
      </c>
      <c r="I118" s="124"/>
      <c r="J118" s="124"/>
      <c r="L118" s="17" t="s">
        <v>49</v>
      </c>
      <c r="M118" s="71">
        <f>[1]!b_stm07_bs(K107,88,L107,1)</f>
        <v>1076000000</v>
      </c>
    </row>
    <row r="119" spans="1:21" ht="14.25" customHeight="1" x14ac:dyDescent="0.25">
      <c r="A119" s="54" t="s">
        <v>83</v>
      </c>
      <c r="B119" s="73">
        <f t="shared" si="1"/>
        <v>17.1264786365</v>
      </c>
      <c r="C119" s="54" t="s">
        <v>84</v>
      </c>
      <c r="D119" s="76">
        <f t="shared" si="2"/>
        <v>246.38141732139999</v>
      </c>
      <c r="E119" s="131" t="s">
        <v>85</v>
      </c>
      <c r="F119" s="124"/>
      <c r="G119" s="124"/>
      <c r="H119" s="133">
        <f t="shared" si="3"/>
        <v>286.72719629849996</v>
      </c>
      <c r="I119" s="124"/>
      <c r="J119" s="124"/>
      <c r="L119" s="17" t="s">
        <v>50</v>
      </c>
      <c r="M119" s="71">
        <f>[1]!b_stm07_bs(K107,147,L107,1)</f>
        <v>0</v>
      </c>
    </row>
    <row r="120" spans="1:21" ht="14.25" customHeight="1" x14ac:dyDescent="0.25">
      <c r="A120" s="54" t="s">
        <v>86</v>
      </c>
      <c r="B120" s="73">
        <f t="shared" si="1"/>
        <v>72.220194883000005</v>
      </c>
      <c r="C120" s="54" t="s">
        <v>87</v>
      </c>
      <c r="D120" s="76">
        <f t="shared" si="2"/>
        <v>3.0231947043999998</v>
      </c>
      <c r="E120" s="131" t="s">
        <v>88</v>
      </c>
      <c r="F120" s="124"/>
      <c r="G120" s="124"/>
      <c r="H120" s="132">
        <f t="shared" si="3"/>
        <v>211.45027405529999</v>
      </c>
      <c r="I120" s="124"/>
      <c r="J120" s="124"/>
      <c r="L120" s="17" t="s">
        <v>51</v>
      </c>
      <c r="M120" s="71">
        <f>[1]!b_stm07_bs(K107,94,L107,1)</f>
        <v>5437262106.2700005</v>
      </c>
    </row>
    <row r="121" spans="1:21" ht="14.25" customHeight="1" x14ac:dyDescent="0.25">
      <c r="A121" s="54" t="s">
        <v>89</v>
      </c>
      <c r="B121" s="73">
        <f t="shared" si="1"/>
        <v>77.798486629400003</v>
      </c>
      <c r="C121" s="54" t="s">
        <v>90</v>
      </c>
      <c r="D121" s="76">
        <f t="shared" si="2"/>
        <v>5.9433929296000008</v>
      </c>
      <c r="E121" s="131" t="s">
        <v>91</v>
      </c>
      <c r="F121" s="124"/>
      <c r="G121" s="124"/>
      <c r="H121" s="132">
        <f t="shared" si="3"/>
        <v>8.6391131775000005</v>
      </c>
      <c r="I121" s="124"/>
      <c r="J121" s="124"/>
      <c r="L121" s="17" t="s">
        <v>52</v>
      </c>
      <c r="M121" s="71">
        <f>[1]!b_stm07_bs(K107,95,L107,1)</f>
        <v>1000000000</v>
      </c>
    </row>
    <row r="122" spans="1:21" ht="14.25" customHeight="1" x14ac:dyDescent="0.25">
      <c r="A122" s="54" t="s">
        <v>92</v>
      </c>
      <c r="B122" s="73">
        <f t="shared" si="1"/>
        <v>51.403268373700001</v>
      </c>
      <c r="C122" s="54" t="s">
        <v>93</v>
      </c>
      <c r="D122" s="76">
        <f t="shared" si="2"/>
        <v>10.677358375000001</v>
      </c>
      <c r="E122" s="131" t="s">
        <v>94</v>
      </c>
      <c r="F122" s="124"/>
      <c r="G122" s="124"/>
      <c r="H122" s="133">
        <f t="shared" si="3"/>
        <v>253.3089207223</v>
      </c>
      <c r="I122" s="124"/>
      <c r="J122" s="124"/>
      <c r="L122" s="17"/>
      <c r="M122" s="17"/>
    </row>
    <row r="123" spans="1:21" ht="14.25" customHeight="1" x14ac:dyDescent="0.25">
      <c r="A123" s="54" t="s">
        <v>95</v>
      </c>
      <c r="B123" s="79">
        <f t="shared" si="1"/>
        <v>390.84423411649999</v>
      </c>
      <c r="C123" s="54" t="s">
        <v>96</v>
      </c>
      <c r="D123" s="76">
        <f t="shared" si="2"/>
        <v>6.3564577228999992</v>
      </c>
      <c r="E123" s="131" t="s">
        <v>97</v>
      </c>
      <c r="F123" s="124"/>
      <c r="G123" s="124"/>
      <c r="H123" s="133">
        <f t="shared" si="3"/>
        <v>33.418275576199996</v>
      </c>
      <c r="I123" s="124"/>
      <c r="J123" s="124"/>
      <c r="L123" s="17" t="s">
        <v>53</v>
      </c>
      <c r="M123" s="71">
        <f>[1]!b_stm07_bs(K107,141,L107,1)</f>
        <v>10960369129.82</v>
      </c>
    </row>
    <row r="124" spans="1:21" ht="14.25" customHeight="1" x14ac:dyDescent="0.25">
      <c r="A124" s="54" t="s">
        <v>98</v>
      </c>
      <c r="B124" s="73">
        <f t="shared" si="1"/>
        <v>84.498171353199993</v>
      </c>
      <c r="C124" s="54" t="s">
        <v>99</v>
      </c>
      <c r="D124" s="76">
        <f t="shared" si="2"/>
        <v>9.8400541936000003</v>
      </c>
      <c r="E124" s="131" t="s">
        <v>100</v>
      </c>
      <c r="F124" s="124"/>
      <c r="G124" s="124"/>
      <c r="H124" s="133">
        <f t="shared" si="3"/>
        <v>-3.4189140949000003</v>
      </c>
      <c r="I124" s="124"/>
      <c r="J124" s="124"/>
      <c r="L124" s="17"/>
      <c r="M124" s="17"/>
    </row>
    <row r="125" spans="1:21" ht="27" customHeight="1" x14ac:dyDescent="0.25">
      <c r="A125" s="54" t="s">
        <v>101</v>
      </c>
      <c r="B125" s="73">
        <f t="shared" si="1"/>
        <v>10.76</v>
      </c>
      <c r="C125" s="54" t="s">
        <v>43</v>
      </c>
      <c r="D125" s="76">
        <f t="shared" si="2"/>
        <v>7.9545040667999993</v>
      </c>
      <c r="E125" s="131" t="s">
        <v>102</v>
      </c>
      <c r="F125" s="124"/>
      <c r="G125" s="124"/>
      <c r="H125" s="132">
        <f t="shared" si="3"/>
        <v>0</v>
      </c>
      <c r="I125" s="124"/>
      <c r="J125" s="124"/>
      <c r="L125" s="17"/>
      <c r="M125" s="17"/>
    </row>
    <row r="126" spans="1:21" ht="16.5" customHeight="1" x14ac:dyDescent="0.25">
      <c r="A126" s="54" t="s">
        <v>103</v>
      </c>
      <c r="B126" s="73">
        <f t="shared" si="1"/>
        <v>0</v>
      </c>
      <c r="C126" s="54"/>
      <c r="D126" s="80"/>
      <c r="E126" s="131" t="s">
        <v>104</v>
      </c>
      <c r="F126" s="124"/>
      <c r="G126" s="124"/>
      <c r="H126" s="132">
        <f t="shared" si="3"/>
        <v>249.93853798689997</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54.372621062700006</v>
      </c>
      <c r="C127" s="54"/>
      <c r="D127" s="80"/>
      <c r="E127" s="131" t="s">
        <v>106</v>
      </c>
      <c r="F127" s="124"/>
      <c r="G127" s="124"/>
      <c r="H127" s="132">
        <f t="shared" si="3"/>
        <v>0</v>
      </c>
      <c r="I127" s="124"/>
      <c r="J127" s="124"/>
      <c r="L127" s="54" t="s">
        <v>77</v>
      </c>
      <c r="M127" s="75">
        <f>[1]!b_stm07_bs(K107,9,L107,1)</f>
        <v>2996426517.3299999</v>
      </c>
      <c r="N127" s="54" t="s">
        <v>78</v>
      </c>
      <c r="O127" s="75">
        <f>[1]!b_stm07_is(K107,83,L107,1)</f>
        <v>27603701190.470001</v>
      </c>
      <c r="P127" s="131" t="s">
        <v>79</v>
      </c>
      <c r="Q127" s="124"/>
      <c r="R127" s="124"/>
      <c r="S127" s="136">
        <f>[1]!b_stm07_cs(K107,9,L107,1)</f>
        <v>26541865748.48</v>
      </c>
      <c r="T127" s="135"/>
      <c r="U127" s="135"/>
    </row>
    <row r="128" spans="1:21" ht="14.25" customHeight="1" x14ac:dyDescent="0.25">
      <c r="A128" s="54" t="s">
        <v>107</v>
      </c>
      <c r="B128" s="73">
        <f t="shared" si="1"/>
        <v>10</v>
      </c>
      <c r="C128" s="54"/>
      <c r="D128" s="80"/>
      <c r="E128" s="131" t="s">
        <v>108</v>
      </c>
      <c r="F128" s="124"/>
      <c r="G128" s="124"/>
      <c r="H128" s="133">
        <f t="shared" si="3"/>
        <v>253.7314290182</v>
      </c>
      <c r="I128" s="124"/>
      <c r="J128" s="124"/>
      <c r="L128" s="54" t="s">
        <v>80</v>
      </c>
      <c r="M128" s="75">
        <f>[1]!b_stm07_bs(K107,12,L107,1)</f>
        <v>3469505873.75</v>
      </c>
      <c r="N128" s="54" t="s">
        <v>81</v>
      </c>
      <c r="O128" s="75">
        <f>[1]!b_stm07_is(K107,84,L107,1)</f>
        <v>27289285677.48</v>
      </c>
      <c r="P128" s="131" t="s">
        <v>82</v>
      </c>
      <c r="Q128" s="124"/>
      <c r="R128" s="124"/>
      <c r="S128" s="136">
        <f>[1]!b_stm07_cs(K107,11,L107,1)</f>
        <v>2121542957.95</v>
      </c>
      <c r="T128" s="135"/>
      <c r="U128" s="135"/>
    </row>
    <row r="129" spans="1:21" ht="14.25" customHeight="1" x14ac:dyDescent="0.25">
      <c r="A129" s="54" t="s">
        <v>109</v>
      </c>
      <c r="B129" s="79">
        <f t="shared" si="1"/>
        <v>281.24054281830001</v>
      </c>
      <c r="C129" s="14"/>
      <c r="D129" s="13"/>
      <c r="E129" s="131" t="s">
        <v>110</v>
      </c>
      <c r="F129" s="124"/>
      <c r="G129" s="124"/>
      <c r="H129" s="132">
        <f t="shared" si="3"/>
        <v>270.01805140250002</v>
      </c>
      <c r="I129" s="124"/>
      <c r="J129" s="124"/>
      <c r="L129" s="54" t="s">
        <v>83</v>
      </c>
      <c r="M129" s="75">
        <f>[1]!b_stm07_bs(K107,13,L107,1)</f>
        <v>1712647863.6500001</v>
      </c>
      <c r="N129" s="54" t="s">
        <v>84</v>
      </c>
      <c r="O129" s="75">
        <f>[1]!b_stm07_is(K107,10,L107,1)</f>
        <v>24638141732.139999</v>
      </c>
      <c r="P129" s="131" t="s">
        <v>85</v>
      </c>
      <c r="Q129" s="124"/>
      <c r="R129" s="124"/>
      <c r="S129" s="137">
        <f>[1]!b_stm07_cs(K107,25,L107,1)</f>
        <v>28672719629.849998</v>
      </c>
      <c r="T129" s="135"/>
      <c r="U129" s="135"/>
    </row>
    <row r="130" spans="1:21" ht="14.25" customHeight="1" x14ac:dyDescent="0.25">
      <c r="A130" s="54" t="s">
        <v>111</v>
      </c>
      <c r="B130" s="79">
        <f t="shared" si="1"/>
        <v>109.60369129819999</v>
      </c>
      <c r="C130" s="14"/>
      <c r="D130" s="13"/>
      <c r="E130" s="131" t="s">
        <v>112</v>
      </c>
      <c r="F130" s="124"/>
      <c r="G130" s="124"/>
      <c r="H130" s="132">
        <f t="shared" si="3"/>
        <v>302.19104498259998</v>
      </c>
      <c r="I130" s="124"/>
      <c r="J130" s="124"/>
      <c r="L130" s="54" t="s">
        <v>86</v>
      </c>
      <c r="M130" s="75">
        <f>[1]!b_stm07_bs(K107,31,L107,1)</f>
        <v>7222019488.3000002</v>
      </c>
      <c r="N130" s="54" t="s">
        <v>87</v>
      </c>
      <c r="O130" s="75">
        <f>[1]!b_stm07_is(K107,12,L107,1)</f>
        <v>302319470.44</v>
      </c>
      <c r="P130" s="131" t="s">
        <v>88</v>
      </c>
      <c r="Q130" s="124"/>
      <c r="R130" s="124"/>
      <c r="S130" s="136">
        <f>[1]!b_stm07_cs(K107,26,L107,1)</f>
        <v>21145027405.529999</v>
      </c>
      <c r="T130" s="135"/>
      <c r="U130" s="135"/>
    </row>
    <row r="131" spans="1:21" ht="14.25" customHeight="1" x14ac:dyDescent="0.25">
      <c r="A131" s="15" t="s">
        <v>113</v>
      </c>
      <c r="B131" s="79">
        <f t="shared" si="1"/>
        <v>390.84423411649999</v>
      </c>
      <c r="C131" s="14"/>
      <c r="D131" s="13"/>
      <c r="E131" s="131" t="s">
        <v>114</v>
      </c>
      <c r="F131" s="124"/>
      <c r="G131" s="124"/>
      <c r="H131" s="133">
        <f t="shared" si="3"/>
        <v>-48.459615964399994</v>
      </c>
      <c r="I131" s="124"/>
      <c r="J131" s="124"/>
      <c r="L131" s="54" t="s">
        <v>89</v>
      </c>
      <c r="M131" s="75">
        <f>[1]!b_stm07_bs(K107,33,L107,1)</f>
        <v>7779848662.9399996</v>
      </c>
      <c r="N131" s="54" t="s">
        <v>90</v>
      </c>
      <c r="O131" s="75">
        <f>[1]!b_stm07_is(K107,13,L107,1)</f>
        <v>594339292.96000004</v>
      </c>
      <c r="P131" s="131" t="s">
        <v>91</v>
      </c>
      <c r="Q131" s="124"/>
      <c r="R131" s="124"/>
      <c r="S131" s="136">
        <f>[1]!b_stm07_cs(K107,29,L107,1)</f>
        <v>863911317.75</v>
      </c>
      <c r="T131" s="135"/>
      <c r="U131" s="135"/>
    </row>
    <row r="132" spans="1:21" x14ac:dyDescent="0.25">
      <c r="L132" s="54" t="s">
        <v>92</v>
      </c>
      <c r="M132" s="75">
        <f>[1]!b_stm07_bs(K107,37,L107,1)</f>
        <v>5140326837.3699999</v>
      </c>
      <c r="N132" s="54" t="s">
        <v>93</v>
      </c>
      <c r="O132" s="75">
        <f>[1]!b_stm07_is(K107,14,L107,1)</f>
        <v>1067735837.5</v>
      </c>
      <c r="P132" s="131" t="s">
        <v>94</v>
      </c>
      <c r="Q132" s="124"/>
      <c r="R132" s="124"/>
      <c r="S132" s="137">
        <f>[1]!b_stm07_cs(K107,37,L107,1)</f>
        <v>25330892072.23</v>
      </c>
      <c r="T132" s="135"/>
      <c r="U132" s="135"/>
    </row>
    <row r="133" spans="1:21" x14ac:dyDescent="0.25">
      <c r="L133" s="54" t="s">
        <v>95</v>
      </c>
      <c r="M133" s="81">
        <f>[1]!b_stm07_bs(K107,74,L107,1)</f>
        <v>39084423411.650002</v>
      </c>
      <c r="N133" s="54" t="s">
        <v>96</v>
      </c>
      <c r="O133" s="75">
        <f>[1]!b_stm07_is(K107,48,L107,1)</f>
        <v>635645772.28999996</v>
      </c>
      <c r="P133" s="131" t="s">
        <v>97</v>
      </c>
      <c r="Q133" s="124"/>
      <c r="R133" s="124"/>
      <c r="S133" s="137">
        <f>[1]!b_stm07_cs(K107,39,L107,1)</f>
        <v>3341827557.6199999</v>
      </c>
      <c r="T133" s="135"/>
      <c r="U133" s="135"/>
    </row>
    <row r="134" spans="1:21" x14ac:dyDescent="0.25">
      <c r="L134" s="54" t="s">
        <v>98</v>
      </c>
      <c r="M134" s="75">
        <f>[1]!b_stm07_bs(K107,75,L107,1)</f>
        <v>8449817135.3199997</v>
      </c>
      <c r="N134" s="54" t="s">
        <v>99</v>
      </c>
      <c r="O134" s="75">
        <f>[1]!b_stm07_is(K107,55,L107,1)</f>
        <v>984005419.36000001</v>
      </c>
      <c r="P134" s="131" t="s">
        <v>100</v>
      </c>
      <c r="Q134" s="124"/>
      <c r="R134" s="124"/>
      <c r="S134" s="137">
        <f>[1]!b_stm07_cs(K107,59,L107,1)</f>
        <v>-341891409.49000001</v>
      </c>
      <c r="T134" s="135"/>
      <c r="U134" s="135"/>
    </row>
    <row r="135" spans="1:21" ht="32.4" customHeight="1" x14ac:dyDescent="0.25">
      <c r="L135" s="54" t="s">
        <v>101</v>
      </c>
      <c r="M135" s="75">
        <f>[1]!b_stm07_bs(K107,88,L107,1)</f>
        <v>1076000000</v>
      </c>
      <c r="N135" s="54" t="s">
        <v>43</v>
      </c>
      <c r="O135" s="75">
        <f>[1]!b_stm07_is(K107,60,L107,1)</f>
        <v>795450406.67999995</v>
      </c>
      <c r="P135" s="131" t="s">
        <v>102</v>
      </c>
      <c r="Q135" s="124"/>
      <c r="R135" s="124"/>
      <c r="S135" s="136">
        <f>[1]!b_stm07_cs(K107,60,L107,1)</f>
        <v>0</v>
      </c>
      <c r="T135" s="135"/>
      <c r="U135" s="135"/>
    </row>
    <row r="136" spans="1:21" ht="21.6" customHeight="1" x14ac:dyDescent="0.25">
      <c r="L136" s="54" t="s">
        <v>103</v>
      </c>
      <c r="M136" s="75">
        <f>[1]!b_stm07_bs(K107,147,L107,1)</f>
        <v>0</v>
      </c>
      <c r="N136" s="54"/>
      <c r="O136" s="80"/>
      <c r="P136" s="131" t="s">
        <v>104</v>
      </c>
      <c r="Q136" s="124"/>
      <c r="R136" s="124"/>
      <c r="S136" s="136">
        <f>[1]!b_stm07_cs(K107,61,L107,1)</f>
        <v>24993853798.689999</v>
      </c>
      <c r="T136" s="135"/>
      <c r="U136" s="135"/>
    </row>
    <row r="137" spans="1:21" x14ac:dyDescent="0.25">
      <c r="L137" s="54" t="s">
        <v>105</v>
      </c>
      <c r="M137" s="75">
        <f>[1]!b_stm07_bs(K107,94,L107,1)</f>
        <v>5437262106.2700005</v>
      </c>
      <c r="N137" s="54"/>
      <c r="O137" s="80"/>
      <c r="P137" s="131" t="s">
        <v>106</v>
      </c>
      <c r="Q137" s="124"/>
      <c r="R137" s="124"/>
      <c r="S137" s="136">
        <f>[1]!b_stm07_cs(K107,63,L107,1)</f>
        <v>0</v>
      </c>
      <c r="T137" s="135"/>
      <c r="U137" s="135"/>
    </row>
    <row r="138" spans="1:21" x14ac:dyDescent="0.25">
      <c r="L138" s="54" t="s">
        <v>107</v>
      </c>
      <c r="M138" s="75">
        <f>[1]!b_stm07_bs(K107,95,L107,1)</f>
        <v>1000000000</v>
      </c>
      <c r="N138" s="54"/>
      <c r="O138" s="80"/>
      <c r="P138" s="131" t="s">
        <v>108</v>
      </c>
      <c r="Q138" s="124"/>
      <c r="R138" s="124"/>
      <c r="S138" s="137">
        <f>[1]!b_stm07_cs(K107,68,L107,1)</f>
        <v>25373142901.82</v>
      </c>
      <c r="T138" s="135"/>
      <c r="U138" s="135"/>
    </row>
    <row r="139" spans="1:21" x14ac:dyDescent="0.25">
      <c r="L139" s="54" t="s">
        <v>109</v>
      </c>
      <c r="M139" s="81">
        <f>[1]!b_stm07_bs(K107,128,L107,1)</f>
        <v>28124054281.830002</v>
      </c>
      <c r="N139" s="14"/>
      <c r="O139" s="13"/>
      <c r="P139" s="131" t="s">
        <v>110</v>
      </c>
      <c r="Q139" s="124"/>
      <c r="R139" s="124"/>
      <c r="S139" s="136">
        <f>[1]!b_stm07_cs(K107,69,L107,1)</f>
        <v>27001805140.25</v>
      </c>
      <c r="T139" s="135"/>
      <c r="U139" s="135"/>
    </row>
    <row r="140" spans="1:21" ht="21.6" customHeight="1" x14ac:dyDescent="0.25">
      <c r="L140" s="54" t="s">
        <v>111</v>
      </c>
      <c r="M140" s="81">
        <f>[1]!b_stm07_bs(K107,141,L107,1)</f>
        <v>10960369129.82</v>
      </c>
      <c r="N140" s="14"/>
      <c r="O140" s="13"/>
      <c r="P140" s="131" t="s">
        <v>112</v>
      </c>
      <c r="Q140" s="124"/>
      <c r="R140" s="124"/>
      <c r="S140" s="136">
        <f>[1]!b_stm07_cs(K107,75,L107,1)</f>
        <v>30219104498.259998</v>
      </c>
      <c r="T140" s="135"/>
      <c r="U140" s="135"/>
    </row>
    <row r="141" spans="1:21" ht="21.6" customHeight="1" x14ac:dyDescent="0.25">
      <c r="L141" s="15" t="s">
        <v>113</v>
      </c>
      <c r="M141" s="81">
        <f>[1]!b_stm07_bs(K107,145,L107,1)</f>
        <v>39084423411.650002</v>
      </c>
      <c r="N141" s="14"/>
      <c r="O141" s="13"/>
      <c r="P141" s="131" t="s">
        <v>114</v>
      </c>
      <c r="Q141" s="124"/>
      <c r="R141" s="124"/>
      <c r="S141" s="137">
        <f>[1]!b_stm07_cs(K107,77,L107,1)</f>
        <v>-4845961596.4399996</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382</v>
      </c>
      <c r="C2" s="120"/>
      <c r="D2" s="57" t="s">
        <v>3</v>
      </c>
      <c r="E2" s="119" t="s">
        <v>383</v>
      </c>
      <c r="F2" s="120"/>
      <c r="G2" s="120"/>
    </row>
    <row r="3" spans="1:12" ht="14.25" customHeight="1" x14ac:dyDescent="0.25">
      <c r="A3" s="57" t="s">
        <v>4</v>
      </c>
      <c r="B3" s="119" t="s">
        <v>384</v>
      </c>
      <c r="C3" s="120"/>
      <c r="D3" s="57" t="s">
        <v>5</v>
      </c>
      <c r="E3" s="119" t="s">
        <v>385</v>
      </c>
      <c r="F3" s="120"/>
      <c r="G3" s="120"/>
    </row>
    <row r="4" spans="1:12" ht="113.25" customHeight="1" x14ac:dyDescent="0.25">
      <c r="A4" s="57" t="s">
        <v>6</v>
      </c>
      <c r="B4" s="121" t="s">
        <v>386</v>
      </c>
      <c r="C4" s="120"/>
      <c r="D4" s="120"/>
      <c r="E4" s="120"/>
      <c r="F4" s="120"/>
      <c r="G4" s="120"/>
    </row>
    <row r="5" spans="1:12" ht="14.4" x14ac:dyDescent="0.25">
      <c r="A5" s="82" t="s">
        <v>115</v>
      </c>
      <c r="B5" s="140" t="s">
        <v>387</v>
      </c>
      <c r="C5" s="120"/>
      <c r="D5" s="120"/>
      <c r="E5" s="120"/>
      <c r="F5" s="141">
        <v>0.94680000305175782</v>
      </c>
      <c r="G5" s="120"/>
    </row>
    <row r="6" spans="1:12" ht="11.25" customHeight="1" x14ac:dyDescent="0.25">
      <c r="A6" s="82" t="s">
        <v>116</v>
      </c>
      <c r="B6" s="140" t="s">
        <v>388</v>
      </c>
      <c r="C6" s="120"/>
      <c r="D6" s="120"/>
      <c r="E6" s="120"/>
      <c r="F6" s="141">
        <v>5.3200001716613772E-2</v>
      </c>
      <c r="G6" s="120"/>
    </row>
    <row r="7" spans="1:12" ht="11.25" customHeight="1" x14ac:dyDescent="0.25">
      <c r="A7" s="82" t="s">
        <v>117</v>
      </c>
      <c r="B7" s="140" t="s">
        <v>389</v>
      </c>
      <c r="C7" s="120"/>
      <c r="D7" s="120"/>
      <c r="E7" s="120"/>
      <c r="F7" s="141" t="s">
        <v>389</v>
      </c>
      <c r="G7" s="120"/>
    </row>
    <row r="8" spans="1:12" ht="11.25" customHeight="1" x14ac:dyDescent="0.25">
      <c r="A8" s="82" t="s">
        <v>118</v>
      </c>
      <c r="B8" s="140" t="s">
        <v>389</v>
      </c>
      <c r="C8" s="120"/>
      <c r="D8" s="120"/>
      <c r="E8" s="120"/>
      <c r="F8" s="141" t="s">
        <v>389</v>
      </c>
      <c r="G8" s="120"/>
    </row>
    <row r="9" spans="1:12" ht="11.25" customHeight="1" x14ac:dyDescent="0.25">
      <c r="A9" s="82" t="s">
        <v>119</v>
      </c>
      <c r="B9" s="140" t="s">
        <v>389</v>
      </c>
      <c r="C9" s="120"/>
      <c r="D9" s="120"/>
      <c r="E9" s="120"/>
      <c r="F9" s="141" t="s">
        <v>389</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4.34</v>
      </c>
      <c r="E13" s="64">
        <v>0.69863013698630139</v>
      </c>
      <c r="F13" s="65">
        <v>0</v>
      </c>
      <c r="G13" s="64">
        <v>5</v>
      </c>
    </row>
    <row r="14" spans="1:12" ht="14.4" customHeight="1" x14ac:dyDescent="0.25">
      <c r="A14" t="s">
        <v>124</v>
      </c>
      <c r="B14" t="s">
        <v>125</v>
      </c>
      <c r="C14" t="s">
        <v>126</v>
      </c>
      <c r="D14" s="64">
        <v>4.0999999999999996</v>
      </c>
      <c r="E14" s="83">
        <v>0.61917808219178083</v>
      </c>
      <c r="F14">
        <v>0</v>
      </c>
      <c r="G14" s="64">
        <v>5</v>
      </c>
    </row>
    <row r="15" spans="1:12" ht="14.4" customHeight="1" x14ac:dyDescent="0.25">
      <c r="A15" t="s">
        <v>127</v>
      </c>
      <c r="B15" t="s">
        <v>128</v>
      </c>
      <c r="C15" t="s">
        <v>129</v>
      </c>
      <c r="D15" s="64">
        <v>5</v>
      </c>
      <c r="E15" s="83">
        <v>1.8602739726027397</v>
      </c>
      <c r="F15" t="s">
        <v>390</v>
      </c>
      <c r="G15" s="64">
        <v>5</v>
      </c>
    </row>
    <row r="16" spans="1:12" ht="14.4" customHeight="1" x14ac:dyDescent="0.25">
      <c r="A16" t="s">
        <v>130</v>
      </c>
      <c r="B16" t="s">
        <v>131</v>
      </c>
      <c r="C16" t="s">
        <v>132</v>
      </c>
      <c r="D16" s="64">
        <v>6</v>
      </c>
      <c r="E16" s="83">
        <v>1.6465753424657534</v>
      </c>
      <c r="F16" t="s">
        <v>390</v>
      </c>
      <c r="G16" s="64">
        <v>3</v>
      </c>
    </row>
    <row r="17" spans="1:7" ht="14.4" customHeight="1" x14ac:dyDescent="0.25">
      <c r="A17" t="s">
        <v>133</v>
      </c>
      <c r="B17" t="s">
        <v>134</v>
      </c>
      <c r="C17" t="s">
        <v>135</v>
      </c>
      <c r="D17" s="64">
        <v>4.83</v>
      </c>
      <c r="E17" s="83">
        <v>0.27671232876712326</v>
      </c>
      <c r="F17">
        <v>0</v>
      </c>
      <c r="G17" s="64">
        <v>5</v>
      </c>
    </row>
    <row r="18" spans="1:7" ht="14.4" customHeight="1" x14ac:dyDescent="0.25">
      <c r="A18" t="s">
        <v>136</v>
      </c>
      <c r="B18" t="s">
        <v>137</v>
      </c>
      <c r="C18" t="s">
        <v>138</v>
      </c>
      <c r="D18" s="64">
        <v>6.2</v>
      </c>
      <c r="E18" s="83">
        <v>1.515068493150685</v>
      </c>
      <c r="F18" t="s">
        <v>390</v>
      </c>
      <c r="G18" s="64">
        <v>3</v>
      </c>
    </row>
    <row r="19" spans="1:7" ht="14.4" customHeight="1" x14ac:dyDescent="0.25">
      <c r="A19" t="s">
        <v>139</v>
      </c>
      <c r="B19" t="s">
        <v>140</v>
      </c>
      <c r="C19" t="s">
        <v>141</v>
      </c>
      <c r="D19" s="64">
        <v>4.83</v>
      </c>
      <c r="E19" s="83">
        <v>0.23561643835616439</v>
      </c>
      <c r="F19">
        <v>0</v>
      </c>
      <c r="G19" s="64">
        <v>5</v>
      </c>
    </row>
    <row r="20" spans="1:7" ht="14.4" customHeight="1" x14ac:dyDescent="0.25">
      <c r="A20" t="s">
        <v>142</v>
      </c>
      <c r="B20" t="s">
        <v>143</v>
      </c>
      <c r="C20" t="s">
        <v>144</v>
      </c>
      <c r="D20" s="64">
        <v>4.88</v>
      </c>
      <c r="E20" s="83">
        <v>0</v>
      </c>
      <c r="F20">
        <v>0</v>
      </c>
      <c r="G20" s="64">
        <v>5</v>
      </c>
    </row>
    <row r="21" spans="1:7" ht="14.4" customHeight="1" x14ac:dyDescent="0.25">
      <c r="A21" t="s">
        <v>145</v>
      </c>
      <c r="B21" t="s">
        <v>146</v>
      </c>
      <c r="C21" t="s">
        <v>147</v>
      </c>
      <c r="D21" s="64">
        <v>4.9800000000000004</v>
      </c>
      <c r="E21" s="83">
        <v>8.7671232876712329E-2</v>
      </c>
      <c r="F21">
        <v>0</v>
      </c>
      <c r="G21" s="64">
        <v>5</v>
      </c>
    </row>
    <row r="22" spans="1:7" ht="14.4" customHeight="1" x14ac:dyDescent="0.25">
      <c r="A22" t="s">
        <v>148</v>
      </c>
      <c r="B22" t="s">
        <v>149</v>
      </c>
      <c r="C22" t="s">
        <v>150</v>
      </c>
      <c r="D22" s="64">
        <v>5.4</v>
      </c>
      <c r="E22" s="83">
        <v>1.3095890410958904</v>
      </c>
      <c r="F22" t="s">
        <v>390</v>
      </c>
      <c r="G22" s="64">
        <v>3</v>
      </c>
    </row>
    <row r="23" spans="1:7" ht="14.4" customHeight="1" x14ac:dyDescent="0.25">
      <c r="A23" t="s">
        <v>151</v>
      </c>
      <c r="B23" t="s">
        <v>152</v>
      </c>
      <c r="C23" t="s">
        <v>153</v>
      </c>
      <c r="D23" s="64">
        <v>5.48</v>
      </c>
      <c r="E23" s="83">
        <v>0</v>
      </c>
      <c r="F23">
        <v>0</v>
      </c>
      <c r="G23" s="64">
        <v>5</v>
      </c>
    </row>
    <row r="24" spans="1:7" ht="14.4" customHeight="1" x14ac:dyDescent="0.25">
      <c r="A24" t="s">
        <v>154</v>
      </c>
      <c r="B24" t="s">
        <v>155</v>
      </c>
      <c r="C24" t="s">
        <v>156</v>
      </c>
      <c r="D24" s="64">
        <v>5.7</v>
      </c>
      <c r="E24" s="83">
        <v>0</v>
      </c>
      <c r="F24">
        <v>0</v>
      </c>
      <c r="G24" s="64">
        <v>6</v>
      </c>
    </row>
    <row r="25" spans="1:7" ht="14.4" customHeight="1" x14ac:dyDescent="0.25">
      <c r="A25" t="s">
        <v>157</v>
      </c>
      <c r="B25" t="s">
        <v>158</v>
      </c>
      <c r="C25" t="s">
        <v>159</v>
      </c>
      <c r="D25" s="64">
        <v>5.9</v>
      </c>
      <c r="E25" s="83">
        <v>0</v>
      </c>
      <c r="F25">
        <v>0</v>
      </c>
      <c r="G25" s="64">
        <v>5</v>
      </c>
    </row>
    <row r="26" spans="1:7" ht="14.4" customHeight="1" x14ac:dyDescent="0.25">
      <c r="A26" t="s">
        <v>160</v>
      </c>
      <c r="B26" t="s">
        <v>161</v>
      </c>
      <c r="C26" t="s">
        <v>162</v>
      </c>
      <c r="D26" s="64">
        <v>5.94</v>
      </c>
      <c r="E26" s="83">
        <v>0</v>
      </c>
      <c r="F26">
        <v>0</v>
      </c>
      <c r="G26" s="64">
        <v>7</v>
      </c>
    </row>
    <row r="27" spans="1:7" ht="14.4" customHeight="1" x14ac:dyDescent="0.25">
      <c r="A27" t="s">
        <v>163</v>
      </c>
      <c r="B27" t="s">
        <v>164</v>
      </c>
      <c r="C27" t="s">
        <v>165</v>
      </c>
      <c r="D27" s="64">
        <v>6</v>
      </c>
      <c r="E27" s="83">
        <v>0</v>
      </c>
      <c r="F27">
        <v>0</v>
      </c>
      <c r="G27" s="64">
        <v>7</v>
      </c>
    </row>
    <row r="28" spans="1:7" ht="14.4" customHeight="1" x14ac:dyDescent="0.25">
      <c r="A28" t="s">
        <v>166</v>
      </c>
      <c r="B28" t="s">
        <v>167</v>
      </c>
      <c r="C28" t="s">
        <v>168</v>
      </c>
      <c r="D28" s="64">
        <v>5.78</v>
      </c>
      <c r="E28" s="83">
        <v>1.0356164383561643</v>
      </c>
      <c r="F28" t="s">
        <v>390</v>
      </c>
      <c r="G28" s="64">
        <v>3</v>
      </c>
    </row>
    <row r="29" spans="1:7" ht="14.4" customHeight="1" x14ac:dyDescent="0.25">
      <c r="A29" t="s">
        <v>169</v>
      </c>
      <c r="B29" t="s">
        <v>170</v>
      </c>
      <c r="C29" t="s">
        <v>171</v>
      </c>
      <c r="D29" s="64">
        <v>6.9</v>
      </c>
      <c r="E29" s="83">
        <v>3.9398907103825138</v>
      </c>
      <c r="F29">
        <v>0</v>
      </c>
      <c r="G29" s="64">
        <v>4</v>
      </c>
    </row>
    <row r="30" spans="1:7" ht="14.4" customHeight="1" x14ac:dyDescent="0.25">
      <c r="A30" t="s">
        <v>172</v>
      </c>
      <c r="B30" t="s">
        <v>173</v>
      </c>
      <c r="C30" t="s">
        <v>174</v>
      </c>
      <c r="D30" s="64">
        <v>6.9</v>
      </c>
      <c r="E30" s="83">
        <v>3.8027397260273972</v>
      </c>
      <c r="F30">
        <v>0</v>
      </c>
      <c r="G30" s="64">
        <v>2.1</v>
      </c>
    </row>
    <row r="31" spans="1:7" ht="14.4" customHeight="1" x14ac:dyDescent="0.25">
      <c r="A31" t="s">
        <v>175</v>
      </c>
      <c r="B31" t="s">
        <v>176</v>
      </c>
      <c r="C31" t="s">
        <v>177</v>
      </c>
      <c r="D31" s="64">
        <v>5.83</v>
      </c>
      <c r="E31" s="83">
        <v>0</v>
      </c>
      <c r="F31">
        <v>0</v>
      </c>
      <c r="G31" s="64">
        <v>7</v>
      </c>
    </row>
    <row r="32" spans="1:7" ht="14.4" customHeight="1" x14ac:dyDescent="0.25">
      <c r="A32" t="s">
        <v>178</v>
      </c>
      <c r="B32" t="s">
        <v>179</v>
      </c>
      <c r="C32" t="s">
        <v>180</v>
      </c>
      <c r="D32" s="64">
        <v>5.7</v>
      </c>
      <c r="E32" s="83">
        <v>0</v>
      </c>
      <c r="F32">
        <v>0</v>
      </c>
      <c r="G32" s="64">
        <v>4</v>
      </c>
    </row>
    <row r="33" spans="1:7" ht="14.4" customHeight="1" x14ac:dyDescent="0.25">
      <c r="A33" t="s">
        <v>181</v>
      </c>
      <c r="B33" t="s">
        <v>182</v>
      </c>
      <c r="C33" t="s">
        <v>183</v>
      </c>
      <c r="D33" s="64">
        <v>5.39</v>
      </c>
      <c r="E33" s="83">
        <v>0</v>
      </c>
      <c r="F33">
        <v>0</v>
      </c>
      <c r="G33" s="64">
        <v>6</v>
      </c>
    </row>
    <row r="34" spans="1:7" ht="14.4" customHeight="1" x14ac:dyDescent="0.25">
      <c r="A34" t="s">
        <v>184</v>
      </c>
      <c r="B34" t="s">
        <v>185</v>
      </c>
      <c r="C34" t="s">
        <v>186</v>
      </c>
      <c r="D34" s="64">
        <v>6.6</v>
      </c>
      <c r="E34" s="83">
        <v>1.5506849315068494</v>
      </c>
      <c r="F34" t="s">
        <v>390</v>
      </c>
      <c r="G34" s="64">
        <v>5</v>
      </c>
    </row>
    <row r="35" spans="1:7" ht="14.4" customHeight="1" x14ac:dyDescent="0.25">
      <c r="A35" t="s">
        <v>187</v>
      </c>
      <c r="B35" t="s">
        <v>188</v>
      </c>
      <c r="C35" t="s">
        <v>189</v>
      </c>
      <c r="D35" s="64">
        <v>5.15</v>
      </c>
      <c r="E35" s="83">
        <v>0</v>
      </c>
      <c r="F35">
        <v>0</v>
      </c>
      <c r="G35" s="64">
        <v>6</v>
      </c>
    </row>
    <row r="36" spans="1:7" ht="14.4" customHeight="1" x14ac:dyDescent="0.25">
      <c r="A36" t="s">
        <v>190</v>
      </c>
      <c r="B36" t="s">
        <v>191</v>
      </c>
      <c r="C36" t="s">
        <v>192</v>
      </c>
      <c r="D36" s="64">
        <v>5.15</v>
      </c>
      <c r="E36" s="83">
        <v>0</v>
      </c>
      <c r="F36">
        <v>0</v>
      </c>
      <c r="G36" s="64">
        <v>7</v>
      </c>
    </row>
    <row r="37" spans="1:7" ht="14.4" customHeight="1" x14ac:dyDescent="0.25">
      <c r="A37" t="s">
        <v>193</v>
      </c>
      <c r="B37" t="s">
        <v>194</v>
      </c>
      <c r="C37" t="s">
        <v>195</v>
      </c>
      <c r="D37" s="64">
        <v>5.35</v>
      </c>
      <c r="E37" s="83">
        <v>0</v>
      </c>
      <c r="F37">
        <v>0</v>
      </c>
      <c r="G37" s="64">
        <v>5</v>
      </c>
    </row>
    <row r="38" spans="1:7" ht="14.4" customHeight="1" x14ac:dyDescent="0.25">
      <c r="A38" t="s">
        <v>196</v>
      </c>
      <c r="B38" t="s">
        <v>197</v>
      </c>
      <c r="C38" t="s">
        <v>198</v>
      </c>
      <c r="D38" s="64">
        <v>5.0999999999999996</v>
      </c>
      <c r="E38" s="83">
        <v>0</v>
      </c>
      <c r="F38">
        <v>0</v>
      </c>
      <c r="G38" s="64">
        <v>5</v>
      </c>
    </row>
    <row r="39" spans="1:7" ht="14.4" customHeight="1" x14ac:dyDescent="0.25">
      <c r="A39" t="s">
        <v>199</v>
      </c>
      <c r="B39" t="s">
        <v>200</v>
      </c>
      <c r="C39" t="s">
        <v>201</v>
      </c>
      <c r="D39" s="64">
        <v>6</v>
      </c>
      <c r="E39" s="83">
        <v>3.2356164383561645</v>
      </c>
      <c r="F39">
        <v>0</v>
      </c>
      <c r="G39" s="64">
        <v>5</v>
      </c>
    </row>
    <row r="40" spans="1:7" ht="14.4" customHeight="1" x14ac:dyDescent="0.25">
      <c r="A40" t="s">
        <v>202</v>
      </c>
      <c r="B40" t="s">
        <v>203</v>
      </c>
      <c r="C40" t="s">
        <v>204</v>
      </c>
      <c r="D40" s="64">
        <v>6.08</v>
      </c>
      <c r="E40" s="83">
        <v>0</v>
      </c>
      <c r="F40">
        <v>0</v>
      </c>
      <c r="G40" s="64">
        <v>5</v>
      </c>
    </row>
    <row r="41" spans="1:7" ht="14.4" customHeight="1" x14ac:dyDescent="0.25">
      <c r="A41" t="s">
        <v>205</v>
      </c>
      <c r="B41" t="s">
        <v>206</v>
      </c>
      <c r="C41" t="s">
        <v>207</v>
      </c>
      <c r="D41" s="64">
        <v>5.7</v>
      </c>
      <c r="E41" s="83">
        <v>0</v>
      </c>
      <c r="F41">
        <v>0</v>
      </c>
      <c r="G41" s="64">
        <v>5</v>
      </c>
    </row>
    <row r="42" spans="1:7" ht="14.4" customHeight="1" x14ac:dyDescent="0.25">
      <c r="A42" t="s">
        <v>208</v>
      </c>
      <c r="B42" t="s">
        <v>209</v>
      </c>
      <c r="C42" t="s">
        <v>210</v>
      </c>
      <c r="D42" s="64">
        <v>5.0999999999999996</v>
      </c>
      <c r="E42" s="83">
        <v>0</v>
      </c>
      <c r="F42">
        <v>0</v>
      </c>
      <c r="G42" s="64">
        <v>5</v>
      </c>
    </row>
    <row r="43" spans="1:7" ht="14.4" customHeight="1" x14ac:dyDescent="0.25">
      <c r="A43" t="s">
        <v>211</v>
      </c>
      <c r="B43" t="s">
        <v>212</v>
      </c>
      <c r="C43" t="s">
        <v>213</v>
      </c>
      <c r="D43" s="64">
        <v>5.38</v>
      </c>
      <c r="E43" s="83">
        <v>0</v>
      </c>
      <c r="F43">
        <v>0</v>
      </c>
      <c r="G43" s="64">
        <v>5</v>
      </c>
    </row>
    <row r="44" spans="1:7" ht="14.4" customHeight="1" x14ac:dyDescent="0.25">
      <c r="A44" t="s">
        <v>214</v>
      </c>
      <c r="B44" t="s">
        <v>215</v>
      </c>
      <c r="C44" t="s">
        <v>216</v>
      </c>
      <c r="D44" s="64">
        <v>5.0999999999999996</v>
      </c>
      <c r="E44" s="83">
        <v>0</v>
      </c>
      <c r="F44">
        <v>0</v>
      </c>
      <c r="G44" s="64">
        <v>5</v>
      </c>
    </row>
    <row r="45" spans="1:7" ht="14.4" customHeight="1" x14ac:dyDescent="0.25">
      <c r="A45" t="s">
        <v>217</v>
      </c>
      <c r="B45" t="s">
        <v>218</v>
      </c>
      <c r="C45" t="s">
        <v>219</v>
      </c>
      <c r="D45" s="64">
        <v>5.0599999999999996</v>
      </c>
      <c r="E45" s="83">
        <v>0</v>
      </c>
      <c r="F45">
        <v>0</v>
      </c>
      <c r="G45" s="64">
        <v>5</v>
      </c>
    </row>
    <row r="46" spans="1:7" ht="14.4" customHeight="1" x14ac:dyDescent="0.25">
      <c r="A46" t="s">
        <v>220</v>
      </c>
      <c r="B46" t="s">
        <v>221</v>
      </c>
      <c r="C46" t="s">
        <v>222</v>
      </c>
      <c r="D46" s="64">
        <v>4.95</v>
      </c>
      <c r="E46" s="83">
        <v>0</v>
      </c>
      <c r="F46">
        <v>0</v>
      </c>
      <c r="G46" s="64">
        <v>5</v>
      </c>
    </row>
    <row r="47" spans="1:7" ht="14.4" customHeight="1" x14ac:dyDescent="0.25">
      <c r="A47" t="s">
        <v>223</v>
      </c>
      <c r="B47" t="s">
        <v>224</v>
      </c>
      <c r="C47" t="s">
        <v>225</v>
      </c>
      <c r="D47" s="64">
        <v>4.95</v>
      </c>
      <c r="E47" s="83">
        <v>0</v>
      </c>
      <c r="F47">
        <v>0</v>
      </c>
      <c r="G47" s="64">
        <v>5</v>
      </c>
    </row>
    <row r="48" spans="1:7" ht="14.4" customHeight="1" x14ac:dyDescent="0.25">
      <c r="A48" t="s">
        <v>226</v>
      </c>
      <c r="B48" t="s">
        <v>227</v>
      </c>
      <c r="C48" t="s">
        <v>228</v>
      </c>
      <c r="D48" s="64">
        <v>7</v>
      </c>
      <c r="E48" s="83">
        <v>0</v>
      </c>
      <c r="F48">
        <v>0</v>
      </c>
      <c r="G48" s="64">
        <v>5</v>
      </c>
    </row>
    <row r="49" spans="1:7" ht="14.4" customHeight="1" x14ac:dyDescent="0.25">
      <c r="A49" t="s">
        <v>229</v>
      </c>
      <c r="B49" t="s">
        <v>230</v>
      </c>
      <c r="C49" t="s">
        <v>231</v>
      </c>
      <c r="D49" s="64">
        <v>7</v>
      </c>
      <c r="E49" s="83">
        <v>0</v>
      </c>
      <c r="F49">
        <v>0</v>
      </c>
      <c r="G49" s="64">
        <v>5</v>
      </c>
    </row>
    <row r="50" spans="1:7" ht="14.4" customHeight="1" x14ac:dyDescent="0.25">
      <c r="A50" t="s">
        <v>232</v>
      </c>
      <c r="B50" t="s">
        <v>233</v>
      </c>
      <c r="C50" t="s">
        <v>234</v>
      </c>
      <c r="D50" s="64">
        <v>5.5</v>
      </c>
      <c r="E50" s="83">
        <v>0</v>
      </c>
      <c r="F50">
        <v>0</v>
      </c>
      <c r="G50" s="64">
        <v>10</v>
      </c>
    </row>
    <row r="51" spans="1:7" ht="14.4" customHeight="1" x14ac:dyDescent="0.25">
      <c r="A51" t="s">
        <v>235</v>
      </c>
      <c r="B51" t="s">
        <v>236</v>
      </c>
      <c r="C51" t="s">
        <v>237</v>
      </c>
      <c r="D51" s="64">
        <v>5.5</v>
      </c>
      <c r="E51" s="83">
        <v>0</v>
      </c>
      <c r="F51">
        <v>0</v>
      </c>
      <c r="G51" s="64">
        <v>5</v>
      </c>
    </row>
    <row r="52" spans="1:7" ht="14.4" customHeight="1" x14ac:dyDescent="0.25">
      <c r="A52" t="s">
        <v>238</v>
      </c>
      <c r="B52" t="s">
        <v>239</v>
      </c>
      <c r="C52" t="s">
        <v>240</v>
      </c>
      <c r="D52" s="64">
        <v>6.02</v>
      </c>
      <c r="E52" s="83">
        <v>0</v>
      </c>
      <c r="F52">
        <v>0</v>
      </c>
      <c r="G52" s="64">
        <v>5</v>
      </c>
    </row>
    <row r="53" spans="1:7" ht="14.4" customHeight="1" x14ac:dyDescent="0.25">
      <c r="A53" t="s">
        <v>241</v>
      </c>
      <c r="B53" t="s">
        <v>242</v>
      </c>
      <c r="C53" t="s">
        <v>243</v>
      </c>
      <c r="D53" s="64">
        <v>6.38</v>
      </c>
      <c r="E53" s="83">
        <v>0</v>
      </c>
      <c r="F53">
        <v>0</v>
      </c>
      <c r="G53" s="64">
        <v>5</v>
      </c>
    </row>
    <row r="54" spans="1:7" ht="14.4" customHeight="1" x14ac:dyDescent="0.25">
      <c r="A54" t="s">
        <v>244</v>
      </c>
      <c r="B54" t="s">
        <v>245</v>
      </c>
      <c r="C54" t="s">
        <v>246</v>
      </c>
      <c r="D54" s="64">
        <v>5.49</v>
      </c>
      <c r="E54" s="83">
        <v>0</v>
      </c>
      <c r="F54">
        <v>0</v>
      </c>
      <c r="G54" s="64">
        <v>5</v>
      </c>
    </row>
    <row r="55" spans="1:7" ht="14.4" customHeight="1" x14ac:dyDescent="0.25">
      <c r="A55" t="s">
        <v>247</v>
      </c>
      <c r="B55" t="s">
        <v>248</v>
      </c>
      <c r="C55" t="s">
        <v>249</v>
      </c>
      <c r="D55" s="64">
        <v>4.09</v>
      </c>
      <c r="E55" s="83">
        <v>0</v>
      </c>
      <c r="F55" t="s">
        <v>391</v>
      </c>
      <c r="G55" s="64">
        <v>5</v>
      </c>
    </row>
    <row r="56" spans="1:7" ht="14.4" customHeight="1" x14ac:dyDescent="0.25">
      <c r="A56" t="s">
        <v>250</v>
      </c>
      <c r="B56" t="s">
        <v>251</v>
      </c>
      <c r="C56" t="s">
        <v>252</v>
      </c>
      <c r="D56" s="64">
        <v>4.3</v>
      </c>
      <c r="E56" s="83">
        <v>0</v>
      </c>
      <c r="F56" t="s">
        <v>391</v>
      </c>
      <c r="G56" s="64">
        <v>5</v>
      </c>
    </row>
    <row r="57" spans="1:7" ht="14.4" customHeight="1" x14ac:dyDescent="0.25">
      <c r="A57" t="s">
        <v>253</v>
      </c>
      <c r="B57" t="s">
        <v>254</v>
      </c>
      <c r="C57" t="s">
        <v>255</v>
      </c>
      <c r="D57" s="64">
        <v>4.8499999999999996</v>
      </c>
      <c r="E57" s="83">
        <v>0</v>
      </c>
      <c r="F57" t="s">
        <v>391</v>
      </c>
      <c r="G57" s="64">
        <v>5</v>
      </c>
    </row>
    <row r="58" spans="1:7" ht="14.4" customHeight="1" x14ac:dyDescent="0.25">
      <c r="A58" t="s">
        <v>256</v>
      </c>
      <c r="B58" t="s">
        <v>257</v>
      </c>
      <c r="C58" t="s">
        <v>258</v>
      </c>
      <c r="D58" s="64">
        <v>4.7300000000000004</v>
      </c>
      <c r="E58" s="83">
        <v>0</v>
      </c>
      <c r="F58" t="s">
        <v>391</v>
      </c>
      <c r="G58" s="64">
        <v>5</v>
      </c>
    </row>
    <row r="59" spans="1:7" ht="14.4" customHeight="1" x14ac:dyDescent="0.25">
      <c r="A59" t="s">
        <v>259</v>
      </c>
      <c r="B59" t="s">
        <v>260</v>
      </c>
      <c r="C59" t="s">
        <v>261</v>
      </c>
      <c r="D59" s="64">
        <v>5.58</v>
      </c>
      <c r="E59" s="83">
        <v>0</v>
      </c>
      <c r="F59" t="s">
        <v>390</v>
      </c>
      <c r="G59" s="64">
        <v>10</v>
      </c>
    </row>
    <row r="60" spans="1:7" ht="14.4" customHeight="1" x14ac:dyDescent="0.25">
      <c r="A60" t="s">
        <v>262</v>
      </c>
      <c r="B60" t="s">
        <v>263</v>
      </c>
      <c r="C60" t="s">
        <v>264</v>
      </c>
      <c r="D60" s="64">
        <v>5.5</v>
      </c>
      <c r="E60" s="83">
        <v>0</v>
      </c>
      <c r="F60" t="s">
        <v>390</v>
      </c>
      <c r="G60" s="64">
        <v>6</v>
      </c>
    </row>
    <row r="61" spans="1:7" ht="14.4" customHeight="1" x14ac:dyDescent="0.25">
      <c r="A61" t="s">
        <v>265</v>
      </c>
      <c r="B61" t="s">
        <v>266</v>
      </c>
      <c r="C61" t="s">
        <v>267</v>
      </c>
      <c r="D61" s="64">
        <v>6.2</v>
      </c>
      <c r="E61" s="83">
        <v>0</v>
      </c>
      <c r="F61" t="s">
        <v>391</v>
      </c>
      <c r="G61" s="64">
        <v>10</v>
      </c>
    </row>
    <row r="62" spans="1:7" ht="14.4" customHeight="1" x14ac:dyDescent="0.25">
      <c r="A62" t="s">
        <v>268</v>
      </c>
      <c r="B62" t="s">
        <v>269</v>
      </c>
      <c r="C62" t="s">
        <v>270</v>
      </c>
      <c r="D62" s="64">
        <v>6.79</v>
      </c>
      <c r="E62" s="83">
        <v>0</v>
      </c>
      <c r="F62" t="s">
        <v>391</v>
      </c>
      <c r="G62" s="64">
        <v>10</v>
      </c>
    </row>
    <row r="63" spans="1:7" ht="14.4" customHeight="1" x14ac:dyDescent="0.25">
      <c r="A63" t="s">
        <v>271</v>
      </c>
      <c r="B63" t="s">
        <v>272</v>
      </c>
      <c r="C63" t="s">
        <v>273</v>
      </c>
      <c r="D63" s="64">
        <v>5.85</v>
      </c>
      <c r="E63" s="83">
        <v>0</v>
      </c>
      <c r="F63">
        <v>0</v>
      </c>
      <c r="G63" s="64">
        <v>5</v>
      </c>
    </row>
    <row r="64" spans="1:7" ht="14.4" customHeight="1" x14ac:dyDescent="0.25">
      <c r="A64" t="s">
        <v>274</v>
      </c>
      <c r="B64" t="s">
        <v>275</v>
      </c>
      <c r="C64" t="s">
        <v>276</v>
      </c>
      <c r="D64" s="64">
        <v>6</v>
      </c>
      <c r="E64" s="83">
        <v>0</v>
      </c>
      <c r="F64" t="s">
        <v>390</v>
      </c>
      <c r="G64" s="64">
        <v>9</v>
      </c>
    </row>
    <row r="65" spans="1:7" ht="14.4" customHeight="1" x14ac:dyDescent="0.25">
      <c r="A65" t="s">
        <v>277</v>
      </c>
      <c r="B65" t="s">
        <v>278</v>
      </c>
      <c r="C65" t="s">
        <v>279</v>
      </c>
      <c r="D65" s="64">
        <v>6.18</v>
      </c>
      <c r="E65" s="83">
        <v>0</v>
      </c>
      <c r="F65" t="s">
        <v>25</v>
      </c>
      <c r="G65" s="64">
        <v>10</v>
      </c>
    </row>
    <row r="66" spans="1:7" ht="14.4" customHeight="1" x14ac:dyDescent="0.25">
      <c r="A66" t="s">
        <v>280</v>
      </c>
      <c r="B66" t="s">
        <v>281</v>
      </c>
      <c r="C66" t="s">
        <v>282</v>
      </c>
      <c r="D66" s="64">
        <v>6.65</v>
      </c>
      <c r="E66" s="83">
        <v>0</v>
      </c>
      <c r="F66" t="s">
        <v>25</v>
      </c>
      <c r="G66" s="64">
        <v>10</v>
      </c>
    </row>
    <row r="67" spans="1:7" ht="14.4" customHeight="1" x14ac:dyDescent="0.25">
      <c r="A67" t="s">
        <v>283</v>
      </c>
      <c r="C67" t="s">
        <v>284</v>
      </c>
      <c r="D67" s="64"/>
      <c r="E67" s="83">
        <v>0</v>
      </c>
      <c r="F67">
        <v>0</v>
      </c>
      <c r="G67" s="64">
        <v>0</v>
      </c>
    </row>
    <row r="68" spans="1:7" ht="14.4" customHeight="1" x14ac:dyDescent="0.25">
      <c r="A68" t="s">
        <v>285</v>
      </c>
      <c r="C68" t="s">
        <v>286</v>
      </c>
      <c r="D68" s="64"/>
      <c r="E68" s="83">
        <v>0</v>
      </c>
      <c r="F68">
        <v>0</v>
      </c>
      <c r="G68" s="64">
        <v>0</v>
      </c>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287</v>
      </c>
      <c r="D72" s="64"/>
      <c r="E72" s="83"/>
      <c r="G72" s="64"/>
    </row>
    <row r="73" spans="1:7" ht="14.4" customHeight="1" x14ac:dyDescent="0.25">
      <c r="D73" s="64"/>
      <c r="E73" s="83"/>
      <c r="G73" s="64"/>
    </row>
    <row r="74" spans="1:7" ht="14.4" customHeight="1" x14ac:dyDescent="0.25">
      <c r="A74" s="143" t="s">
        <v>288</v>
      </c>
      <c r="B74" s="143"/>
      <c r="C74" s="143"/>
      <c r="D74" s="143"/>
      <c r="E74" s="83"/>
      <c r="G74" s="64"/>
    </row>
    <row r="75" spans="1:7" ht="14.4" customHeight="1" x14ac:dyDescent="0.25">
      <c r="A75" s="84" t="s">
        <v>289</v>
      </c>
      <c r="B75" s="84" t="s">
        <v>290</v>
      </c>
      <c r="C75" s="84" t="s">
        <v>291</v>
      </c>
      <c r="D75" s="85" t="s">
        <v>292</v>
      </c>
      <c r="E75" s="83"/>
      <c r="G75" s="64"/>
    </row>
    <row r="76" spans="1:7" ht="14.4" customHeight="1" x14ac:dyDescent="0.25">
      <c r="A76" t="s">
        <v>293</v>
      </c>
      <c r="B76" t="s">
        <v>25</v>
      </c>
      <c r="C76" t="s">
        <v>294</v>
      </c>
      <c r="D76" s="64" t="s">
        <v>295</v>
      </c>
      <c r="E76" s="83"/>
      <c r="G76" s="64"/>
    </row>
    <row r="77" spans="1:7" ht="14.4" customHeight="1" x14ac:dyDescent="0.25">
      <c r="A77" t="s">
        <v>296</v>
      </c>
      <c r="B77" t="s">
        <v>25</v>
      </c>
      <c r="C77" t="s">
        <v>294</v>
      </c>
      <c r="D77" s="64" t="s">
        <v>295</v>
      </c>
      <c r="E77" s="83"/>
      <c r="G77" s="64"/>
    </row>
    <row r="78" spans="1:7" ht="14.4" customHeight="1" x14ac:dyDescent="0.25">
      <c r="A78" t="s">
        <v>297</v>
      </c>
      <c r="B78" t="s">
        <v>25</v>
      </c>
      <c r="C78" t="s">
        <v>294</v>
      </c>
      <c r="D78" s="64" t="s">
        <v>298</v>
      </c>
      <c r="E78" s="83"/>
      <c r="G78" s="64"/>
    </row>
    <row r="79" spans="1:7" ht="14.4" customHeight="1" x14ac:dyDescent="0.25">
      <c r="A79" t="s">
        <v>152</v>
      </c>
      <c r="B79" t="s">
        <v>25</v>
      </c>
      <c r="C79" t="s">
        <v>294</v>
      </c>
      <c r="D79" s="64" t="s">
        <v>298</v>
      </c>
      <c r="E79" s="83"/>
      <c r="G79" s="64"/>
    </row>
    <row r="80" spans="1:7" ht="14.4" customHeight="1" x14ac:dyDescent="0.25">
      <c r="A80" t="s">
        <v>299</v>
      </c>
      <c r="B80" t="s">
        <v>25</v>
      </c>
      <c r="C80" t="s">
        <v>294</v>
      </c>
      <c r="D80" s="64" t="s">
        <v>298</v>
      </c>
      <c r="E80" s="83"/>
      <c r="G80" s="64"/>
    </row>
    <row r="81" spans="1:7" ht="14.4" customHeight="1" x14ac:dyDescent="0.25">
      <c r="A81" t="s">
        <v>300</v>
      </c>
      <c r="B81" t="s">
        <v>25</v>
      </c>
      <c r="C81" t="s">
        <v>294</v>
      </c>
      <c r="D81" s="64" t="s">
        <v>298</v>
      </c>
      <c r="E81" s="83"/>
      <c r="G81" s="64"/>
    </row>
    <row r="82" spans="1:7" ht="14.4" customHeight="1" x14ac:dyDescent="0.25">
      <c r="A82" t="s">
        <v>301</v>
      </c>
      <c r="B82" t="s">
        <v>25</v>
      </c>
      <c r="C82" t="s">
        <v>294</v>
      </c>
      <c r="D82" s="64" t="s">
        <v>298</v>
      </c>
      <c r="E82" s="83"/>
      <c r="G82" s="64"/>
    </row>
    <row r="83" spans="1:7" ht="14.4" customHeight="1" x14ac:dyDescent="0.25">
      <c r="A83" t="s">
        <v>302</v>
      </c>
      <c r="B83" t="s">
        <v>25</v>
      </c>
      <c r="C83" t="s">
        <v>294</v>
      </c>
      <c r="D83" s="64" t="s">
        <v>298</v>
      </c>
      <c r="E83" s="83"/>
      <c r="G83" s="64"/>
    </row>
    <row r="84" spans="1:7" ht="14.4" customHeight="1" x14ac:dyDescent="0.25">
      <c r="A84" t="s">
        <v>303</v>
      </c>
      <c r="B84" t="s">
        <v>25</v>
      </c>
      <c r="C84" t="s">
        <v>294</v>
      </c>
      <c r="D84" s="64" t="s">
        <v>298</v>
      </c>
      <c r="E84" s="83"/>
      <c r="G84" s="64"/>
    </row>
    <row r="85" spans="1:7" ht="14.4" customHeight="1" x14ac:dyDescent="0.25">
      <c r="A85" t="s">
        <v>304</v>
      </c>
      <c r="B85" t="s">
        <v>25</v>
      </c>
      <c r="C85" t="s">
        <v>294</v>
      </c>
      <c r="D85" s="64" t="s">
        <v>298</v>
      </c>
      <c r="E85" s="83"/>
      <c r="G85" s="64"/>
    </row>
    <row r="86" spans="1:7" ht="14.4" customHeight="1" x14ac:dyDescent="0.25">
      <c r="A86" t="s">
        <v>305</v>
      </c>
      <c r="B86" t="s">
        <v>25</v>
      </c>
      <c r="C86" t="s">
        <v>294</v>
      </c>
      <c r="D86" s="64" t="s">
        <v>298</v>
      </c>
      <c r="E86" s="83"/>
      <c r="G86" s="64"/>
    </row>
    <row r="87" spans="1:7" ht="14.4" customHeight="1" x14ac:dyDescent="0.25">
      <c r="A87" t="s">
        <v>306</v>
      </c>
      <c r="B87" t="s">
        <v>25</v>
      </c>
      <c r="C87" t="s">
        <v>294</v>
      </c>
      <c r="D87" s="64" t="s">
        <v>298</v>
      </c>
      <c r="E87" s="83"/>
      <c r="G87" s="64"/>
    </row>
    <row r="88" spans="1:7" ht="14.4" customHeight="1" x14ac:dyDescent="0.25">
      <c r="A88" t="s">
        <v>307</v>
      </c>
      <c r="B88" t="s">
        <v>25</v>
      </c>
      <c r="C88" t="s">
        <v>294</v>
      </c>
      <c r="D88" s="64" t="s">
        <v>298</v>
      </c>
      <c r="E88" s="83"/>
      <c r="G88" s="64"/>
    </row>
    <row r="89" spans="1:7" ht="14.4" customHeight="1" x14ac:dyDescent="0.25">
      <c r="A89" t="s">
        <v>308</v>
      </c>
      <c r="B89" t="s">
        <v>25</v>
      </c>
      <c r="C89" t="s">
        <v>294</v>
      </c>
      <c r="D89" s="64" t="s">
        <v>298</v>
      </c>
      <c r="E89" s="83"/>
      <c r="G89" s="64"/>
    </row>
    <row r="90" spans="1:7" ht="14.4" customHeight="1" x14ac:dyDescent="0.25">
      <c r="A90" t="s">
        <v>309</v>
      </c>
      <c r="B90" t="s">
        <v>25</v>
      </c>
      <c r="C90" t="s">
        <v>294</v>
      </c>
      <c r="D90" s="64" t="s">
        <v>298</v>
      </c>
      <c r="E90" s="83"/>
      <c r="G90" s="64"/>
    </row>
    <row r="91" spans="1:7" ht="14.4" customHeight="1" x14ac:dyDescent="0.25">
      <c r="A91" t="s">
        <v>310</v>
      </c>
      <c r="B91" t="s">
        <v>25</v>
      </c>
      <c r="C91" t="s">
        <v>294</v>
      </c>
      <c r="D91" s="64" t="s">
        <v>298</v>
      </c>
      <c r="E91" s="83"/>
      <c r="G91" s="64"/>
    </row>
    <row r="92" spans="1:7" ht="14.4" customHeight="1" x14ac:dyDescent="0.25">
      <c r="A92" t="s">
        <v>311</v>
      </c>
      <c r="B92" t="s">
        <v>312</v>
      </c>
      <c r="C92" t="s">
        <v>294</v>
      </c>
      <c r="D92" s="64" t="s">
        <v>313</v>
      </c>
      <c r="E92" s="83"/>
      <c r="G92" s="64"/>
    </row>
    <row r="93" spans="1:7" ht="14.4" customHeight="1" x14ac:dyDescent="0.25">
      <c r="A93" t="s">
        <v>314</v>
      </c>
      <c r="B93" t="s">
        <v>312</v>
      </c>
      <c r="C93" t="s">
        <v>294</v>
      </c>
      <c r="D93" s="64" t="s">
        <v>313</v>
      </c>
      <c r="E93" s="83"/>
      <c r="G93" s="64"/>
    </row>
    <row r="94" spans="1:7" ht="14.4" customHeight="1" x14ac:dyDescent="0.25">
      <c r="A94" t="s">
        <v>315</v>
      </c>
      <c r="B94" t="s">
        <v>25</v>
      </c>
      <c r="C94" t="s">
        <v>294</v>
      </c>
      <c r="D94" s="64" t="s">
        <v>298</v>
      </c>
      <c r="E94" s="83"/>
      <c r="G94" s="64"/>
    </row>
    <row r="95" spans="1:7" ht="14.4" customHeight="1" x14ac:dyDescent="0.25">
      <c r="A95" t="s">
        <v>316</v>
      </c>
      <c r="B95" t="s">
        <v>25</v>
      </c>
      <c r="C95" t="s">
        <v>294</v>
      </c>
      <c r="D95" s="64" t="s">
        <v>298</v>
      </c>
      <c r="E95" s="83"/>
      <c r="G95" s="64"/>
    </row>
    <row r="96" spans="1:7" ht="14.4" customHeight="1" x14ac:dyDescent="0.25">
      <c r="A96" t="s">
        <v>317</v>
      </c>
      <c r="B96" t="s">
        <v>312</v>
      </c>
      <c r="C96" t="s">
        <v>294</v>
      </c>
      <c r="D96" s="64" t="s">
        <v>313</v>
      </c>
      <c r="E96" s="83"/>
      <c r="G96" s="64"/>
    </row>
    <row r="97" spans="1:7" ht="14.4" customHeight="1" x14ac:dyDescent="0.25">
      <c r="A97" t="s">
        <v>318</v>
      </c>
      <c r="B97" t="s">
        <v>25</v>
      </c>
      <c r="C97" t="s">
        <v>294</v>
      </c>
      <c r="D97" s="64" t="s">
        <v>298</v>
      </c>
      <c r="E97" s="83"/>
      <c r="G97" s="64"/>
    </row>
    <row r="98" spans="1:7" ht="14.4" customHeight="1" x14ac:dyDescent="0.25">
      <c r="A98" t="s">
        <v>319</v>
      </c>
      <c r="B98" t="s">
        <v>25</v>
      </c>
      <c r="C98" t="s">
        <v>294</v>
      </c>
      <c r="D98" s="64" t="s">
        <v>298</v>
      </c>
      <c r="E98" s="83"/>
      <c r="G98" s="64"/>
    </row>
    <row r="99" spans="1:7" ht="14.4" customHeight="1" x14ac:dyDescent="0.25">
      <c r="A99" t="s">
        <v>320</v>
      </c>
      <c r="B99" t="s">
        <v>312</v>
      </c>
      <c r="C99" t="s">
        <v>294</v>
      </c>
      <c r="D99" s="64" t="s">
        <v>313</v>
      </c>
      <c r="E99" s="83"/>
      <c r="G99" s="64"/>
    </row>
    <row r="100" spans="1:7" ht="14.4" customHeight="1" x14ac:dyDescent="0.25">
      <c r="A100" t="s">
        <v>321</v>
      </c>
      <c r="B100" t="s">
        <v>312</v>
      </c>
      <c r="C100" t="s">
        <v>294</v>
      </c>
      <c r="D100" s="64" t="s">
        <v>313</v>
      </c>
      <c r="E100" s="83"/>
      <c r="G100" s="64"/>
    </row>
    <row r="101" spans="1:7" ht="14.4" customHeight="1" x14ac:dyDescent="0.25">
      <c r="A101" t="s">
        <v>322</v>
      </c>
      <c r="B101" t="s">
        <v>312</v>
      </c>
      <c r="C101" t="s">
        <v>294</v>
      </c>
      <c r="D101" s="64" t="s">
        <v>313</v>
      </c>
      <c r="E101" s="83"/>
      <c r="G101" s="64"/>
    </row>
    <row r="102" spans="1:7" ht="14.4" customHeight="1" x14ac:dyDescent="0.25">
      <c r="D102" s="64"/>
      <c r="E102" s="83"/>
      <c r="G102" s="64"/>
    </row>
    <row r="103" spans="1:7" ht="14.4" customHeight="1" x14ac:dyDescent="0.25">
      <c r="D103" s="64"/>
      <c r="E103" s="83"/>
      <c r="G103" s="64"/>
    </row>
    <row r="104" spans="1:7" ht="14.4" customHeight="1" x14ac:dyDescent="0.25">
      <c r="D104" s="64"/>
      <c r="E104" s="83"/>
      <c r="G104" s="64"/>
    </row>
    <row r="105" spans="1:7" ht="14.4" customHeight="1" x14ac:dyDescent="0.25">
      <c r="D105" s="64"/>
      <c r="E105" s="83"/>
      <c r="G105" s="64"/>
    </row>
    <row r="106" spans="1:7" ht="14.4" customHeight="1" x14ac:dyDescent="0.25">
      <c r="D106" s="64"/>
      <c r="E106" s="83"/>
      <c r="G106" s="64"/>
    </row>
    <row r="107" spans="1:7" ht="14.4" customHeight="1" x14ac:dyDescent="0.25">
      <c r="D107" s="64"/>
      <c r="E107" s="83"/>
      <c r="G107" s="64"/>
    </row>
    <row r="108" spans="1:7" ht="14.4" customHeight="1" x14ac:dyDescent="0.25">
      <c r="D108" s="64"/>
      <c r="E108" s="83"/>
      <c r="G108" s="64"/>
    </row>
    <row r="109" spans="1:7" ht="14.4" customHeight="1" x14ac:dyDescent="0.25">
      <c r="D109" s="64"/>
      <c r="E109" s="83"/>
      <c r="G109" s="64"/>
    </row>
    <row r="110" spans="1:7" ht="14.4" customHeight="1" x14ac:dyDescent="0.25">
      <c r="D110" s="64"/>
      <c r="E110" s="83"/>
      <c r="G110" s="64"/>
    </row>
    <row r="111" spans="1:7" ht="14.4" customHeight="1" x14ac:dyDescent="0.25">
      <c r="D111" s="64"/>
      <c r="E111" s="83"/>
      <c r="G111" s="64"/>
    </row>
    <row r="112" spans="1: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74:D7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52" t="s">
        <v>54</v>
      </c>
      <c r="B1" s="153"/>
      <c r="C1" s="153"/>
      <c r="D1" s="153"/>
      <c r="E1" s="153"/>
      <c r="F1" s="153"/>
      <c r="G1" s="153"/>
      <c r="H1" s="153"/>
      <c r="I1" s="153"/>
      <c r="J1" s="154"/>
    </row>
    <row r="2" spans="1:10" x14ac:dyDescent="0.25">
      <c r="A2" s="146" t="s">
        <v>55</v>
      </c>
      <c r="B2" s="151"/>
      <c r="C2" s="151"/>
      <c r="D2" s="151"/>
      <c r="E2" s="151"/>
      <c r="F2" s="147"/>
      <c r="G2" s="148">
        <v>2017</v>
      </c>
      <c r="H2" s="149"/>
      <c r="I2" s="149"/>
      <c r="J2" s="150"/>
    </row>
    <row r="3" spans="1:10" ht="12.75" customHeight="1" x14ac:dyDescent="0.25">
      <c r="A3" s="146" t="s">
        <v>56</v>
      </c>
      <c r="B3" s="147"/>
      <c r="C3" s="146" t="s">
        <v>57</v>
      </c>
      <c r="D3" s="147"/>
      <c r="E3" s="146" t="s">
        <v>58</v>
      </c>
      <c r="F3" s="147"/>
      <c r="G3" s="146" t="s">
        <v>59</v>
      </c>
      <c r="H3" s="147"/>
      <c r="I3" s="146" t="s">
        <v>60</v>
      </c>
      <c r="J3" s="147"/>
    </row>
    <row r="4" spans="1:10" ht="21.6" customHeight="1" x14ac:dyDescent="0.25">
      <c r="A4" s="57" t="s">
        <v>61</v>
      </c>
      <c r="B4" s="86">
        <v>0.71957199999999999</v>
      </c>
      <c r="C4" s="57" t="s">
        <v>36</v>
      </c>
      <c r="D4" s="87">
        <v>0.75029999999999997</v>
      </c>
      <c r="E4" s="57" t="s">
        <v>41</v>
      </c>
      <c r="F4" s="86">
        <v>0.96150000000000002</v>
      </c>
      <c r="G4" s="57" t="s">
        <v>42</v>
      </c>
      <c r="H4" s="86">
        <v>0.107433</v>
      </c>
      <c r="I4" s="57"/>
      <c r="J4" s="88"/>
    </row>
    <row r="5" spans="1:10" ht="15.75" customHeight="1" x14ac:dyDescent="0.25">
      <c r="A5" s="57" t="s">
        <v>62</v>
      </c>
      <c r="B5" s="86">
        <v>0.36199700000000001</v>
      </c>
      <c r="C5" s="57" t="s">
        <v>63</v>
      </c>
      <c r="D5" s="87">
        <v>0.57989999999999997</v>
      </c>
      <c r="E5" s="57" t="s">
        <v>64</v>
      </c>
      <c r="F5" s="87">
        <v>8.3729999999999993</v>
      </c>
      <c r="G5" s="57" t="s">
        <v>65</v>
      </c>
      <c r="H5" s="86">
        <v>2.3028E-2</v>
      </c>
      <c r="I5" s="57"/>
      <c r="J5" s="88"/>
    </row>
    <row r="6" spans="1:10" ht="15" customHeight="1" x14ac:dyDescent="0.25">
      <c r="A6" s="57" t="s">
        <v>66</v>
      </c>
      <c r="B6" s="86">
        <v>0.67052499999999993</v>
      </c>
      <c r="C6" s="57" t="s">
        <v>39</v>
      </c>
      <c r="D6" s="89">
        <v>9.9900000000000003E-2</v>
      </c>
      <c r="E6" s="57" t="s">
        <v>67</v>
      </c>
      <c r="F6" s="87">
        <v>7.7798999999999996</v>
      </c>
      <c r="G6" s="57" t="s">
        <v>45</v>
      </c>
      <c r="H6" s="86">
        <v>0.13952200000000001</v>
      </c>
      <c r="I6" s="57"/>
      <c r="J6" s="88"/>
    </row>
    <row r="7" spans="1:10" ht="14.25" customHeight="1" x14ac:dyDescent="0.25">
      <c r="A7" s="57" t="s">
        <v>38</v>
      </c>
      <c r="B7" s="89">
        <v>1.4711188311597314</v>
      </c>
      <c r="C7" s="57" t="s">
        <v>68</v>
      </c>
      <c r="D7" s="89">
        <v>1.9340999999999999</v>
      </c>
      <c r="E7" s="57" t="s">
        <v>69</v>
      </c>
      <c r="F7" s="87">
        <v>1.827</v>
      </c>
      <c r="G7" s="57" t="s">
        <v>70</v>
      </c>
      <c r="H7" s="86">
        <v>5.1409000000000003E-2</v>
      </c>
      <c r="I7" s="57"/>
      <c r="J7" s="88"/>
    </row>
    <row r="8" spans="1:10" x14ac:dyDescent="0.25">
      <c r="A8" s="57"/>
      <c r="B8" s="90"/>
      <c r="C8" s="57"/>
      <c r="D8" s="91"/>
      <c r="E8" s="57" t="s">
        <v>71</v>
      </c>
      <c r="F8" s="87">
        <v>0.69650000000000001</v>
      </c>
      <c r="G8" s="57"/>
      <c r="H8" s="90"/>
      <c r="I8" s="57"/>
      <c r="J8" s="90"/>
    </row>
    <row r="9" spans="1:10" ht="13.5" customHeight="1" x14ac:dyDescent="0.25">
      <c r="A9" s="152" t="s">
        <v>72</v>
      </c>
      <c r="B9" s="153"/>
      <c r="C9" s="153"/>
      <c r="D9" s="153"/>
      <c r="E9" s="153"/>
      <c r="F9" s="153"/>
      <c r="G9" s="153"/>
      <c r="H9" s="153"/>
      <c r="I9" s="153"/>
      <c r="J9" s="154"/>
    </row>
    <row r="10" spans="1:10" ht="13.5" customHeight="1" x14ac:dyDescent="0.25">
      <c r="A10" s="146" t="s">
        <v>73</v>
      </c>
      <c r="B10" s="151"/>
      <c r="C10" s="151"/>
      <c r="D10" s="151"/>
      <c r="E10" s="151"/>
      <c r="F10" s="147"/>
      <c r="G10" s="155">
        <v>2017</v>
      </c>
      <c r="H10" s="156"/>
      <c r="I10" s="156"/>
      <c r="J10" s="157"/>
    </row>
    <row r="11" spans="1:10" x14ac:dyDescent="0.25">
      <c r="A11" s="146" t="s">
        <v>74</v>
      </c>
      <c r="B11" s="147"/>
      <c r="C11" s="146" t="s">
        <v>75</v>
      </c>
      <c r="D11" s="147"/>
      <c r="E11" s="146" t="s">
        <v>76</v>
      </c>
      <c r="F11" s="151"/>
      <c r="G11" s="151"/>
      <c r="H11" s="151"/>
      <c r="I11" s="151"/>
      <c r="J11" s="147"/>
    </row>
    <row r="12" spans="1:10" ht="14.25" customHeight="1" x14ac:dyDescent="0.25">
      <c r="A12" s="57" t="s">
        <v>77</v>
      </c>
      <c r="B12" s="92">
        <v>29.964265173299999</v>
      </c>
      <c r="C12" s="57" t="s">
        <v>78</v>
      </c>
      <c r="D12" s="89">
        <v>276.03701190470002</v>
      </c>
      <c r="E12" s="161" t="s">
        <v>79</v>
      </c>
      <c r="F12" s="162"/>
      <c r="G12" s="163"/>
      <c r="H12" s="158">
        <v>265.41865748480001</v>
      </c>
      <c r="I12" s="159"/>
      <c r="J12" s="160"/>
    </row>
    <row r="13" spans="1:10" ht="14.25" customHeight="1" x14ac:dyDescent="0.25">
      <c r="A13" s="57" t="s">
        <v>80</v>
      </c>
      <c r="B13" s="92">
        <v>34.695058737499998</v>
      </c>
      <c r="C13" s="57" t="s">
        <v>81</v>
      </c>
      <c r="D13" s="89">
        <v>272.89285677480001</v>
      </c>
      <c r="E13" s="161" t="s">
        <v>82</v>
      </c>
      <c r="F13" s="162"/>
      <c r="G13" s="163"/>
      <c r="H13" s="158">
        <v>21.2154295795</v>
      </c>
      <c r="I13" s="159"/>
      <c r="J13" s="160"/>
    </row>
    <row r="14" spans="1:10" ht="14.25" customHeight="1" x14ac:dyDescent="0.25">
      <c r="A14" s="57" t="s">
        <v>83</v>
      </c>
      <c r="B14" s="92">
        <v>17.1264786365</v>
      </c>
      <c r="C14" s="57" t="s">
        <v>84</v>
      </c>
      <c r="D14" s="89">
        <v>246.38141732139999</v>
      </c>
      <c r="E14" s="161" t="s">
        <v>85</v>
      </c>
      <c r="F14" s="162"/>
      <c r="G14" s="163"/>
      <c r="H14" s="158">
        <v>286.72719629849996</v>
      </c>
      <c r="I14" s="159"/>
      <c r="J14" s="160"/>
    </row>
    <row r="15" spans="1:10" ht="14.25" customHeight="1" x14ac:dyDescent="0.25">
      <c r="A15" s="57" t="s">
        <v>86</v>
      </c>
      <c r="B15" s="92">
        <v>72.220194883000005</v>
      </c>
      <c r="C15" s="57" t="s">
        <v>87</v>
      </c>
      <c r="D15" s="89">
        <v>3.0231947043999998</v>
      </c>
      <c r="E15" s="161" t="s">
        <v>88</v>
      </c>
      <c r="F15" s="162"/>
      <c r="G15" s="163"/>
      <c r="H15" s="158">
        <v>211.45027405529999</v>
      </c>
      <c r="I15" s="159"/>
      <c r="J15" s="160"/>
    </row>
    <row r="16" spans="1:10" ht="14.25" customHeight="1" x14ac:dyDescent="0.25">
      <c r="A16" s="57" t="s">
        <v>89</v>
      </c>
      <c r="B16" s="92">
        <v>77.798486629400003</v>
      </c>
      <c r="C16" s="57" t="s">
        <v>90</v>
      </c>
      <c r="D16" s="89">
        <v>5.9433929296000008</v>
      </c>
      <c r="E16" s="161" t="s">
        <v>91</v>
      </c>
      <c r="F16" s="162"/>
      <c r="G16" s="163"/>
      <c r="H16" s="158">
        <v>8.6391131775000005</v>
      </c>
      <c r="I16" s="159"/>
      <c r="J16" s="160"/>
    </row>
    <row r="17" spans="1:10" ht="14.25" customHeight="1" x14ac:dyDescent="0.25">
      <c r="A17" s="57" t="s">
        <v>92</v>
      </c>
      <c r="B17" s="92">
        <v>51.403268373700001</v>
      </c>
      <c r="C17" s="57" t="s">
        <v>93</v>
      </c>
      <c r="D17" s="89">
        <v>10.677358375000001</v>
      </c>
      <c r="E17" s="161" t="s">
        <v>94</v>
      </c>
      <c r="F17" s="162"/>
      <c r="G17" s="163"/>
      <c r="H17" s="158">
        <v>253.3089207223</v>
      </c>
      <c r="I17" s="159"/>
      <c r="J17" s="160"/>
    </row>
    <row r="18" spans="1:10" ht="14.25" customHeight="1" x14ac:dyDescent="0.25">
      <c r="A18" s="57" t="s">
        <v>95</v>
      </c>
      <c r="B18" s="92">
        <v>390.84423411649999</v>
      </c>
      <c r="C18" s="57" t="s">
        <v>96</v>
      </c>
      <c r="D18" s="89">
        <v>6.3564577228999992</v>
      </c>
      <c r="E18" s="161" t="s">
        <v>97</v>
      </c>
      <c r="F18" s="162"/>
      <c r="G18" s="163"/>
      <c r="H18" s="158">
        <v>33.418275576199996</v>
      </c>
      <c r="I18" s="159"/>
      <c r="J18" s="160"/>
    </row>
    <row r="19" spans="1:10" ht="14.25" customHeight="1" x14ac:dyDescent="0.25">
      <c r="A19" s="57" t="s">
        <v>98</v>
      </c>
      <c r="B19" s="92">
        <v>84.498171353199993</v>
      </c>
      <c r="C19" s="57" t="s">
        <v>99</v>
      </c>
      <c r="D19" s="89">
        <v>9.8400541936000003</v>
      </c>
      <c r="E19" s="161" t="s">
        <v>100</v>
      </c>
      <c r="F19" s="162"/>
      <c r="G19" s="163"/>
      <c r="H19" s="158">
        <v>-3.4189140949000003</v>
      </c>
      <c r="I19" s="159"/>
      <c r="J19" s="160"/>
    </row>
    <row r="20" spans="1:10" ht="27" customHeight="1" x14ac:dyDescent="0.25">
      <c r="A20" s="57" t="s">
        <v>101</v>
      </c>
      <c r="B20" s="92">
        <v>10.76</v>
      </c>
      <c r="C20" s="57" t="s">
        <v>43</v>
      </c>
      <c r="D20" s="89">
        <v>7.9545040667999993</v>
      </c>
      <c r="E20" s="161" t="s">
        <v>102</v>
      </c>
      <c r="F20" s="162"/>
      <c r="G20" s="163"/>
      <c r="H20" s="158">
        <v>0</v>
      </c>
      <c r="I20" s="159"/>
      <c r="J20" s="160"/>
    </row>
    <row r="21" spans="1:10" ht="16.5" customHeight="1" x14ac:dyDescent="0.25">
      <c r="A21" s="57" t="s">
        <v>103</v>
      </c>
      <c r="B21" s="92">
        <v>0</v>
      </c>
      <c r="C21" s="57"/>
      <c r="D21" s="93"/>
      <c r="E21" s="161" t="s">
        <v>104</v>
      </c>
      <c r="F21" s="162"/>
      <c r="G21" s="163"/>
      <c r="H21" s="158">
        <v>249.93853798689997</v>
      </c>
      <c r="I21" s="159"/>
      <c r="J21" s="160"/>
    </row>
    <row r="22" spans="1:10" ht="14.25" customHeight="1" x14ac:dyDescent="0.25">
      <c r="A22" s="57" t="s">
        <v>105</v>
      </c>
      <c r="B22" s="92">
        <v>54.372621062700006</v>
      </c>
      <c r="C22" s="57"/>
      <c r="D22" s="93"/>
      <c r="E22" s="161" t="s">
        <v>106</v>
      </c>
      <c r="F22" s="162"/>
      <c r="G22" s="163"/>
      <c r="H22" s="158">
        <v>0</v>
      </c>
      <c r="I22" s="159"/>
      <c r="J22" s="160"/>
    </row>
    <row r="23" spans="1:10" ht="14.25" customHeight="1" x14ac:dyDescent="0.25">
      <c r="A23" s="57" t="s">
        <v>107</v>
      </c>
      <c r="B23" s="92">
        <v>10</v>
      </c>
      <c r="C23" s="57"/>
      <c r="D23" s="93"/>
      <c r="E23" s="161" t="s">
        <v>108</v>
      </c>
      <c r="F23" s="162"/>
      <c r="G23" s="163"/>
      <c r="H23" s="158">
        <v>253.7314290182</v>
      </c>
      <c r="I23" s="159"/>
      <c r="J23" s="160"/>
    </row>
    <row r="24" spans="1:10" ht="14.25" customHeight="1" x14ac:dyDescent="0.25">
      <c r="A24" s="57" t="s">
        <v>109</v>
      </c>
      <c r="B24" s="92">
        <v>281.24054281830001</v>
      </c>
      <c r="C24" s="94"/>
      <c r="D24" s="91"/>
      <c r="E24" s="161" t="s">
        <v>110</v>
      </c>
      <c r="F24" s="162"/>
      <c r="G24" s="163"/>
      <c r="H24" s="158">
        <v>270.01805140250002</v>
      </c>
      <c r="I24" s="159"/>
      <c r="J24" s="160"/>
    </row>
    <row r="25" spans="1:10" ht="14.25" customHeight="1" x14ac:dyDescent="0.25">
      <c r="A25" s="57" t="s">
        <v>111</v>
      </c>
      <c r="B25" s="92">
        <v>109.60369129819999</v>
      </c>
      <c r="C25" s="94"/>
      <c r="D25" s="91"/>
      <c r="E25" s="161" t="s">
        <v>112</v>
      </c>
      <c r="F25" s="162"/>
      <c r="G25" s="163"/>
      <c r="H25" s="158">
        <v>302.19104498259998</v>
      </c>
      <c r="I25" s="159"/>
      <c r="J25" s="160"/>
    </row>
    <row r="26" spans="1:10" ht="14.25" customHeight="1" x14ac:dyDescent="0.25">
      <c r="A26" s="95" t="s">
        <v>113</v>
      </c>
      <c r="B26" s="92">
        <v>390.84423411649999</v>
      </c>
      <c r="C26" s="94"/>
      <c r="D26" s="91"/>
      <c r="E26" s="161" t="s">
        <v>114</v>
      </c>
      <c r="F26" s="162"/>
      <c r="G26" s="163"/>
      <c r="H26" s="158">
        <v>-48.459615964399994</v>
      </c>
      <c r="I26" s="159"/>
      <c r="J26" s="16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323</v>
      </c>
      <c r="B1" s="124"/>
      <c r="C1" s="124"/>
      <c r="D1" s="124"/>
      <c r="E1" s="124"/>
      <c r="F1" s="124"/>
      <c r="G1" s="124"/>
      <c r="H1" s="124"/>
      <c r="I1" s="124"/>
    </row>
    <row r="2" spans="1:10" ht="46.5" customHeight="1" x14ac:dyDescent="0.25">
      <c r="A2" s="54" t="s">
        <v>22</v>
      </c>
      <c r="B2" s="43" t="s">
        <v>382</v>
      </c>
      <c r="C2" s="43" t="s">
        <v>324</v>
      </c>
      <c r="D2" s="43" t="s">
        <v>392</v>
      </c>
      <c r="E2" s="43" t="s">
        <v>393</v>
      </c>
      <c r="F2" s="43" t="s">
        <v>394</v>
      </c>
      <c r="G2" s="43" t="s">
        <v>395</v>
      </c>
      <c r="H2" s="43" t="s">
        <v>396</v>
      </c>
      <c r="I2" s="43" t="s">
        <v>397</v>
      </c>
      <c r="J2" s="43" t="s">
        <v>398</v>
      </c>
    </row>
    <row r="3" spans="1:10" x14ac:dyDescent="0.25">
      <c r="A3" s="54" t="s">
        <v>24</v>
      </c>
      <c r="B3" s="97" t="s">
        <v>25</v>
      </c>
      <c r="C3" s="98" t="s">
        <v>325</v>
      </c>
      <c r="D3" s="97" t="s">
        <v>25</v>
      </c>
      <c r="E3" s="97" t="s">
        <v>25</v>
      </c>
      <c r="F3" s="97" t="s">
        <v>25</v>
      </c>
      <c r="G3" s="97" t="s">
        <v>25</v>
      </c>
      <c r="H3" s="97" t="s">
        <v>25</v>
      </c>
      <c r="I3" s="97" t="s">
        <v>25</v>
      </c>
      <c r="J3" s="97" t="s">
        <v>25</v>
      </c>
    </row>
    <row r="4" spans="1:10" s="7" customFormat="1" ht="21.6" x14ac:dyDescent="0.25">
      <c r="A4" s="9" t="s">
        <v>3</v>
      </c>
      <c r="B4" s="99" t="s">
        <v>383</v>
      </c>
      <c r="C4" s="98" t="s">
        <v>325</v>
      </c>
      <c r="D4" s="99" t="s">
        <v>383</v>
      </c>
      <c r="E4" s="99" t="s">
        <v>383</v>
      </c>
      <c r="F4" s="99" t="s">
        <v>399</v>
      </c>
      <c r="G4" s="99" t="s">
        <v>383</v>
      </c>
      <c r="H4" s="99" t="s">
        <v>383</v>
      </c>
      <c r="I4" s="99" t="s">
        <v>383</v>
      </c>
      <c r="J4" s="99" t="s">
        <v>399</v>
      </c>
    </row>
    <row r="5" spans="1:10" s="7" customFormat="1" x14ac:dyDescent="0.25">
      <c r="A5" s="9" t="s">
        <v>29</v>
      </c>
      <c r="B5" s="100" t="s">
        <v>30</v>
      </c>
      <c r="C5" s="98" t="s">
        <v>325</v>
      </c>
      <c r="D5" s="100" t="s">
        <v>30</v>
      </c>
      <c r="E5" s="100" t="s">
        <v>30</v>
      </c>
      <c r="F5" s="100" t="s">
        <v>30</v>
      </c>
      <c r="G5" s="100" t="s">
        <v>30</v>
      </c>
      <c r="H5" s="100" t="s">
        <v>30</v>
      </c>
      <c r="I5" s="100" t="s">
        <v>30</v>
      </c>
      <c r="J5" s="100" t="s">
        <v>30</v>
      </c>
    </row>
    <row r="6" spans="1:10" x14ac:dyDescent="0.25">
      <c r="A6" s="54" t="s">
        <v>32</v>
      </c>
      <c r="B6" s="101">
        <v>390.84423411649999</v>
      </c>
      <c r="C6" s="98">
        <v>276.95097771862851</v>
      </c>
      <c r="D6" s="101">
        <v>133.30451506739999</v>
      </c>
      <c r="E6" s="101">
        <v>311.32050034220003</v>
      </c>
      <c r="F6" s="101">
        <v>202.1361471052</v>
      </c>
      <c r="G6" s="101">
        <v>331.42564417479997</v>
      </c>
      <c r="H6" s="101">
        <v>559.8720065105</v>
      </c>
      <c r="I6" s="101">
        <v>141.35241249799998</v>
      </c>
      <c r="J6" s="101">
        <v>259.24561833230001</v>
      </c>
    </row>
    <row r="7" spans="1:10" x14ac:dyDescent="0.25">
      <c r="A7" s="54" t="s">
        <v>34</v>
      </c>
      <c r="B7" s="44">
        <v>0.71957199999999999</v>
      </c>
      <c r="C7" s="98">
        <v>0.67907642857142847</v>
      </c>
      <c r="D7" s="44">
        <v>0.78009699999999993</v>
      </c>
      <c r="E7" s="44">
        <v>0.79424400000000006</v>
      </c>
      <c r="F7" s="44">
        <v>0.62392400000000003</v>
      </c>
      <c r="G7" s="44">
        <v>0.64678600000000008</v>
      </c>
      <c r="H7" s="44">
        <v>0.7226220000000001</v>
      </c>
      <c r="I7" s="44">
        <v>0.563724</v>
      </c>
      <c r="J7" s="44">
        <v>0.62213799999999997</v>
      </c>
    </row>
    <row r="8" spans="1:10" x14ac:dyDescent="0.25">
      <c r="A8" s="54" t="s">
        <v>36</v>
      </c>
      <c r="B8" s="101">
        <v>0.75029999999999997</v>
      </c>
      <c r="C8" s="98">
        <v>0.8874428571428572</v>
      </c>
      <c r="D8" s="101">
        <v>0.48070000000000002</v>
      </c>
      <c r="E8" s="101">
        <v>0.439</v>
      </c>
      <c r="F8" s="101">
        <v>0.84940000000000004</v>
      </c>
      <c r="G8" s="101">
        <v>0.62250000000000005</v>
      </c>
      <c r="H8" s="101">
        <v>0.79169999999999996</v>
      </c>
      <c r="I8" s="101">
        <v>2.0339</v>
      </c>
      <c r="J8" s="101">
        <v>0.99490000000000001</v>
      </c>
    </row>
    <row r="9" spans="1:10" x14ac:dyDescent="0.25">
      <c r="A9" s="54" t="s">
        <v>38</v>
      </c>
      <c r="B9" s="97">
        <v>1.4711188311597314</v>
      </c>
      <c r="C9" s="98">
        <v>1.2571025596677079</v>
      </c>
      <c r="D9" s="97">
        <v>1.4854944197149453</v>
      </c>
      <c r="E9" s="97">
        <v>1.8384974611280875</v>
      </c>
      <c r="F9" s="97">
        <v>0.97606492397480105</v>
      </c>
      <c r="G9" s="97">
        <v>1.1788981570669095</v>
      </c>
      <c r="H9" s="97">
        <v>1.618053643027316</v>
      </c>
      <c r="I9" s="97">
        <v>0.94501847049370902</v>
      </c>
      <c r="J9" s="97">
        <v>0.75769084226818784</v>
      </c>
    </row>
    <row r="10" spans="1:10" ht="21.6" customHeight="1" x14ac:dyDescent="0.25">
      <c r="A10" s="54" t="s">
        <v>39</v>
      </c>
      <c r="B10" s="101">
        <v>9.9900000000000003E-2</v>
      </c>
      <c r="C10" s="98">
        <v>8.5671428571428579E-2</v>
      </c>
      <c r="D10" s="101">
        <v>8.7800000000000003E-2</v>
      </c>
      <c r="E10" s="101">
        <v>3.0499999999999999E-2</v>
      </c>
      <c r="F10" s="101">
        <v>0.15989999999999999</v>
      </c>
      <c r="G10" s="101">
        <v>0.127</v>
      </c>
      <c r="H10" s="101">
        <v>7.2400000000000006E-2</v>
      </c>
      <c r="I10" s="101">
        <v>4.3200000000000002E-2</v>
      </c>
      <c r="J10" s="101">
        <v>7.8899999999999998E-2</v>
      </c>
    </row>
    <row r="11" spans="1:10" x14ac:dyDescent="0.25">
      <c r="A11" s="54" t="s">
        <v>40</v>
      </c>
      <c r="B11" s="101">
        <v>276.03701190470002</v>
      </c>
      <c r="C11" s="98">
        <v>139.31199089052856</v>
      </c>
      <c r="D11" s="101">
        <v>44.352313705299999</v>
      </c>
      <c r="E11" s="101">
        <v>103.24569628129998</v>
      </c>
      <c r="F11" s="101">
        <v>95.004203553700009</v>
      </c>
      <c r="G11" s="101">
        <v>238.90310522689998</v>
      </c>
      <c r="H11" s="101">
        <v>342.20272561100001</v>
      </c>
      <c r="I11" s="101">
        <v>8.1971404239000005</v>
      </c>
      <c r="J11" s="101">
        <v>143.2787514316</v>
      </c>
    </row>
    <row r="12" spans="1:10" s="7" customFormat="1" x14ac:dyDescent="0.25">
      <c r="A12" s="9" t="s">
        <v>41</v>
      </c>
      <c r="B12" s="45">
        <v>0.96150000000000002</v>
      </c>
      <c r="C12" s="98">
        <v>1.0841857142857143</v>
      </c>
      <c r="D12" s="45">
        <v>1.1192</v>
      </c>
      <c r="E12" s="45">
        <v>1.2757000000000001</v>
      </c>
      <c r="F12" s="45">
        <v>1.0013000000000001</v>
      </c>
      <c r="G12" s="45">
        <v>1.0475000000000001</v>
      </c>
      <c r="H12" s="45">
        <v>1.2222</v>
      </c>
      <c r="I12" s="45">
        <v>1.1782999999999999</v>
      </c>
      <c r="J12" s="45">
        <v>0.7451000000000001</v>
      </c>
    </row>
    <row r="13" spans="1:10" s="7" customFormat="1" x14ac:dyDescent="0.25">
      <c r="A13" s="9" t="s">
        <v>42</v>
      </c>
      <c r="B13" s="45">
        <v>0.107433</v>
      </c>
      <c r="C13" s="98">
        <v>0.1555324285714286</v>
      </c>
      <c r="D13" s="45">
        <v>0.28824899999999998</v>
      </c>
      <c r="E13" s="45">
        <v>8.4696999999999995E-2</v>
      </c>
      <c r="F13" s="45">
        <v>0.21538900000000002</v>
      </c>
      <c r="G13" s="45">
        <v>0.149398</v>
      </c>
      <c r="H13" s="45">
        <v>0.11928699999999999</v>
      </c>
      <c r="I13" s="45">
        <v>0.12704700000000002</v>
      </c>
      <c r="J13" s="45">
        <v>0.10465999999999999</v>
      </c>
    </row>
    <row r="14" spans="1:10" s="7" customFormat="1" x14ac:dyDescent="0.25">
      <c r="A14" s="9" t="s">
        <v>43</v>
      </c>
      <c r="B14" s="102">
        <v>7.9545040667999993</v>
      </c>
      <c r="C14" s="98">
        <v>2.2502995635142859</v>
      </c>
      <c r="D14" s="102">
        <v>7.3282380899999999E-2</v>
      </c>
      <c r="E14" s="102">
        <v>0.3134272984</v>
      </c>
      <c r="F14" s="102">
        <v>5.6784356226000003</v>
      </c>
      <c r="G14" s="102">
        <v>3.9352405992000001</v>
      </c>
      <c r="H14" s="102">
        <v>0.50592293300000002</v>
      </c>
      <c r="I14" s="102">
        <v>0.87946124329999997</v>
      </c>
      <c r="J14" s="102">
        <v>4.3663268672000006</v>
      </c>
    </row>
    <row r="15" spans="1:10" x14ac:dyDescent="0.25">
      <c r="A15" s="54" t="s">
        <v>45</v>
      </c>
      <c r="B15" s="44">
        <v>0.13952200000000001</v>
      </c>
      <c r="C15" s="98">
        <v>4.3935714285714324E-3</v>
      </c>
      <c r="D15" s="44">
        <v>1.1822999999999998E-2</v>
      </c>
      <c r="E15" s="44">
        <v>1.1429E-2</v>
      </c>
      <c r="F15" s="44">
        <v>7.9196000000000003E-2</v>
      </c>
      <c r="G15" s="44">
        <v>4.8170000000000004E-2</v>
      </c>
      <c r="H15" s="44">
        <v>-0.18514399999999998</v>
      </c>
      <c r="I15" s="44">
        <v>1.4739E-2</v>
      </c>
      <c r="J15" s="44">
        <v>5.0541999999999997E-2</v>
      </c>
    </row>
    <row r="16" spans="1:10" s="7" customFormat="1" ht="25.8" customHeight="1" x14ac:dyDescent="0.25">
      <c r="A16" s="9" t="s">
        <v>46</v>
      </c>
      <c r="B16" s="102">
        <v>33.418275576199996</v>
      </c>
      <c r="C16" s="98">
        <v>14.994117723271428</v>
      </c>
      <c r="D16" s="102">
        <v>3.9030409849000001</v>
      </c>
      <c r="E16" s="102">
        <v>14.277858371500001</v>
      </c>
      <c r="F16" s="102">
        <v>10.9216035294</v>
      </c>
      <c r="G16" s="102">
        <v>31.900226329799999</v>
      </c>
      <c r="H16" s="102">
        <v>26.750038121900001</v>
      </c>
      <c r="I16" s="102">
        <v>9.5163833399999995E-2</v>
      </c>
      <c r="J16" s="102">
        <v>17.110892891999999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4" t="s">
        <v>326</v>
      </c>
      <c r="B1" s="124"/>
      <c r="C1" s="124"/>
      <c r="D1" s="124"/>
      <c r="E1" s="124"/>
      <c r="F1" s="124"/>
    </row>
    <row r="2" spans="1:6" x14ac:dyDescent="0.25">
      <c r="A2" s="51" t="s">
        <v>327</v>
      </c>
      <c r="B2" s="50" t="s">
        <v>328</v>
      </c>
      <c r="C2" s="50" t="s">
        <v>329</v>
      </c>
      <c r="D2" s="50" t="s">
        <v>330</v>
      </c>
      <c r="E2" s="50" t="s">
        <v>292</v>
      </c>
      <c r="F2" s="50" t="s">
        <v>331</v>
      </c>
    </row>
    <row r="3" spans="1:6" ht="48" customHeight="1" x14ac:dyDescent="0.25">
      <c r="A3" s="104">
        <v>43462</v>
      </c>
      <c r="B3" s="52" t="s">
        <v>332</v>
      </c>
      <c r="C3" s="105" t="s">
        <v>333</v>
      </c>
      <c r="D3" s="105"/>
      <c r="E3" s="52" t="s">
        <v>334</v>
      </c>
      <c r="F3" s="105" t="s">
        <v>335</v>
      </c>
    </row>
    <row r="4" spans="1:6" ht="49.5" customHeight="1" x14ac:dyDescent="0.25">
      <c r="A4" s="104">
        <v>43427</v>
      </c>
      <c r="B4" s="52" t="s">
        <v>336</v>
      </c>
      <c r="C4" s="105" t="s">
        <v>337</v>
      </c>
      <c r="D4" s="105"/>
      <c r="E4" s="52" t="s">
        <v>334</v>
      </c>
      <c r="F4" s="105" t="s">
        <v>338</v>
      </c>
    </row>
    <row r="5" spans="1:6" ht="34.200000000000003" x14ac:dyDescent="0.25">
      <c r="A5" s="104">
        <v>43285</v>
      </c>
      <c r="B5" s="52" t="s">
        <v>339</v>
      </c>
      <c r="C5" s="105"/>
      <c r="D5" s="105" t="s">
        <v>340</v>
      </c>
      <c r="E5" s="52" t="s">
        <v>341</v>
      </c>
      <c r="F5" s="105" t="s">
        <v>342</v>
      </c>
    </row>
    <row r="6" spans="1:6" ht="34.200000000000003" x14ac:dyDescent="0.25">
      <c r="A6" s="104">
        <v>43256</v>
      </c>
      <c r="B6" s="52" t="s">
        <v>343</v>
      </c>
      <c r="C6" s="105"/>
      <c r="D6" s="105" t="s">
        <v>340</v>
      </c>
      <c r="E6" s="52" t="s">
        <v>344</v>
      </c>
      <c r="F6" s="105" t="s">
        <v>345</v>
      </c>
    </row>
    <row r="7" spans="1:6" ht="79.8" x14ac:dyDescent="0.25">
      <c r="A7" s="104">
        <v>43242</v>
      </c>
      <c r="B7" s="52" t="s">
        <v>346</v>
      </c>
      <c r="C7" s="105" t="s">
        <v>337</v>
      </c>
      <c r="D7" s="105"/>
      <c r="E7" s="52" t="s">
        <v>298</v>
      </c>
      <c r="F7" s="105" t="s">
        <v>347</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348</v>
      </c>
      <c r="B23" s="143"/>
      <c r="C23" s="143"/>
      <c r="D23" s="143"/>
      <c r="E23" s="143"/>
      <c r="F23" s="143"/>
    </row>
    <row r="24" spans="1:6" x14ac:dyDescent="0.25">
      <c r="A24" s="84" t="s">
        <v>327</v>
      </c>
      <c r="B24" s="84" t="s">
        <v>328</v>
      </c>
      <c r="C24" s="84" t="s">
        <v>349</v>
      </c>
      <c r="D24" s="84" t="s">
        <v>350</v>
      </c>
      <c r="E24" s="84" t="s">
        <v>292</v>
      </c>
      <c r="F24" s="84" t="s">
        <v>331</v>
      </c>
    </row>
    <row r="25" spans="1:6" x14ac:dyDescent="0.25">
      <c r="A25" s="107">
        <v>43516</v>
      </c>
      <c r="B25" s="58" t="s">
        <v>351</v>
      </c>
      <c r="C25" s="108" t="s">
        <v>352</v>
      </c>
      <c r="D25" s="108"/>
      <c r="E25" s="58" t="s">
        <v>298</v>
      </c>
      <c r="F25" s="108" t="s">
        <v>353</v>
      </c>
    </row>
    <row r="26" spans="1:6" x14ac:dyDescent="0.25">
      <c r="A26" s="107">
        <v>43287</v>
      </c>
      <c r="B26" s="58" t="s">
        <v>354</v>
      </c>
      <c r="C26" s="108" t="s">
        <v>355</v>
      </c>
      <c r="D26" s="108"/>
      <c r="E26" s="58" t="s">
        <v>313</v>
      </c>
      <c r="F26" s="108" t="s">
        <v>356</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45" t="s">
        <v>357</v>
      </c>
      <c r="B1" s="124"/>
      <c r="C1" s="124"/>
      <c r="D1" s="124"/>
      <c r="E1" s="124"/>
      <c r="F1" s="124"/>
      <c r="G1" s="124"/>
      <c r="H1" s="124"/>
      <c r="I1" s="124"/>
      <c r="J1" s="124"/>
      <c r="K1" s="124"/>
      <c r="L1" s="124"/>
      <c r="M1" s="124"/>
      <c r="N1" s="124"/>
    </row>
    <row r="2" spans="1:18" s="1" customFormat="1" ht="25.5" customHeight="1" x14ac:dyDescent="0.25">
      <c r="A2" s="55" t="s">
        <v>358</v>
      </c>
      <c r="B2" s="55" t="s">
        <v>359</v>
      </c>
      <c r="C2" s="55" t="s">
        <v>360</v>
      </c>
      <c r="D2" s="55" t="s">
        <v>361</v>
      </c>
      <c r="E2" s="55" t="s">
        <v>362</v>
      </c>
      <c r="F2" s="55" t="s">
        <v>363</v>
      </c>
      <c r="G2" s="55" t="s">
        <v>364</v>
      </c>
      <c r="H2" s="55" t="s">
        <v>16</v>
      </c>
      <c r="I2" s="55" t="s">
        <v>365</v>
      </c>
      <c r="J2" s="55" t="s">
        <v>366</v>
      </c>
      <c r="K2" s="55" t="s">
        <v>367</v>
      </c>
      <c r="L2" s="55" t="s">
        <v>368</v>
      </c>
      <c r="M2" s="55" t="s">
        <v>19</v>
      </c>
      <c r="N2" s="55" t="s">
        <v>369</v>
      </c>
      <c r="O2" s="3"/>
      <c r="P2" s="110" t="str">
        <f ca="1">Q2</f>
        <v>2019-04-11</v>
      </c>
      <c r="Q2" s="1" t="str">
        <f ca="1">[1]!td(R2-1)</f>
        <v>2019-04-11</v>
      </c>
      <c r="R2" s="3">
        <f ca="1">TODAY()</f>
        <v>43567</v>
      </c>
    </row>
    <row r="3" spans="1:18" ht="15.75" customHeight="1" x14ac:dyDescent="0.25">
      <c r="A3" s="111" t="str">
        <f>[1]!b_info_name(L3)</f>
        <v>19冀中峰峰SCP003</v>
      </c>
      <c r="B3" s="2" t="str">
        <f>[1]!b_issue_firstissue(L3)</f>
        <v>2019-04-15</v>
      </c>
      <c r="C3" s="111">
        <f>[1]!b_info_term(L3)</f>
        <v>0.73970000000000002</v>
      </c>
      <c r="D3" s="112" t="str">
        <f>[1]!issuerrating(L3)</f>
        <v>AA</v>
      </c>
      <c r="E3" s="112" t="str">
        <f>[1]!b_info_creditrating(L3)</f>
        <v>-</v>
      </c>
      <c r="F3" s="111">
        <f>[1]!b_rate_creditratingagency(L3)</f>
        <v>0</v>
      </c>
      <c r="G3" s="113" t="str">
        <f>[1]!b_agency_guarantor(L3)</f>
        <v>冀中能源集团有限责任公司</v>
      </c>
      <c r="H3" s="114" t="s">
        <v>370</v>
      </c>
      <c r="I3" s="66"/>
      <c r="J3" s="115" t="s">
        <v>370</v>
      </c>
      <c r="K3" s="116"/>
      <c r="L3" s="41" t="str">
        <f>公式页!A2</f>
        <v>d19041207.IB</v>
      </c>
      <c r="M3" s="114" t="s">
        <v>370</v>
      </c>
      <c r="N3" s="111">
        <f>[1]!b_agency_leadunderwriter(L3)</f>
        <v>0</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371</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45" t="s">
        <v>372</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358</v>
      </c>
      <c r="B13" s="55" t="s">
        <v>359</v>
      </c>
      <c r="C13" s="55" t="s">
        <v>360</v>
      </c>
      <c r="D13" s="55" t="s">
        <v>361</v>
      </c>
      <c r="E13" s="55" t="s">
        <v>362</v>
      </c>
      <c r="F13" s="55" t="s">
        <v>363</v>
      </c>
      <c r="G13" s="55" t="s">
        <v>364</v>
      </c>
      <c r="H13" s="55" t="s">
        <v>16</v>
      </c>
      <c r="I13" s="55" t="s">
        <v>365</v>
      </c>
      <c r="J13" s="55" t="s">
        <v>366</v>
      </c>
      <c r="K13" s="55" t="s">
        <v>367</v>
      </c>
      <c r="L13" s="55" t="s">
        <v>368</v>
      </c>
      <c r="M13" s="55" t="s">
        <v>19</v>
      </c>
      <c r="N13" s="55" t="s">
        <v>369</v>
      </c>
      <c r="P13" s="109" t="str">
        <f t="shared" ca="1" si="0"/>
        <v>2019-04-11</v>
      </c>
    </row>
    <row r="14" spans="1:18" ht="15.75" customHeight="1" x14ac:dyDescent="0.25">
      <c r="A14" s="111" t="str">
        <f>[1]!b_info_name(L14)</f>
        <v>19冀中峰峰SCP003</v>
      </c>
      <c r="B14" s="2" t="str">
        <f>[1]!b_issue_firstissue(L14)</f>
        <v>2019-04-15</v>
      </c>
      <c r="C14" s="111">
        <f>[1]!b_info_term(L14)</f>
        <v>0.73970000000000002</v>
      </c>
      <c r="D14" s="112" t="str">
        <f>[1]!issuerrating(L14)</f>
        <v>AA</v>
      </c>
      <c r="E14" s="112" t="str">
        <f>[1]!b_info_creditrating(L14)</f>
        <v>-</v>
      </c>
      <c r="F14" s="111">
        <f>[1]!b_rate_creditratingagency(L14)</f>
        <v>0</v>
      </c>
      <c r="G14" s="113" t="str">
        <f>[1]!b_agency_guarantor(L14)</f>
        <v>冀中能源集团有限责任公司</v>
      </c>
      <c r="H14" s="114" t="s">
        <v>370</v>
      </c>
      <c r="I14" s="66"/>
      <c r="J14" s="115" t="s">
        <v>370</v>
      </c>
      <c r="K14" s="116">
        <f>K3</f>
        <v>0</v>
      </c>
      <c r="L14" s="42" t="str">
        <f>L3</f>
        <v>d19041207.IB</v>
      </c>
      <c r="M14" s="114" t="s">
        <v>370</v>
      </c>
      <c r="N14" s="111">
        <f>[1]!b_agency_leadunderwriter(L14)</f>
        <v>0</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373</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374</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375</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376</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377</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378</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379</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380</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381</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2019-04-12T08:18:03Z</dcterms:modified>
</cp:coreProperties>
</file>