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5新券信评\"/>
    </mc:Choice>
  </mc:AlternateContent>
  <xr:revisionPtr revIDLastSave="0" documentId="13_ncr:1_{4DFE35F0-16B6-4D6B-81C7-61600B41F627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Q2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C75" i="1"/>
  <c r="C73" i="1"/>
  <c r="G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E5" i="1"/>
  <c r="E74" i="1"/>
  <c r="B73" i="1"/>
  <c r="F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G73" i="1"/>
  <c r="E72" i="1"/>
  <c r="C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E4" i="1"/>
  <c r="F73" i="1"/>
  <c r="D72" i="1"/>
  <c r="B71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J22" i="1" l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8" i="6"/>
  <c r="J17" i="6"/>
  <c r="J9" i="6"/>
  <c r="J22" i="6"/>
  <c r="J15" i="6"/>
  <c r="J23" i="6"/>
  <c r="J5" i="6"/>
  <c r="J18" i="6"/>
  <c r="J20" i="6"/>
  <c r="J6" i="6"/>
  <c r="J19" i="6"/>
  <c r="J21" i="6"/>
  <c r="J7" i="6"/>
  <c r="J16" i="6"/>
</calcChain>
</file>

<file path=xl/sharedStrings.xml><?xml version="1.0" encoding="utf-8"?>
<sst xmlns="http://schemas.openxmlformats.org/spreadsheetml/2006/main" count="508" uniqueCount="237">
  <si>
    <t>d19041209.IB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</si>
  <si>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</si>
  <si>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</si>
  <si>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</si>
  <si>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</si>
  <si>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</si>
  <si>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</si>
  <si>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</si>
  <si>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</si>
  <si>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</si>
  <si>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</si>
  <si>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</si>
  <si>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</si>
  <si>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</si>
  <si>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</si>
  <si>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</si>
  <si>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</si>
  <si>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</si>
  <si>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</si>
  <si>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</si>
  <si>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</si>
  <si>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</si>
  <si>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</si>
  <si>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101551101.IB</t>
  </si>
  <si>
    <t>主体级别</t>
  </si>
  <si>
    <t>AAA</t>
  </si>
  <si>
    <t>011516002.IB</t>
  </si>
  <si>
    <t>*选择性黏贴</t>
  </si>
  <si>
    <t>101564056.IB</t>
  </si>
  <si>
    <t>数据年度</t>
  </si>
  <si>
    <t>2017年</t>
  </si>
  <si>
    <t>041558063.IB</t>
  </si>
  <si>
    <t>总资产</t>
  </si>
  <si>
    <t>011599849.IB</t>
  </si>
  <si>
    <t>负债率</t>
  </si>
  <si>
    <t>031302001.IB</t>
  </si>
  <si>
    <t>流动比率</t>
  </si>
  <si>
    <t>031121001.IB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</si>
  <si>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</si>
  <si>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</si>
  <si>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</si>
  <si>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</si>
  <si>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</si>
  <si>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</si>
  <si>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</si>
  <si>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</si>
  <si>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</si>
  <si>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</si>
  <si>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</si>
  <si>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</si>
  <si>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</si>
  <si>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</si>
  <si>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</si>
  <si>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</si>
  <si>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</si>
  <si>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</si>
  <si>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</si>
  <si>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</si>
  <si>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</si>
  <si>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</si>
  <si>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</si>
  <si>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</si>
  <si>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</si>
  <si>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</si>
  <si>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</si>
  <si>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</si>
  <si>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</si>
  <si>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</si>
  <si>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</si>
  <si>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</si>
  <si>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</si>
  <si>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</si>
  <si>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</si>
  <si>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</si>
  <si>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</si>
  <si>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</si>
  <si>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</si>
  <si>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</si>
  <si>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</si>
  <si>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</si>
  <si>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</si>
  <si>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</si>
  <si>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</si>
  <si>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</si>
  <si>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</si>
  <si>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</si>
  <si>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</si>
  <si>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</si>
  <si>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</si>
  <si>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</si>
  <si>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</si>
  <si>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</si>
  <si>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</si>
  <si>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</si>
  <si>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</si>
  <si>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</si>
  <si>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</si>
  <si>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</si>
  <si>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</si>
  <si>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</si>
  <si>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</si>
  <si>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</si>
  <si>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</si>
  <si>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</si>
  <si>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</si>
  <si>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</si>
  <si>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</si>
  <si>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</si>
  <si>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</si>
  <si>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</si>
  <si>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</si>
  <si>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</si>
  <si>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</si>
  <si>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</si>
  <si>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</si>
  <si>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</si>
  <si>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</si>
  <si>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</si>
  <si>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</si>
  <si>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</si>
  <si>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</si>
  <si>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136918.SH</t>
  </si>
  <si>
    <t>20181116</t>
  </si>
  <si>
    <t>18蒙电Y2</t>
  </si>
  <si>
    <t>136917.SH</t>
  </si>
  <si>
    <t>18蒙电Y1</t>
  </si>
  <si>
    <t>031800530.IB</t>
  </si>
  <si>
    <t>20180830</t>
  </si>
  <si>
    <t>18蒙电华能PPN001</t>
  </si>
  <si>
    <t>011801351.IB</t>
  </si>
  <si>
    <t>20180719</t>
  </si>
  <si>
    <t>18内蒙华电SCP002</t>
  </si>
  <si>
    <t>011800865.IB</t>
  </si>
  <si>
    <t>20180425</t>
  </si>
  <si>
    <t>18内蒙华电SCP001</t>
  </si>
  <si>
    <t>110041.SH</t>
  </si>
  <si>
    <t>20171222</t>
  </si>
  <si>
    <t>蒙电转债</t>
  </si>
  <si>
    <t>031654012.IB</t>
  </si>
  <si>
    <t>20160314</t>
  </si>
  <si>
    <t>16蒙电华能PPN001</t>
  </si>
  <si>
    <t>101553042.IB</t>
  </si>
  <si>
    <t>20151111</t>
  </si>
  <si>
    <t>15内蒙华电MTN003</t>
  </si>
  <si>
    <t>101553023.IB</t>
  </si>
  <si>
    <t>20150825</t>
  </si>
  <si>
    <t>15内蒙华电MTN002</t>
  </si>
  <si>
    <t>101553020.IB</t>
  </si>
  <si>
    <t>20150715</t>
  </si>
  <si>
    <t>15内蒙华电MTN001</t>
  </si>
  <si>
    <t>031491080.IB</t>
  </si>
  <si>
    <t>20141202</t>
  </si>
  <si>
    <t>14蒙电华能PPN001</t>
  </si>
  <si>
    <t>048017.00</t>
  </si>
  <si>
    <t>20041220</t>
  </si>
  <si>
    <t>04蒙电债</t>
  </si>
  <si>
    <t>历史主体评级</t>
  </si>
  <si>
    <t>发布日期</t>
  </si>
  <si>
    <t>主体资信级别</t>
  </si>
  <si>
    <t>评级展望</t>
  </si>
  <si>
    <t>评级机构</t>
  </si>
  <si>
    <t>20181112</t>
  </si>
  <si>
    <t>稳定</t>
  </si>
  <si>
    <t>中诚信证券评估有限公司</t>
  </si>
  <si>
    <t>20180709</t>
  </si>
  <si>
    <t>中诚信国际信用评级有限责任公司</t>
  </si>
  <si>
    <t>20180626</t>
  </si>
  <si>
    <t>20170712</t>
  </si>
  <si>
    <t>20170710</t>
  </si>
  <si>
    <t>20160705</t>
  </si>
  <si>
    <t>20150921</t>
  </si>
  <si>
    <t>20150728</t>
  </si>
  <si>
    <t>20150123</t>
  </si>
  <si>
    <t>20060713</t>
  </si>
  <si>
    <t>--</t>
  </si>
  <si>
    <t>最新前五大股东（持股比例）</t>
  </si>
  <si>
    <t>同行业发债主体财务指标一览</t>
  </si>
  <si>
    <t>同评级可比公司平均水平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</si>
  <si>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</si>
  <si>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</si>
  <si>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</si>
  <si>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</si>
  <si>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</si>
  <si>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</si>
  <si>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云南保山电力股份有限公司</t>
  </si>
  <si>
    <t>AA负面上调至AA稳定</t>
  </si>
  <si>
    <t>东方金诚国际信用评估有限公司</t>
  </si>
  <si>
    <t>云南省保山市2017 年全社会用电量保持较高速度增长，同时随着“园中园”发展战略的实施，预计未来该地区用电量增长空间很大；受益于外购电量价格下降及销售电价的提高，公司2017 年营业收入和利润总额同比大幅增长，盈利能力有所增强；由于剥离至保山能源的债务规模很大，公司负债总额大幅减少，资产负债率明显下降；作为保山市唯一的终端供电企业，电力供应业务具有很强的区域专营优势，在农网还贷金返还、优惠电价补贴等方面继续得到了各级政府的有力支持。</t>
  </si>
  <si>
    <t>近一年来同行业发债企业主体评级下调情况</t>
  </si>
  <si>
    <t>主体资信级别下调</t>
  </si>
  <si>
    <t>主体评级展望下调</t>
  </si>
  <si>
    <t>华晨电力股份公司</t>
  </si>
  <si>
    <t>AA-负面下调至A负面</t>
  </si>
  <si>
    <t>联合信用评级有限公司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</si>
  <si>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</si>
  <si>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</si>
  <si>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</si>
  <si>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</si>
  <si>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</si>
  <si>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</si>
  <si>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</si>
  <si>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</si>
  <si>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</si>
  <si>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</si>
  <si>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</si>
  <si>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</si>
  <si>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</si>
  <si>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</si>
  <si>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</si>
  <si>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</si>
  <si>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</si>
  <si>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</si>
  <si>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</si>
  <si>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</si>
  <si>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</si>
  <si>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</si>
  <si>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</si>
  <si>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</si>
  <si>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</si>
  <si>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内蒙古蒙电华能热电股份有限公司</t>
  </si>
  <si>
    <t>中央国有企业</t>
  </si>
  <si>
    <t>公用事业--公用事业Ⅱ--电力Ⅲ--电力</t>
  </si>
  <si>
    <t>内蒙古自治区呼和浩特市锡林南路218号</t>
  </si>
  <si>
    <t>公司是1993年经内蒙古自治区人民政府批准以包头第二热电厂为基础改制，由内蒙古电力(集团)有限责任公司、中国华能集团公司等作为发起人以社会募集方式设立，是内蒙古自治区第一家上市公司。公司主营火力发电、供应，蒸汽、热水的生产、供应、销售维护和管理；风力发电以及其他新能源发电和供应；对煤炭铁路及配套基础设施项目的投资、对煤化工、煤炭深加工行业投资、建设、运营管理，对石灰石等与电力生产相关的原材投资。公司涉足风电项目的开发，目前已开始风电项目建设，并规划储备了后续风电项目。</t>
  </si>
  <si>
    <t>北方联合电力有限责任公司</t>
  </si>
  <si>
    <t>中国证券金融股份有限公司</t>
  </si>
  <si>
    <t>李革</t>
  </si>
  <si>
    <t>中央汇金资产管理有限责任公司</t>
  </si>
  <si>
    <t>谢升敬</t>
  </si>
  <si>
    <t>深圳能源集团股份有限公司</t>
  </si>
  <si>
    <t>华电国际电力股份有限公司</t>
  </si>
  <si>
    <t>北京能源集团有限责任公司</t>
  </si>
  <si>
    <t>华电江苏能源有限公司</t>
  </si>
  <si>
    <t>安徽省能源集团有限公司</t>
  </si>
  <si>
    <t>中国国电集团有限公司</t>
  </si>
  <si>
    <t>国投电力控股股份有限公司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</si>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</sst>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内蒙古蒙电华能热电股份有限公司</v>
      </c>
      <c r="C4" s="120"/>
      <c r="D4" s="57" t="s">
        <v>3</v>
      </c>
      <c r="E4" s="119" t="str">
        <f>[1]!s_info_nature(A2)</f>
        <v>中央国有企业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公用事业--公用事业Ⅱ--电力Ⅲ--电力</v>
      </c>
      <c r="C5" s="120"/>
      <c r="D5" s="57" t="s">
        <v>5</v>
      </c>
      <c r="E5" s="119" t="str">
        <f>[1]!b_issuer_regaddress(A2)</f>
        <v>内蒙古自治区呼和浩特市锡林南路218号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公司是1993年经内蒙古自治区人民政府批准以包头第二热电厂为基础改制，由内蒙古电力(集团)有限责任公司、中国华能集团公司等作为发起人以社会募集方式设立，是内蒙古自治区第一家上市公司。公司主营火力发电、供应，蒸汽、热水的生产、供应、销售维护和管理；风力发电以及其他新能源发电和供应；对煤炭铁路及配套基础设施项目的投资、对煤化工、煤炭深加工行业投资、建设、运营管理，对石灰石等与电力生产相关的原材投资。公司涉足风电项目的开发，目前已开始风电项目建设，并规划储备了后续风电项目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北方联合电力有限责任公司</v>
      </c>
      <c r="C7" s="120"/>
      <c r="D7" s="120"/>
      <c r="E7" s="120"/>
      <c r="F7" s="61">
        <f>[1]!b_issuer_propofshareholder($A$2,"",1)%</f>
        <v>0.56909999847412107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 t="str">
        <f>[1]!b_issuer_shareholder(A2,"",2)</f>
        <v>中国证券金融股份有限公司</v>
      </c>
      <c r="C8" s="120"/>
      <c r="D8" s="120"/>
      <c r="E8" s="120"/>
      <c r="F8" s="61">
        <f>[1]!b_issuer_propofshareholder($A$2,"",2)%</f>
        <v>3.3199999332427982E-2</v>
      </c>
      <c r="G8" s="60"/>
      <c r="H8" s="20"/>
      <c r="M8" s="25"/>
      <c r="O8" s="25"/>
      <c r="P8" s="63"/>
    </row>
    <row r="9" spans="1:20" s="17" customFormat="1" x14ac:dyDescent="0.25">
      <c r="A9" s="59"/>
      <c r="B9" s="122" t="str">
        <f>[1]!b_issuer_shareholder(A2,"",3)</f>
        <v>李革</v>
      </c>
      <c r="C9" s="120"/>
      <c r="D9" s="120"/>
      <c r="E9" s="120"/>
      <c r="F9" s="61">
        <f>[1]!b_issuer_propofshareholder($A$2,"",3)%</f>
        <v>1.0800000429153443E-2</v>
      </c>
      <c r="G9" s="60"/>
      <c r="H9" s="20"/>
      <c r="M9" s="25"/>
      <c r="O9" s="25"/>
      <c r="P9" s="63"/>
    </row>
    <row r="10" spans="1:20" s="17" customFormat="1" x14ac:dyDescent="0.25">
      <c r="A10" s="59"/>
      <c r="B10" s="122" t="str">
        <f>[1]!b_issuer_shareholder(A2,"",4)</f>
        <v>中央汇金资产管理有限责任公司</v>
      </c>
      <c r="C10" s="120"/>
      <c r="D10" s="120"/>
      <c r="E10" s="120"/>
      <c r="F10" s="61">
        <f>[1]!b_issuer_propofshareholder($A$2,"",4)%</f>
        <v>7.3000001907348629E-3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 t="str">
        <f>[1]!b_issuer_shareholder(A2,"",5)</f>
        <v>谢升敬</v>
      </c>
      <c r="C11" s="120"/>
      <c r="D11" s="120"/>
      <c r="E11" s="120"/>
      <c r="F11" s="61">
        <f>[1]!b_issuer_propofshareholder($A$2,"",5)%</f>
        <v>5.0999999046325685E-3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d19041209.IB</v>
      </c>
      <c r="K14" s="26"/>
      <c r="L14" s="27" t="str">
        <f>T15</f>
        <v>101551101.IB</v>
      </c>
      <c r="M14" s="27" t="str">
        <f>T16</f>
        <v>011516002.IB</v>
      </c>
      <c r="N14" s="27" t="str">
        <f>T17</f>
        <v>101564056.IB</v>
      </c>
      <c r="O14" s="27" t="str">
        <f>T18</f>
        <v>041558063.IB</v>
      </c>
      <c r="P14" s="27" t="str">
        <f>T19</f>
        <v>011599849.IB</v>
      </c>
      <c r="Q14" s="27" t="str">
        <f>T20</f>
        <v>031302001.IB</v>
      </c>
      <c r="R14" s="5" t="str">
        <f>T21</f>
        <v>031121001.IB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内蒙古蒙电华能热电股份有限公司</v>
      </c>
      <c r="K15" s="138"/>
      <c r="L15" s="8" t="str">
        <f>[1]!b_info_issuer(L14)</f>
        <v>深圳能源集团股份有限公司</v>
      </c>
      <c r="M15" s="8" t="str">
        <f>[1]!b_info_issuer(M14)</f>
        <v>华电国际电力股份有限公司</v>
      </c>
      <c r="N15" s="8" t="str">
        <f>[1]!b_info_issuer(N14)</f>
        <v>北京能源集团有限责任公司</v>
      </c>
      <c r="O15" s="8" t="str">
        <f>[1]!b_info_issuer(O14)</f>
        <v>华电江苏能源有限公司</v>
      </c>
      <c r="P15" s="8" t="str">
        <f>[1]!b_info_issuer(P14)</f>
        <v>安徽省能源集团有限公司</v>
      </c>
      <c r="Q15" s="8" t="str">
        <f>[1]!b_info_issuer(Q14)</f>
        <v>中国国电集团有限公司</v>
      </c>
      <c r="R15" s="8" t="str">
        <f>[1]!b_info_issuer(R14)</f>
        <v>国投电力控股股份有限公司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中央国有企业</v>
      </c>
      <c r="K17" s="124"/>
      <c r="L17" s="67" t="str">
        <f>[1]!s_info_nature(L14)</f>
        <v>地方国有企业</v>
      </c>
      <c r="M17" s="67" t="str">
        <f>[1]!s_info_nature(M14)</f>
        <v>中央国有企业</v>
      </c>
      <c r="N17" s="67" t="str">
        <f>[1]!s_info_nature(N14)</f>
        <v>地方国有企业</v>
      </c>
      <c r="O17" s="67" t="str">
        <f>[1]!s_info_nature(O14)</f>
        <v>中央国有企业</v>
      </c>
      <c r="P17" s="67" t="str">
        <f>[1]!s_info_nature(P14)</f>
        <v>地方国有企业</v>
      </c>
      <c r="Q17" s="67" t="str">
        <f>[1]!s_info_nature(Q14)</f>
        <v>中央国有企业</v>
      </c>
      <c r="R17" s="67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4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430.93975870999998</v>
      </c>
      <c r="K19" s="124"/>
      <c r="L19" s="68">
        <f>[1]!b_stm07_bs(L14,74,L13,1)/100000000</f>
        <v>772.3093014781</v>
      </c>
      <c r="M19" s="68">
        <f>[1]!b_stm07_bs(M14,74,M13,1)/100000000</f>
        <v>2162.7858799999999</v>
      </c>
      <c r="N19" s="68">
        <f>[1]!b_stm07_bs(N14,74,N13,1)/100000000</f>
        <v>2630.5882243348997</v>
      </c>
      <c r="O19" s="68">
        <f>[1]!b_stm07_bs(O14,74,O13,1)/100000000</f>
        <v>326.38693363250002</v>
      </c>
      <c r="P19" s="68">
        <f>[1]!b_stm07_bs(P14,74,P13,1)/100000000</f>
        <v>451.4545843153</v>
      </c>
      <c r="Q19" s="68">
        <f>[1]!b_stm07_bs(Q14,74,Q13,1)/100000000</f>
        <v>8050.1473408323</v>
      </c>
      <c r="R19" s="68">
        <f>[1]!b_stm07_bs(R14,74,R13,1)/100000000</f>
        <v>2082.8800256219001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0.68074000000000001</v>
      </c>
      <c r="K20" s="124"/>
      <c r="L20" s="10">
        <f>[1]!s_fa_debttoassets(L14,L13)/100</f>
        <v>0.67988699999999991</v>
      </c>
      <c r="M20" s="10">
        <f>[1]!s_fa_debttoassets(M14,M13)/100</f>
        <v>0.74375000000000002</v>
      </c>
      <c r="N20" s="10">
        <f>[1]!s_fa_debttoassets(N14,N13)/100</f>
        <v>0.60719299999999998</v>
      </c>
      <c r="O20" s="10">
        <f>[1]!s_fa_debttoassets(O14,O13)/100</f>
        <v>0.77889799999999998</v>
      </c>
      <c r="P20" s="10">
        <f>[1]!s_fa_debttoassets(P14,P13)/100</f>
        <v>0.38930199999999998</v>
      </c>
      <c r="Q20" s="10">
        <f>[1]!s_fa_debttoassets(Q14,Q13)/100</f>
        <v>0.80991800000000003</v>
      </c>
      <c r="R20" s="10">
        <f>[1]!s_fa_debttoassets(R14,R13)/100</f>
        <v>0.70853999999999995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0.23760000000000001</v>
      </c>
      <c r="K21" s="124"/>
      <c r="L21" s="68">
        <f>[1]!s_fa_current(L14,L13)</f>
        <v>0.71879999999999999</v>
      </c>
      <c r="M21" s="68">
        <f>[1]!s_fa_current(M14,M13)</f>
        <v>0.31190000000000001</v>
      </c>
      <c r="N21" s="68">
        <f>[1]!s_fa_current(N14,N13)</f>
        <v>0.60250000000000004</v>
      </c>
      <c r="O21" s="68">
        <f>[1]!s_fa_current(O14,O13)</f>
        <v>0.30380000000000001</v>
      </c>
      <c r="P21" s="68">
        <f>[1]!s_fa_current(P14,P13)</f>
        <v>0.55789999999999995</v>
      </c>
      <c r="Q21" s="68">
        <f>[1]!s_fa_current(Q14,Q13)</f>
        <v>0.27689999999999998</v>
      </c>
      <c r="R21" s="68">
        <f>[1]!s_fa_current(R14,R13)</f>
        <v>0.3604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38</v>
      </c>
      <c r="J22" s="66">
        <f>(J96+J97+J98+J99+J100+J101)/J103</f>
        <v>1.7593449560434637</v>
      </c>
      <c r="K22" s="124"/>
      <c r="L22" s="66">
        <f>(公式页!L96+公式页!L97+公式页!L98+公式页!L99+公式页!L100+公式页!L101)/公式页!L103</f>
        <v>1.3089358544011322</v>
      </c>
      <c r="M22" s="66">
        <f t="shared" ref="M22:R22" si="0">(M96+M97+M98+M99+M100+M101)/M103</f>
        <v>2.1903224440380917</v>
      </c>
      <c r="N22" s="66">
        <f t="shared" si="0"/>
        <v>0.97557476074419625</v>
      </c>
      <c r="O22" s="66">
        <f t="shared" si="0"/>
        <v>2.5168158268470471</v>
      </c>
      <c r="P22" s="66">
        <f t="shared" si="0"/>
        <v>0.47445177829500246</v>
      </c>
      <c r="Q22" s="66">
        <f t="shared" si="0"/>
        <v>2.9255251790191719</v>
      </c>
      <c r="R22" s="66">
        <f t="shared" si="0"/>
        <v>2.1604818339291647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39</v>
      </c>
      <c r="J23" s="68">
        <f>[1]!s_fa_ebitdatodebt(J14,J13)</f>
        <v>0.15529999999999999</v>
      </c>
      <c r="K23" s="124"/>
      <c r="L23" s="68">
        <f>[1]!s_fa_ebitdatodebt(L14,L13)</f>
        <v>8.72E-2</v>
      </c>
      <c r="M23" s="68">
        <f>[1]!s_fa_ebitdatodebt(M14,M13)</f>
        <v>0.1017</v>
      </c>
      <c r="N23" s="68">
        <f>[1]!s_fa_ebitdatodebt(N14,N13)</f>
        <v>9.1399999999999995E-2</v>
      </c>
      <c r="O23" s="68">
        <f>[1]!s_fa_ebitdatodebt(O14,O13)</f>
        <v>0.1157</v>
      </c>
      <c r="P23" s="68">
        <f>[1]!s_fa_ebitdatodebt(P14,P13)</f>
        <v>0.17050000000000001</v>
      </c>
      <c r="Q23" s="68">
        <f>[1]!s_fa_ebitdatodebt(Q14,Q13)</f>
        <v>9.1499999999999998E-2</v>
      </c>
      <c r="R23" s="68">
        <f>[1]!s_fa_ebitdatodebt(R14,R13)</f>
        <v>0.12839999999999999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40</v>
      </c>
      <c r="J24" s="68">
        <f>[1]!b_stm07_is(J14,9,J13,1)/100000000</f>
        <v>117.82569844780001</v>
      </c>
      <c r="K24" s="124"/>
      <c r="L24" s="68">
        <f>[1]!b_stm07_is(L14,9,L13,1)/100000000</f>
        <v>155.45854866049999</v>
      </c>
      <c r="M24" s="68">
        <f>[1]!b_stm07_is(M14,9,M13,1)/100000000</f>
        <v>790.06835999999998</v>
      </c>
      <c r="N24" s="68">
        <f>[1]!b_stm07_is(N14,9,N13,1)/100000000</f>
        <v>630.33002905319995</v>
      </c>
      <c r="O24" s="68">
        <f>[1]!b_stm07_is(O14,9,O13,1)/100000000</f>
        <v>169.0343906871</v>
      </c>
      <c r="P24" s="68">
        <f>[1]!b_stm07_is(P14,9,P13,1)/100000000</f>
        <v>154.43106338129999</v>
      </c>
      <c r="Q24" s="68">
        <f>[1]!b_stm07_is(Q14,9,Q13,1)/100000000</f>
        <v>1885.9272772039001</v>
      </c>
      <c r="R24" s="68">
        <f>[1]!b_stm07_is(R14,9,R13,1)/100000000</f>
        <v>316.4528423571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41</v>
      </c>
      <c r="J25" s="11">
        <f>[1]!s_fa_salescashintoor(J14,J13)%</f>
        <v>0.87120000000000009</v>
      </c>
      <c r="K25" s="124"/>
      <c r="L25" s="11">
        <f>[1]!s_fa_salescashintoor(L14,L13)%</f>
        <v>1.0448999999999999</v>
      </c>
      <c r="M25" s="11">
        <f>[1]!s_fa_salescashintoor(M14,M13)%</f>
        <v>1.0773999999999999</v>
      </c>
      <c r="N25" s="11">
        <f>[1]!s_fa_salescashintoor(N14,N13)%</f>
        <v>1.0555000000000001</v>
      </c>
      <c r="O25" s="11">
        <f>[1]!s_fa_salescashintoor(O14,O13)%</f>
        <v>1.1717</v>
      </c>
      <c r="P25" s="11">
        <f>[1]!s_fa_salescashintoor(P14,P13)%</f>
        <v>1.1372</v>
      </c>
      <c r="Q25" s="11">
        <f>[1]!s_fa_salescashintoor(Q14,Q13)%</f>
        <v>1.077</v>
      </c>
      <c r="R25" s="11">
        <f>[1]!s_fa_salescashintoor(R14,R13)%</f>
        <v>1.1343000000000001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42</v>
      </c>
      <c r="J26" s="11">
        <f>[1]!s_fa_grossprofitmargin(J14,J13)%</f>
        <v>0.17485700000000001</v>
      </c>
      <c r="K26" s="124"/>
      <c r="L26" s="11">
        <f>[1]!s_fa_grossprofitmargin(L14,L13)%</f>
        <v>0.27477799999999997</v>
      </c>
      <c r="M26" s="11">
        <f>[1]!s_fa_grossprofitmargin(M14,M13)%</f>
        <v>0.105434</v>
      </c>
      <c r="N26" s="11">
        <f>[1]!s_fa_grossprofitmargin(N14,N13)%</f>
        <v>0.11801199999999999</v>
      </c>
      <c r="O26" s="11">
        <f>[1]!s_fa_grossprofitmargin(O14,O13)%</f>
        <v>7.4167999999999998E-2</v>
      </c>
      <c r="P26" s="11">
        <f>[1]!s_fa_grossprofitmargin(P14,P13)%</f>
        <v>5.0011E-2</v>
      </c>
      <c r="Q26" s="11">
        <f>[1]!s_fa_grossprofitmargin(Q14,Q13)%</f>
        <v>0.155447</v>
      </c>
      <c r="R26" s="11">
        <f>[1]!s_fa_grossprofitmargin(R14,R13)%</f>
        <v>0.40582600000000002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43</v>
      </c>
      <c r="J27" s="69">
        <f>[1]!b_stm07_is(J14,60,J13,1)/100000000</f>
        <v>7.9711590548000002</v>
      </c>
      <c r="K27" s="124"/>
      <c r="L27" s="69">
        <f>[1]!b_stm07_is(L14,60,L13,1)/100000000</f>
        <v>8.4505935782000012</v>
      </c>
      <c r="M27" s="69">
        <f>[1]!b_stm07_is(M14,60,M13,1)/100000000</f>
        <v>7.7591299999999999</v>
      </c>
      <c r="N27" s="69">
        <f>[1]!b_stm07_is(N14,60,N13,1)/100000000</f>
        <v>17.462358157499999</v>
      </c>
      <c r="O27" s="69">
        <f>[1]!b_stm07_is(O14,60,O13,1)/100000000</f>
        <v>7.2077384946</v>
      </c>
      <c r="P27" s="69">
        <f>[1]!b_stm07_is(P14,60,P13,1)/100000000</f>
        <v>11.005004966900001</v>
      </c>
      <c r="Q27" s="69">
        <f>[1]!b_stm07_is(Q14,60,Q13,1)/100000000</f>
        <v>8.2811185392999995</v>
      </c>
      <c r="R27" s="69">
        <f>[1]!b_stm07_is(R14,60,R13,1)/100000000</f>
        <v>65.594906913999992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44</v>
      </c>
      <c r="I28" s="54" t="s">
        <v>45</v>
      </c>
      <c r="J28" s="10">
        <f>[1]!s_fa_roe(J14,J13)%</f>
        <v>4.9370000000000004E-2</v>
      </c>
      <c r="K28" s="124"/>
      <c r="L28" s="10">
        <f>[1]!s_fa_roe(L14,L13)%</f>
        <v>3.4894000000000001E-2</v>
      </c>
      <c r="M28" s="10">
        <f>[1]!s_fa_roe(M14,M13)%</f>
        <v>1.0195000000000001E-2</v>
      </c>
      <c r="N28" s="10">
        <f>[1]!s_fa_roe(N14,N13)%</f>
        <v>8.5070000000000007E-3</v>
      </c>
      <c r="O28" s="10">
        <f>[1]!s_fa_roe(O14,O13)%</f>
        <v>0.13064799999999999</v>
      </c>
      <c r="P28" s="10">
        <f>[1]!s_fa_roe(P14,P13)%</f>
        <v>6.0003000000000001E-2</v>
      </c>
      <c r="Q28" s="10">
        <f>[1]!s_fa_roe(Q14,Q13)%</f>
        <v>-5.7621000000000006E-2</v>
      </c>
      <c r="R28" s="10">
        <f>[1]!s_fa_roe(R14,R13)%</f>
        <v>0.10913399999999999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46</v>
      </c>
      <c r="J29" s="69">
        <f>[1]!b_stm07_cs(J14,39,J13,1)/100000000</f>
        <v>33.236182700000001</v>
      </c>
      <c r="K29" s="124"/>
      <c r="L29" s="69">
        <f>[1]!b_stm07_cs(L14,39,L13,1)/100000000</f>
        <v>28.268644403400003</v>
      </c>
      <c r="M29" s="69">
        <f>[1]!b_stm07_cs(M14,39,M13,1)/100000000</f>
        <v>127.89154000000001</v>
      </c>
      <c r="N29" s="69">
        <f>[1]!b_stm07_cs(N14,39,N13,1)/100000000</f>
        <v>123.6022597834</v>
      </c>
      <c r="O29" s="69">
        <f>[1]!b_stm07_cs(O14,39,O13,1)/100000000</f>
        <v>31.4889974146</v>
      </c>
      <c r="P29" s="69">
        <f>[1]!b_stm07_cs(P14,39,P13,1)/100000000</f>
        <v>12.887446905099999</v>
      </c>
      <c r="Q29" s="69">
        <f>[1]!b_stm07_cs(Q14,39,Q13,1)/100000000</f>
        <v>405.9909286239</v>
      </c>
      <c r="R29" s="69">
        <f>[1]!b_stm07_cs(R14,39,R13,1)/100000000</f>
        <v>181.41039798419999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47</v>
      </c>
      <c r="J96" s="71">
        <f>[1]!b_stm07_bs(J14,75,J13,1)</f>
        <v>4444130000</v>
      </c>
      <c r="K96" s="71"/>
      <c r="L96" s="71">
        <f>[1]!b_stm07_bs(L14,75,L13,1)</f>
        <v>4321688877.3599997</v>
      </c>
      <c r="M96" s="71">
        <f>[1]!b_stm07_bs(M14,75,M13,1)</f>
        <v>31697106000</v>
      </c>
      <c r="N96" s="71">
        <f>[1]!b_stm07_bs(N14,75,N13,1)</f>
        <v>33922199583.970001</v>
      </c>
      <c r="O96" s="71">
        <f>[1]!b_stm07_bs(O14,75,O13,1)</f>
        <v>8428300000</v>
      </c>
      <c r="P96" s="71">
        <f>[1]!b_stm07_bs(P14,75,P13,1)</f>
        <v>4052746708.3600001</v>
      </c>
      <c r="Q96" s="71">
        <f>[1]!b_stm07_bs(Q14,75,Q13,1)</f>
        <v>188638530443.82001</v>
      </c>
      <c r="R96" s="71">
        <f>[1]!b_stm07_bs(R14,75,R13,1)</f>
        <v>4741270178.0799999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48</v>
      </c>
      <c r="J97" s="71">
        <f>[1]!b_stm07_bs(J14,82,J13,1)</f>
        <v>63509769.25</v>
      </c>
      <c r="K97" s="71"/>
      <c r="L97" s="71">
        <f>[1]!b_stm07_bs(L14,82,L13,1)</f>
        <v>288282833.94</v>
      </c>
      <c r="M97" s="71">
        <f>[1]!b_stm07_bs(M14,82,M13,1)</f>
        <v>709807000</v>
      </c>
      <c r="N97" s="71">
        <f>[1]!b_stm07_bs(N14,82,N13,1)</f>
        <v>702987689.15999997</v>
      </c>
      <c r="O97" s="71">
        <f>[1]!b_stm07_bs(O14,82,O13,1)</f>
        <v>44666562.219999999</v>
      </c>
      <c r="P97" s="71">
        <f>[1]!b_stm07_bs(P14,82,P13,1)</f>
        <v>54222728.049999997</v>
      </c>
      <c r="Q97" s="71">
        <f>[1]!b_stm07_bs(Q14,82,Q13,1)</f>
        <v>2547601261.0300002</v>
      </c>
      <c r="R97" s="71">
        <f>[1]!b_stm07_bs(R14,82,R13,1)</f>
        <v>547193421.73000002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49</v>
      </c>
      <c r="J98" s="71">
        <f>[1]!b_stm07_bs(J14,88,J13,1)</f>
        <v>3762584601.71</v>
      </c>
      <c r="K98" s="71"/>
      <c r="L98" s="71">
        <f>[1]!b_stm07_bs(L14,88,L13,1)</f>
        <v>2234806591.8800001</v>
      </c>
      <c r="M98" s="71">
        <f>[1]!b_stm07_bs(M14,88,M13,1)</f>
        <v>16716752000</v>
      </c>
      <c r="N98" s="71">
        <f>[1]!b_stm07_bs(N14,88,N13,1)</f>
        <v>14118689525.799999</v>
      </c>
      <c r="O98" s="71">
        <f>[1]!b_stm07_bs(O14,88,O13,1)</f>
        <v>416397797.98000002</v>
      </c>
      <c r="P98" s="71">
        <f>[1]!b_stm07_bs(P14,88,P13,1)</f>
        <v>1173699403.49</v>
      </c>
      <c r="Q98" s="71">
        <f>[1]!b_stm07_bs(Q14,88,Q13,1)</f>
        <v>21118692803.470001</v>
      </c>
      <c r="R98" s="71">
        <f>[1]!b_stm07_bs(R14,88,R13,1)</f>
        <v>13982335372.85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50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51</v>
      </c>
      <c r="J100" s="71">
        <f>[1]!b_stm07_bs(J14,94,J13,1)</f>
        <v>13523170902.290001</v>
      </c>
      <c r="K100" s="71"/>
      <c r="L100" s="71">
        <f>[1]!b_stm07_bs(L14,94,L13,1)</f>
        <v>16524265270.73</v>
      </c>
      <c r="M100" s="71">
        <f>[1]!b_stm07_bs(M14,94,M13,1)</f>
        <v>62209160000</v>
      </c>
      <c r="N100" s="71">
        <f>[1]!b_stm07_bs(N14,94,N13,1)</f>
        <v>41222183588.220001</v>
      </c>
      <c r="O100" s="71">
        <f>[1]!b_stm07_bs(O14,94,O13,1)</f>
        <v>9273197330.9599991</v>
      </c>
      <c r="P100" s="71">
        <f>[1]!b_stm07_bs(P14,94,P13,1)</f>
        <v>6600078732</v>
      </c>
      <c r="Q100" s="71">
        <f>[1]!b_stm07_bs(Q14,94,Q13,1)</f>
        <v>191933606432.69</v>
      </c>
      <c r="R100" s="71">
        <f>[1]!b_stm07_bs(R14,94,R13,1)</f>
        <v>108886781273.88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52</v>
      </c>
      <c r="J101" s="71">
        <f>[1]!b_stm07_bs(J14,95,J13,1)</f>
        <v>2411997406.1599998</v>
      </c>
      <c r="K101" s="71"/>
      <c r="L101" s="71">
        <f>[1]!b_stm07_bs(L14,95,L13,1)</f>
        <v>8991250000</v>
      </c>
      <c r="M101" s="71">
        <f>[1]!b_stm07_bs(M14,95,M13,1)</f>
        <v>10058115000</v>
      </c>
      <c r="N101" s="71">
        <f>[1]!b_stm07_bs(N14,95,N13,1)</f>
        <v>10841496634.84</v>
      </c>
      <c r="O101" s="71">
        <f>[1]!b_stm07_bs(O14,95,O13,1)</f>
        <v>0</v>
      </c>
      <c r="P101" s="71">
        <f>[1]!b_stm07_bs(P14,95,P13,1)</f>
        <v>1200000000</v>
      </c>
      <c r="Q101" s="71">
        <f>[1]!b_stm07_bs(Q14,95,Q13,1)</f>
        <v>43421050039.629997</v>
      </c>
      <c r="R101" s="71">
        <f>[1]!b_stm07_bs(R14,95,R13,1)</f>
        <v>3000000000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1">
        <f>[1]!b_stm07_bs(J14,141,J13,1)</f>
        <v>13758184599.48</v>
      </c>
      <c r="K103" s="71"/>
      <c r="L103" s="71">
        <f>[1]!b_stm07_bs(L14,141,L13,1)</f>
        <v>24722596959.279999</v>
      </c>
      <c r="M103" s="71">
        <f>[1]!b_stm07_bs(M14,141,M13,1)</f>
        <v>55421493000</v>
      </c>
      <c r="N103" s="71">
        <f>[1]!b_stm07_bs(N14,141,N13,1)</f>
        <v>103331452471.25</v>
      </c>
      <c r="O103" s="71">
        <f>[1]!b_stm07_bs(O14,141,O13,1)</f>
        <v>7216484216.8500004</v>
      </c>
      <c r="P103" s="71">
        <f>[1]!b_stm07_bs(P14,141,P13,1)</f>
        <v>27570236155.310001</v>
      </c>
      <c r="Q103" s="71">
        <f>[1]!b_stm07_bs(Q14,141,Q13,1)</f>
        <v>153018502179.06</v>
      </c>
      <c r="R103" s="71">
        <f>[1]!b_stm07_bs(R14,141,R13,1)</f>
        <v>60707559853.910004</v>
      </c>
    </row>
    <row r="106" spans="1:19" ht="14.25" customHeight="1" x14ac:dyDescent="0.25">
      <c r="A106" s="123" t="s">
        <v>54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55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d19041209.IB</v>
      </c>
      <c r="L107" s="33">
        <f>B2</f>
        <v>43100</v>
      </c>
      <c r="M107" s="17"/>
    </row>
    <row r="108" spans="1:19" ht="12.75" customHeight="1" x14ac:dyDescent="0.25">
      <c r="A108" s="127" t="s">
        <v>56</v>
      </c>
      <c r="B108" s="118"/>
      <c r="C108" s="127" t="s">
        <v>57</v>
      </c>
      <c r="D108" s="124"/>
      <c r="E108" s="127" t="s">
        <v>58</v>
      </c>
      <c r="F108" s="124"/>
      <c r="G108" s="127" t="s">
        <v>59</v>
      </c>
      <c r="H108" s="124"/>
      <c r="I108" s="127" t="s">
        <v>60</v>
      </c>
      <c r="J108" s="124"/>
      <c r="L108" s="17"/>
      <c r="M108" s="17"/>
    </row>
    <row r="109" spans="1:19" ht="16.5" customHeight="1" x14ac:dyDescent="0.25">
      <c r="A109" s="54" t="s">
        <v>61</v>
      </c>
      <c r="B109" s="12">
        <f>M109/100</f>
        <v>0.68074000000000001</v>
      </c>
      <c r="C109" s="54" t="s">
        <v>36</v>
      </c>
      <c r="D109" s="72">
        <f>[1]!s_fa_current(A2,B2)</f>
        <v>0.23760000000000001</v>
      </c>
      <c r="E109" s="54" t="s">
        <v>41</v>
      </c>
      <c r="F109" s="73">
        <f>[1]!s_fa_salescashintoor(A2,B2)/100</f>
        <v>0.87120000000000009</v>
      </c>
      <c r="G109" s="54" t="s">
        <v>42</v>
      </c>
      <c r="H109" s="12">
        <f>S109/100</f>
        <v>0.17485700000000001</v>
      </c>
      <c r="I109" s="54"/>
      <c r="J109" s="16"/>
      <c r="K109" s="25"/>
      <c r="L109" s="34" t="s">
        <v>61</v>
      </c>
      <c r="M109" s="74">
        <f>[1]!s_fa_debttoassets(A2,B2)</f>
        <v>68.073999999999998</v>
      </c>
      <c r="N109" s="54" t="s">
        <v>36</v>
      </c>
      <c r="O109" s="35"/>
      <c r="P109" s="54" t="s">
        <v>41</v>
      </c>
      <c r="Q109" s="35"/>
      <c r="R109" s="54" t="s">
        <v>42</v>
      </c>
      <c r="S109" s="75">
        <f>[1]!s_fa_grossprofitmargin(A2,B2)</f>
        <v>17.485700000000001</v>
      </c>
    </row>
    <row r="110" spans="1:19" ht="15.75" customHeight="1" x14ac:dyDescent="0.25">
      <c r="A110" s="54" t="s">
        <v>62</v>
      </c>
      <c r="B110" s="12">
        <f>M110/100</f>
        <v>7.2850999999999999E-2</v>
      </c>
      <c r="C110" s="54" t="s">
        <v>63</v>
      </c>
      <c r="D110" s="73">
        <f>[1]!s_fa_quick(A2,B2)</f>
        <v>0.20860000000000001</v>
      </c>
      <c r="E110" s="54" t="s">
        <v>64</v>
      </c>
      <c r="F110" s="72">
        <f>[1]!s_fa_arturn(A2,B2)</f>
        <v>9.1466999999999992</v>
      </c>
      <c r="G110" s="54" t="s">
        <v>65</v>
      </c>
      <c r="H110" s="12">
        <f>S110/100</f>
        <v>8.6272000000000001E-2</v>
      </c>
      <c r="I110" s="54"/>
      <c r="J110" s="16"/>
      <c r="L110" s="54" t="s">
        <v>62</v>
      </c>
      <c r="M110" s="74">
        <f>[1]!s_fa_catoassets(A2,B2)</f>
        <v>7.2850999999999999</v>
      </c>
      <c r="N110" s="54" t="s">
        <v>63</v>
      </c>
      <c r="O110" s="35"/>
      <c r="P110" s="54" t="s">
        <v>64</v>
      </c>
      <c r="Q110" s="73"/>
      <c r="R110" s="54" t="s">
        <v>65</v>
      </c>
      <c r="S110" s="75">
        <f>[1]!s_fa_optogr(A2,B2)</f>
        <v>8.6272000000000002</v>
      </c>
    </row>
    <row r="111" spans="1:19" ht="15" customHeight="1" x14ac:dyDescent="0.25">
      <c r="A111" s="54" t="s">
        <v>66</v>
      </c>
      <c r="B111" s="12">
        <f>M111/100</f>
        <v>0.45049899999999998</v>
      </c>
      <c r="C111" s="54" t="s">
        <v>39</v>
      </c>
      <c r="D111" s="73">
        <f>[1]!s_fa_ebitdatodebt(A2,B2)</f>
        <v>0.15529999999999999</v>
      </c>
      <c r="E111" s="54" t="s">
        <v>67</v>
      </c>
      <c r="F111" s="72">
        <f>[1]!s_fa_invturn(A2,B2)</f>
        <v>25.179200000000002</v>
      </c>
      <c r="G111" s="54" t="s">
        <v>45</v>
      </c>
      <c r="H111" s="12">
        <f>S111/100</f>
        <v>4.9370000000000004E-2</v>
      </c>
      <c r="I111" s="54"/>
      <c r="J111" s="16"/>
      <c r="L111" s="54" t="s">
        <v>66</v>
      </c>
      <c r="M111" s="74">
        <f>[1]!s_fa_currentdebttodebt(A2,B2)</f>
        <v>45.049900000000001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5">
        <f>[1]!s_fa_roe(A2,B2)</f>
        <v>4.9370000000000003</v>
      </c>
    </row>
    <row r="112" spans="1:19" ht="14.25" customHeight="1" x14ac:dyDescent="0.25">
      <c r="A112" s="54" t="s">
        <v>38</v>
      </c>
      <c r="B112" s="76">
        <f>(M116+M117+M118+M119+M120+M121)/M123</f>
        <v>1.7593449560434637</v>
      </c>
      <c r="C112" s="54" t="s">
        <v>68</v>
      </c>
      <c r="D112" s="73">
        <f>[1]!s_fa_ebittointerest(A2,B2)</f>
        <v>2.0636999999999999</v>
      </c>
      <c r="E112" s="54" t="s">
        <v>69</v>
      </c>
      <c r="F112" s="72">
        <f>[1]!s_fa_caturn(A2,B2)</f>
        <v>4.6071</v>
      </c>
      <c r="G112" s="54" t="s">
        <v>70</v>
      </c>
      <c r="H112" s="12">
        <f>S112/100</f>
        <v>4.8152E-2</v>
      </c>
      <c r="I112" s="54"/>
      <c r="J112" s="16"/>
      <c r="L112" s="54" t="s">
        <v>38</v>
      </c>
      <c r="M112" s="77"/>
      <c r="N112" s="54" t="s">
        <v>68</v>
      </c>
      <c r="O112" s="35"/>
      <c r="P112" s="54" t="s">
        <v>69</v>
      </c>
      <c r="Q112" s="35"/>
      <c r="R112" s="54" t="s">
        <v>70</v>
      </c>
      <c r="S112" s="75">
        <f>[1]!s_fa_roa2(A2,B2)</f>
        <v>4.8151999999999999</v>
      </c>
    </row>
    <row r="113" spans="1:21" x14ac:dyDescent="0.25">
      <c r="A113" s="30"/>
      <c r="B113" s="31"/>
      <c r="C113" s="30"/>
      <c r="D113" s="32"/>
      <c r="E113" s="30" t="s">
        <v>71</v>
      </c>
      <c r="F113" s="78">
        <f>[1]!s_fa_dupont_faturnover(A2,B2)</f>
        <v>0.28470000000000001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3" t="s">
        <v>72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73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74</v>
      </c>
      <c r="B116" s="118"/>
      <c r="C116" s="129" t="s">
        <v>75</v>
      </c>
      <c r="D116" s="124"/>
      <c r="E116" s="130" t="s">
        <v>76</v>
      </c>
      <c r="F116" s="124"/>
      <c r="G116" s="124"/>
      <c r="H116" s="124"/>
      <c r="I116" s="124"/>
      <c r="J116" s="124"/>
      <c r="L116" s="17" t="s">
        <v>47</v>
      </c>
      <c r="M116" s="71">
        <f>[1]!b_stm07_bs(K107,75,L107,1)</f>
        <v>4444130000</v>
      </c>
    </row>
    <row r="117" spans="1:21" ht="14.25" customHeight="1" x14ac:dyDescent="0.25">
      <c r="A117" s="54" t="s">
        <v>77</v>
      </c>
      <c r="B117" s="73">
        <f t="shared" ref="B117:B131" si="1">M127/100000000</f>
        <v>5.3837138447999999</v>
      </c>
      <c r="C117" s="54" t="s">
        <v>78</v>
      </c>
      <c r="D117" s="76">
        <f t="shared" ref="D117:D125" si="2">O127/100000000</f>
        <v>117.82569844780001</v>
      </c>
      <c r="E117" s="131" t="s">
        <v>79</v>
      </c>
      <c r="F117" s="124"/>
      <c r="G117" s="124"/>
      <c r="H117" s="132">
        <f t="shared" ref="H117:H131" si="3">S127/100000000</f>
        <v>102.65062017870001</v>
      </c>
      <c r="I117" s="124"/>
      <c r="J117" s="124"/>
      <c r="L117" s="17" t="s">
        <v>48</v>
      </c>
      <c r="M117" s="71">
        <f>[1]!b_stm07_bs(K107,82,L107,1)</f>
        <v>63509769.25</v>
      </c>
    </row>
    <row r="118" spans="1:21" ht="14.25" customHeight="1" x14ac:dyDescent="0.25">
      <c r="A118" s="54" t="s">
        <v>80</v>
      </c>
      <c r="B118" s="73">
        <f t="shared" si="1"/>
        <v>15.709124156600001</v>
      </c>
      <c r="C118" s="54" t="s">
        <v>81</v>
      </c>
      <c r="D118" s="76">
        <f t="shared" si="2"/>
        <v>111.0005817083</v>
      </c>
      <c r="E118" s="131" t="s">
        <v>82</v>
      </c>
      <c r="F118" s="124"/>
      <c r="G118" s="124"/>
      <c r="H118" s="132">
        <f t="shared" si="3"/>
        <v>1.996058015</v>
      </c>
      <c r="I118" s="124"/>
      <c r="J118" s="124"/>
      <c r="L118" s="17" t="s">
        <v>49</v>
      </c>
      <c r="M118" s="71">
        <f>[1]!b_stm07_bs(K107,88,L107,1)</f>
        <v>3762584601.71</v>
      </c>
    </row>
    <row r="119" spans="1:21" ht="14.25" customHeight="1" x14ac:dyDescent="0.25">
      <c r="A119" s="54" t="s">
        <v>83</v>
      </c>
      <c r="B119" s="73">
        <f t="shared" si="1"/>
        <v>1.9621285365999999</v>
      </c>
      <c r="C119" s="54" t="s">
        <v>84</v>
      </c>
      <c r="D119" s="76">
        <f t="shared" si="2"/>
        <v>97.223050759500012</v>
      </c>
      <c r="E119" s="131" t="s">
        <v>85</v>
      </c>
      <c r="F119" s="124"/>
      <c r="G119" s="124"/>
      <c r="H119" s="133">
        <f t="shared" si="3"/>
        <v>105.0534466041</v>
      </c>
      <c r="I119" s="124"/>
      <c r="J119" s="124"/>
      <c r="L119" s="17" t="s">
        <v>50</v>
      </c>
      <c r="M119" s="71">
        <f>[1]!b_stm07_bs(K107,147,L107,1)</f>
        <v>0</v>
      </c>
    </row>
    <row r="120" spans="1:21" ht="14.25" customHeight="1" x14ac:dyDescent="0.25">
      <c r="A120" s="54" t="s">
        <v>86</v>
      </c>
      <c r="B120" s="73">
        <f t="shared" si="1"/>
        <v>281.55397847299997</v>
      </c>
      <c r="C120" s="54" t="s">
        <v>87</v>
      </c>
      <c r="D120" s="76">
        <f t="shared" si="2"/>
        <v>0</v>
      </c>
      <c r="E120" s="131" t="s">
        <v>88</v>
      </c>
      <c r="F120" s="124"/>
      <c r="G120" s="124"/>
      <c r="H120" s="132">
        <f t="shared" si="3"/>
        <v>39.8928948115</v>
      </c>
      <c r="I120" s="124"/>
      <c r="J120" s="124"/>
      <c r="L120" s="17" t="s">
        <v>51</v>
      </c>
      <c r="M120" s="71">
        <f>[1]!b_stm07_bs(K107,94,L107,1)</f>
        <v>13523170902.290001</v>
      </c>
    </row>
    <row r="121" spans="1:21" ht="14.25" customHeight="1" x14ac:dyDescent="0.25">
      <c r="A121" s="54" t="s">
        <v>89</v>
      </c>
      <c r="B121" s="73">
        <f t="shared" si="1"/>
        <v>27.595142450200001</v>
      </c>
      <c r="C121" s="54" t="s">
        <v>90</v>
      </c>
      <c r="D121" s="76">
        <f t="shared" si="2"/>
        <v>0.25036002690000003</v>
      </c>
      <c r="E121" s="131" t="s">
        <v>91</v>
      </c>
      <c r="F121" s="124"/>
      <c r="G121" s="124"/>
      <c r="H121" s="132">
        <f t="shared" si="3"/>
        <v>4.2674379680000003</v>
      </c>
      <c r="I121" s="124"/>
      <c r="J121" s="124"/>
      <c r="L121" s="17" t="s">
        <v>52</v>
      </c>
      <c r="M121" s="71">
        <f>[1]!b_stm07_bs(K107,95,L107,1)</f>
        <v>2411997406.1599998</v>
      </c>
    </row>
    <row r="122" spans="1:21" ht="14.25" customHeight="1" x14ac:dyDescent="0.25">
      <c r="A122" s="54" t="s">
        <v>92</v>
      </c>
      <c r="B122" s="73">
        <f t="shared" si="1"/>
        <v>43.599190540900004</v>
      </c>
      <c r="C122" s="54" t="s">
        <v>93</v>
      </c>
      <c r="D122" s="76">
        <f t="shared" si="2"/>
        <v>9.7496133607999997</v>
      </c>
      <c r="E122" s="131" t="s">
        <v>94</v>
      </c>
      <c r="F122" s="124"/>
      <c r="G122" s="124"/>
      <c r="H122" s="133">
        <f t="shared" si="3"/>
        <v>71.817263904100002</v>
      </c>
      <c r="I122" s="124"/>
      <c r="J122" s="124"/>
      <c r="L122" s="17"/>
      <c r="M122" s="17"/>
    </row>
    <row r="123" spans="1:21" ht="14.25" customHeight="1" x14ac:dyDescent="0.25">
      <c r="A123" s="54" t="s">
        <v>95</v>
      </c>
      <c r="B123" s="79">
        <f t="shared" si="1"/>
        <v>430.93975870999998</v>
      </c>
      <c r="C123" s="54" t="s">
        <v>96</v>
      </c>
      <c r="D123" s="76">
        <f t="shared" si="2"/>
        <v>10.1650573558</v>
      </c>
      <c r="E123" s="131" t="s">
        <v>97</v>
      </c>
      <c r="F123" s="124"/>
      <c r="G123" s="124"/>
      <c r="H123" s="133">
        <f t="shared" si="3"/>
        <v>33.236182700000001</v>
      </c>
      <c r="I123" s="124"/>
      <c r="J123" s="124"/>
      <c r="L123" s="17" t="s">
        <v>53</v>
      </c>
      <c r="M123" s="71">
        <f>[1]!b_stm07_bs(K107,141,L107,1)</f>
        <v>13758184599.48</v>
      </c>
    </row>
    <row r="124" spans="1:21" ht="14.25" customHeight="1" x14ac:dyDescent="0.25">
      <c r="A124" s="54" t="s">
        <v>98</v>
      </c>
      <c r="B124" s="73">
        <f t="shared" si="1"/>
        <v>44.441299999999998</v>
      </c>
      <c r="C124" s="54" t="s">
        <v>99</v>
      </c>
      <c r="D124" s="76">
        <f t="shared" si="2"/>
        <v>10.272082130199999</v>
      </c>
      <c r="E124" s="131" t="s">
        <v>100</v>
      </c>
      <c r="F124" s="124"/>
      <c r="G124" s="124"/>
      <c r="H124" s="133">
        <f t="shared" si="3"/>
        <v>-26.701648154000001</v>
      </c>
      <c r="I124" s="124"/>
      <c r="J124" s="124"/>
      <c r="L124" s="17"/>
      <c r="M124" s="17"/>
    </row>
    <row r="125" spans="1:21" ht="27" customHeight="1" x14ac:dyDescent="0.25">
      <c r="A125" s="54" t="s">
        <v>101</v>
      </c>
      <c r="B125" s="73">
        <f t="shared" si="1"/>
        <v>37.625846017100002</v>
      </c>
      <c r="C125" s="54" t="s">
        <v>43</v>
      </c>
      <c r="D125" s="76">
        <f t="shared" si="2"/>
        <v>7.9711590548000002</v>
      </c>
      <c r="E125" s="131" t="s">
        <v>102</v>
      </c>
      <c r="F125" s="124"/>
      <c r="G125" s="124"/>
      <c r="H125" s="132">
        <f t="shared" si="3"/>
        <v>0</v>
      </c>
      <c r="I125" s="124"/>
      <c r="J125" s="124"/>
      <c r="L125" s="17"/>
      <c r="M125" s="17"/>
    </row>
    <row r="126" spans="1:21" ht="16.5" customHeight="1" x14ac:dyDescent="0.25">
      <c r="A126" s="54" t="s">
        <v>103</v>
      </c>
      <c r="B126" s="73">
        <f t="shared" si="1"/>
        <v>0</v>
      </c>
      <c r="C126" s="54"/>
      <c r="D126" s="80"/>
      <c r="E126" s="131" t="s">
        <v>104</v>
      </c>
      <c r="F126" s="124"/>
      <c r="G126" s="124"/>
      <c r="H126" s="132">
        <f t="shared" si="3"/>
        <v>85.791308999999998</v>
      </c>
      <c r="I126" s="124"/>
      <c r="J126" s="124"/>
      <c r="L126" s="134" t="s">
        <v>74</v>
      </c>
      <c r="M126" s="124"/>
      <c r="N126" s="134" t="s">
        <v>75</v>
      </c>
      <c r="O126" s="124"/>
      <c r="P126" s="125" t="s">
        <v>76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105</v>
      </c>
      <c r="B127" s="73">
        <f t="shared" si="1"/>
        <v>135.23170902290002</v>
      </c>
      <c r="C127" s="54"/>
      <c r="D127" s="80"/>
      <c r="E127" s="131" t="s">
        <v>106</v>
      </c>
      <c r="F127" s="124"/>
      <c r="G127" s="124"/>
      <c r="H127" s="132">
        <f t="shared" si="3"/>
        <v>0</v>
      </c>
      <c r="I127" s="124"/>
      <c r="J127" s="124"/>
      <c r="L127" s="54" t="s">
        <v>77</v>
      </c>
      <c r="M127" s="75">
        <f>[1]!b_stm07_bs(K107,9,L107,1)</f>
        <v>538371384.48000002</v>
      </c>
      <c r="N127" s="54" t="s">
        <v>78</v>
      </c>
      <c r="O127" s="75">
        <f>[1]!b_stm07_is(K107,83,L107,1)</f>
        <v>11782569844.780001</v>
      </c>
      <c r="P127" s="131" t="s">
        <v>79</v>
      </c>
      <c r="Q127" s="124"/>
      <c r="R127" s="124"/>
      <c r="S127" s="136">
        <f>[1]!b_stm07_cs(K107,9,L107,1)</f>
        <v>10265062017.870001</v>
      </c>
      <c r="T127" s="135"/>
      <c r="U127" s="135"/>
    </row>
    <row r="128" spans="1:21" ht="14.25" customHeight="1" x14ac:dyDescent="0.25">
      <c r="A128" s="54" t="s">
        <v>107</v>
      </c>
      <c r="B128" s="73">
        <f t="shared" si="1"/>
        <v>24.119974061599997</v>
      </c>
      <c r="C128" s="54"/>
      <c r="D128" s="80"/>
      <c r="E128" s="131" t="s">
        <v>108</v>
      </c>
      <c r="F128" s="124"/>
      <c r="G128" s="124"/>
      <c r="H128" s="133">
        <f t="shared" si="3"/>
        <v>104.42187957430001</v>
      </c>
      <c r="I128" s="124"/>
      <c r="J128" s="124"/>
      <c r="L128" s="54" t="s">
        <v>80</v>
      </c>
      <c r="M128" s="75">
        <f>[1]!b_stm07_bs(K107,12,L107,1)</f>
        <v>1570912415.6600001</v>
      </c>
      <c r="N128" s="54" t="s">
        <v>81</v>
      </c>
      <c r="O128" s="75">
        <f>[1]!b_stm07_is(K107,84,L107,1)</f>
        <v>11100058170.83</v>
      </c>
      <c r="P128" s="131" t="s">
        <v>82</v>
      </c>
      <c r="Q128" s="124"/>
      <c r="R128" s="124"/>
      <c r="S128" s="136">
        <f>[1]!b_stm07_cs(K107,11,L107,1)</f>
        <v>199605801.5</v>
      </c>
      <c r="T128" s="135"/>
      <c r="U128" s="135"/>
    </row>
    <row r="129" spans="1:21" ht="14.25" customHeight="1" x14ac:dyDescent="0.25">
      <c r="A129" s="54" t="s">
        <v>109</v>
      </c>
      <c r="B129" s="79">
        <f t="shared" si="1"/>
        <v>293.35791271520003</v>
      </c>
      <c r="C129" s="14"/>
      <c r="D129" s="13"/>
      <c r="E129" s="131" t="s">
        <v>110</v>
      </c>
      <c r="F129" s="124"/>
      <c r="G129" s="124"/>
      <c r="H129" s="132">
        <f t="shared" si="3"/>
        <v>91.707465939500011</v>
      </c>
      <c r="I129" s="124"/>
      <c r="J129" s="124"/>
      <c r="L129" s="54" t="s">
        <v>83</v>
      </c>
      <c r="M129" s="75">
        <f>[1]!b_stm07_bs(K107,13,L107,1)</f>
        <v>196212853.66</v>
      </c>
      <c r="N129" s="54" t="s">
        <v>84</v>
      </c>
      <c r="O129" s="75">
        <f>[1]!b_stm07_is(K107,10,L107,1)</f>
        <v>9722305075.9500008</v>
      </c>
      <c r="P129" s="131" t="s">
        <v>85</v>
      </c>
      <c r="Q129" s="124"/>
      <c r="R129" s="124"/>
      <c r="S129" s="137">
        <f>[1]!b_stm07_cs(K107,25,L107,1)</f>
        <v>10505344660.41</v>
      </c>
      <c r="T129" s="135"/>
      <c r="U129" s="135"/>
    </row>
    <row r="130" spans="1:21" ht="14.25" customHeight="1" x14ac:dyDescent="0.25">
      <c r="A130" s="54" t="s">
        <v>111</v>
      </c>
      <c r="B130" s="79">
        <f t="shared" si="1"/>
        <v>137.58184599480001</v>
      </c>
      <c r="C130" s="14"/>
      <c r="D130" s="13"/>
      <c r="E130" s="131" t="s">
        <v>112</v>
      </c>
      <c r="F130" s="124"/>
      <c r="G130" s="124"/>
      <c r="H130" s="132">
        <f t="shared" si="3"/>
        <v>107.5330012366</v>
      </c>
      <c r="I130" s="124"/>
      <c r="J130" s="124"/>
      <c r="L130" s="54" t="s">
        <v>86</v>
      </c>
      <c r="M130" s="75">
        <f>[1]!b_stm07_bs(K107,31,L107,1)</f>
        <v>28155397847.299999</v>
      </c>
      <c r="N130" s="54" t="s">
        <v>87</v>
      </c>
      <c r="O130" s="75">
        <f>[1]!b_stm07_is(K107,12,L107,1)</f>
        <v>0</v>
      </c>
      <c r="P130" s="131" t="s">
        <v>88</v>
      </c>
      <c r="Q130" s="124"/>
      <c r="R130" s="124"/>
      <c r="S130" s="136">
        <f>[1]!b_stm07_cs(K107,26,L107,1)</f>
        <v>3989289481.1500001</v>
      </c>
      <c r="T130" s="135"/>
      <c r="U130" s="135"/>
    </row>
    <row r="131" spans="1:21" ht="14.25" customHeight="1" x14ac:dyDescent="0.25">
      <c r="A131" s="15" t="s">
        <v>113</v>
      </c>
      <c r="B131" s="79">
        <f t="shared" si="1"/>
        <v>430.93975870999998</v>
      </c>
      <c r="C131" s="14"/>
      <c r="D131" s="13"/>
      <c r="E131" s="131" t="s">
        <v>114</v>
      </c>
      <c r="F131" s="124"/>
      <c r="G131" s="124"/>
      <c r="H131" s="133">
        <f t="shared" si="3"/>
        <v>-3.1111216623</v>
      </c>
      <c r="I131" s="124"/>
      <c r="J131" s="124"/>
      <c r="L131" s="54" t="s">
        <v>89</v>
      </c>
      <c r="M131" s="75">
        <f>[1]!b_stm07_bs(K107,33,L107,1)</f>
        <v>2759514245.02</v>
      </c>
      <c r="N131" s="54" t="s">
        <v>90</v>
      </c>
      <c r="O131" s="75">
        <f>[1]!b_stm07_is(K107,13,L107,1)</f>
        <v>25036002.690000001</v>
      </c>
      <c r="P131" s="131" t="s">
        <v>91</v>
      </c>
      <c r="Q131" s="124"/>
      <c r="R131" s="124"/>
      <c r="S131" s="136">
        <f>[1]!b_stm07_cs(K107,29,L107,1)</f>
        <v>426743796.80000001</v>
      </c>
      <c r="T131" s="135"/>
      <c r="U131" s="135"/>
    </row>
    <row r="132" spans="1:21" x14ac:dyDescent="0.25">
      <c r="L132" s="54" t="s">
        <v>92</v>
      </c>
      <c r="M132" s="75">
        <f>[1]!b_stm07_bs(K107,37,L107,1)</f>
        <v>4359919054.0900002</v>
      </c>
      <c r="N132" s="54" t="s">
        <v>93</v>
      </c>
      <c r="O132" s="75">
        <f>[1]!b_stm07_is(K107,14,L107,1)</f>
        <v>974961336.08000004</v>
      </c>
      <c r="P132" s="131" t="s">
        <v>94</v>
      </c>
      <c r="Q132" s="124"/>
      <c r="R132" s="124"/>
      <c r="S132" s="137">
        <f>[1]!b_stm07_cs(K107,37,L107,1)</f>
        <v>7181726390.4099998</v>
      </c>
      <c r="T132" s="135"/>
      <c r="U132" s="135"/>
    </row>
    <row r="133" spans="1:21" x14ac:dyDescent="0.25">
      <c r="L133" s="54" t="s">
        <v>95</v>
      </c>
      <c r="M133" s="81">
        <f>[1]!b_stm07_bs(K107,74,L107,1)</f>
        <v>43093975871</v>
      </c>
      <c r="N133" s="54" t="s">
        <v>96</v>
      </c>
      <c r="O133" s="75">
        <f>[1]!b_stm07_is(K107,48,L107,1)</f>
        <v>1016505735.58</v>
      </c>
      <c r="P133" s="131" t="s">
        <v>97</v>
      </c>
      <c r="Q133" s="124"/>
      <c r="R133" s="124"/>
      <c r="S133" s="137">
        <f>[1]!b_stm07_cs(K107,39,L107,1)</f>
        <v>3323618270</v>
      </c>
      <c r="T133" s="135"/>
      <c r="U133" s="135"/>
    </row>
    <row r="134" spans="1:21" x14ac:dyDescent="0.25">
      <c r="L134" s="54" t="s">
        <v>98</v>
      </c>
      <c r="M134" s="75">
        <f>[1]!b_stm07_bs(K107,75,L107,1)</f>
        <v>4444130000</v>
      </c>
      <c r="N134" s="54" t="s">
        <v>99</v>
      </c>
      <c r="O134" s="75">
        <f>[1]!b_stm07_is(K107,55,L107,1)</f>
        <v>1027208213.02</v>
      </c>
      <c r="P134" s="131" t="s">
        <v>100</v>
      </c>
      <c r="Q134" s="124"/>
      <c r="R134" s="124"/>
      <c r="S134" s="137">
        <f>[1]!b_stm07_cs(K107,59,L107,1)</f>
        <v>-2670164815.4000001</v>
      </c>
      <c r="T134" s="135"/>
      <c r="U134" s="135"/>
    </row>
    <row r="135" spans="1:21" ht="32.4" customHeight="1" x14ac:dyDescent="0.25">
      <c r="L135" s="54" t="s">
        <v>101</v>
      </c>
      <c r="M135" s="75">
        <f>[1]!b_stm07_bs(K107,88,L107,1)</f>
        <v>3762584601.71</v>
      </c>
      <c r="N135" s="54" t="s">
        <v>43</v>
      </c>
      <c r="O135" s="75">
        <f>[1]!b_stm07_is(K107,60,L107,1)</f>
        <v>797115905.48000002</v>
      </c>
      <c r="P135" s="131" t="s">
        <v>102</v>
      </c>
      <c r="Q135" s="124"/>
      <c r="R135" s="124"/>
      <c r="S135" s="136">
        <f>[1]!b_stm07_cs(K107,60,L107,1)</f>
        <v>0</v>
      </c>
      <c r="T135" s="135"/>
      <c r="U135" s="135"/>
    </row>
    <row r="136" spans="1:21" ht="21.6" customHeight="1" x14ac:dyDescent="0.25">
      <c r="L136" s="54" t="s">
        <v>103</v>
      </c>
      <c r="M136" s="75">
        <f>[1]!b_stm07_bs(K107,147,L107,1)</f>
        <v>0</v>
      </c>
      <c r="N136" s="54"/>
      <c r="O136" s="80"/>
      <c r="P136" s="131" t="s">
        <v>104</v>
      </c>
      <c r="Q136" s="124"/>
      <c r="R136" s="124"/>
      <c r="S136" s="136">
        <f>[1]!b_stm07_cs(K107,61,L107,1)</f>
        <v>8579130900</v>
      </c>
      <c r="T136" s="135"/>
      <c r="U136" s="135"/>
    </row>
    <row r="137" spans="1:21" x14ac:dyDescent="0.25">
      <c r="L137" s="54" t="s">
        <v>105</v>
      </c>
      <c r="M137" s="75">
        <f>[1]!b_stm07_bs(K107,94,L107,1)</f>
        <v>13523170902.290001</v>
      </c>
      <c r="N137" s="54"/>
      <c r="O137" s="80"/>
      <c r="P137" s="131" t="s">
        <v>106</v>
      </c>
      <c r="Q137" s="124"/>
      <c r="R137" s="124"/>
      <c r="S137" s="136">
        <f>[1]!b_stm07_cs(K107,63,L107,1)</f>
        <v>0</v>
      </c>
      <c r="T137" s="135"/>
      <c r="U137" s="135"/>
    </row>
    <row r="138" spans="1:21" x14ac:dyDescent="0.25">
      <c r="L138" s="54" t="s">
        <v>107</v>
      </c>
      <c r="M138" s="75">
        <f>[1]!b_stm07_bs(K107,95,L107,1)</f>
        <v>2411997406.1599998</v>
      </c>
      <c r="N138" s="54"/>
      <c r="O138" s="80"/>
      <c r="P138" s="131" t="s">
        <v>108</v>
      </c>
      <c r="Q138" s="124"/>
      <c r="R138" s="124"/>
      <c r="S138" s="137">
        <f>[1]!b_stm07_cs(K107,68,L107,1)</f>
        <v>10442187957.43</v>
      </c>
      <c r="T138" s="135"/>
      <c r="U138" s="135"/>
    </row>
    <row r="139" spans="1:21" x14ac:dyDescent="0.25">
      <c r="L139" s="54" t="s">
        <v>109</v>
      </c>
      <c r="M139" s="81">
        <f>[1]!b_stm07_bs(K107,128,L107,1)</f>
        <v>29335791271.52</v>
      </c>
      <c r="N139" s="14"/>
      <c r="O139" s="13"/>
      <c r="P139" s="131" t="s">
        <v>110</v>
      </c>
      <c r="Q139" s="124"/>
      <c r="R139" s="124"/>
      <c r="S139" s="136">
        <f>[1]!b_stm07_cs(K107,69,L107,1)</f>
        <v>9170746593.9500008</v>
      </c>
      <c r="T139" s="135"/>
      <c r="U139" s="135"/>
    </row>
    <row r="140" spans="1:21" ht="21.6" customHeight="1" x14ac:dyDescent="0.25">
      <c r="L140" s="54" t="s">
        <v>111</v>
      </c>
      <c r="M140" s="81">
        <f>[1]!b_stm07_bs(K107,141,L107,1)</f>
        <v>13758184599.48</v>
      </c>
      <c r="N140" s="14"/>
      <c r="O140" s="13"/>
      <c r="P140" s="131" t="s">
        <v>112</v>
      </c>
      <c r="Q140" s="124"/>
      <c r="R140" s="124"/>
      <c r="S140" s="136">
        <f>[1]!b_stm07_cs(K107,75,L107,1)</f>
        <v>10753300123.66</v>
      </c>
      <c r="T140" s="135"/>
      <c r="U140" s="135"/>
    </row>
    <row r="141" spans="1:21" ht="21.6" customHeight="1" x14ac:dyDescent="0.25">
      <c r="L141" s="15" t="s">
        <v>113</v>
      </c>
      <c r="M141" s="81">
        <f>[1]!b_stm07_bs(K107,145,L107,1)</f>
        <v>43093975871</v>
      </c>
      <c r="N141" s="14"/>
      <c r="O141" s="13"/>
      <c r="P141" s="131" t="s">
        <v>114</v>
      </c>
      <c r="Q141" s="124"/>
      <c r="R141" s="124"/>
      <c r="S141" s="137">
        <f>[1]!b_stm07_cs(K107,77,L107,1)</f>
        <v>-311112166.23000002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219</v>
      </c>
      <c r="C2" s="120"/>
      <c r="D2" s="57" t="s">
        <v>3</v>
      </c>
      <c r="E2" s="119" t="s">
        <v>220</v>
      </c>
      <c r="F2" s="120"/>
      <c r="G2" s="120"/>
    </row>
    <row r="3" spans="1:12" ht="14.25" customHeight="1" x14ac:dyDescent="0.25">
      <c r="A3" s="57" t="s">
        <v>4</v>
      </c>
      <c r="B3" s="119" t="s">
        <v>221</v>
      </c>
      <c r="C3" s="120"/>
      <c r="D3" s="57" t="s">
        <v>5</v>
      </c>
      <c r="E3" s="119" t="s">
        <v>222</v>
      </c>
      <c r="F3" s="120"/>
      <c r="G3" s="120"/>
    </row>
    <row r="4" spans="1:12" ht="113.25" customHeight="1" x14ac:dyDescent="0.25">
      <c r="A4" s="57" t="s">
        <v>6</v>
      </c>
      <c r="B4" s="121" t="s">
        <v>223</v>
      </c>
      <c r="C4" s="120"/>
      <c r="D4" s="120"/>
      <c r="E4" s="120"/>
      <c r="F4" s="120"/>
      <c r="G4" s="120"/>
    </row>
    <row r="5" spans="1:12" ht="14.4" x14ac:dyDescent="0.25">
      <c r="A5" s="82" t="s">
        <v>115</v>
      </c>
      <c r="B5" s="140" t="s">
        <v>224</v>
      </c>
      <c r="C5" s="120"/>
      <c r="D5" s="120"/>
      <c r="E5" s="120"/>
      <c r="F5" s="141">
        <v>0.56909999847412107</v>
      </c>
      <c r="G5" s="120"/>
    </row>
    <row r="6" spans="1:12" ht="11.25" customHeight="1" x14ac:dyDescent="0.25">
      <c r="A6" s="82" t="s">
        <v>116</v>
      </c>
      <c r="B6" s="140" t="s">
        <v>225</v>
      </c>
      <c r="C6" s="120"/>
      <c r="D6" s="120"/>
      <c r="E6" s="120"/>
      <c r="F6" s="141">
        <v>3.3199999332427982E-2</v>
      </c>
      <c r="G6" s="120"/>
    </row>
    <row r="7" spans="1:12" ht="11.25" customHeight="1" x14ac:dyDescent="0.25">
      <c r="A7" s="82" t="s">
        <v>117</v>
      </c>
      <c r="B7" s="140" t="s">
        <v>226</v>
      </c>
      <c r="C7" s="120"/>
      <c r="D7" s="120"/>
      <c r="E7" s="120"/>
      <c r="F7" s="141">
        <v>1.0800000429153443E-2</v>
      </c>
      <c r="G7" s="120"/>
    </row>
    <row r="8" spans="1:12" ht="11.25" customHeight="1" x14ac:dyDescent="0.25">
      <c r="A8" s="82" t="s">
        <v>118</v>
      </c>
      <c r="B8" s="140" t="s">
        <v>227</v>
      </c>
      <c r="C8" s="120"/>
      <c r="D8" s="120"/>
      <c r="E8" s="120"/>
      <c r="F8" s="141">
        <v>7.3000001907348629E-3</v>
      </c>
      <c r="G8" s="120"/>
    </row>
    <row r="9" spans="1:12" ht="11.25" customHeight="1" x14ac:dyDescent="0.25">
      <c r="A9" s="82" t="s">
        <v>119</v>
      </c>
      <c r="B9" s="140" t="s">
        <v>228</v>
      </c>
      <c r="C9" s="120"/>
      <c r="D9" s="120"/>
      <c r="E9" s="120"/>
      <c r="F9" s="141">
        <v>5.0999999046325685E-3</v>
      </c>
      <c r="G9" s="120"/>
    </row>
    <row r="11" spans="1:12" ht="14.4" customHeight="1" x14ac:dyDescent="0.25">
      <c r="A11" s="142" t="s">
        <v>120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4">
        <v>5.15</v>
      </c>
      <c r="E13" s="64">
        <v>4.6082191780821917</v>
      </c>
      <c r="F13" s="65" t="s">
        <v>25</v>
      </c>
      <c r="G13" s="64">
        <v>5</v>
      </c>
    </row>
    <row r="14" spans="1:12" ht="14.4" customHeight="1" x14ac:dyDescent="0.25">
      <c r="A14" t="s">
        <v>124</v>
      </c>
      <c r="B14" t="s">
        <v>122</v>
      </c>
      <c r="C14" t="s">
        <v>125</v>
      </c>
      <c r="D14" s="64">
        <v>4.8899999999999997</v>
      </c>
      <c r="E14" s="83">
        <v>2.6082191780821917</v>
      </c>
      <c r="F14" t="s">
        <v>25</v>
      </c>
      <c r="G14" s="64">
        <v>15</v>
      </c>
    </row>
    <row r="15" spans="1:12" ht="14.4" customHeight="1" x14ac:dyDescent="0.25">
      <c r="A15" t="s">
        <v>126</v>
      </c>
      <c r="B15" t="s">
        <v>127</v>
      </c>
      <c r="C15" t="s">
        <v>128</v>
      </c>
      <c r="D15" s="64">
        <v>5.2</v>
      </c>
      <c r="E15" s="83">
        <v>2.3863013698630136</v>
      </c>
      <c r="F15">
        <v>0</v>
      </c>
      <c r="G15" s="64">
        <v>10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4">
        <v>4.25</v>
      </c>
      <c r="E16" s="83">
        <v>1.9178082191780823E-2</v>
      </c>
      <c r="F16">
        <v>0</v>
      </c>
      <c r="G16" s="64">
        <v>5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4">
        <v>4.78</v>
      </c>
      <c r="E17" s="83">
        <v>0</v>
      </c>
      <c r="F17">
        <v>0</v>
      </c>
      <c r="G17" s="64">
        <v>5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4">
        <v>0.4</v>
      </c>
      <c r="E18" s="83">
        <v>4.6958904109589046</v>
      </c>
      <c r="F18" t="s">
        <v>25</v>
      </c>
      <c r="G18" s="64">
        <v>18.752199999999998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4">
        <v>4</v>
      </c>
      <c r="E19" s="83">
        <v>0</v>
      </c>
      <c r="F19">
        <v>0</v>
      </c>
      <c r="G19" s="64">
        <v>3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4">
        <v>3.85</v>
      </c>
      <c r="E20" s="83">
        <v>0</v>
      </c>
      <c r="F20" t="s">
        <v>25</v>
      </c>
      <c r="G20" s="64">
        <v>6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4">
        <v>4.1500000000000004</v>
      </c>
      <c r="E21" s="83">
        <v>0</v>
      </c>
      <c r="F21" t="s">
        <v>25</v>
      </c>
      <c r="G21" s="64">
        <v>6</v>
      </c>
    </row>
    <row r="22" spans="1:7" ht="14.4" customHeight="1" x14ac:dyDescent="0.25">
      <c r="A22" t="s">
        <v>147</v>
      </c>
      <c r="B22" t="s">
        <v>148</v>
      </c>
      <c r="C22" t="s">
        <v>149</v>
      </c>
      <c r="D22" s="64">
        <v>4.68</v>
      </c>
      <c r="E22" s="83">
        <v>1.263013698630137</v>
      </c>
      <c r="F22" t="s">
        <v>25</v>
      </c>
      <c r="G22" s="64">
        <v>6</v>
      </c>
    </row>
    <row r="23" spans="1:7" ht="14.4" customHeight="1" x14ac:dyDescent="0.25">
      <c r="A23" t="s">
        <v>150</v>
      </c>
      <c r="B23" t="s">
        <v>151</v>
      </c>
      <c r="C23" t="s">
        <v>152</v>
      </c>
      <c r="D23" s="64">
        <v>5</v>
      </c>
      <c r="E23" s="83">
        <v>0</v>
      </c>
      <c r="F23">
        <v>0</v>
      </c>
      <c r="G23" s="64">
        <v>10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4">
        <v>4.8</v>
      </c>
      <c r="E24" s="83">
        <v>0</v>
      </c>
      <c r="F24" t="s">
        <v>25</v>
      </c>
      <c r="G24" s="64">
        <v>18</v>
      </c>
    </row>
    <row r="25" spans="1:7" ht="14.4" customHeight="1" x14ac:dyDescent="0.25">
      <c r="D25" s="64"/>
      <c r="E25" s="83"/>
      <c r="G25" s="64"/>
    </row>
    <row r="26" spans="1:7" ht="14.4" customHeight="1" x14ac:dyDescent="0.25">
      <c r="D26" s="64"/>
      <c r="E26" s="83"/>
      <c r="G26" s="64"/>
    </row>
    <row r="27" spans="1:7" ht="14.4" customHeight="1" x14ac:dyDescent="0.25">
      <c r="D27" s="64"/>
      <c r="E27" s="83"/>
      <c r="G27" s="64"/>
    </row>
    <row r="28" spans="1:7" ht="14.4" customHeight="1" x14ac:dyDescent="0.25">
      <c r="D28" s="64"/>
      <c r="E28" s="83"/>
      <c r="G28" s="64"/>
    </row>
    <row r="29" spans="1:7" ht="14.4" customHeight="1" x14ac:dyDescent="0.25">
      <c r="D29" s="64"/>
      <c r="E29" s="83"/>
      <c r="G29" s="64"/>
    </row>
    <row r="30" spans="1:7" ht="14.4" customHeight="1" x14ac:dyDescent="0.25">
      <c r="A30" s="143" t="s">
        <v>156</v>
      </c>
      <c r="B30" s="143"/>
      <c r="C30" s="143"/>
      <c r="D30" s="143"/>
      <c r="E30" s="83"/>
      <c r="G30" s="64"/>
    </row>
    <row r="31" spans="1:7" ht="14.4" customHeight="1" x14ac:dyDescent="0.25">
      <c r="A31" s="84" t="s">
        <v>157</v>
      </c>
      <c r="B31" s="84" t="s">
        <v>158</v>
      </c>
      <c r="C31" s="84" t="s">
        <v>159</v>
      </c>
      <c r="D31" s="85" t="s">
        <v>160</v>
      </c>
      <c r="E31" s="83"/>
      <c r="G31" s="64"/>
    </row>
    <row r="32" spans="1:7" ht="14.4" customHeight="1" x14ac:dyDescent="0.25">
      <c r="A32" t="s">
        <v>161</v>
      </c>
      <c r="B32" t="s">
        <v>25</v>
      </c>
      <c r="C32" t="s">
        <v>162</v>
      </c>
      <c r="D32" s="64" t="s">
        <v>163</v>
      </c>
      <c r="E32" s="83"/>
      <c r="G32" s="64"/>
    </row>
    <row r="33" spans="1:7" ht="14.4" customHeight="1" x14ac:dyDescent="0.25">
      <c r="A33" t="s">
        <v>164</v>
      </c>
      <c r="B33" t="s">
        <v>25</v>
      </c>
      <c r="C33" t="s">
        <v>162</v>
      </c>
      <c r="D33" s="64" t="s">
        <v>165</v>
      </c>
      <c r="E33" s="83"/>
      <c r="G33" s="64"/>
    </row>
    <row r="34" spans="1:7" ht="14.4" customHeight="1" x14ac:dyDescent="0.25">
      <c r="A34" t="s">
        <v>166</v>
      </c>
      <c r="B34" t="s">
        <v>25</v>
      </c>
      <c r="C34" t="s">
        <v>162</v>
      </c>
      <c r="D34" s="64" t="s">
        <v>163</v>
      </c>
      <c r="E34" s="83"/>
      <c r="G34" s="64"/>
    </row>
    <row r="35" spans="1:7" ht="14.4" customHeight="1" x14ac:dyDescent="0.25">
      <c r="A35" t="s">
        <v>167</v>
      </c>
      <c r="B35" t="s">
        <v>25</v>
      </c>
      <c r="C35" t="s">
        <v>162</v>
      </c>
      <c r="D35" s="64" t="s">
        <v>163</v>
      </c>
      <c r="E35" s="83"/>
      <c r="G35" s="64"/>
    </row>
    <row r="36" spans="1:7" ht="14.4" customHeight="1" x14ac:dyDescent="0.25">
      <c r="A36" t="s">
        <v>168</v>
      </c>
      <c r="B36" t="s">
        <v>25</v>
      </c>
      <c r="C36" t="s">
        <v>162</v>
      </c>
      <c r="D36" s="64" t="s">
        <v>165</v>
      </c>
      <c r="E36" s="83"/>
      <c r="G36" s="64"/>
    </row>
    <row r="37" spans="1:7" ht="14.4" customHeight="1" x14ac:dyDescent="0.25">
      <c r="A37" t="s">
        <v>169</v>
      </c>
      <c r="B37" t="s">
        <v>25</v>
      </c>
      <c r="C37" t="s">
        <v>162</v>
      </c>
      <c r="D37" s="64" t="s">
        <v>165</v>
      </c>
      <c r="E37" s="83"/>
      <c r="G37" s="64"/>
    </row>
    <row r="38" spans="1:7" ht="14.4" customHeight="1" x14ac:dyDescent="0.25">
      <c r="A38" t="s">
        <v>170</v>
      </c>
      <c r="B38" t="s">
        <v>25</v>
      </c>
      <c r="C38" t="s">
        <v>162</v>
      </c>
      <c r="D38" s="64" t="s">
        <v>165</v>
      </c>
      <c r="E38" s="83"/>
      <c r="G38" s="64"/>
    </row>
    <row r="39" spans="1:7" ht="14.4" customHeight="1" x14ac:dyDescent="0.25">
      <c r="A39" t="s">
        <v>171</v>
      </c>
      <c r="B39" t="s">
        <v>25</v>
      </c>
      <c r="C39" t="s">
        <v>162</v>
      </c>
      <c r="D39" s="64" t="s">
        <v>165</v>
      </c>
      <c r="E39" s="83"/>
      <c r="G39" s="64"/>
    </row>
    <row r="40" spans="1:7" ht="14.4" customHeight="1" x14ac:dyDescent="0.25">
      <c r="A40" t="s">
        <v>172</v>
      </c>
      <c r="B40" t="s">
        <v>25</v>
      </c>
      <c r="C40" t="s">
        <v>162</v>
      </c>
      <c r="D40" s="64" t="s">
        <v>165</v>
      </c>
      <c r="E40" s="83"/>
      <c r="G40" s="64"/>
    </row>
    <row r="41" spans="1:7" ht="14.4" customHeight="1" x14ac:dyDescent="0.25">
      <c r="A41" t="s">
        <v>173</v>
      </c>
      <c r="B41" t="s">
        <v>25</v>
      </c>
      <c r="C41" t="s">
        <v>174</v>
      </c>
      <c r="D41" s="64" t="s">
        <v>165</v>
      </c>
      <c r="E41" s="83"/>
      <c r="G41" s="64"/>
    </row>
    <row r="42" spans="1:7" ht="14.4" customHeight="1" x14ac:dyDescent="0.25">
      <c r="D42" s="64"/>
      <c r="E42" s="83"/>
      <c r="G42" s="64"/>
    </row>
    <row r="43" spans="1:7" ht="14.4" customHeight="1" x14ac:dyDescent="0.25">
      <c r="D43" s="64"/>
      <c r="E43" s="83"/>
      <c r="G43" s="64"/>
    </row>
    <row r="44" spans="1:7" ht="14.4" customHeight="1" x14ac:dyDescent="0.25">
      <c r="D44" s="64"/>
      <c r="E44" s="83"/>
      <c r="G44" s="64"/>
    </row>
    <row r="45" spans="1:7" ht="14.4" customHeight="1" x14ac:dyDescent="0.25">
      <c r="D45" s="64"/>
      <c r="E45" s="83"/>
      <c r="G45" s="64"/>
    </row>
    <row r="46" spans="1:7" ht="14.4" customHeight="1" x14ac:dyDescent="0.25">
      <c r="D46" s="64"/>
      <c r="E46" s="83"/>
      <c r="G46" s="64"/>
    </row>
    <row r="47" spans="1:7" ht="14.4" customHeight="1" x14ac:dyDescent="0.25">
      <c r="D47" s="64"/>
      <c r="E47" s="83"/>
      <c r="G47" s="64"/>
    </row>
    <row r="48" spans="1:7" ht="14.4" customHeight="1" x14ac:dyDescent="0.25">
      <c r="D48" s="64"/>
      <c r="E48" s="83"/>
      <c r="G48" s="64"/>
    </row>
    <row r="49" spans="4:7" ht="14.4" customHeight="1" x14ac:dyDescent="0.25">
      <c r="D49" s="64"/>
      <c r="E49" s="83"/>
      <c r="G49" s="64"/>
    </row>
    <row r="50" spans="4:7" ht="14.4" customHeight="1" x14ac:dyDescent="0.25">
      <c r="D50" s="64"/>
      <c r="E50" s="83"/>
      <c r="G50" s="64"/>
    </row>
    <row r="51" spans="4:7" ht="14.4" customHeight="1" x14ac:dyDescent="0.25">
      <c r="D51" s="64"/>
      <c r="E51" s="83"/>
      <c r="G51" s="64"/>
    </row>
    <row r="52" spans="4:7" ht="14.4" customHeight="1" x14ac:dyDescent="0.25">
      <c r="D52" s="64"/>
      <c r="E52" s="83"/>
      <c r="G52" s="64"/>
    </row>
    <row r="53" spans="4:7" ht="14.4" customHeight="1" x14ac:dyDescent="0.25">
      <c r="D53" s="64"/>
      <c r="E53" s="83"/>
      <c r="G53" s="64"/>
    </row>
    <row r="54" spans="4:7" ht="14.4" customHeight="1" x14ac:dyDescent="0.25">
      <c r="D54" s="64"/>
      <c r="E54" s="83"/>
      <c r="G54" s="64"/>
    </row>
    <row r="55" spans="4:7" ht="14.4" customHeight="1" x14ac:dyDescent="0.25">
      <c r="D55" s="64"/>
      <c r="E55" s="83"/>
      <c r="G55" s="64"/>
    </row>
    <row r="56" spans="4:7" ht="14.4" customHeight="1" x14ac:dyDescent="0.25">
      <c r="D56" s="64"/>
      <c r="E56" s="83"/>
      <c r="G56" s="64"/>
    </row>
    <row r="57" spans="4:7" ht="14.4" customHeight="1" x14ac:dyDescent="0.25">
      <c r="D57" s="64"/>
      <c r="E57" s="83"/>
      <c r="G57" s="64"/>
    </row>
    <row r="58" spans="4:7" ht="14.4" customHeight="1" x14ac:dyDescent="0.25">
      <c r="D58" s="64"/>
      <c r="E58" s="83"/>
      <c r="G58" s="64"/>
    </row>
    <row r="59" spans="4:7" ht="14.4" customHeight="1" x14ac:dyDescent="0.25">
      <c r="D59" s="64"/>
      <c r="E59" s="83"/>
      <c r="G59" s="64"/>
    </row>
    <row r="60" spans="4:7" ht="14.4" customHeight="1" x14ac:dyDescent="0.25">
      <c r="D60" s="64"/>
      <c r="E60" s="83"/>
      <c r="G60" s="64"/>
    </row>
    <row r="61" spans="4:7" ht="14.4" customHeight="1" x14ac:dyDescent="0.25">
      <c r="D61" s="64"/>
      <c r="E61" s="83"/>
      <c r="G61" s="64"/>
    </row>
    <row r="62" spans="4:7" ht="14.4" customHeight="1" x14ac:dyDescent="0.25">
      <c r="D62" s="64"/>
      <c r="E62" s="83"/>
      <c r="G62" s="64"/>
    </row>
    <row r="63" spans="4:7" ht="14.4" customHeight="1" x14ac:dyDescent="0.25">
      <c r="D63" s="64"/>
      <c r="E63" s="83"/>
      <c r="G63" s="64"/>
    </row>
    <row r="64" spans="4:7" ht="14.4" customHeight="1" x14ac:dyDescent="0.25">
      <c r="D64" s="64"/>
      <c r="E64" s="83"/>
      <c r="G64" s="64"/>
    </row>
    <row r="65" spans="1:7" ht="14.4" customHeight="1" x14ac:dyDescent="0.25">
      <c r="D65" s="64"/>
      <c r="E65" s="83"/>
      <c r="G65" s="64"/>
    </row>
    <row r="66" spans="1:7" ht="14.4" customHeight="1" x14ac:dyDescent="0.25">
      <c r="D66" s="64"/>
      <c r="E66" s="83"/>
      <c r="G66" s="64"/>
    </row>
    <row r="67" spans="1:7" ht="14.4" customHeight="1" x14ac:dyDescent="0.25">
      <c r="D67" s="64"/>
      <c r="E67" s="83"/>
      <c r="G67" s="64"/>
    </row>
    <row r="68" spans="1:7" ht="14.4" customHeight="1" x14ac:dyDescent="0.25">
      <c r="D68" s="64"/>
      <c r="E68" s="83"/>
      <c r="G68" s="64"/>
    </row>
    <row r="69" spans="1:7" ht="14.4" customHeight="1" x14ac:dyDescent="0.25">
      <c r="D69" s="64"/>
      <c r="E69" s="83"/>
      <c r="G69" s="64"/>
    </row>
    <row r="70" spans="1:7" ht="14.4" customHeight="1" x14ac:dyDescent="0.25">
      <c r="D70" s="64"/>
      <c r="E70" s="83"/>
      <c r="G70" s="64"/>
    </row>
    <row r="71" spans="1:7" ht="14.4" customHeight="1" x14ac:dyDescent="0.25">
      <c r="D71" s="64"/>
      <c r="E71" s="83"/>
      <c r="G71" s="64"/>
    </row>
    <row r="72" spans="1:7" ht="14.4" customHeight="1" x14ac:dyDescent="0.25">
      <c r="A72" t="s">
        <v>175</v>
      </c>
      <c r="D72" s="64"/>
      <c r="E72" s="83"/>
      <c r="G72" s="64"/>
    </row>
    <row r="73" spans="1:7" ht="14.4" customHeight="1" x14ac:dyDescent="0.25">
      <c r="D73" s="64"/>
      <c r="E73" s="83"/>
      <c r="G73" s="64"/>
    </row>
    <row r="74" spans="1:7" ht="14.4" customHeight="1" x14ac:dyDescent="0.25">
      <c r="D74" s="64"/>
      <c r="E74" s="83"/>
      <c r="G74" s="64"/>
    </row>
    <row r="75" spans="1:7" ht="14.4" customHeight="1" x14ac:dyDescent="0.25">
      <c r="D75" s="64"/>
      <c r="E75" s="83"/>
      <c r="G75" s="64"/>
    </row>
    <row r="76" spans="1:7" ht="14.4" customHeight="1" x14ac:dyDescent="0.25">
      <c r="D76" s="64"/>
      <c r="E76" s="83"/>
      <c r="G76" s="64"/>
    </row>
    <row r="77" spans="1:7" ht="14.4" customHeight="1" x14ac:dyDescent="0.25">
      <c r="D77" s="64"/>
      <c r="E77" s="83"/>
      <c r="G77" s="64"/>
    </row>
    <row r="78" spans="1:7" ht="14.4" customHeight="1" x14ac:dyDescent="0.25">
      <c r="D78" s="64"/>
      <c r="E78" s="83"/>
      <c r="G78" s="64"/>
    </row>
    <row r="79" spans="1:7" ht="14.4" customHeight="1" x14ac:dyDescent="0.25">
      <c r="D79" s="64"/>
      <c r="E79" s="83"/>
      <c r="G79" s="64"/>
    </row>
    <row r="80" spans="1:7" ht="14.4" customHeight="1" x14ac:dyDescent="0.25">
      <c r="D80" s="64"/>
      <c r="E80" s="83"/>
      <c r="G80" s="64"/>
    </row>
    <row r="81" spans="4:7" ht="14.4" customHeight="1" x14ac:dyDescent="0.25">
      <c r="D81" s="64"/>
      <c r="E81" s="83"/>
      <c r="G81" s="64"/>
    </row>
    <row r="82" spans="4:7" ht="14.4" customHeight="1" x14ac:dyDescent="0.25">
      <c r="D82" s="64"/>
      <c r="E82" s="83"/>
      <c r="G82" s="64"/>
    </row>
    <row r="83" spans="4:7" ht="14.4" customHeight="1" x14ac:dyDescent="0.25">
      <c r="D83" s="64"/>
      <c r="E83" s="83"/>
      <c r="G83" s="64"/>
    </row>
    <row r="84" spans="4:7" ht="14.4" customHeight="1" x14ac:dyDescent="0.25">
      <c r="D84" s="64"/>
      <c r="E84" s="83"/>
      <c r="G84" s="64"/>
    </row>
    <row r="85" spans="4:7" ht="14.4" customHeight="1" x14ac:dyDescent="0.25">
      <c r="D85" s="64"/>
      <c r="E85" s="83"/>
      <c r="G85" s="64"/>
    </row>
    <row r="86" spans="4:7" ht="14.4" customHeight="1" x14ac:dyDescent="0.25">
      <c r="D86" s="64"/>
      <c r="E86" s="83"/>
      <c r="G86" s="64"/>
    </row>
    <row r="87" spans="4:7" ht="14.4" customHeight="1" x14ac:dyDescent="0.25">
      <c r="D87" s="64"/>
      <c r="E87" s="83"/>
      <c r="G87" s="64"/>
    </row>
    <row r="88" spans="4:7" ht="14.4" customHeight="1" x14ac:dyDescent="0.25">
      <c r="D88" s="64"/>
      <c r="E88" s="83"/>
      <c r="G88" s="64"/>
    </row>
    <row r="89" spans="4:7" ht="14.4" customHeight="1" x14ac:dyDescent="0.25">
      <c r="D89" s="64"/>
      <c r="E89" s="83"/>
      <c r="G89" s="64"/>
    </row>
    <row r="90" spans="4:7" ht="14.4" customHeight="1" x14ac:dyDescent="0.25">
      <c r="D90" s="64"/>
      <c r="E90" s="83"/>
      <c r="G90" s="64"/>
    </row>
    <row r="91" spans="4:7" ht="14.4" customHeight="1" x14ac:dyDescent="0.25">
      <c r="D91" s="64"/>
      <c r="E91" s="83"/>
      <c r="G91" s="64"/>
    </row>
    <row r="92" spans="4:7" ht="14.4" customHeight="1" x14ac:dyDescent="0.25">
      <c r="D92" s="64"/>
      <c r="E92" s="83"/>
      <c r="G92" s="64"/>
    </row>
    <row r="93" spans="4:7" ht="14.4" customHeight="1" x14ac:dyDescent="0.25">
      <c r="D93" s="64"/>
      <c r="E93" s="83"/>
      <c r="G93" s="64"/>
    </row>
    <row r="94" spans="4:7" ht="14.4" customHeight="1" x14ac:dyDescent="0.25">
      <c r="D94" s="64"/>
      <c r="E94" s="83"/>
      <c r="G94" s="64"/>
    </row>
    <row r="95" spans="4:7" ht="14.4" customHeight="1" x14ac:dyDescent="0.25">
      <c r="D95" s="64"/>
      <c r="E95" s="83"/>
      <c r="G95" s="64"/>
    </row>
    <row r="96" spans="4:7" ht="14.4" customHeight="1" x14ac:dyDescent="0.25">
      <c r="D96" s="64"/>
      <c r="E96" s="83"/>
      <c r="G96" s="64"/>
    </row>
    <row r="97" spans="4:7" ht="14.4" customHeight="1" x14ac:dyDescent="0.25">
      <c r="D97" s="64"/>
      <c r="E97" s="83"/>
      <c r="G97" s="64"/>
    </row>
    <row r="98" spans="4:7" ht="14.4" customHeight="1" x14ac:dyDescent="0.25">
      <c r="D98" s="64"/>
      <c r="E98" s="83"/>
      <c r="G98" s="64"/>
    </row>
    <row r="99" spans="4:7" ht="14.4" customHeight="1" x14ac:dyDescent="0.25">
      <c r="D99" s="64"/>
      <c r="E99" s="83"/>
      <c r="G99" s="64"/>
    </row>
    <row r="100" spans="4:7" ht="14.4" customHeight="1" x14ac:dyDescent="0.25">
      <c r="D100" s="64"/>
      <c r="E100" s="83"/>
      <c r="G100" s="64"/>
    </row>
    <row r="101" spans="4:7" ht="14.4" customHeight="1" x14ac:dyDescent="0.25">
      <c r="D101" s="64"/>
      <c r="E101" s="83"/>
      <c r="G101" s="64"/>
    </row>
    <row r="102" spans="4:7" ht="14.4" customHeight="1" x14ac:dyDescent="0.25">
      <c r="D102" s="64"/>
      <c r="E102" s="83"/>
      <c r="G102" s="64"/>
    </row>
    <row r="103" spans="4:7" ht="14.4" customHeight="1" x14ac:dyDescent="0.25">
      <c r="D103" s="64"/>
      <c r="E103" s="83"/>
      <c r="G103" s="64"/>
    </row>
    <row r="104" spans="4:7" ht="14.4" customHeight="1" x14ac:dyDescent="0.25">
      <c r="D104" s="64"/>
      <c r="E104" s="83"/>
      <c r="G104" s="64"/>
    </row>
    <row r="105" spans="4:7" ht="14.4" customHeight="1" x14ac:dyDescent="0.25">
      <c r="D105" s="64"/>
      <c r="E105" s="83"/>
      <c r="G105" s="64"/>
    </row>
    <row r="106" spans="4:7" ht="14.4" customHeight="1" x14ac:dyDescent="0.25">
      <c r="D106" s="64"/>
      <c r="E106" s="83"/>
      <c r="G106" s="64"/>
    </row>
    <row r="107" spans="4:7" ht="14.4" customHeight="1" x14ac:dyDescent="0.25">
      <c r="D107" s="64"/>
      <c r="E107" s="83"/>
      <c r="G107" s="64"/>
    </row>
    <row r="108" spans="4:7" ht="14.4" customHeight="1" x14ac:dyDescent="0.25">
      <c r="D108" s="64"/>
      <c r="E108" s="83"/>
      <c r="G108" s="64"/>
    </row>
    <row r="109" spans="4:7" ht="14.4" customHeight="1" x14ac:dyDescent="0.25">
      <c r="D109" s="64"/>
      <c r="E109" s="83"/>
      <c r="G109" s="64"/>
    </row>
    <row r="110" spans="4:7" ht="14.4" customHeight="1" x14ac:dyDescent="0.25">
      <c r="D110" s="64"/>
      <c r="E110" s="83"/>
      <c r="G110" s="64"/>
    </row>
    <row r="111" spans="4:7" ht="14.4" customHeight="1" x14ac:dyDescent="0.25">
      <c r="D111" s="64"/>
      <c r="E111" s="83"/>
      <c r="G111" s="64"/>
    </row>
    <row r="112" spans="4:7" ht="14.4" customHeight="1" x14ac:dyDescent="0.25">
      <c r="D112" s="64"/>
      <c r="E112" s="83"/>
      <c r="G112" s="64"/>
    </row>
    <row r="113" spans="4:7" ht="14.4" customHeight="1" x14ac:dyDescent="0.25">
      <c r="D113" s="64"/>
      <c r="E113" s="83"/>
      <c r="G113" s="64"/>
    </row>
    <row r="114" spans="4:7" ht="14.4" customHeight="1" x14ac:dyDescent="0.25">
      <c r="D114" s="64"/>
      <c r="E114" s="83"/>
      <c r="G114" s="64"/>
    </row>
    <row r="115" spans="4:7" ht="14.4" customHeight="1" x14ac:dyDescent="0.25">
      <c r="D115" s="64"/>
      <c r="E115" s="83"/>
      <c r="G115" s="64"/>
    </row>
    <row r="116" spans="4:7" ht="14.4" customHeight="1" x14ac:dyDescent="0.25">
      <c r="D116" s="64"/>
      <c r="E116" s="83"/>
      <c r="G116" s="64"/>
    </row>
    <row r="117" spans="4:7" ht="14.4" customHeight="1" x14ac:dyDescent="0.25">
      <c r="D117" s="64"/>
      <c r="E117" s="83"/>
      <c r="G117" s="64"/>
    </row>
    <row r="118" spans="4:7" ht="14.4" customHeight="1" x14ac:dyDescent="0.25">
      <c r="D118" s="64"/>
      <c r="E118" s="83"/>
      <c r="G118" s="64"/>
    </row>
    <row r="119" spans="4:7" ht="14.4" customHeight="1" x14ac:dyDescent="0.25">
      <c r="D119" s="64"/>
      <c r="E119" s="83"/>
      <c r="G119" s="64"/>
    </row>
    <row r="120" spans="4:7" ht="14.4" customHeight="1" x14ac:dyDescent="0.25">
      <c r="D120" s="64"/>
      <c r="E120" s="83"/>
      <c r="G120" s="64"/>
    </row>
    <row r="121" spans="4:7" ht="14.4" customHeight="1" x14ac:dyDescent="0.25">
      <c r="D121" s="64"/>
      <c r="E121" s="83"/>
      <c r="G121" s="64"/>
    </row>
    <row r="122" spans="4:7" ht="14.4" customHeight="1" x14ac:dyDescent="0.25">
      <c r="D122" s="64"/>
      <c r="E122" s="83"/>
      <c r="G122" s="64"/>
    </row>
    <row r="123" spans="4:7" ht="14.4" customHeight="1" x14ac:dyDescent="0.25">
      <c r="D123" s="64"/>
      <c r="E123" s="83"/>
      <c r="G123" s="64"/>
    </row>
    <row r="124" spans="4:7" ht="14.4" customHeight="1" x14ac:dyDescent="0.25">
      <c r="D124" s="64"/>
      <c r="E124" s="83"/>
      <c r="G124" s="64"/>
    </row>
    <row r="125" spans="4:7" ht="14.4" customHeight="1" x14ac:dyDescent="0.25">
      <c r="D125" s="64"/>
      <c r="E125" s="83"/>
      <c r="G125" s="64"/>
    </row>
    <row r="126" spans="4:7" ht="14.4" customHeight="1" x14ac:dyDescent="0.25">
      <c r="D126" s="64"/>
      <c r="E126" s="83"/>
      <c r="G126" s="64"/>
    </row>
    <row r="127" spans="4:7" ht="14.4" customHeight="1" x14ac:dyDescent="0.25">
      <c r="D127" s="64"/>
      <c r="E127" s="83"/>
      <c r="G127" s="64"/>
    </row>
    <row r="128" spans="4:7" ht="14.4" customHeight="1" x14ac:dyDescent="0.25">
      <c r="D128" s="64"/>
      <c r="E128" s="83"/>
      <c r="G128" s="64"/>
    </row>
    <row r="129" spans="4:7" ht="14.4" customHeight="1" x14ac:dyDescent="0.25">
      <c r="D129" s="64"/>
      <c r="E129" s="83"/>
      <c r="G129" s="64"/>
    </row>
    <row r="130" spans="4:7" ht="14.4" customHeight="1" x14ac:dyDescent="0.25">
      <c r="D130" s="64"/>
      <c r="E130" s="83"/>
      <c r="G130" s="64"/>
    </row>
    <row r="131" spans="4:7" ht="14.4" customHeight="1" x14ac:dyDescent="0.25">
      <c r="D131" s="64"/>
      <c r="E131" s="83"/>
      <c r="G131" s="64"/>
    </row>
    <row r="132" spans="4:7" ht="14.4" customHeight="1" x14ac:dyDescent="0.25">
      <c r="D132" s="64"/>
      <c r="E132" s="83"/>
      <c r="G132" s="64"/>
    </row>
    <row r="133" spans="4:7" ht="14.4" customHeight="1" x14ac:dyDescent="0.25">
      <c r="D133" s="64"/>
      <c r="E133" s="83"/>
      <c r="G133" s="64"/>
    </row>
    <row r="134" spans="4:7" ht="14.4" customHeight="1" x14ac:dyDescent="0.25">
      <c r="D134" s="64"/>
      <c r="E134" s="83"/>
      <c r="G134" s="64"/>
    </row>
    <row r="135" spans="4:7" ht="14.4" customHeight="1" x14ac:dyDescent="0.25">
      <c r="D135" s="64"/>
      <c r="E135" s="83"/>
      <c r="G135" s="64"/>
    </row>
    <row r="136" spans="4:7" ht="14.4" customHeight="1" x14ac:dyDescent="0.25">
      <c r="D136" s="64"/>
      <c r="E136" s="83"/>
      <c r="G136" s="64"/>
    </row>
    <row r="137" spans="4:7" ht="14.4" customHeight="1" x14ac:dyDescent="0.25">
      <c r="D137" s="64"/>
      <c r="E137" s="83"/>
      <c r="G137" s="64"/>
    </row>
    <row r="138" spans="4:7" ht="14.4" customHeight="1" x14ac:dyDescent="0.25">
      <c r="D138" s="64"/>
      <c r="E138" s="83"/>
      <c r="G138" s="64"/>
    </row>
    <row r="139" spans="4:7" ht="14.4" customHeight="1" x14ac:dyDescent="0.25">
      <c r="D139" s="64"/>
      <c r="E139" s="83"/>
      <c r="G139" s="64"/>
    </row>
    <row r="140" spans="4:7" ht="14.4" customHeight="1" x14ac:dyDescent="0.25">
      <c r="D140" s="64"/>
      <c r="E140" s="83"/>
      <c r="G140" s="64"/>
    </row>
    <row r="141" spans="4:7" ht="14.4" customHeight="1" x14ac:dyDescent="0.25">
      <c r="D141" s="64"/>
      <c r="E141" s="83"/>
      <c r="G141" s="64"/>
    </row>
    <row r="142" spans="4:7" ht="14.4" customHeight="1" x14ac:dyDescent="0.25">
      <c r="D142" s="64"/>
      <c r="E142" s="83"/>
      <c r="G142" s="64"/>
    </row>
    <row r="143" spans="4:7" ht="14.4" customHeight="1" x14ac:dyDescent="0.25">
      <c r="D143" s="64"/>
      <c r="E143" s="83"/>
      <c r="G143" s="64"/>
    </row>
    <row r="144" spans="4:7" ht="14.4" customHeight="1" x14ac:dyDescent="0.25">
      <c r="D144" s="64"/>
      <c r="E144" s="83"/>
      <c r="G144" s="64"/>
    </row>
    <row r="145" spans="4:7" ht="14.4" customHeight="1" x14ac:dyDescent="0.25">
      <c r="D145" s="64"/>
      <c r="E145" s="83"/>
      <c r="G145" s="64"/>
    </row>
    <row r="146" spans="4:7" ht="14.4" customHeight="1" x14ac:dyDescent="0.25">
      <c r="D146" s="64"/>
      <c r="E146" s="83"/>
      <c r="G146" s="64"/>
    </row>
    <row r="147" spans="4:7" ht="14.4" customHeight="1" x14ac:dyDescent="0.25">
      <c r="D147" s="64"/>
      <c r="E147" s="83"/>
      <c r="G147" s="64"/>
    </row>
    <row r="148" spans="4:7" ht="14.4" customHeight="1" x14ac:dyDescent="0.25">
      <c r="D148" s="64"/>
      <c r="E148" s="83"/>
      <c r="G148" s="64"/>
    </row>
    <row r="149" spans="4:7" ht="14.4" customHeight="1" x14ac:dyDescent="0.25">
      <c r="D149" s="64"/>
      <c r="E149" s="83"/>
      <c r="G149" s="64"/>
    </row>
    <row r="150" spans="4:7" ht="14.4" customHeight="1" x14ac:dyDescent="0.25">
      <c r="D150" s="64"/>
      <c r="E150" s="83"/>
      <c r="G150" s="64"/>
    </row>
    <row r="151" spans="4:7" ht="14.4" customHeight="1" x14ac:dyDescent="0.25">
      <c r="D151" s="64"/>
      <c r="E151" s="83"/>
      <c r="G151" s="64"/>
    </row>
    <row r="152" spans="4:7" ht="14.4" customHeight="1" x14ac:dyDescent="0.25">
      <c r="D152" s="64"/>
      <c r="E152" s="83"/>
      <c r="G152" s="64"/>
    </row>
    <row r="153" spans="4:7" ht="14.4" customHeight="1" x14ac:dyDescent="0.25">
      <c r="D153" s="64"/>
      <c r="E153" s="83"/>
      <c r="G153" s="64"/>
    </row>
    <row r="154" spans="4:7" ht="14.4" customHeight="1" x14ac:dyDescent="0.25">
      <c r="D154" s="64"/>
      <c r="E154" s="83"/>
      <c r="G154" s="64"/>
    </row>
    <row r="155" spans="4:7" ht="14.4" customHeight="1" x14ac:dyDescent="0.25">
      <c r="D155" s="64"/>
      <c r="E155" s="83"/>
      <c r="G155" s="64"/>
    </row>
    <row r="156" spans="4:7" ht="14.4" customHeight="1" x14ac:dyDescent="0.25">
      <c r="D156" s="64"/>
      <c r="E156" s="83"/>
      <c r="G156" s="64"/>
    </row>
    <row r="157" spans="4:7" ht="14.4" customHeight="1" x14ac:dyDescent="0.25">
      <c r="D157" s="64"/>
      <c r="E157" s="83"/>
      <c r="G157" s="64"/>
    </row>
    <row r="158" spans="4:7" ht="14.4" customHeight="1" x14ac:dyDescent="0.25">
      <c r="D158" s="64"/>
      <c r="E158" s="83"/>
      <c r="G158" s="64"/>
    </row>
    <row r="159" spans="4:7" ht="14.4" customHeight="1" x14ac:dyDescent="0.25">
      <c r="D159" s="64"/>
      <c r="E159" s="83"/>
      <c r="G159" s="64"/>
    </row>
    <row r="160" spans="4:7" ht="14.4" customHeight="1" x14ac:dyDescent="0.25">
      <c r="D160" s="64"/>
      <c r="E160" s="83"/>
      <c r="G160" s="64"/>
    </row>
    <row r="161" spans="4:7" ht="14.4" customHeight="1" x14ac:dyDescent="0.25">
      <c r="D161" s="64"/>
      <c r="E161" s="83"/>
      <c r="G161" s="64"/>
    </row>
    <row r="162" spans="4:7" ht="14.4" customHeight="1" x14ac:dyDescent="0.25">
      <c r="D162" s="64"/>
      <c r="E162" s="83"/>
      <c r="G162" s="64"/>
    </row>
    <row r="163" spans="4:7" ht="14.4" customHeight="1" x14ac:dyDescent="0.25">
      <c r="D163" s="64"/>
      <c r="E163" s="83"/>
      <c r="G163" s="64"/>
    </row>
    <row r="164" spans="4:7" ht="14.4" customHeight="1" x14ac:dyDescent="0.25">
      <c r="D164" s="64"/>
      <c r="E164" s="83"/>
      <c r="G164" s="64"/>
    </row>
    <row r="165" spans="4:7" ht="14.4" customHeight="1" x14ac:dyDescent="0.25">
      <c r="D165" s="64"/>
      <c r="E165" s="83"/>
      <c r="G165" s="64"/>
    </row>
    <row r="166" spans="4:7" ht="14.4" customHeight="1" x14ac:dyDescent="0.25">
      <c r="D166" s="64"/>
      <c r="E166" s="83"/>
      <c r="G166" s="64"/>
    </row>
    <row r="167" spans="4:7" ht="14.4" customHeight="1" x14ac:dyDescent="0.25">
      <c r="D167" s="64"/>
      <c r="E167" s="83"/>
      <c r="G167" s="64"/>
    </row>
    <row r="168" spans="4:7" ht="14.4" customHeight="1" x14ac:dyDescent="0.25">
      <c r="D168" s="64"/>
      <c r="E168" s="83"/>
      <c r="G168" s="64"/>
    </row>
    <row r="169" spans="4:7" ht="14.4" customHeight="1" x14ac:dyDescent="0.25">
      <c r="D169" s="64"/>
      <c r="E169" s="83"/>
      <c r="G169" s="64"/>
    </row>
    <row r="170" spans="4:7" ht="14.4" customHeight="1" x14ac:dyDescent="0.25">
      <c r="D170" s="64"/>
      <c r="E170" s="83"/>
      <c r="G170" s="64"/>
    </row>
    <row r="171" spans="4:7" ht="14.4" customHeight="1" x14ac:dyDescent="0.25">
      <c r="D171" s="64"/>
      <c r="E171" s="83"/>
      <c r="G171" s="64"/>
    </row>
    <row r="172" spans="4:7" ht="14.4" customHeight="1" x14ac:dyDescent="0.25">
      <c r="D172" s="64"/>
      <c r="E172" s="83"/>
      <c r="G172" s="64"/>
    </row>
    <row r="173" spans="4:7" ht="14.4" customHeight="1" x14ac:dyDescent="0.25">
      <c r="D173" s="64"/>
      <c r="E173" s="83"/>
      <c r="G173" s="64"/>
    </row>
    <row r="174" spans="4:7" ht="14.4" customHeight="1" x14ac:dyDescent="0.25">
      <c r="D174" s="64"/>
      <c r="E174" s="83"/>
      <c r="G174" s="64"/>
    </row>
    <row r="175" spans="4:7" ht="14.4" customHeight="1" x14ac:dyDescent="0.25">
      <c r="D175" s="64"/>
      <c r="E175" s="83"/>
      <c r="G175" s="64"/>
    </row>
    <row r="176" spans="4:7" ht="14.4" customHeight="1" x14ac:dyDescent="0.25">
      <c r="D176" s="64"/>
      <c r="E176" s="83"/>
      <c r="G176" s="64"/>
    </row>
    <row r="177" spans="4:7" ht="14.4" customHeight="1" x14ac:dyDescent="0.25">
      <c r="D177" s="64"/>
      <c r="E177" s="83"/>
      <c r="G177" s="64"/>
    </row>
    <row r="178" spans="4:7" ht="14.4" customHeight="1" x14ac:dyDescent="0.25">
      <c r="D178" s="64"/>
      <c r="E178" s="83"/>
      <c r="G178" s="64"/>
    </row>
    <row r="179" spans="4:7" ht="14.4" customHeight="1" x14ac:dyDescent="0.25">
      <c r="D179" s="64"/>
      <c r="E179" s="83"/>
      <c r="G179" s="64"/>
    </row>
    <row r="180" spans="4:7" ht="14.4" customHeight="1" x14ac:dyDescent="0.25">
      <c r="D180" s="64"/>
      <c r="E180" s="83"/>
      <c r="G180" s="64"/>
    </row>
    <row r="181" spans="4:7" ht="14.4" customHeight="1" x14ac:dyDescent="0.25">
      <c r="D181" s="64"/>
      <c r="E181" s="83"/>
      <c r="G181" s="64"/>
    </row>
    <row r="182" spans="4:7" ht="14.4" customHeight="1" x14ac:dyDescent="0.25">
      <c r="D182" s="64"/>
      <c r="E182" s="83"/>
      <c r="G182" s="64"/>
    </row>
    <row r="183" spans="4:7" ht="14.4" customHeight="1" x14ac:dyDescent="0.25">
      <c r="D183" s="64"/>
      <c r="E183" s="83"/>
      <c r="G183" s="64"/>
    </row>
    <row r="184" spans="4:7" ht="14.4" customHeight="1" x14ac:dyDescent="0.25">
      <c r="D184" s="64"/>
      <c r="E184" s="83"/>
      <c r="G184" s="64"/>
    </row>
    <row r="185" spans="4:7" ht="14.4" customHeight="1" x14ac:dyDescent="0.25">
      <c r="D185" s="64"/>
      <c r="E185" s="83"/>
      <c r="G185" s="64"/>
    </row>
    <row r="186" spans="4:7" ht="14.4" customHeight="1" x14ac:dyDescent="0.25">
      <c r="D186" s="64"/>
      <c r="E186" s="83"/>
      <c r="G186" s="64"/>
    </row>
    <row r="187" spans="4:7" ht="14.4" customHeight="1" x14ac:dyDescent="0.25">
      <c r="D187" s="64"/>
      <c r="E187" s="83"/>
      <c r="G187" s="64"/>
    </row>
    <row r="188" spans="4:7" ht="14.4" customHeight="1" x14ac:dyDescent="0.25">
      <c r="D188" s="64"/>
      <c r="E188" s="83"/>
      <c r="G188" s="64"/>
    </row>
    <row r="189" spans="4:7" ht="14.4" customHeight="1" x14ac:dyDescent="0.25">
      <c r="D189" s="64"/>
      <c r="E189" s="83"/>
      <c r="G189" s="64"/>
    </row>
    <row r="190" spans="4:7" ht="14.4" customHeight="1" x14ac:dyDescent="0.25">
      <c r="D190" s="64"/>
      <c r="E190" s="83"/>
      <c r="G190" s="64"/>
    </row>
    <row r="191" spans="4:7" ht="14.4" customHeight="1" x14ac:dyDescent="0.25">
      <c r="D191" s="64"/>
      <c r="E191" s="83"/>
      <c r="G191" s="64"/>
    </row>
    <row r="192" spans="4:7" ht="14.4" customHeight="1" x14ac:dyDescent="0.25">
      <c r="D192" s="64"/>
      <c r="E192" s="83"/>
      <c r="G192" s="64"/>
    </row>
    <row r="193" spans="4:7" ht="14.4" customHeight="1" x14ac:dyDescent="0.25">
      <c r="D193" s="64"/>
      <c r="E193" s="83"/>
      <c r="G193" s="64"/>
    </row>
    <row r="194" spans="4:7" ht="14.4" customHeight="1" x14ac:dyDescent="0.25">
      <c r="D194" s="64"/>
      <c r="E194" s="83"/>
      <c r="G194" s="64"/>
    </row>
    <row r="195" spans="4:7" ht="14.4" customHeight="1" x14ac:dyDescent="0.25">
      <c r="D195" s="64"/>
      <c r="E195" s="83"/>
      <c r="G195" s="64"/>
    </row>
    <row r="196" spans="4:7" ht="14.4" customHeight="1" x14ac:dyDescent="0.25">
      <c r="D196" s="64"/>
      <c r="E196" s="83"/>
      <c r="G196" s="64"/>
    </row>
    <row r="197" spans="4:7" ht="14.4" customHeight="1" x14ac:dyDescent="0.25">
      <c r="D197" s="64"/>
      <c r="E197" s="83"/>
      <c r="G197" s="64"/>
    </row>
    <row r="198" spans="4:7" ht="14.4" customHeight="1" x14ac:dyDescent="0.25">
      <c r="D198" s="64"/>
      <c r="E198" s="83"/>
      <c r="G198" s="64"/>
    </row>
    <row r="199" spans="4:7" ht="14.4" customHeight="1" x14ac:dyDescent="0.25">
      <c r="D199" s="64"/>
      <c r="E199" s="83"/>
      <c r="G199" s="64"/>
    </row>
    <row r="200" spans="4:7" ht="14.4" customHeight="1" x14ac:dyDescent="0.25">
      <c r="D200" s="64"/>
      <c r="E200" s="83"/>
      <c r="G200" s="64"/>
    </row>
    <row r="201" spans="4:7" ht="14.4" customHeight="1" x14ac:dyDescent="0.25">
      <c r="D201" s="64"/>
      <c r="E201" s="83"/>
      <c r="G201" s="64"/>
    </row>
    <row r="202" spans="4:7" ht="14.4" customHeight="1" x14ac:dyDescent="0.25">
      <c r="D202" s="64"/>
      <c r="E202" s="83"/>
      <c r="G202" s="64"/>
    </row>
    <row r="203" spans="4:7" ht="14.4" customHeight="1" x14ac:dyDescent="0.25">
      <c r="D203" s="64"/>
      <c r="E203" s="83"/>
      <c r="G203" s="64"/>
    </row>
    <row r="204" spans="4:7" ht="14.4" customHeight="1" x14ac:dyDescent="0.25">
      <c r="D204" s="64"/>
      <c r="E204" s="83"/>
      <c r="G204" s="64"/>
    </row>
    <row r="205" spans="4:7" ht="14.4" customHeight="1" x14ac:dyDescent="0.25">
      <c r="D205" s="64"/>
      <c r="E205" s="83"/>
      <c r="G205" s="64"/>
    </row>
    <row r="206" spans="4:7" ht="14.4" customHeight="1" x14ac:dyDescent="0.25">
      <c r="D206" s="64"/>
      <c r="E206" s="83"/>
      <c r="G206" s="64"/>
    </row>
    <row r="207" spans="4:7" ht="14.4" customHeight="1" x14ac:dyDescent="0.25">
      <c r="D207" s="64"/>
      <c r="E207" s="83"/>
      <c r="G207" s="64"/>
    </row>
    <row r="208" spans="4:7" ht="14.4" customHeight="1" x14ac:dyDescent="0.25">
      <c r="D208" s="64"/>
      <c r="E208" s="83"/>
      <c r="G208" s="64"/>
    </row>
    <row r="209" spans="4:7" ht="14.4" customHeight="1" x14ac:dyDescent="0.25">
      <c r="D209" s="64"/>
      <c r="E209" s="83"/>
      <c r="G209" s="64"/>
    </row>
    <row r="210" spans="4:7" ht="14.4" customHeight="1" x14ac:dyDescent="0.25">
      <c r="D210" s="64"/>
      <c r="E210" s="83"/>
      <c r="G210" s="64"/>
    </row>
    <row r="211" spans="4:7" ht="14.4" customHeight="1" x14ac:dyDescent="0.25">
      <c r="D211" s="64"/>
      <c r="E211" s="83"/>
      <c r="G211" s="64"/>
    </row>
    <row r="212" spans="4:7" ht="14.4" customHeight="1" x14ac:dyDescent="0.25">
      <c r="D212" s="64"/>
      <c r="E212" s="83"/>
      <c r="G212" s="64"/>
    </row>
    <row r="213" spans="4:7" ht="14.4" customHeight="1" x14ac:dyDescent="0.25">
      <c r="D213" s="64"/>
      <c r="E213" s="83"/>
      <c r="G213" s="64"/>
    </row>
    <row r="214" spans="4:7" ht="14.4" customHeight="1" x14ac:dyDescent="0.25">
      <c r="D214" s="64"/>
      <c r="E214" s="83"/>
      <c r="G214" s="64"/>
    </row>
    <row r="215" spans="4:7" ht="14.4" customHeight="1" x14ac:dyDescent="0.25">
      <c r="D215" s="64"/>
      <c r="E215" s="83"/>
      <c r="G215" s="64"/>
    </row>
    <row r="216" spans="4:7" ht="14.4" customHeight="1" x14ac:dyDescent="0.25">
      <c r="D216" s="64"/>
      <c r="E216" s="83"/>
      <c r="G216" s="64"/>
    </row>
    <row r="217" spans="4:7" ht="14.4" customHeight="1" x14ac:dyDescent="0.25">
      <c r="D217" s="64"/>
      <c r="E217" s="83"/>
      <c r="G217" s="64"/>
    </row>
    <row r="218" spans="4:7" ht="14.4" customHeight="1" x14ac:dyDescent="0.25">
      <c r="D218" s="64"/>
      <c r="E218" s="83"/>
      <c r="G218" s="64"/>
    </row>
    <row r="219" spans="4:7" ht="14.4" customHeight="1" x14ac:dyDescent="0.25">
      <c r="D219" s="64"/>
      <c r="E219" s="83"/>
      <c r="G219" s="64"/>
    </row>
    <row r="220" spans="4:7" ht="14.4" customHeight="1" x14ac:dyDescent="0.25">
      <c r="D220" s="64"/>
      <c r="E220" s="83"/>
      <c r="G220" s="64"/>
    </row>
    <row r="221" spans="4:7" ht="14.4" customHeight="1" x14ac:dyDescent="0.25">
      <c r="D221" s="64"/>
      <c r="E221" s="83"/>
      <c r="G221" s="64"/>
    </row>
    <row r="222" spans="4:7" ht="14.4" customHeight="1" x14ac:dyDescent="0.25">
      <c r="D222" s="64"/>
      <c r="E222" s="83"/>
      <c r="G222" s="64"/>
    </row>
    <row r="223" spans="4:7" ht="14.4" customHeight="1" x14ac:dyDescent="0.25">
      <c r="D223" s="64"/>
      <c r="E223" s="83"/>
      <c r="G223" s="64"/>
    </row>
    <row r="224" spans="4:7" ht="14.4" customHeight="1" x14ac:dyDescent="0.25">
      <c r="D224" s="64"/>
      <c r="E224" s="83"/>
      <c r="G224" s="64"/>
    </row>
    <row r="225" spans="4:7" ht="14.4" customHeight="1" x14ac:dyDescent="0.25">
      <c r="D225" s="64"/>
      <c r="E225" s="83"/>
      <c r="G225" s="64"/>
    </row>
    <row r="226" spans="4:7" ht="14.4" customHeight="1" x14ac:dyDescent="0.25">
      <c r="D226" s="64"/>
      <c r="E226" s="83"/>
      <c r="G226" s="64"/>
    </row>
    <row r="227" spans="4:7" ht="14.4" customHeight="1" x14ac:dyDescent="0.25">
      <c r="D227" s="64"/>
      <c r="E227" s="83"/>
      <c r="G227" s="64"/>
    </row>
    <row r="228" spans="4:7" ht="14.4" customHeight="1" x14ac:dyDescent="0.25">
      <c r="D228" s="64"/>
      <c r="E228" s="83"/>
      <c r="G228" s="64"/>
    </row>
    <row r="229" spans="4:7" ht="14.4" customHeight="1" x14ac:dyDescent="0.25">
      <c r="D229" s="64"/>
      <c r="E229" s="83"/>
      <c r="G229" s="64"/>
    </row>
    <row r="230" spans="4:7" ht="14.4" customHeight="1" x14ac:dyDescent="0.25">
      <c r="D230" s="64"/>
      <c r="E230" s="83"/>
      <c r="G230" s="64"/>
    </row>
    <row r="231" spans="4:7" ht="14.4" customHeight="1" x14ac:dyDescent="0.25">
      <c r="D231" s="64"/>
      <c r="E231" s="83"/>
      <c r="G231" s="64"/>
    </row>
    <row r="232" spans="4:7" ht="14.4" customHeight="1" x14ac:dyDescent="0.25">
      <c r="D232" s="64"/>
      <c r="E232" s="83"/>
      <c r="G232" s="64"/>
    </row>
    <row r="233" spans="4:7" ht="14.4" customHeight="1" x14ac:dyDescent="0.25">
      <c r="D233" s="64"/>
      <c r="E233" s="83"/>
      <c r="G233" s="64"/>
    </row>
    <row r="234" spans="4:7" ht="14.4" customHeight="1" x14ac:dyDescent="0.25">
      <c r="D234" s="64"/>
      <c r="E234" s="83"/>
      <c r="G234" s="64"/>
    </row>
    <row r="235" spans="4:7" ht="14.4" customHeight="1" x14ac:dyDescent="0.25">
      <c r="D235" s="64"/>
      <c r="E235" s="83"/>
      <c r="G235" s="64"/>
    </row>
    <row r="236" spans="4:7" ht="14.4" customHeight="1" x14ac:dyDescent="0.25">
      <c r="D236" s="64"/>
      <c r="E236" s="83"/>
      <c r="G236" s="64"/>
    </row>
    <row r="237" spans="4:7" ht="14.4" customHeight="1" x14ac:dyDescent="0.25">
      <c r="D237" s="64"/>
      <c r="E237" s="83"/>
      <c r="G237" s="64"/>
    </row>
    <row r="238" spans="4:7" ht="14.4" customHeight="1" x14ac:dyDescent="0.25">
      <c r="D238" s="64"/>
      <c r="E238" s="83"/>
      <c r="G238" s="64"/>
    </row>
    <row r="239" spans="4:7" ht="14.4" customHeight="1" x14ac:dyDescent="0.25">
      <c r="D239" s="64"/>
      <c r="E239" s="83"/>
      <c r="G239" s="64"/>
    </row>
    <row r="240" spans="4:7" ht="14.4" customHeight="1" x14ac:dyDescent="0.25">
      <c r="D240" s="64"/>
      <c r="E240" s="83"/>
      <c r="G240" s="64"/>
    </row>
    <row r="241" spans="4:7" ht="14.4" customHeight="1" x14ac:dyDescent="0.25">
      <c r="D241" s="64"/>
      <c r="E241" s="83"/>
      <c r="G241" s="64"/>
    </row>
    <row r="242" spans="4:7" ht="14.4" customHeight="1" x14ac:dyDescent="0.25">
      <c r="D242" s="64"/>
      <c r="E242" s="83"/>
      <c r="G242" s="64"/>
    </row>
    <row r="243" spans="4:7" ht="14.4" customHeight="1" x14ac:dyDescent="0.25">
      <c r="D243" s="64"/>
      <c r="E243" s="83"/>
      <c r="G243" s="64"/>
    </row>
    <row r="244" spans="4:7" ht="14.4" customHeight="1" x14ac:dyDescent="0.25">
      <c r="D244" s="64"/>
      <c r="E244" s="83"/>
      <c r="G244" s="64"/>
    </row>
    <row r="245" spans="4:7" ht="14.4" customHeight="1" x14ac:dyDescent="0.25">
      <c r="D245" s="64"/>
      <c r="E245" s="83"/>
      <c r="G245" s="64"/>
    </row>
    <row r="246" spans="4:7" ht="14.4" customHeight="1" x14ac:dyDescent="0.25">
      <c r="D246" s="64"/>
      <c r="E246" s="83"/>
      <c r="G246" s="64"/>
    </row>
    <row r="247" spans="4:7" ht="14.4" customHeight="1" x14ac:dyDescent="0.25">
      <c r="D247" s="64"/>
      <c r="E247" s="83"/>
      <c r="G247" s="64"/>
    </row>
    <row r="248" spans="4:7" ht="14.4" customHeight="1" x14ac:dyDescent="0.25">
      <c r="D248" s="64"/>
      <c r="E248" s="83"/>
      <c r="G248" s="64"/>
    </row>
    <row r="249" spans="4:7" ht="14.4" customHeight="1" x14ac:dyDescent="0.25">
      <c r="D249" s="64"/>
      <c r="E249" s="83"/>
      <c r="G249" s="64"/>
    </row>
    <row r="250" spans="4:7" ht="14.4" customHeight="1" x14ac:dyDescent="0.25">
      <c r="D250" s="64"/>
      <c r="E250" s="83"/>
      <c r="G250" s="64"/>
    </row>
    <row r="251" spans="4:7" ht="14.4" customHeight="1" x14ac:dyDescent="0.25">
      <c r="D251" s="64"/>
      <c r="E251" s="83"/>
      <c r="G251" s="64"/>
    </row>
    <row r="252" spans="4:7" ht="14.4" customHeight="1" x14ac:dyDescent="0.25">
      <c r="D252" s="64"/>
      <c r="E252" s="83"/>
      <c r="G252" s="64"/>
    </row>
    <row r="253" spans="4:7" ht="14.4" customHeight="1" x14ac:dyDescent="0.25">
      <c r="D253" s="64"/>
      <c r="E253" s="83"/>
      <c r="G253" s="64"/>
    </row>
    <row r="254" spans="4:7" ht="14.4" customHeight="1" x14ac:dyDescent="0.25">
      <c r="D254" s="64"/>
      <c r="E254" s="83"/>
      <c r="G254" s="64"/>
    </row>
    <row r="255" spans="4:7" ht="14.4" customHeight="1" x14ac:dyDescent="0.25">
      <c r="D255" s="64"/>
      <c r="E255" s="83"/>
      <c r="G255" s="64"/>
    </row>
    <row r="256" spans="4:7" ht="14.4" customHeight="1" x14ac:dyDescent="0.25">
      <c r="D256" s="64"/>
      <c r="E256" s="83"/>
      <c r="G256" s="64"/>
    </row>
    <row r="257" spans="4:7" ht="14.4" customHeight="1" x14ac:dyDescent="0.25">
      <c r="D257" s="64"/>
      <c r="E257" s="83"/>
      <c r="G257" s="64"/>
    </row>
    <row r="258" spans="4:7" ht="14.4" customHeight="1" x14ac:dyDescent="0.25">
      <c r="D258" s="64"/>
      <c r="E258" s="83"/>
      <c r="G258" s="64"/>
    </row>
    <row r="259" spans="4:7" ht="14.4" customHeight="1" x14ac:dyDescent="0.25">
      <c r="D259" s="64"/>
      <c r="E259" s="83"/>
      <c r="G259" s="64"/>
    </row>
    <row r="260" spans="4:7" ht="14.4" customHeight="1" x14ac:dyDescent="0.25">
      <c r="D260" s="64"/>
      <c r="E260" s="83"/>
      <c r="G260" s="64"/>
    </row>
    <row r="261" spans="4:7" ht="14.4" customHeight="1" x14ac:dyDescent="0.25">
      <c r="D261" s="64"/>
      <c r="E261" s="83"/>
      <c r="G261" s="64"/>
    </row>
    <row r="262" spans="4:7" ht="14.4" customHeight="1" x14ac:dyDescent="0.25">
      <c r="D262" s="64"/>
      <c r="E262" s="83"/>
      <c r="G262" s="64"/>
    </row>
    <row r="263" spans="4:7" ht="14.4" customHeight="1" x14ac:dyDescent="0.25">
      <c r="D263" s="64"/>
      <c r="E263" s="83"/>
      <c r="G263" s="64"/>
    </row>
    <row r="264" spans="4:7" ht="14.4" customHeight="1" x14ac:dyDescent="0.25">
      <c r="D264" s="64"/>
      <c r="E264" s="83"/>
      <c r="G264" s="64"/>
    </row>
    <row r="265" spans="4:7" ht="14.4" customHeight="1" x14ac:dyDescent="0.25">
      <c r="D265" s="64"/>
      <c r="E265" s="83"/>
      <c r="G265" s="64"/>
    </row>
    <row r="266" spans="4:7" ht="14.4" customHeight="1" x14ac:dyDescent="0.25">
      <c r="D266" s="64"/>
      <c r="E266" s="83"/>
      <c r="G266" s="64"/>
    </row>
    <row r="267" spans="4:7" ht="14.4" customHeight="1" x14ac:dyDescent="0.25">
      <c r="D267" s="64"/>
      <c r="E267" s="83"/>
      <c r="G267" s="64"/>
    </row>
    <row r="268" spans="4:7" ht="14.4" customHeight="1" x14ac:dyDescent="0.25">
      <c r="D268" s="64"/>
      <c r="E268" s="83"/>
      <c r="G268" s="64"/>
    </row>
    <row r="269" spans="4:7" ht="14.4" customHeight="1" x14ac:dyDescent="0.25">
      <c r="D269" s="64"/>
      <c r="E269" s="83"/>
      <c r="G269" s="64"/>
    </row>
    <row r="270" spans="4:7" ht="14.4" customHeight="1" x14ac:dyDescent="0.25">
      <c r="D270" s="64"/>
      <c r="E270" s="83"/>
      <c r="G270" s="64"/>
    </row>
    <row r="271" spans="4:7" ht="14.4" customHeight="1" x14ac:dyDescent="0.25">
      <c r="D271" s="64"/>
      <c r="E271" s="83"/>
      <c r="G271" s="64"/>
    </row>
    <row r="272" spans="4:7" ht="14.4" customHeight="1" x14ac:dyDescent="0.25">
      <c r="D272" s="64"/>
      <c r="E272" s="83"/>
      <c r="G272" s="64"/>
    </row>
    <row r="273" spans="4:7" ht="14.4" customHeight="1" x14ac:dyDescent="0.25">
      <c r="D273" s="64"/>
      <c r="E273" s="83"/>
      <c r="G273" s="64"/>
    </row>
    <row r="274" spans="4:7" ht="14.4" customHeight="1" x14ac:dyDescent="0.25">
      <c r="D274" s="64"/>
      <c r="E274" s="83"/>
      <c r="G274" s="64"/>
    </row>
    <row r="275" spans="4:7" ht="14.4" customHeight="1" x14ac:dyDescent="0.25">
      <c r="D275" s="64"/>
      <c r="E275" s="83"/>
      <c r="G275" s="64"/>
    </row>
    <row r="276" spans="4:7" ht="14.4" customHeight="1" x14ac:dyDescent="0.25">
      <c r="D276" s="64"/>
      <c r="E276" s="83"/>
      <c r="G276" s="64"/>
    </row>
    <row r="277" spans="4:7" ht="14.4" customHeight="1" x14ac:dyDescent="0.25">
      <c r="D277" s="64"/>
      <c r="E277" s="83"/>
      <c r="G277" s="64"/>
    </row>
    <row r="278" spans="4:7" ht="14.4" customHeight="1" x14ac:dyDescent="0.25">
      <c r="D278" s="64"/>
      <c r="E278" s="83"/>
      <c r="G278" s="64"/>
    </row>
    <row r="279" spans="4:7" ht="14.4" customHeight="1" x14ac:dyDescent="0.25">
      <c r="D279" s="64"/>
      <c r="E279" s="83"/>
      <c r="G279" s="64"/>
    </row>
    <row r="280" spans="4:7" ht="14.4" customHeight="1" x14ac:dyDescent="0.25">
      <c r="D280" s="64"/>
      <c r="E280" s="83"/>
      <c r="G280" s="64"/>
    </row>
    <row r="281" spans="4:7" ht="14.4" customHeight="1" x14ac:dyDescent="0.25">
      <c r="D281" s="64"/>
      <c r="E281" s="83"/>
      <c r="G281" s="64"/>
    </row>
    <row r="282" spans="4:7" ht="14.4" customHeight="1" x14ac:dyDescent="0.25">
      <c r="D282" s="64"/>
      <c r="E282" s="83"/>
      <c r="G282" s="64"/>
    </row>
    <row r="283" spans="4:7" ht="14.4" customHeight="1" x14ac:dyDescent="0.25">
      <c r="D283" s="64"/>
      <c r="E283" s="83"/>
      <c r="G283" s="64"/>
    </row>
    <row r="284" spans="4:7" ht="14.4" customHeight="1" x14ac:dyDescent="0.25">
      <c r="D284" s="64"/>
      <c r="E284" s="83"/>
      <c r="G284" s="64"/>
    </row>
    <row r="285" spans="4:7" ht="14.4" customHeight="1" x14ac:dyDescent="0.25">
      <c r="D285" s="64"/>
      <c r="E285" s="83"/>
      <c r="G285" s="64"/>
    </row>
    <row r="286" spans="4:7" ht="14.4" customHeight="1" x14ac:dyDescent="0.25">
      <c r="D286" s="64"/>
      <c r="E286" s="83"/>
      <c r="G286" s="64"/>
    </row>
    <row r="287" spans="4:7" ht="14.4" customHeight="1" x14ac:dyDescent="0.25">
      <c r="D287" s="64"/>
      <c r="E287" s="83"/>
      <c r="G287" s="64"/>
    </row>
    <row r="288" spans="4:7" ht="14.4" customHeight="1" x14ac:dyDescent="0.25">
      <c r="D288" s="64"/>
      <c r="E288" s="83"/>
      <c r="G288" s="64"/>
    </row>
    <row r="289" spans="4:7" ht="14.4" customHeight="1" x14ac:dyDescent="0.25">
      <c r="D289" s="64"/>
      <c r="E289" s="83"/>
      <c r="G289" s="64"/>
    </row>
    <row r="290" spans="4:7" ht="14.4" customHeight="1" x14ac:dyDescent="0.25">
      <c r="D290" s="64"/>
      <c r="E290" s="83"/>
      <c r="G290" s="64"/>
    </row>
    <row r="291" spans="4:7" ht="14.4" customHeight="1" x14ac:dyDescent="0.25">
      <c r="D291" s="64"/>
      <c r="E291" s="83"/>
      <c r="G291" s="64"/>
    </row>
    <row r="292" spans="4:7" ht="14.4" customHeight="1" x14ac:dyDescent="0.25">
      <c r="D292" s="64"/>
      <c r="E292" s="83"/>
      <c r="G292" s="64"/>
    </row>
    <row r="293" spans="4:7" ht="14.4" customHeight="1" x14ac:dyDescent="0.25">
      <c r="D293" s="64"/>
      <c r="E293" s="83"/>
      <c r="G293" s="64"/>
    </row>
    <row r="294" spans="4:7" ht="14.4" customHeight="1" x14ac:dyDescent="0.25">
      <c r="D294" s="64"/>
      <c r="E294" s="83"/>
      <c r="G294" s="64"/>
    </row>
    <row r="295" spans="4:7" ht="14.4" customHeight="1" x14ac:dyDescent="0.25">
      <c r="D295" s="64"/>
      <c r="E295" s="83"/>
      <c r="G295" s="64"/>
    </row>
    <row r="296" spans="4:7" ht="14.4" customHeight="1" x14ac:dyDescent="0.25">
      <c r="D296" s="64"/>
      <c r="E296" s="83"/>
      <c r="G296" s="64"/>
    </row>
    <row r="297" spans="4:7" ht="14.4" customHeight="1" x14ac:dyDescent="0.25">
      <c r="D297" s="64"/>
      <c r="E297" s="83"/>
      <c r="G297" s="64"/>
    </row>
    <row r="298" spans="4:7" ht="14.4" customHeight="1" x14ac:dyDescent="0.25">
      <c r="D298" s="64"/>
      <c r="E298" s="83"/>
      <c r="G298" s="64"/>
    </row>
    <row r="299" spans="4:7" ht="14.4" customHeight="1" x14ac:dyDescent="0.25">
      <c r="D299" s="64"/>
      <c r="E299" s="83"/>
      <c r="G299" s="64"/>
    </row>
    <row r="300" spans="4:7" ht="14.4" customHeight="1" x14ac:dyDescent="0.25">
      <c r="D300" s="64"/>
      <c r="E300" s="83"/>
      <c r="G300" s="64"/>
    </row>
    <row r="301" spans="4:7" ht="14.4" customHeight="1" x14ac:dyDescent="0.25">
      <c r="D301" s="64"/>
      <c r="E301" s="83"/>
      <c r="G301" s="64"/>
    </row>
    <row r="302" spans="4:7" ht="14.4" customHeight="1" x14ac:dyDescent="0.25">
      <c r="D302" s="64"/>
      <c r="E302" s="83"/>
      <c r="G302" s="64"/>
    </row>
    <row r="303" spans="4:7" ht="14.4" customHeight="1" x14ac:dyDescent="0.25">
      <c r="D303" s="64"/>
      <c r="E303" s="83"/>
      <c r="G303" s="64"/>
    </row>
    <row r="304" spans="4:7" ht="14.4" customHeight="1" x14ac:dyDescent="0.25">
      <c r="D304" s="64"/>
      <c r="E304" s="83"/>
      <c r="G304" s="64"/>
    </row>
    <row r="305" spans="4:7" ht="14.4" customHeight="1" x14ac:dyDescent="0.25">
      <c r="D305" s="64"/>
      <c r="E305" s="83"/>
      <c r="G305" s="64"/>
    </row>
    <row r="306" spans="4:7" ht="14.4" customHeight="1" x14ac:dyDescent="0.25">
      <c r="D306" s="64"/>
      <c r="E306" s="83"/>
      <c r="G306" s="64"/>
    </row>
    <row r="307" spans="4:7" ht="14.4" customHeight="1" x14ac:dyDescent="0.25">
      <c r="D307" s="64"/>
      <c r="E307" s="83"/>
      <c r="G307" s="64"/>
    </row>
    <row r="308" spans="4:7" ht="14.4" customHeight="1" x14ac:dyDescent="0.25">
      <c r="D308" s="64"/>
      <c r="E308" s="83"/>
      <c r="G308" s="64"/>
    </row>
    <row r="309" spans="4:7" ht="14.4" customHeight="1" x14ac:dyDescent="0.25">
      <c r="D309" s="64"/>
      <c r="E309" s="83"/>
      <c r="G309" s="64"/>
    </row>
    <row r="310" spans="4:7" ht="14.4" customHeight="1" x14ac:dyDescent="0.25">
      <c r="D310" s="64"/>
      <c r="E310" s="83"/>
      <c r="G310" s="64"/>
    </row>
    <row r="311" spans="4:7" ht="14.4" customHeight="1" x14ac:dyDescent="0.25">
      <c r="D311" s="64"/>
      <c r="E311" s="83"/>
      <c r="G311" s="64"/>
    </row>
    <row r="312" spans="4:7" ht="14.4" customHeight="1" x14ac:dyDescent="0.25">
      <c r="D312" s="64"/>
      <c r="E312" s="83"/>
      <c r="G312" s="64"/>
    </row>
    <row r="313" spans="4:7" ht="14.4" customHeight="1" x14ac:dyDescent="0.25">
      <c r="D313" s="64"/>
      <c r="E313" s="83"/>
      <c r="G313" s="64"/>
    </row>
    <row r="314" spans="4:7" ht="14.4" customHeight="1" x14ac:dyDescent="0.25">
      <c r="D314" s="64"/>
      <c r="E314" s="83"/>
      <c r="G314" s="64"/>
    </row>
    <row r="315" spans="4:7" ht="14.4" customHeight="1" x14ac:dyDescent="0.25">
      <c r="D315" s="64"/>
      <c r="E315" s="83"/>
      <c r="G315" s="64"/>
    </row>
    <row r="316" spans="4:7" ht="14.4" customHeight="1" x14ac:dyDescent="0.25">
      <c r="D316" s="64"/>
      <c r="E316" s="83"/>
      <c r="G316" s="64"/>
    </row>
    <row r="317" spans="4:7" ht="14.4" customHeight="1" x14ac:dyDescent="0.25">
      <c r="D317" s="64"/>
      <c r="E317" s="83"/>
      <c r="G317" s="64"/>
    </row>
    <row r="318" spans="4:7" ht="14.4" customHeight="1" x14ac:dyDescent="0.25">
      <c r="D318" s="64"/>
      <c r="E318" s="83"/>
      <c r="G318" s="64"/>
    </row>
    <row r="319" spans="4:7" ht="14.4" customHeight="1" x14ac:dyDescent="0.25">
      <c r="D319" s="64"/>
      <c r="E319" s="83"/>
      <c r="G319" s="64"/>
    </row>
    <row r="320" spans="4:7" ht="14.4" customHeight="1" x14ac:dyDescent="0.25">
      <c r="D320" s="64"/>
      <c r="E320" s="83"/>
      <c r="G320" s="64"/>
    </row>
    <row r="321" spans="4:7" ht="14.4" customHeight="1" x14ac:dyDescent="0.25">
      <c r="D321" s="64"/>
      <c r="E321" s="83"/>
      <c r="G321" s="64"/>
    </row>
    <row r="322" spans="4:7" ht="14.4" customHeight="1" x14ac:dyDescent="0.25">
      <c r="D322" s="64"/>
      <c r="E322" s="83"/>
      <c r="G322" s="64"/>
    </row>
    <row r="323" spans="4:7" ht="14.4" customHeight="1" x14ac:dyDescent="0.25">
      <c r="D323" s="64"/>
      <c r="E323" s="83"/>
      <c r="G323" s="64"/>
    </row>
    <row r="324" spans="4:7" ht="14.4" customHeight="1" x14ac:dyDescent="0.25">
      <c r="D324" s="64"/>
      <c r="E324" s="83"/>
      <c r="G324" s="64"/>
    </row>
    <row r="325" spans="4:7" ht="14.4" customHeight="1" x14ac:dyDescent="0.25">
      <c r="D325" s="64"/>
      <c r="E325" s="83"/>
      <c r="G325" s="64"/>
    </row>
    <row r="326" spans="4:7" ht="14.4" customHeight="1" x14ac:dyDescent="0.25">
      <c r="D326" s="64"/>
      <c r="E326" s="83"/>
      <c r="G326" s="64"/>
    </row>
    <row r="327" spans="4:7" ht="14.4" customHeight="1" x14ac:dyDescent="0.25">
      <c r="D327" s="64"/>
      <c r="E327" s="83"/>
      <c r="G327" s="64"/>
    </row>
    <row r="328" spans="4:7" ht="14.4" customHeight="1" x14ac:dyDescent="0.25">
      <c r="D328" s="64"/>
      <c r="E328" s="83"/>
      <c r="G328" s="64"/>
    </row>
    <row r="329" spans="4:7" ht="14.4" customHeight="1" x14ac:dyDescent="0.25">
      <c r="D329" s="64"/>
      <c r="E329" s="83"/>
      <c r="G329" s="64"/>
    </row>
    <row r="330" spans="4:7" ht="14.4" customHeight="1" x14ac:dyDescent="0.25">
      <c r="D330" s="64"/>
      <c r="E330" s="83"/>
      <c r="G330" s="64"/>
    </row>
    <row r="331" spans="4:7" ht="14.4" customHeight="1" x14ac:dyDescent="0.25">
      <c r="D331" s="64"/>
      <c r="E331" s="83"/>
      <c r="G331" s="64"/>
    </row>
    <row r="332" spans="4:7" ht="14.4" customHeight="1" x14ac:dyDescent="0.25">
      <c r="D332" s="64"/>
      <c r="E332" s="83"/>
      <c r="G332" s="64"/>
    </row>
    <row r="333" spans="4:7" ht="14.4" customHeight="1" x14ac:dyDescent="0.25">
      <c r="D333" s="64"/>
      <c r="E333" s="83"/>
      <c r="G333" s="64"/>
    </row>
    <row r="334" spans="4:7" ht="14.4" customHeight="1" x14ac:dyDescent="0.25">
      <c r="D334" s="64"/>
      <c r="E334" s="83"/>
      <c r="G334" s="64"/>
    </row>
    <row r="335" spans="4:7" ht="14.4" customHeight="1" x14ac:dyDescent="0.25">
      <c r="D335" s="64"/>
      <c r="E335" s="83"/>
      <c r="G335" s="64"/>
    </row>
    <row r="336" spans="4:7" ht="14.4" customHeight="1" x14ac:dyDescent="0.25">
      <c r="D336" s="64"/>
      <c r="E336" s="83"/>
      <c r="G336" s="64"/>
    </row>
    <row r="337" spans="4:7" ht="14.4" customHeight="1" x14ac:dyDescent="0.25">
      <c r="D337" s="64"/>
      <c r="E337" s="83"/>
      <c r="G337" s="64"/>
    </row>
    <row r="338" spans="4:7" ht="14.4" customHeight="1" x14ac:dyDescent="0.25">
      <c r="D338" s="64"/>
      <c r="E338" s="83"/>
      <c r="G338" s="64"/>
    </row>
    <row r="339" spans="4:7" ht="14.4" customHeight="1" x14ac:dyDescent="0.25">
      <c r="D339" s="64"/>
      <c r="E339" s="83"/>
      <c r="G339" s="64"/>
    </row>
    <row r="340" spans="4:7" ht="14.4" customHeight="1" x14ac:dyDescent="0.25">
      <c r="D340" s="64"/>
      <c r="E340" s="83"/>
      <c r="G340" s="64"/>
    </row>
    <row r="341" spans="4:7" ht="14.4" customHeight="1" x14ac:dyDescent="0.25">
      <c r="D341" s="64"/>
      <c r="E341" s="83"/>
      <c r="G341" s="64"/>
    </row>
    <row r="342" spans="4:7" ht="14.4" customHeight="1" x14ac:dyDescent="0.25">
      <c r="D342" s="64"/>
      <c r="E342" s="83"/>
      <c r="G342" s="64"/>
    </row>
    <row r="343" spans="4:7" ht="14.4" customHeight="1" x14ac:dyDescent="0.25">
      <c r="D343" s="64"/>
      <c r="E343" s="83"/>
      <c r="G343" s="64"/>
    </row>
    <row r="344" spans="4:7" ht="14.4" customHeight="1" x14ac:dyDescent="0.25">
      <c r="D344" s="64"/>
      <c r="E344" s="83"/>
      <c r="G344" s="64"/>
    </row>
    <row r="345" spans="4:7" ht="14.4" customHeight="1" x14ac:dyDescent="0.25">
      <c r="D345" s="64"/>
      <c r="E345" s="83"/>
      <c r="G345" s="64"/>
    </row>
    <row r="346" spans="4:7" ht="14.4" customHeight="1" x14ac:dyDescent="0.25">
      <c r="D346" s="64"/>
      <c r="E346" s="83"/>
      <c r="G346" s="64"/>
    </row>
    <row r="347" spans="4:7" ht="14.4" customHeight="1" x14ac:dyDescent="0.25">
      <c r="D347" s="64"/>
      <c r="E347" s="83"/>
      <c r="G347" s="64"/>
    </row>
    <row r="348" spans="4:7" ht="14.4" customHeight="1" x14ac:dyDescent="0.25">
      <c r="D348" s="64"/>
      <c r="E348" s="83"/>
      <c r="G348" s="64"/>
    </row>
    <row r="349" spans="4:7" ht="14.4" customHeight="1" x14ac:dyDescent="0.25">
      <c r="D349" s="64"/>
      <c r="E349" s="83"/>
      <c r="G349" s="64"/>
    </row>
    <row r="350" spans="4:7" ht="14.4" customHeight="1" x14ac:dyDescent="0.25">
      <c r="D350" s="64"/>
      <c r="E350" s="83"/>
      <c r="G350" s="64"/>
    </row>
    <row r="351" spans="4:7" ht="14.4" customHeight="1" x14ac:dyDescent="0.25">
      <c r="D351" s="64"/>
      <c r="E351" s="83"/>
      <c r="G351" s="64"/>
    </row>
    <row r="352" spans="4:7" ht="14.4" customHeight="1" x14ac:dyDescent="0.25">
      <c r="D352" s="64"/>
      <c r="E352" s="83"/>
      <c r="G352" s="64"/>
    </row>
    <row r="353" spans="4:7" ht="14.4" customHeight="1" x14ac:dyDescent="0.25">
      <c r="D353" s="64"/>
      <c r="E353" s="83"/>
      <c r="G353" s="64"/>
    </row>
    <row r="354" spans="4:7" ht="14.4" customHeight="1" x14ac:dyDescent="0.25">
      <c r="D354" s="64"/>
      <c r="E354" s="83"/>
      <c r="G354" s="64"/>
    </row>
    <row r="355" spans="4:7" ht="14.4" customHeight="1" x14ac:dyDescent="0.25">
      <c r="D355" s="64"/>
      <c r="E355" s="83"/>
      <c r="G355" s="64"/>
    </row>
    <row r="356" spans="4:7" ht="14.4" customHeight="1" x14ac:dyDescent="0.25">
      <c r="D356" s="64"/>
      <c r="E356" s="83"/>
      <c r="G356" s="64"/>
    </row>
    <row r="357" spans="4:7" ht="14.4" customHeight="1" x14ac:dyDescent="0.25">
      <c r="D357" s="64"/>
      <c r="E357" s="83"/>
      <c r="G357" s="64"/>
    </row>
    <row r="358" spans="4:7" ht="14.4" customHeight="1" x14ac:dyDescent="0.25">
      <c r="D358" s="64"/>
      <c r="E358" s="83"/>
      <c r="G358" s="64"/>
    </row>
    <row r="359" spans="4:7" ht="14.4" customHeight="1" x14ac:dyDescent="0.25">
      <c r="D359" s="64"/>
      <c r="E359" s="83"/>
      <c r="G359" s="64"/>
    </row>
    <row r="360" spans="4:7" ht="14.4" customHeight="1" x14ac:dyDescent="0.25">
      <c r="D360" s="64"/>
      <c r="E360" s="83"/>
      <c r="G360" s="64"/>
    </row>
    <row r="361" spans="4:7" ht="14.4" customHeight="1" x14ac:dyDescent="0.25">
      <c r="D361" s="64"/>
      <c r="E361" s="83"/>
      <c r="G361" s="64"/>
    </row>
    <row r="362" spans="4:7" ht="14.4" customHeight="1" x14ac:dyDescent="0.25">
      <c r="D362" s="64"/>
      <c r="E362" s="83"/>
      <c r="G362" s="64"/>
    </row>
    <row r="363" spans="4:7" ht="14.4" customHeight="1" x14ac:dyDescent="0.25">
      <c r="D363" s="64"/>
      <c r="E363" s="83"/>
      <c r="G363" s="64"/>
    </row>
    <row r="364" spans="4:7" ht="14.4" customHeight="1" x14ac:dyDescent="0.25">
      <c r="D364" s="64"/>
      <c r="E364" s="83"/>
      <c r="G364" s="64"/>
    </row>
    <row r="365" spans="4:7" ht="14.4" customHeight="1" x14ac:dyDescent="0.25">
      <c r="D365" s="64"/>
      <c r="E365" s="83"/>
      <c r="G365" s="64"/>
    </row>
    <row r="366" spans="4:7" ht="14.4" customHeight="1" x14ac:dyDescent="0.25">
      <c r="D366" s="64"/>
      <c r="E366" s="83"/>
      <c r="G366" s="64"/>
    </row>
    <row r="367" spans="4:7" ht="14.4" customHeight="1" x14ac:dyDescent="0.25">
      <c r="D367" s="64"/>
      <c r="E367" s="83"/>
      <c r="G367" s="64"/>
    </row>
    <row r="368" spans="4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30:D30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54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55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56</v>
      </c>
      <c r="B3" s="120"/>
      <c r="C3" s="142" t="s">
        <v>57</v>
      </c>
      <c r="D3" s="120"/>
      <c r="E3" s="142" t="s">
        <v>58</v>
      </c>
      <c r="F3" s="120"/>
      <c r="G3" s="142" t="s">
        <v>59</v>
      </c>
      <c r="H3" s="120"/>
      <c r="I3" s="142" t="s">
        <v>60</v>
      </c>
      <c r="J3" s="120"/>
    </row>
    <row r="4" spans="1:10" ht="21.6" customHeight="1" x14ac:dyDescent="0.25">
      <c r="A4" s="57" t="s">
        <v>61</v>
      </c>
      <c r="B4" s="86">
        <v>0.68074000000000001</v>
      </c>
      <c r="C4" s="57" t="s">
        <v>36</v>
      </c>
      <c r="D4" s="87">
        <v>0.23760000000000001</v>
      </c>
      <c r="E4" s="57" t="s">
        <v>41</v>
      </c>
      <c r="F4" s="86">
        <v>0.87120000000000009</v>
      </c>
      <c r="G4" s="57" t="s">
        <v>42</v>
      </c>
      <c r="H4" s="86">
        <v>0.17485700000000001</v>
      </c>
      <c r="I4" s="57"/>
      <c r="J4" s="88"/>
    </row>
    <row r="5" spans="1:10" ht="15.75" customHeight="1" x14ac:dyDescent="0.25">
      <c r="A5" s="57" t="s">
        <v>62</v>
      </c>
      <c r="B5" s="86">
        <v>7.2850999999999999E-2</v>
      </c>
      <c r="C5" s="57" t="s">
        <v>63</v>
      </c>
      <c r="D5" s="87">
        <v>0.20860000000000001</v>
      </c>
      <c r="E5" s="57" t="s">
        <v>64</v>
      </c>
      <c r="F5" s="87">
        <v>9.1466999999999992</v>
      </c>
      <c r="G5" s="57" t="s">
        <v>65</v>
      </c>
      <c r="H5" s="86">
        <v>8.6272000000000001E-2</v>
      </c>
      <c r="I5" s="57"/>
      <c r="J5" s="88"/>
    </row>
    <row r="6" spans="1:10" ht="15" customHeight="1" x14ac:dyDescent="0.25">
      <c r="A6" s="57" t="s">
        <v>66</v>
      </c>
      <c r="B6" s="86">
        <v>0.45049899999999998</v>
      </c>
      <c r="C6" s="57" t="s">
        <v>39</v>
      </c>
      <c r="D6" s="89">
        <v>0.15529999999999999</v>
      </c>
      <c r="E6" s="57" t="s">
        <v>67</v>
      </c>
      <c r="F6" s="87">
        <v>25.179200000000002</v>
      </c>
      <c r="G6" s="57" t="s">
        <v>45</v>
      </c>
      <c r="H6" s="86">
        <v>4.9370000000000004E-2</v>
      </c>
      <c r="I6" s="57"/>
      <c r="J6" s="88"/>
    </row>
    <row r="7" spans="1:10" ht="14.25" customHeight="1" x14ac:dyDescent="0.25">
      <c r="A7" s="57" t="s">
        <v>38</v>
      </c>
      <c r="B7" s="89">
        <v>1.7593449560434637</v>
      </c>
      <c r="C7" s="57" t="s">
        <v>68</v>
      </c>
      <c r="D7" s="89">
        <v>2.0636999999999999</v>
      </c>
      <c r="E7" s="57" t="s">
        <v>69</v>
      </c>
      <c r="F7" s="87">
        <v>4.6071</v>
      </c>
      <c r="G7" s="57" t="s">
        <v>70</v>
      </c>
      <c r="H7" s="86">
        <v>4.8152E-2</v>
      </c>
      <c r="I7" s="57"/>
      <c r="J7" s="88"/>
    </row>
    <row r="8" spans="1:10" x14ac:dyDescent="0.25">
      <c r="A8" s="57"/>
      <c r="B8" s="90"/>
      <c r="C8" s="57"/>
      <c r="D8" s="91"/>
      <c r="E8" s="57" t="s">
        <v>71</v>
      </c>
      <c r="F8" s="87">
        <v>0.28470000000000001</v>
      </c>
      <c r="G8" s="57"/>
      <c r="H8" s="90"/>
      <c r="I8" s="57"/>
      <c r="J8" s="90"/>
    </row>
    <row r="9" spans="1:10" ht="13.5" customHeight="1" x14ac:dyDescent="0.25">
      <c r="A9" s="144" t="s">
        <v>72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73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74</v>
      </c>
      <c r="B11" s="120"/>
      <c r="C11" s="142" t="s">
        <v>75</v>
      </c>
      <c r="D11" s="120"/>
      <c r="E11" s="142" t="s">
        <v>76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77</v>
      </c>
      <c r="B12" s="92">
        <v>5.3837138447999999</v>
      </c>
      <c r="C12" s="57" t="s">
        <v>78</v>
      </c>
      <c r="D12" s="89">
        <v>117.82569844780001</v>
      </c>
      <c r="E12" s="147" t="s">
        <v>79</v>
      </c>
      <c r="F12" s="120"/>
      <c r="G12" s="120"/>
      <c r="H12" s="148">
        <v>102.65062017870001</v>
      </c>
      <c r="I12" s="120"/>
      <c r="J12" s="120"/>
    </row>
    <row r="13" spans="1:10" ht="14.25" customHeight="1" x14ac:dyDescent="0.25">
      <c r="A13" s="57" t="s">
        <v>80</v>
      </c>
      <c r="B13" s="92">
        <v>15.709124156600001</v>
      </c>
      <c r="C13" s="57" t="s">
        <v>81</v>
      </c>
      <c r="D13" s="89">
        <v>111.0005817083</v>
      </c>
      <c r="E13" s="147" t="s">
        <v>82</v>
      </c>
      <c r="F13" s="120"/>
      <c r="G13" s="120"/>
      <c r="H13" s="148">
        <v>1.996058015</v>
      </c>
      <c r="I13" s="120"/>
      <c r="J13" s="120"/>
    </row>
    <row r="14" spans="1:10" ht="14.25" customHeight="1" x14ac:dyDescent="0.25">
      <c r="A14" s="57" t="s">
        <v>83</v>
      </c>
      <c r="B14" s="92">
        <v>1.9621285365999999</v>
      </c>
      <c r="C14" s="57" t="s">
        <v>84</v>
      </c>
      <c r="D14" s="89">
        <v>97.223050759500012</v>
      </c>
      <c r="E14" s="147" t="s">
        <v>85</v>
      </c>
      <c r="F14" s="120"/>
      <c r="G14" s="120"/>
      <c r="H14" s="148">
        <v>105.0534466041</v>
      </c>
      <c r="I14" s="120"/>
      <c r="J14" s="120"/>
    </row>
    <row r="15" spans="1:10" ht="14.25" customHeight="1" x14ac:dyDescent="0.25">
      <c r="A15" s="57" t="s">
        <v>86</v>
      </c>
      <c r="B15" s="92">
        <v>281.55397847299997</v>
      </c>
      <c r="C15" s="57" t="s">
        <v>87</v>
      </c>
      <c r="D15" s="89">
        <v>0</v>
      </c>
      <c r="E15" s="147" t="s">
        <v>88</v>
      </c>
      <c r="F15" s="120"/>
      <c r="G15" s="120"/>
      <c r="H15" s="148">
        <v>39.8928948115</v>
      </c>
      <c r="I15" s="120"/>
      <c r="J15" s="120"/>
    </row>
    <row r="16" spans="1:10" ht="14.25" customHeight="1" x14ac:dyDescent="0.25">
      <c r="A16" s="57" t="s">
        <v>89</v>
      </c>
      <c r="B16" s="92">
        <v>27.595142450200001</v>
      </c>
      <c r="C16" s="57" t="s">
        <v>90</v>
      </c>
      <c r="D16" s="89">
        <v>0.25036002690000003</v>
      </c>
      <c r="E16" s="147" t="s">
        <v>91</v>
      </c>
      <c r="F16" s="120"/>
      <c r="G16" s="120"/>
      <c r="H16" s="148">
        <v>4.2674379680000003</v>
      </c>
      <c r="I16" s="120"/>
      <c r="J16" s="120"/>
    </row>
    <row r="17" spans="1:10" ht="14.25" customHeight="1" x14ac:dyDescent="0.25">
      <c r="A17" s="57" t="s">
        <v>92</v>
      </c>
      <c r="B17" s="92">
        <v>43.599190540900004</v>
      </c>
      <c r="C17" s="57" t="s">
        <v>93</v>
      </c>
      <c r="D17" s="89">
        <v>9.7496133607999997</v>
      </c>
      <c r="E17" s="147" t="s">
        <v>94</v>
      </c>
      <c r="F17" s="120"/>
      <c r="G17" s="120"/>
      <c r="H17" s="148">
        <v>71.817263904100002</v>
      </c>
      <c r="I17" s="120"/>
      <c r="J17" s="120"/>
    </row>
    <row r="18" spans="1:10" ht="14.25" customHeight="1" x14ac:dyDescent="0.25">
      <c r="A18" s="57" t="s">
        <v>95</v>
      </c>
      <c r="B18" s="92">
        <v>430.93975870999998</v>
      </c>
      <c r="C18" s="57" t="s">
        <v>96</v>
      </c>
      <c r="D18" s="89">
        <v>10.1650573558</v>
      </c>
      <c r="E18" s="147" t="s">
        <v>97</v>
      </c>
      <c r="F18" s="120"/>
      <c r="G18" s="120"/>
      <c r="H18" s="148">
        <v>33.236182700000001</v>
      </c>
      <c r="I18" s="120"/>
      <c r="J18" s="120"/>
    </row>
    <row r="19" spans="1:10" ht="14.25" customHeight="1" x14ac:dyDescent="0.25">
      <c r="A19" s="57" t="s">
        <v>98</v>
      </c>
      <c r="B19" s="92">
        <v>44.441299999999998</v>
      </c>
      <c r="C19" s="57" t="s">
        <v>99</v>
      </c>
      <c r="D19" s="89">
        <v>10.272082130199999</v>
      </c>
      <c r="E19" s="147" t="s">
        <v>100</v>
      </c>
      <c r="F19" s="120"/>
      <c r="G19" s="120"/>
      <c r="H19" s="148">
        <v>-26.701648154000001</v>
      </c>
      <c r="I19" s="120"/>
      <c r="J19" s="120"/>
    </row>
    <row r="20" spans="1:10" ht="27" customHeight="1" x14ac:dyDescent="0.25">
      <c r="A20" s="57" t="s">
        <v>101</v>
      </c>
      <c r="B20" s="92">
        <v>37.625846017100002</v>
      </c>
      <c r="C20" s="57" t="s">
        <v>43</v>
      </c>
      <c r="D20" s="89">
        <v>7.9711590548000002</v>
      </c>
      <c r="E20" s="147" t="s">
        <v>102</v>
      </c>
      <c r="F20" s="120"/>
      <c r="G20" s="120"/>
      <c r="H20" s="148">
        <v>0</v>
      </c>
      <c r="I20" s="120"/>
      <c r="J20" s="120"/>
    </row>
    <row r="21" spans="1:10" ht="16.5" customHeight="1" x14ac:dyDescent="0.25">
      <c r="A21" s="57" t="s">
        <v>103</v>
      </c>
      <c r="B21" s="92">
        <v>0</v>
      </c>
      <c r="C21" s="57"/>
      <c r="D21" s="93"/>
      <c r="E21" s="147" t="s">
        <v>104</v>
      </c>
      <c r="F21" s="120"/>
      <c r="G21" s="120"/>
      <c r="H21" s="148">
        <v>85.791308999999998</v>
      </c>
      <c r="I21" s="120"/>
      <c r="J21" s="120"/>
    </row>
    <row r="22" spans="1:10" ht="14.25" customHeight="1" x14ac:dyDescent="0.25">
      <c r="A22" s="57" t="s">
        <v>105</v>
      </c>
      <c r="B22" s="92">
        <v>135.23170902290002</v>
      </c>
      <c r="C22" s="57"/>
      <c r="D22" s="93"/>
      <c r="E22" s="147" t="s">
        <v>106</v>
      </c>
      <c r="F22" s="120"/>
      <c r="G22" s="120"/>
      <c r="H22" s="148">
        <v>0</v>
      </c>
      <c r="I22" s="120"/>
      <c r="J22" s="120"/>
    </row>
    <row r="23" spans="1:10" ht="14.25" customHeight="1" x14ac:dyDescent="0.25">
      <c r="A23" s="57" t="s">
        <v>107</v>
      </c>
      <c r="B23" s="92">
        <v>24.119974061599997</v>
      </c>
      <c r="C23" s="57"/>
      <c r="D23" s="93"/>
      <c r="E23" s="147" t="s">
        <v>108</v>
      </c>
      <c r="F23" s="120"/>
      <c r="G23" s="120"/>
      <c r="H23" s="148">
        <v>104.42187957430001</v>
      </c>
      <c r="I23" s="120"/>
      <c r="J23" s="120"/>
    </row>
    <row r="24" spans="1:10" ht="14.25" customHeight="1" x14ac:dyDescent="0.25">
      <c r="A24" s="57" t="s">
        <v>109</v>
      </c>
      <c r="B24" s="92">
        <v>293.35791271520003</v>
      </c>
      <c r="C24" s="94"/>
      <c r="D24" s="91"/>
      <c r="E24" s="147" t="s">
        <v>110</v>
      </c>
      <c r="F24" s="120"/>
      <c r="G24" s="120"/>
      <c r="H24" s="148">
        <v>91.707465939500011</v>
      </c>
      <c r="I24" s="120"/>
      <c r="J24" s="120"/>
    </row>
    <row r="25" spans="1:10" ht="14.25" customHeight="1" x14ac:dyDescent="0.25">
      <c r="A25" s="57" t="s">
        <v>111</v>
      </c>
      <c r="B25" s="92">
        <v>137.58184599480001</v>
      </c>
      <c r="C25" s="94"/>
      <c r="D25" s="91"/>
      <c r="E25" s="147" t="s">
        <v>112</v>
      </c>
      <c r="F25" s="120"/>
      <c r="G25" s="120"/>
      <c r="H25" s="148">
        <v>107.5330012366</v>
      </c>
      <c r="I25" s="120"/>
      <c r="J25" s="120"/>
    </row>
    <row r="26" spans="1:10" ht="14.25" customHeight="1" x14ac:dyDescent="0.25">
      <c r="A26" s="95" t="s">
        <v>113</v>
      </c>
      <c r="B26" s="92">
        <v>430.93975870999998</v>
      </c>
      <c r="C26" s="94"/>
      <c r="D26" s="91"/>
      <c r="E26" s="147" t="s">
        <v>114</v>
      </c>
      <c r="F26" s="120"/>
      <c r="G26" s="120"/>
      <c r="H26" s="148">
        <v>-3.1111216623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176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219</v>
      </c>
      <c r="C2" s="43" t="s">
        <v>177</v>
      </c>
      <c r="D2" s="43" t="s">
        <v>229</v>
      </c>
      <c r="E2" s="43" t="s">
        <v>230</v>
      </c>
      <c r="F2" s="43" t="s">
        <v>231</v>
      </c>
      <c r="G2" s="43" t="s">
        <v>232</v>
      </c>
      <c r="H2" s="43" t="s">
        <v>233</v>
      </c>
      <c r="I2" s="43" t="s">
        <v>234</v>
      </c>
      <c r="J2" s="43" t="s">
        <v>235</v>
      </c>
    </row>
    <row r="3" spans="1:10" x14ac:dyDescent="0.25">
      <c r="A3" s="54" t="s">
        <v>24</v>
      </c>
      <c r="B3" s="97" t="s">
        <v>25</v>
      </c>
      <c r="C3" s="98" t="s">
        <v>174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25</v>
      </c>
    </row>
    <row r="4" spans="1:10" s="7" customFormat="1" ht="21.6" x14ac:dyDescent="0.25">
      <c r="A4" s="9" t="s">
        <v>3</v>
      </c>
      <c r="B4" s="99" t="s">
        <v>220</v>
      </c>
      <c r="C4" s="98" t="s">
        <v>174</v>
      </c>
      <c r="D4" s="99" t="s">
        <v>236</v>
      </c>
      <c r="E4" s="99" t="s">
        <v>220</v>
      </c>
      <c r="F4" s="99" t="s">
        <v>236</v>
      </c>
      <c r="G4" s="99" t="s">
        <v>220</v>
      </c>
      <c r="H4" s="99" t="s">
        <v>236</v>
      </c>
      <c r="I4" s="99" t="s">
        <v>220</v>
      </c>
      <c r="J4" s="99" t="s">
        <v>220</v>
      </c>
    </row>
    <row r="5" spans="1:10" s="7" customFormat="1" x14ac:dyDescent="0.25">
      <c r="A5" s="9" t="s">
        <v>29</v>
      </c>
      <c r="B5" s="100" t="s">
        <v>30</v>
      </c>
      <c r="C5" s="98" t="s">
        <v>174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30</v>
      </c>
    </row>
    <row r="6" spans="1:10" x14ac:dyDescent="0.25">
      <c r="A6" s="54" t="s">
        <v>32</v>
      </c>
      <c r="B6" s="101">
        <v>430.93975870999998</v>
      </c>
      <c r="C6" s="98">
        <v>2353.7931843164288</v>
      </c>
      <c r="D6" s="101">
        <v>772.3093014781</v>
      </c>
      <c r="E6" s="101">
        <v>2162.7858799999999</v>
      </c>
      <c r="F6" s="101">
        <v>2630.5882243348997</v>
      </c>
      <c r="G6" s="101">
        <v>326.38693363250002</v>
      </c>
      <c r="H6" s="101">
        <v>451.4545843153</v>
      </c>
      <c r="I6" s="101">
        <v>8050.1473408323</v>
      </c>
      <c r="J6" s="101">
        <v>2082.8800256219001</v>
      </c>
    </row>
    <row r="7" spans="1:10" x14ac:dyDescent="0.25">
      <c r="A7" s="54" t="s">
        <v>34</v>
      </c>
      <c r="B7" s="44">
        <v>0.68074000000000001</v>
      </c>
      <c r="C7" s="98">
        <v>0.67392685714285705</v>
      </c>
      <c r="D7" s="44">
        <v>0.67988699999999991</v>
      </c>
      <c r="E7" s="44">
        <v>0.74375000000000002</v>
      </c>
      <c r="F7" s="44">
        <v>0.60719299999999998</v>
      </c>
      <c r="G7" s="44">
        <v>0.77889799999999998</v>
      </c>
      <c r="H7" s="44">
        <v>0.38930199999999998</v>
      </c>
      <c r="I7" s="44">
        <v>0.80991800000000003</v>
      </c>
      <c r="J7" s="44">
        <v>0.70853999999999995</v>
      </c>
    </row>
    <row r="8" spans="1:10" x14ac:dyDescent="0.25">
      <c r="A8" s="54" t="s">
        <v>36</v>
      </c>
      <c r="B8" s="101">
        <v>0.23760000000000001</v>
      </c>
      <c r="C8" s="98">
        <v>0.44745714285714283</v>
      </c>
      <c r="D8" s="101">
        <v>0.71879999999999999</v>
      </c>
      <c r="E8" s="101">
        <v>0.31190000000000001</v>
      </c>
      <c r="F8" s="101">
        <v>0.60250000000000004</v>
      </c>
      <c r="G8" s="101">
        <v>0.30380000000000001</v>
      </c>
      <c r="H8" s="101">
        <v>0.55789999999999995</v>
      </c>
      <c r="I8" s="101">
        <v>0.27689999999999998</v>
      </c>
      <c r="J8" s="101">
        <v>0.3604</v>
      </c>
    </row>
    <row r="9" spans="1:10" x14ac:dyDescent="0.25">
      <c r="A9" s="54" t="s">
        <v>38</v>
      </c>
      <c r="B9" s="97">
        <v>1.7593449560434637</v>
      </c>
      <c r="C9" s="98">
        <v>1.7931582396105437</v>
      </c>
      <c r="D9" s="97">
        <v>1.3089358544011322</v>
      </c>
      <c r="E9" s="97">
        <v>2.1903224440380917</v>
      </c>
      <c r="F9" s="97">
        <v>0.97557476074419625</v>
      </c>
      <c r="G9" s="97">
        <v>2.5168158268470471</v>
      </c>
      <c r="H9" s="97">
        <v>0.47445177829500246</v>
      </c>
      <c r="I9" s="97">
        <v>2.9255251790191719</v>
      </c>
      <c r="J9" s="97">
        <v>2.1604818339291647</v>
      </c>
    </row>
    <row r="10" spans="1:10" ht="21.6" customHeight="1" x14ac:dyDescent="0.25">
      <c r="A10" s="54" t="s">
        <v>39</v>
      </c>
      <c r="B10" s="101">
        <v>0.15529999999999999</v>
      </c>
      <c r="C10" s="98">
        <v>0.11234285714285715</v>
      </c>
      <c r="D10" s="101">
        <v>8.72E-2</v>
      </c>
      <c r="E10" s="101">
        <v>0.1017</v>
      </c>
      <c r="F10" s="101">
        <v>9.1399999999999995E-2</v>
      </c>
      <c r="G10" s="101">
        <v>0.1157</v>
      </c>
      <c r="H10" s="101">
        <v>0.17050000000000001</v>
      </c>
      <c r="I10" s="101">
        <v>9.1499999999999998E-2</v>
      </c>
      <c r="J10" s="101">
        <v>0.12839999999999999</v>
      </c>
    </row>
    <row r="11" spans="1:10" x14ac:dyDescent="0.25">
      <c r="A11" s="54" t="s">
        <v>40</v>
      </c>
      <c r="B11" s="101">
        <v>117.82569844780001</v>
      </c>
      <c r="C11" s="98">
        <v>585.95750162044283</v>
      </c>
      <c r="D11" s="101">
        <v>155.45854866049999</v>
      </c>
      <c r="E11" s="101">
        <v>790.06835999999998</v>
      </c>
      <c r="F11" s="101">
        <v>630.33002905319995</v>
      </c>
      <c r="G11" s="101">
        <v>169.0343906871</v>
      </c>
      <c r="H11" s="101">
        <v>154.43106338129999</v>
      </c>
      <c r="I11" s="101">
        <v>1885.9272772039001</v>
      </c>
      <c r="J11" s="101">
        <v>316.4528423571</v>
      </c>
    </row>
    <row r="12" spans="1:10" s="7" customFormat="1" x14ac:dyDescent="0.25">
      <c r="A12" s="9" t="s">
        <v>41</v>
      </c>
      <c r="B12" s="45">
        <v>0.87120000000000009</v>
      </c>
      <c r="C12" s="98">
        <v>1.0997142857142859</v>
      </c>
      <c r="D12" s="45">
        <v>1.0448999999999999</v>
      </c>
      <c r="E12" s="45">
        <v>1.0773999999999999</v>
      </c>
      <c r="F12" s="45">
        <v>1.0555000000000001</v>
      </c>
      <c r="G12" s="45">
        <v>1.1717</v>
      </c>
      <c r="H12" s="45">
        <v>1.1372</v>
      </c>
      <c r="I12" s="45">
        <v>1.077</v>
      </c>
      <c r="J12" s="45">
        <v>1.1343000000000001</v>
      </c>
    </row>
    <row r="13" spans="1:10" s="7" customFormat="1" x14ac:dyDescent="0.25">
      <c r="A13" s="9" t="s">
        <v>42</v>
      </c>
      <c r="B13" s="45">
        <v>0.17485700000000001</v>
      </c>
      <c r="C13" s="98">
        <v>0.16909657142857146</v>
      </c>
      <c r="D13" s="45">
        <v>0.27477799999999997</v>
      </c>
      <c r="E13" s="45">
        <v>0.105434</v>
      </c>
      <c r="F13" s="45">
        <v>0.11801199999999999</v>
      </c>
      <c r="G13" s="45">
        <v>7.4167999999999998E-2</v>
      </c>
      <c r="H13" s="45">
        <v>5.0011E-2</v>
      </c>
      <c r="I13" s="45">
        <v>0.155447</v>
      </c>
      <c r="J13" s="45">
        <v>0.40582600000000002</v>
      </c>
    </row>
    <row r="14" spans="1:10" s="7" customFormat="1" x14ac:dyDescent="0.25">
      <c r="A14" s="9" t="s">
        <v>43</v>
      </c>
      <c r="B14" s="102">
        <v>7.9711590548000002</v>
      </c>
      <c r="C14" s="98">
        <v>17.965835807214287</v>
      </c>
      <c r="D14" s="102">
        <v>8.4505935782000012</v>
      </c>
      <c r="E14" s="102">
        <v>7.7591299999999999</v>
      </c>
      <c r="F14" s="102">
        <v>17.462358157499999</v>
      </c>
      <c r="G14" s="102">
        <v>7.2077384946</v>
      </c>
      <c r="H14" s="102">
        <v>11.005004966900001</v>
      </c>
      <c r="I14" s="102">
        <v>8.2811185392999995</v>
      </c>
      <c r="J14" s="102">
        <v>65.594906913999992</v>
      </c>
    </row>
    <row r="15" spans="1:10" x14ac:dyDescent="0.25">
      <c r="A15" s="54" t="s">
        <v>45</v>
      </c>
      <c r="B15" s="44">
        <v>4.9370000000000004E-2</v>
      </c>
      <c r="C15" s="98">
        <v>4.2251428571428565E-2</v>
      </c>
      <c r="D15" s="44">
        <v>3.4894000000000001E-2</v>
      </c>
      <c r="E15" s="44">
        <v>1.0195000000000001E-2</v>
      </c>
      <c r="F15" s="44">
        <v>8.5070000000000007E-3</v>
      </c>
      <c r="G15" s="44">
        <v>0.13064799999999999</v>
      </c>
      <c r="H15" s="44">
        <v>6.0003000000000001E-2</v>
      </c>
      <c r="I15" s="44">
        <v>-5.7621000000000006E-2</v>
      </c>
      <c r="J15" s="44">
        <v>0.10913399999999999</v>
      </c>
    </row>
    <row r="16" spans="1:10" s="7" customFormat="1" ht="25.8" customHeight="1" x14ac:dyDescent="0.25">
      <c r="A16" s="9" t="s">
        <v>46</v>
      </c>
      <c r="B16" s="102">
        <v>33.236182700000001</v>
      </c>
      <c r="C16" s="98">
        <v>130.22003073065716</v>
      </c>
      <c r="D16" s="102">
        <v>28.268644403400003</v>
      </c>
      <c r="E16" s="102">
        <v>127.89154000000001</v>
      </c>
      <c r="F16" s="102">
        <v>123.6022597834</v>
      </c>
      <c r="G16" s="102">
        <v>31.4889974146</v>
      </c>
      <c r="H16" s="102">
        <v>12.887446905099999</v>
      </c>
      <c r="I16" s="102">
        <v>405.9909286239</v>
      </c>
      <c r="J16" s="102">
        <v>181.41039798419999</v>
      </c>
    </row>
    <row r="17" spans="1:10" x14ac:dyDescent="0.25">
      <c r="A17" s="54" t="s">
        <v>60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178</v>
      </c>
      <c r="B1" s="124"/>
      <c r="C1" s="124"/>
      <c r="D1" s="124"/>
      <c r="E1" s="124"/>
      <c r="F1" s="124"/>
    </row>
    <row r="2" spans="1:6" x14ac:dyDescent="0.25">
      <c r="A2" s="51" t="s">
        <v>179</v>
      </c>
      <c r="B2" s="50" t="s">
        <v>180</v>
      </c>
      <c r="C2" s="50" t="s">
        <v>181</v>
      </c>
      <c r="D2" s="50" t="s">
        <v>182</v>
      </c>
      <c r="E2" s="50" t="s">
        <v>160</v>
      </c>
      <c r="F2" s="50" t="s">
        <v>183</v>
      </c>
    </row>
    <row r="3" spans="1:6" ht="48" customHeight="1" x14ac:dyDescent="0.25">
      <c r="A3" s="104">
        <v>43237</v>
      </c>
      <c r="B3" s="52" t="s">
        <v>184</v>
      </c>
      <c r="C3" s="105"/>
      <c r="D3" s="105" t="s">
        <v>185</v>
      </c>
      <c r="E3" s="52" t="s">
        <v>186</v>
      </c>
      <c r="F3" s="105" t="s">
        <v>187</v>
      </c>
    </row>
    <row r="4" spans="1:6" ht="49.5" customHeight="1" x14ac:dyDescent="0.25">
      <c r="A4" s="53"/>
      <c r="B4" s="52"/>
      <c r="C4" s="106"/>
      <c r="D4" s="106"/>
      <c r="E4" s="52"/>
      <c r="F4" s="106"/>
    </row>
    <row r="5" spans="1:6" x14ac:dyDescent="0.25">
      <c r="A5" s="53"/>
      <c r="B5" s="52"/>
      <c r="C5" s="106"/>
      <c r="D5" s="106"/>
      <c r="E5" s="52"/>
      <c r="F5" s="106"/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19" spans="1:6" x14ac:dyDescent="0.25">
      <c r="A19" s="143" t="s">
        <v>188</v>
      </c>
      <c r="B19" s="143"/>
      <c r="C19" s="143"/>
      <c r="D19" s="143"/>
      <c r="E19" s="143"/>
      <c r="F19" s="143"/>
    </row>
    <row r="20" spans="1:6" x14ac:dyDescent="0.25">
      <c r="A20" s="84" t="s">
        <v>179</v>
      </c>
      <c r="B20" s="84" t="s">
        <v>180</v>
      </c>
      <c r="C20" s="84" t="s">
        <v>189</v>
      </c>
      <c r="D20" s="84" t="s">
        <v>190</v>
      </c>
      <c r="E20" s="84" t="s">
        <v>160</v>
      </c>
      <c r="F20" s="84" t="s">
        <v>183</v>
      </c>
    </row>
    <row r="21" spans="1:6" x14ac:dyDescent="0.25">
      <c r="A21" s="107">
        <v>43427</v>
      </c>
      <c r="B21" s="58" t="s">
        <v>191</v>
      </c>
      <c r="C21" s="108" t="s">
        <v>192</v>
      </c>
      <c r="D21" s="108"/>
      <c r="E21" s="58" t="s">
        <v>193</v>
      </c>
      <c r="F21" s="108"/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194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195</v>
      </c>
      <c r="B2" s="55" t="s">
        <v>196</v>
      </c>
      <c r="C2" s="55" t="s">
        <v>197</v>
      </c>
      <c r="D2" s="55" t="s">
        <v>198</v>
      </c>
      <c r="E2" s="55" t="s">
        <v>199</v>
      </c>
      <c r="F2" s="55" t="s">
        <v>200</v>
      </c>
      <c r="G2" s="55" t="s">
        <v>201</v>
      </c>
      <c r="H2" s="55" t="s">
        <v>16</v>
      </c>
      <c r="I2" s="55" t="s">
        <v>202</v>
      </c>
      <c r="J2" s="55" t="s">
        <v>203</v>
      </c>
      <c r="K2" s="55" t="s">
        <v>204</v>
      </c>
      <c r="L2" s="55" t="s">
        <v>205</v>
      </c>
      <c r="M2" s="55" t="s">
        <v>19</v>
      </c>
      <c r="N2" s="55" t="s">
        <v>206</v>
      </c>
      <c r="O2" s="3"/>
      <c r="P2" s="110" t="str">
        <f ca="1">Q2</f>
        <v>2019-04-11</v>
      </c>
      <c r="Q2" s="1" t="str">
        <f ca="1">[1]!td(R2-1)</f>
        <v>2019-04-11</v>
      </c>
      <c r="R2" s="3">
        <f ca="1">TODAY()</f>
        <v>43567</v>
      </c>
    </row>
    <row r="3" spans="1:18" ht="15.75" customHeight="1" x14ac:dyDescent="0.25">
      <c r="A3" s="111" t="str">
        <f>[1]!b_info_name(L3)</f>
        <v>19内蒙华电SCP001</v>
      </c>
      <c r="B3" s="2" t="str">
        <f>[1]!b_issue_firstissue(L3)</f>
        <v>2019-04-15</v>
      </c>
      <c r="C3" s="111">
        <f>[1]!b_info_term(L3)</f>
        <v>0.73970000000000002</v>
      </c>
      <c r="D3" s="112" t="str">
        <f>[1]!issuerrating(L3)</f>
        <v>AAA</v>
      </c>
      <c r="E3" s="112" t="str">
        <f>[1]!b_info_creditrating(L3)</f>
        <v>-</v>
      </c>
      <c r="F3" s="111" t="str">
        <f>[1]!b_rate_creditratingagency(L3)</f>
        <v>中诚信国际信用评级有限责任公司</v>
      </c>
      <c r="G3" s="113">
        <f>[1]!b_agency_guarantor(L3)</f>
        <v>0</v>
      </c>
      <c r="H3" s="114" t="s">
        <v>207</v>
      </c>
      <c r="I3" s="66"/>
      <c r="J3" s="115" t="s">
        <v>207</v>
      </c>
      <c r="K3" s="116"/>
      <c r="L3" s="41" t="str">
        <f>公式页!A2</f>
        <v>d19041209.IB</v>
      </c>
      <c r="M3" s="114" t="s">
        <v>207</v>
      </c>
      <c r="N3" s="111" t="str">
        <f>[1]!b_agency_leadunderwriter(L3)</f>
        <v>兴业银行股份有限公司</v>
      </c>
      <c r="P3" s="109" t="str">
        <f t="shared" ref="P3:P29" ca="1" si="0">$P$2</f>
        <v>2019-04-11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3.6621999999999999</v>
      </c>
      <c r="K4" s="116">
        <f>K3</f>
        <v>0</v>
      </c>
      <c r="L4" s="4" t="s">
        <v>208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2019-04-11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2019-04-11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2019-04-11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2019-04-11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2019-04-11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2019-04-11</v>
      </c>
    </row>
    <row r="10" spans="1:18" x14ac:dyDescent="0.25">
      <c r="P10" s="109" t="str">
        <f t="shared" ca="1" si="0"/>
        <v>2019-04-11</v>
      </c>
    </row>
    <row r="11" spans="1:18" x14ac:dyDescent="0.25">
      <c r="P11" s="109" t="str">
        <f t="shared" ca="1" si="0"/>
        <v>2019-04-11</v>
      </c>
    </row>
    <row r="12" spans="1:18" x14ac:dyDescent="0.25">
      <c r="A12" s="150" t="s">
        <v>209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2019-04-11</v>
      </c>
    </row>
    <row r="13" spans="1:18" s="1" customFormat="1" ht="43.2" customHeight="1" x14ac:dyDescent="0.25">
      <c r="A13" s="55" t="s">
        <v>195</v>
      </c>
      <c r="B13" s="55" t="s">
        <v>196</v>
      </c>
      <c r="C13" s="55" t="s">
        <v>197</v>
      </c>
      <c r="D13" s="55" t="s">
        <v>198</v>
      </c>
      <c r="E13" s="55" t="s">
        <v>199</v>
      </c>
      <c r="F13" s="55" t="s">
        <v>200</v>
      </c>
      <c r="G13" s="55" t="s">
        <v>201</v>
      </c>
      <c r="H13" s="55" t="s">
        <v>16</v>
      </c>
      <c r="I13" s="55" t="s">
        <v>202</v>
      </c>
      <c r="J13" s="55" t="s">
        <v>203</v>
      </c>
      <c r="K13" s="55" t="s">
        <v>204</v>
      </c>
      <c r="L13" s="55" t="s">
        <v>205</v>
      </c>
      <c r="M13" s="55" t="s">
        <v>19</v>
      </c>
      <c r="N13" s="55" t="s">
        <v>206</v>
      </c>
      <c r="P13" s="109" t="str">
        <f t="shared" ca="1" si="0"/>
        <v>2019-04-11</v>
      </c>
    </row>
    <row r="14" spans="1:18" ht="15.75" customHeight="1" x14ac:dyDescent="0.25">
      <c r="A14" s="111" t="str">
        <f>[1]!b_info_name(L14)</f>
        <v>19内蒙华电SCP001</v>
      </c>
      <c r="B14" s="2" t="str">
        <f>[1]!b_issue_firstissue(L14)</f>
        <v>2019-04-15</v>
      </c>
      <c r="C14" s="111">
        <f>[1]!b_info_term(L14)</f>
        <v>0.73970000000000002</v>
      </c>
      <c r="D14" s="112" t="str">
        <f>[1]!issuerrating(L14)</f>
        <v>AAA</v>
      </c>
      <c r="E14" s="112" t="str">
        <f>[1]!b_info_creditrating(L14)</f>
        <v>-</v>
      </c>
      <c r="F14" s="111" t="str">
        <f>[1]!b_rate_creditratingagency(L14)</f>
        <v>中诚信国际信用评级有限责任公司</v>
      </c>
      <c r="G14" s="113">
        <f>[1]!b_agency_guarantor(L14)</f>
        <v>0</v>
      </c>
      <c r="H14" s="114" t="s">
        <v>207</v>
      </c>
      <c r="I14" s="66"/>
      <c r="J14" s="115" t="s">
        <v>207</v>
      </c>
      <c r="K14" s="116">
        <f>K3</f>
        <v>0</v>
      </c>
      <c r="L14" s="42" t="str">
        <f>L3</f>
        <v>d19041209.IB</v>
      </c>
      <c r="M14" s="114" t="s">
        <v>207</v>
      </c>
      <c r="N14" s="111" t="str">
        <f>[1]!b_agency_leadunderwriter(L14)</f>
        <v>兴业银行股份有限公司</v>
      </c>
      <c r="P14" s="109" t="str">
        <f t="shared" ca="1" si="0"/>
        <v>2019-04-11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210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2019-04-11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211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2019-04-11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212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2019-04-11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213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2019-04-11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214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2019-04-11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215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2019-04-11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216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2019-04-11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217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2019-04-11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218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2019-04-11</v>
      </c>
    </row>
    <row r="24" spans="1:16" x14ac:dyDescent="0.25">
      <c r="P24" s="109" t="str">
        <f t="shared" ca="1" si="0"/>
        <v>2019-04-11</v>
      </c>
    </row>
    <row r="25" spans="1:16" x14ac:dyDescent="0.25">
      <c r="P25" s="109" t="str">
        <f t="shared" ca="1" si="0"/>
        <v>2019-04-11</v>
      </c>
    </row>
    <row r="26" spans="1:16" x14ac:dyDescent="0.25">
      <c r="P26" s="109" t="str">
        <f t="shared" ca="1" si="0"/>
        <v>2019-04-11</v>
      </c>
    </row>
    <row r="27" spans="1:16" x14ac:dyDescent="0.25">
      <c r="P27" s="109" t="str">
        <f t="shared" ca="1" si="0"/>
        <v>2019-04-11</v>
      </c>
    </row>
    <row r="28" spans="1:16" x14ac:dyDescent="0.25">
      <c r="P28" s="109" t="str">
        <f t="shared" ca="1" si="0"/>
        <v>2019-04-11</v>
      </c>
    </row>
    <row r="29" spans="1:16" x14ac:dyDescent="0.25">
      <c r="P29" s="109" t="str">
        <f t="shared" ca="1" si="0"/>
        <v>2019-04-11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2019-04-12T08:16:22Z</dcterms:modified>
</cp:coreProperties>
</file>